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МАРКИРОВКА ОСТАТКОВ\"/>
    </mc:Choice>
  </mc:AlternateContent>
  <xr:revisionPtr revIDLastSave="0" documentId="13_ncr:1_{7ED6AA76-A4D2-4B04-86D6-9AC9671F4EBD}" xr6:coauthVersionLast="47" xr6:coauthVersionMax="47" xr10:uidLastSave="{00000000-0000-0000-0000-000000000000}"/>
  <bookViews>
    <workbookView xWindow="4800" yWindow="1350" windowWidth="27450" windowHeight="158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917" i="1" l="1"/>
  <c r="A9938" i="1"/>
  <c r="A18066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</calcChain>
</file>

<file path=xl/sharedStrings.xml><?xml version="1.0" encoding="utf-8"?>
<sst xmlns="http://schemas.openxmlformats.org/spreadsheetml/2006/main" count="90958" uniqueCount="28794">
  <si>
    <t>ИНН</t>
  </si>
  <si>
    <t>Наименование</t>
  </si>
  <si>
    <t>Товарная группа</t>
  </si>
  <si>
    <t>Тип участника</t>
  </si>
  <si>
    <t>Регион</t>
  </si>
  <si>
    <t>Адрес</t>
  </si>
  <si>
    <t>ООО МАНУФАКТУРА</t>
  </si>
  <si>
    <t>Моторные масла</t>
  </si>
  <si>
    <t>Импортер, Оптовик, Розница, УОТ</t>
  </si>
  <si>
    <t>Республика Адыгея</t>
  </si>
  <si>
    <t>385142, РОССИЯ, РЕСПУБЛИКА АДЫГЕЯ (АДЫГЕЯ), М.Р-Н ТАХТАМУКАЙСКИЙ, ПГТ ЯБЛОНОВСКИЙ, Г.П. ЯБЛОНОВСКОЕ, УЛ ГАГАРИНА, Д. 148, К. 2, ПОМЕЩ. 1</t>
  </si>
  <si>
    <t>ИП КУРГУНЬЯН САРКИС ГРАНТОВИЧ</t>
  </si>
  <si>
    <t>Оптовик, Розница, УОТ</t>
  </si>
  <si>
    <t>ИП КАРАМАНЬЯН СЕРГЕЙ САРКИСОВИЧ</t>
  </si>
  <si>
    <t>Розница, УОТ</t>
  </si>
  <si>
    <t>ИП МАКСИМЕНКО НАТАЛЬЯ АНАТОЛЬЕВНА</t>
  </si>
  <si>
    <t>ИП Виноградов Александр Константинович</t>
  </si>
  <si>
    <t>ООО ЮГ-АВТО МАЙКОП</t>
  </si>
  <si>
    <t>385021, РЕСПУБЛИКА АДЫГЕЯ (АДЫГЕЯ), Г МАЙКОП, УЛ ХАКУРАТЕ, Д. 648Б</t>
  </si>
  <si>
    <t>ИП АНАННИКОВ АЛКИВЯД ЮРЬЕВИЧ</t>
  </si>
  <si>
    <t>ООО ЮГ-АВТО ПРЕМИУМ</t>
  </si>
  <si>
    <t>385140, РЕСПУБЛИКА АДЫГЕЯ (АДЫГЕЯ), Р-Н ТАХТАМУКАЙСКИЙ, АУЛ ТАХТАМУКАЙ, УЛ КРАСНОДАРСКАЯ, ДВЛД. 3</t>
  </si>
  <si>
    <t>ООО ЮГ-АВТО ЭКСПЕРТ</t>
  </si>
  <si>
    <t>385100, РЕСПУБЛИКА АДЫГЕЯ (АДЫГЕЯ), Р-Н ТАХТАМУКАЙСКИЙ, АУЛ ТАХТАМУКАЙ, УЛ КРАСНОДАРСКАЯ, Д. 1</t>
  </si>
  <si>
    <t>ИП БАТОВ ПШИМАФ БАТМИРЗОВИЧ</t>
  </si>
  <si>
    <t>ИП ВЕРЕЩАГИНА ЕВГЕНИЯ АНАТОЛЬЕВНА</t>
  </si>
  <si>
    <t>ИП НОМЕРОВСКИЙ АНДРЕЙ ВАСИЛЬЕВИЧ</t>
  </si>
  <si>
    <t>ИП МУСИЕНКО ВИТАЛИЙ ВЛАДИМИРОВИЧ</t>
  </si>
  <si>
    <t>Импортер, Оптовик, Розница, УОТ, Производитель</t>
  </si>
  <si>
    <t>ИП КИЗДЕРМИШЕВ АСКЕР НУРБИЕВИЧ</t>
  </si>
  <si>
    <t>ИП АНДРЕЙЧЕНКО АЛЕКСАНДРА ВЛАДИМИРОВНА</t>
  </si>
  <si>
    <t>ИП ЦАПОК АЛЕКСЕЙ НИКОЛАЕВИЧ</t>
  </si>
  <si>
    <t>ИП ТИМОШЕНКО СЕРГЕЙ МИХАЙЛОВИЧ</t>
  </si>
  <si>
    <t>Оптовик, УОТ</t>
  </si>
  <si>
    <t>ИП РЯПОЛОВ АЛЕКСАНДР ЮРЬЕВИЧ</t>
  </si>
  <si>
    <t>ИП НИКИТИНА СВЕТЛАНА ЕВГЕНЬЕВНА</t>
  </si>
  <si>
    <t>ИП ОВСЯНИКОВ ВЛАДИМИР МИХАЙЛОВИЧ</t>
  </si>
  <si>
    <t>ИП КОРТАВА ШАМИЛЬ ВАЛЕРИЕВИЧ</t>
  </si>
  <si>
    <t>ООО ЮГ-АВТО</t>
  </si>
  <si>
    <t>ООО АВТОЦЕНТР ЮГ-АВТО</t>
  </si>
  <si>
    <t>ООО ТОРГСЕРВИС 101</t>
  </si>
  <si>
    <t>385142, РЕСПУБЛИКА АДЫГЕЯ (АДЫГЕЯ), Р-Н ТАХТАМУКАЙСКИЙ, П НОВАЯ АДЫГЕЯ, УЛ ТУРГЕНЕВСКОЕ ШОССЕ, Д. 33</t>
  </si>
  <si>
    <t>ИП КРАСНОНОС ВЯЧЕСЛАВ СТАНИСЛАВОВИЧ</t>
  </si>
  <si>
    <t>ИП БАХМАН ОЛЕГ ГЕННАДЬЕВИЧ</t>
  </si>
  <si>
    <t>ГБУЗРА ЦРБ МАЙКОПСКОГО РАЙОНА</t>
  </si>
  <si>
    <t>385730, РЕСПУБЛИКА АДЫГЕЯ (АДЫГЕЯ), Р-Н МАЙКОПСКИЙ, П ТУЛЬСКИЙ, УЛ ТАНЮКОВА, Д.14</t>
  </si>
  <si>
    <t>ИП РУЗАЕВ МАКСИМ АЛЕКСАНДРОВИЧ</t>
  </si>
  <si>
    <t>ИП КОТЛОВ ОЛЕГ НИКОЛАЕВИЧ</t>
  </si>
  <si>
    <t>ООО ИТ-ЭККАУНТИНГ</t>
  </si>
  <si>
    <t>385011, РЕСПУБЛИКА АДЫГЕЯ (АДЫГЕЯ), Г МАЙКОП, УЛ ДИМИТРОВА, Д.3, 80</t>
  </si>
  <si>
    <t>ИП ЮРЬЕВ АЛЕКСАНДР ВАСИЛЬЕВИЧ</t>
  </si>
  <si>
    <t>ИП КИЧКО ЕЛЕНА АНАТОЛЬЕВНА</t>
  </si>
  <si>
    <t>ООО БИЗНЕС КАР КУБАНЬ</t>
  </si>
  <si>
    <t>385121, РЕСПУБЛИКА АДЫГЕЯ (АДЫГЕЯ), Р-Н ТАХТАМУКАЙСКИЙ, П НОВАЯ АДЫГЕЯ, УЛ ТУРГЕНЕВСКОЕ ШОССЕ, СТР. 12Б</t>
  </si>
  <si>
    <t>ООО ДЦ ЮГ-АВТО ПЛЮС</t>
  </si>
  <si>
    <t>385140, РЕСПУБЛИКА АДЫГЕЯ (АДЫГЕЯ), Р-Н ТАХТАМУКАЙСКИЙ, АУЛ ТАХТАМУКАЙ, УЛ КРАСНОДАРСКАЯ, СТР. 1</t>
  </si>
  <si>
    <t>ООО АВТО ПРОФИ</t>
  </si>
  <si>
    <t>ООО РВ СЕРВИС КУБАНЬ</t>
  </si>
  <si>
    <t>385121, РЕСПУБЛИКА АДЫГЕЯ (АДЫГЕЯ), Р-Н ТАХТАМУКАЙСКИЙ, П НОВАЯ АДЫГЕЯ, УЛ ТУРГЕНЕВСКОЕ ШОССЕ, ЗД. 24/1</t>
  </si>
  <si>
    <t>ИП УСПЕНСКИЙ МАТВЕЙ ВИКТОРОВИЧ</t>
  </si>
  <si>
    <t>ООО КОМПАНИЯ ЮГ-АВТО</t>
  </si>
  <si>
    <t>ИП КОРОЛЕВ ДМИТРИЙ ЮРЬЕВИЧ</t>
  </si>
  <si>
    <t>ИП АБДУЛ КУУДОС ЛАЙС</t>
  </si>
  <si>
    <t>ООО АК ЮГ-АВТО</t>
  </si>
  <si>
    <t>385140, РОССИЯ, РЕСПУБЛИКА АДЫГЕЯ (АДЫГЕЯ), М.Р-Н ТАХТАМУКАЙСКИЙ, АУЛ ТАХТАМУКАЙ, С.П. ТАХТАМУКАЙСКОЕ, УЛ КРАСНОДАРСКАЯ, ДВЛД. 3</t>
  </si>
  <si>
    <t>ИП БЕСПАЛЫЙ РУСЛАН ВАСИЛЬЕВИЧ</t>
  </si>
  <si>
    <t>ИП ДИДКОВСКАЯ ИЛОНА ВИКТОРОВНА</t>
  </si>
  <si>
    <t>ООО КОНТРАКТСЕРВИС</t>
  </si>
  <si>
    <t>385132, РОССИЯ, РЕСПУБЛИКА АДЫГЕЯ (АДЫГЕЯ), М.Р-Н ТАХТАМУКАЙСКИЙ, ПГТ ЭНЕМ, Г.П. ЭНЕМСКОЕ, УЛ СЕДИНА, Д. 64, ЭТАЖ 1, ПОМЕЩ. 4</t>
  </si>
  <si>
    <t>ИП ЗАМОНОВ УМЕДЖОН НЕЪМАТУЛЛОЕВИЧ</t>
  </si>
  <si>
    <t>Республика Башкортостан</t>
  </si>
  <si>
    <t>ИП МАЛУХИН ИВАН НИКОЛАЕВИЧ</t>
  </si>
  <si>
    <t>ИП АЛЕКСЕЕНКО НАТАЛИЯ НИКОЛАЕВНА</t>
  </si>
  <si>
    <t>ИП ФАЗЫЛОВ РИНАТ ШАМИЛЕВИЧ</t>
  </si>
  <si>
    <t>ИП ОРУДЖОВ АСЛАН ФАРХАД ОГЛЫ</t>
  </si>
  <si>
    <t>ИП МАГДАНОВ РУЗИЛЬ РИФОВИЧ</t>
  </si>
  <si>
    <t>ИП САЙФУТДИНОВА ДИНАРА АЗАТОВНА</t>
  </si>
  <si>
    <t>ИП ХАЙДАРОВ ИЛЬФАР НАЗИФОВИЧ</t>
  </si>
  <si>
    <t>ИП УСМАНОВА ТАМИЛА ДАМИРОВНА</t>
  </si>
  <si>
    <t>ИП МИННИАХМЕТОВА АЛЁНА ВЛАДИМИРОВНА</t>
  </si>
  <si>
    <t>ИП ИВАКИН ВЛАДИМИР ЛЕОНИДОВИЧ</t>
  </si>
  <si>
    <t>ИП ВАЛИАХМЕТОВ РАИЛЬ ЗАГИТОВИЧ</t>
  </si>
  <si>
    <t>ИП НАУМОВ АЛЕКСЕЙ АНАТОЛЬЕВИЧ</t>
  </si>
  <si>
    <t>ИП ЯКОВЛЕВ АРТЕМ АЛЕКСАНДРОВИЧ</t>
  </si>
  <si>
    <t>ИП КАЕКБЕРДИН ВЕНЕР ХАБИРОВИЧ</t>
  </si>
  <si>
    <t>ИП АФАНАСЬЕВ ВЛАДИМИР ГЕОРГИЕВИЧ</t>
  </si>
  <si>
    <t>ИП ЛЕНЧЕВСКИЙ ДМИТРИЙ БОРИСОВИЧ</t>
  </si>
  <si>
    <t>ИП ВАФИН РУСЛАН РАИСОВИЧ</t>
  </si>
  <si>
    <t>ИП ЕРМОЛАЕВ АЛЕКСАНДР ВЛАДИМИРОВИЧ</t>
  </si>
  <si>
    <t>ООО КЛАКСОН</t>
  </si>
  <si>
    <t>452689, РОССИЯ, РЕСПУБЛИКА БАШКОРТОСТАН, Г.О. ГОРОД НЕФТЕКАМСК, Г НЕФТЕКАМСК, УЛ ВЫСОКОВОЛЬТНАЯ, ВЛД. 5В</t>
  </si>
  <si>
    <t>ООО ТРАКДЕТАЛЬОКТ</t>
  </si>
  <si>
    <t>452607, РЕСПУБЛИКА БАШКОРТОСТАН, Г ОКТЯБРЬСКИЙ, УЛ ОЗЕРНАЯ, Д. 2</t>
  </si>
  <si>
    <t>ИП ЗАГИДУЛЛИНА ЛЮЦИЯ ГАМИЛОВНА</t>
  </si>
  <si>
    <t>ООО ИМПЕРИАЛ</t>
  </si>
  <si>
    <t>450019, РЕСПУБЛИКА БАШКОРТОСТАН, Г УФА, УЛ БЛАГОВАРСКАЯ, Д. 16, ПОМЕЩ. 5</t>
  </si>
  <si>
    <t>ИП БОДРОВ АЛЕКСАНДР ЮРЬЕВИЧ</t>
  </si>
  <si>
    <t>ООО  ИНТЭК</t>
  </si>
  <si>
    <t>УОТ, Производитель</t>
  </si>
  <si>
    <t>450112, РОССИЯ, РЕСПУБЛИКА БАШКОРТОСТАН, Г.О. ГОРОД УФА, Г УФА, УЛ УЛЬЯНОВЫХ, Д. 65, ЭТАЖ 1</t>
  </si>
  <si>
    <t>ООО ПРОФИ</t>
  </si>
  <si>
    <t>450007, РЕСПУБЛИКА БАШКОРТОСТАН, Г УФА, УЛ ЗАЩИТНИКОВ ОТЕЧЕСТВА, Д. 6, ПОМЕЩ. 34</t>
  </si>
  <si>
    <t>ООО ПРОМТЕХЦЕНТР</t>
  </si>
  <si>
    <t>450112, РЕСПУБЛИКА БАШКОРТОСТАН, Г УФА, УЛ ВОЙКОВА, Д.64, К.1</t>
  </si>
  <si>
    <t>ООО БАРС-АВТО</t>
  </si>
  <si>
    <t>450000, РЕСПУБЛИКА БАШКОРТОСТАН, Г УФА, УЛ РЯЗАНСКАЯ, Д.16</t>
  </si>
  <si>
    <t>ИП БЕЛОВ ДМИТРИЙ ВЛАДИМИРОВИЧ</t>
  </si>
  <si>
    <t>ИП ПОНОМАРЕВ РОМАН ГЕННАДЬЕВИЧ</t>
  </si>
  <si>
    <t>ООО МЕРКОЙЛ</t>
  </si>
  <si>
    <t>450029, РЕСПУБЛИКА БАШКОРТОСТАН, Г УФА, УЛ УЛЬЯНОВЫХ, Д. 65, К. 10, ОФИС 214, 215</t>
  </si>
  <si>
    <t>ИП МУЛЛАЯНОВ РАИЛЬ РАФАИЛЕВИЧ</t>
  </si>
  <si>
    <t>ООО АВТОРЕСУРС</t>
  </si>
  <si>
    <t>450112, РЕСПУБЛИКА БАШКОРТОСТАН, Г УФА, УЛ ФЕДОРОВСКАЯ, Д. 5</t>
  </si>
  <si>
    <t>ООО ТК ПРОФИ</t>
  </si>
  <si>
    <t>450022, РЕСПУБЛИКА БАШКОРТОСТАН, Г УФА, УЛ АКНАЗАРОВА, Д. 21, КВ. 34</t>
  </si>
  <si>
    <t>ИП ЕЛИСТРАТОВ СЕРГЕЙ ВАЛЕРЬЕВИЧ</t>
  </si>
  <si>
    <t>ООО РЕГИОНТОРГ</t>
  </si>
  <si>
    <t>450006, РЕСПУБЛИКА БАШКОРТОСТАН, Г УФА, УЛ ЛЕНИНА, Д. 97, К. 1, КВ. 55</t>
  </si>
  <si>
    <t>ООО АЛЬФА-СЕРВИС ПРЕМИУМ</t>
  </si>
  <si>
    <t>450078, РЕСПУБЛИКА БАШКОРТОСТАН, Г.О. ГОРОД УФА, Г УФА, ПР-КТ САЛАВАТА ЮЛАЕВА, Д. 24, ОФИС 28</t>
  </si>
  <si>
    <t>ИП НАСЫРОВА МАРИЯ АЛЕКСАНДРОВНА</t>
  </si>
  <si>
    <t>ИП ГОРШЕЧНИКОВА АЛИЯ САЯНОВНА</t>
  </si>
  <si>
    <t>ИП ЮНУСОВ АЯЗ АЛЬФИРОВИЧ</t>
  </si>
  <si>
    <t>ИП ЗИБАЕВ ОЛЕГ АЛЕКСАНДРОВИЧ</t>
  </si>
  <si>
    <t>ИП АЛЧИНОВ БОРИС НИКОЛАЕВИЧ</t>
  </si>
  <si>
    <t>ИП НАЗМУТДИНОВА АДИБА ГАЛЛЯМОВНА</t>
  </si>
  <si>
    <t>ИП ГАЛЛЯМШИНА ЭЛЬМИРА МАХИЯНОВНА</t>
  </si>
  <si>
    <t>ИП ГАЛИМХАНОВ ВАДИМ РАДИКОВИЧ</t>
  </si>
  <si>
    <t>ИП ЗАЙНУЛЛИН АДИК АЛЕМБЕКОВИЧ</t>
  </si>
  <si>
    <t>ИП ЛУТФРАХМАНОВ РАНИФ МАНСУРОВИЧ</t>
  </si>
  <si>
    <t>ИП РИЗВАНОВ ФЕДРАТ РАУФОВИЧ</t>
  </si>
  <si>
    <t>ИП КУТЛУГУЗИН АРТУР ХАМИТОВИЧ</t>
  </si>
  <si>
    <t>ИП НАФИКОВ РАДИК РАДИФОВИЧ</t>
  </si>
  <si>
    <t>ИП НАТАЛЕНКО ДМИТРИЙ АЛЕКСАНДРОВИЧ</t>
  </si>
  <si>
    <t>ИП САФИНА ВИЛЯ НАЖИБОВНА</t>
  </si>
  <si>
    <t>ИП ЕФИМОВ АНДРЕЙ ВАСИЛЬЕВИЧ</t>
  </si>
  <si>
    <t>ООО АВТОЛИДЕР-ЗАПАД</t>
  </si>
  <si>
    <t>452419, РЕСПУБЛИКА БАШКОРТОСТАН, М.Р-Н ИГЛИНСКИЙ, С.П. КАЛТЫМАНОВСКИЙ СЕЛЬСОВЕТ, ТЕР. АВТОМАГИСТРАЛЬ М-5 УРАЛ, КМ 1491-ЫЙ, ЗД. 1</t>
  </si>
  <si>
    <t>ИП ЛИХОВСКИХ СВЕТЛАНА ИВАНОВНА</t>
  </si>
  <si>
    <t>ИП КУЗНЕЦОВ ИВАН АЛЕКСАНДРОВИЧ</t>
  </si>
  <si>
    <t>ИП ФАХРИСЛАМОВ РАИЛЬ РИНАТОВИЧ</t>
  </si>
  <si>
    <t>ИП КУЖИНА ТАТЬЯНА НИКОЛАЕВНА</t>
  </si>
  <si>
    <t>ИП НУРЫЕВА ЮЛИЯ ЮРЬЕВНА</t>
  </si>
  <si>
    <t>ИП ХАННАНОВА ЗИНФИРА МАЛИХОВНА</t>
  </si>
  <si>
    <t>ИП ФАХРЕТДИНОВ РУСЛАН САЛАВАТОВИЧ</t>
  </si>
  <si>
    <t>ООО ТК АРМАДА</t>
  </si>
  <si>
    <t>Оптовик, УОТ, Производитель</t>
  </si>
  <si>
    <t>450063, РОССИЯ, РЕСПУБЛИКА БАШКОРТОСТАН, Г.О. ГОРОД УФА, Г УФА, УЛ ПАРИЖСКОЙ КОММУНЫ, Д. 47, ОФИС 1</t>
  </si>
  <si>
    <t>ИП ОСИПОВ ПЕТР НИКОЛАЕВИЧ</t>
  </si>
  <si>
    <t>ИП КОБЕЛЕВА ИРИНА ФИРДАВИСОВНА</t>
  </si>
  <si>
    <t>ООО ПАРАДИС</t>
  </si>
  <si>
    <t>452498, РЕСПУБЛИКА БАШКОРТОСТАН, Р-Н САЛАВАТСКИЙ, С ЛАКЛЫ, УЛ ПУШКИНА, ДВЛД 41</t>
  </si>
  <si>
    <t>ИП ЗАКИРОВА ЗУЛЬФИЯ РАВИЛЕВНА</t>
  </si>
  <si>
    <t>ИП ШАЙМУРАТОВ АЛМАЗ ХАЛИЛЕВИЧ</t>
  </si>
  <si>
    <t>ИП ЗАСЫПКИН СЕРГЕЙ МИХАЙЛОВИЧ</t>
  </si>
  <si>
    <t>ИП ГИЛЬМИЯРОВА РЕЗЕДА РАДИКОВНА</t>
  </si>
  <si>
    <t>ООО БАШНЕФТЬ-РОЗНИЦА</t>
  </si>
  <si>
    <t>450001, РЕСПУБЛИКА БАШКОРТОСТАН, Г УФА, УЛ БЕССОНОВА, Д.2</t>
  </si>
  <si>
    <t>ООО ФОРМУЛА ИНСТРУМЕНТА</t>
  </si>
  <si>
    <t>453605, РЕСПУБЛИКА БАШКОРТОСТАН, Р-Н АБЗЕЛИЛОВСКИЙ, Д АЛЬМУХАМЕТОВО, УЛ КИМА АХМЕДЬЯНОВА, Д. 81</t>
  </si>
  <si>
    <t>ИП МАСНАВИЕВА РАФИНА ФАУАТОВНА</t>
  </si>
  <si>
    <t>ИП ШАЯХМЕТОВА ИРИНА АЛЬБЕРТОВНА</t>
  </si>
  <si>
    <t>ИП ИМАШЕВА ОКСАНА ГРИГОРЬЕВНА</t>
  </si>
  <si>
    <t>ИП САЛИХОВ ЗИНФИР ВАЗИРОВИЧ</t>
  </si>
  <si>
    <t>ИП ФАХУРТДИНОВ ШАМИЛЬ АЗАТОВИЧ</t>
  </si>
  <si>
    <t>ИП КАНЗАФАРОВ ИЛЬНУР ФОАТОВИЧ</t>
  </si>
  <si>
    <t>ИП ВАЛЕЕВ ИРЕК ЗУЛЬКАФИЛОВИЧ</t>
  </si>
  <si>
    <t>ИП Аглямова Эльвера Расифовна</t>
  </si>
  <si>
    <t>ИП ПАУЛЬ ЕВГЕНИЙ СЕРГЕЕВИЧ</t>
  </si>
  <si>
    <t>ИП УПРУГИН АНТОН ПАВЛОВИЧ</t>
  </si>
  <si>
    <t>ИП САФИН АЛЕК МУФТАХОВИЧ</t>
  </si>
  <si>
    <t>ИП ХАСАНШИН ИЛЬНУР НИГМАТОВИЧ</t>
  </si>
  <si>
    <t>ИП МЕЛКОНЯН СИПАН АРБАКОВИЧ</t>
  </si>
  <si>
    <t>ИП НИГМАТЗЯНОВ БАГДАТ ДАВЛЕТБАЕВИЧ</t>
  </si>
  <si>
    <t>ООО АВТОЛИДЕР-ЮГ</t>
  </si>
  <si>
    <t>452419, РЕСПУБЛИКА БАШКОРТОСТАН, М.Р-Н ИГЛИНСКИЙ, С.П. КАЛТЫМАНОВСКИЙ СЕЛЬСОВЕТ, ТЕР. АВТОМАГИСТРАЛЬ М-5 УРАЛ, КМ 1491-ЫЙ, ЗД. 2</t>
  </si>
  <si>
    <t>ИП ИВАНОВ АНДРЕЙ ВЛАДИМИРОВИЧ</t>
  </si>
  <si>
    <t>ИП МУКСИНОВА ИНДИРА АЛЬФЕРОВНА</t>
  </si>
  <si>
    <t>ИП ХУЗИНА САРИЯ АНГАМОВНА</t>
  </si>
  <si>
    <t>ИП ЗАЙНУЛЛИН ШАМИЛЬ МАНСУРОВИЧ</t>
  </si>
  <si>
    <t>ИП КОНДРАШКИН ВЛАДИМИР ЮРЬЕВИЧ</t>
  </si>
  <si>
    <t>ИП ДАВЫДОВ ДЕНИС ВАСИЛЬЕВИЧ</t>
  </si>
  <si>
    <t>ИП ГАЛИМОВ ИЛЬФАТ МАКСУТОВИЧ</t>
  </si>
  <si>
    <t>ИП ФАЙРУШИН НАИЛЬ ЗАКИЕВИЧ</t>
  </si>
  <si>
    <t>ИП СУЛТАНОВ ФАГИЛЬ ФАГИМОВИЧ</t>
  </si>
  <si>
    <t>ИП ГУЛИН ДЕНИС АДИКОВИЧ</t>
  </si>
  <si>
    <t>ИП Кашапов Ильдус Хамзинович</t>
  </si>
  <si>
    <t>ИП МИНГАЗОВ АЛМАЗ ИЛЬЯСОВИЧ</t>
  </si>
  <si>
    <t>ИП АРУТЮНЯН АЛИНА ГАГИКОВНА</t>
  </si>
  <si>
    <t>Импортер, УОТ</t>
  </si>
  <si>
    <t>ИП ЗУБОВ ВЛАДИМИР ПЕТРОВИЧ</t>
  </si>
  <si>
    <t>ИП АГАФОНОВ АРТЕМ ВИКТОРОВИЧ</t>
  </si>
  <si>
    <t>ИП ЗВЕРЕВ ВЛАДИСЛАВ ВЛАДИМИРОВИЧ</t>
  </si>
  <si>
    <t>ИП ЯГАФАРОВ ИЛЬДАР РИНАТОВИЧ</t>
  </si>
  <si>
    <t>ООО УНИВЕРСАМ</t>
  </si>
  <si>
    <t>452746, РЕСПУБЛИКА БАШКОРТОСТАН, Р-Н БЛАГОВАРСКИЙ, С ПРИШИБ, УЛ СВОБОДЫ, Д.39</t>
  </si>
  <si>
    <t>ИП ФЕДОРОВА ТАМАРА ВЛАДИМИРОВНА</t>
  </si>
  <si>
    <t>ИП БАРДОВСКИЙ ЮРИЙ АЛЕКСАНДРОВИЧ</t>
  </si>
  <si>
    <t>ООО АВТОЛИДЕР-СЕВЕР</t>
  </si>
  <si>
    <t>452419, РЕСПУБЛИКА БАШКОРТОСТАН, М.Р-Н ИГЛИНСКИЙ, С.П. КАЛТЫМАНОВСКИЙ СЕЛЬСОВЕТ, ТЕР. АВТОМАГИСТРАЛЬ М-5 УРАЛ, КМ 1491-ЫЙ, ЗД. 3</t>
  </si>
  <si>
    <t>ООО АККОРД</t>
  </si>
  <si>
    <t>452418, РЕСПУБЛИКА БАШКОРТОСТАН, Р-Н ИГЛИНСКИЙ, С АКБЕРДИНО, УЛ ГАЗПРОМОВСКАЯ, Д. 20А</t>
  </si>
  <si>
    <t>ИП ХАРИСОВ ФИНАТ УЛФАТОВИЧ</t>
  </si>
  <si>
    <t>ИП ХАСБУТДИНОВ АЛЬФРИТ ФАНИЛОВИЧ</t>
  </si>
  <si>
    <t>ИП АХМЕТОВА СВЕТЛАНА МИНИХАЕВНА</t>
  </si>
  <si>
    <t>ИП КАБИРОВ РУСТАМ ИЛЬВИРОВИЧ</t>
  </si>
  <si>
    <t>ИП ТИМОФЕЕВА ГУЛЬШАТ ГАЙМРАНОВНА</t>
  </si>
  <si>
    <t>ИП ДАВЛЕТЬЯНОВ ВЛАДИМИР ИЛЬЯСОВИЧ</t>
  </si>
  <si>
    <t>ООО УРАЛАГРО</t>
  </si>
  <si>
    <t>450570, РЕСПУБЛИКА БАШКОРТОСТАН, Р-Н УФИМСКИЙ, С ЖУКОВО, УЛ ТРАКТОВАЯ, Д.6</t>
  </si>
  <si>
    <t>ООО АГРОТЕХСЕРВИС</t>
  </si>
  <si>
    <t>452172, РОССИЯ, РЕСПУБЛИКА БАШКОРТОСТАН, М.Р-Н ЧИШМИНСКИЙ, С АЛКИНО-2, С.П. ЛЕСНОЙ СЕЛЬСОВЕТ, ПЕР ЗАВОДСКОЙ, ЗД. 1</t>
  </si>
  <si>
    <t>ООО АНТЕЙ</t>
  </si>
  <si>
    <t>450043, РОССИЯ, РЕСПУБЛИКА БАШКОРТОСТАН, Г.О. ГОРОД УФА, Г УФА, УЛ ИМ. ФРОНТОВЫХ БРИГАД, Д. 10/3, ПОМЕЩ. 3</t>
  </si>
  <si>
    <t>ООО ОМЕГАСКАН</t>
  </si>
  <si>
    <t>450580, РЕСПУБЛИКА БАШКОРТОСТАН, М.Р-Н УФИМСКИЙ, С.П. АВДОНСКИЙ СЕЛЬСОВЕТ, МКР ПРИДОРОЖНЫЙ, УЛ АНАТОЛИЯ ЛОКОТЧЕНКО, ЗД. 2</t>
  </si>
  <si>
    <t>ИП ЛАТЫПОВ РУСЛАН АЛЬБЕРТОВИЧ</t>
  </si>
  <si>
    <t>ИП ДАВЛЕТОВА АЛЬБИНА АНВАРОВНА</t>
  </si>
  <si>
    <t>ИП ПЛОХОВ СЕРГЕЙ АЛЕКСАНДРОВИЧ</t>
  </si>
  <si>
    <t>ИП НАУМОВ АНАТОЛИЙ ЛЕОНИДОВИЧ</t>
  </si>
  <si>
    <t>ИП МАВЛЮТОВА РАЗИЛЯ ХИЛАЖИЕВНА</t>
  </si>
  <si>
    <t>ИП РАЯНОВА РОЗАЛИЯ ФИРДАВИСОВНА</t>
  </si>
  <si>
    <t>ООО ТЕХАВТОСНАБ</t>
  </si>
  <si>
    <t>450001, РЕСПУБЛИКА БАШКОРТОСТАН, Г УФА, Б-Р ХАДИИ ДАВЛЕТШИНОЙ, Д. 7, ЭТАЖ 2</t>
  </si>
  <si>
    <t>ИП ФЕДОТОВ АНДРЕЙ МАРАТОВИЧ</t>
  </si>
  <si>
    <t>ИП ГАРЕЕВ РИНАТ ИЛЬДАРОВИЧ</t>
  </si>
  <si>
    <t>ИП ЛАТЫПОВА АЛЬМИРА АХАТОВНА</t>
  </si>
  <si>
    <t>ИП ГАЛЕЕВ ДАМИР ИЛЬНУРОВИЧ</t>
  </si>
  <si>
    <t>ИП БАГАПОВА ИРИНА АЛЕКСЕЕВНА</t>
  </si>
  <si>
    <t>ИП РАХИМЬЯНОВ ФАНИЛ АМИРЬЯНОВИЧ</t>
  </si>
  <si>
    <t>ООО НПП ИКАР</t>
  </si>
  <si>
    <t>453434, РЕСПУБЛИКА БАШКОРТОСТАН, Р-Н БЛАГОВЕЩЕНСКИЙ, Г БЛАГОВЕЩЕНСК, УЛ СОЦИАЛИСТИЧЕСКАЯ, ЗД. 23, -</t>
  </si>
  <si>
    <t>ИП Назаров Сергей Алексеевич</t>
  </si>
  <si>
    <t>ИП ФАЙЗУЛЛИНА ИННА ВАЛЕРЬЕВНА</t>
  </si>
  <si>
    <t>ИП БАТРШИН РОБЕРТ ИЛЬЯСОВИЧ</t>
  </si>
  <si>
    <t>ИП ФАЗЫЛОВ ИЛЬГИЗ РАФИТОВИЧ</t>
  </si>
  <si>
    <t>ИП САХИБЗАДИН РУСТАМ РИНАТОВИЧ</t>
  </si>
  <si>
    <t>ИП ГАЛИМХАНОВ РАФИТ РАФАИЛОВИЧ</t>
  </si>
  <si>
    <t>ИП ОКОЛЬЗИН ДМИТРИЙ НИКОЛАЕВИЧ</t>
  </si>
  <si>
    <t>ИП КИЛЬМУХАМЕТОВ РИФАТ РИНАТОВИЧ</t>
  </si>
  <si>
    <t>ИП НЕВСКАЯ СВЕТЛАНА РАМИЛЕВНА</t>
  </si>
  <si>
    <t>ИП ИШКИНИН ЗУФАР АЛЬФРИДОВИЧ</t>
  </si>
  <si>
    <t>ИП АХМЕТЗЯНОВА ДИАНА РИНАТОВНА</t>
  </si>
  <si>
    <t>ИП ЯДЫКИН АЛЕКСЕЙ НИКОЛАЕВИЧ</t>
  </si>
  <si>
    <t>ООО ГК АБСОЛЮТ</t>
  </si>
  <si>
    <t>452680, РЕСПУБЛИКА БАШКОРТОСТАН, Г НЕФТЕКАМСК, УЛ ЯНАУЛЬСКАЯ, Д.1, К.А</t>
  </si>
  <si>
    <t>ИП ГОЛУБКОВ АЛЕКСЕЙ ВАСИЛЬЕВИЧ</t>
  </si>
  <si>
    <t>ИП ФАЯЗОВ АЙДАР ВЕНЕРОВИЧ</t>
  </si>
  <si>
    <t>ЗАО ГАЗНЕФТЕСЕРВИС</t>
  </si>
  <si>
    <t>452606, РЕСПУБЛИКА БАШКОРТОСТАН, Г ОКТЯБРЬСКИЙ, УЛ САДОВОЕ КОЛЬЦО, ЗД. 10А</t>
  </si>
  <si>
    <t>ООО МОБИЛОН</t>
  </si>
  <si>
    <t>452614, РЕСПУБЛИКА БАШКОРТОСТАН, Г ОКТЯБРЬСКИЙ, УЛ СЕВЕРНАЯ, ЗД. 34</t>
  </si>
  <si>
    <t>ИП ЮНУСОВ РИНАТ МУХАСИМОВИЧ</t>
  </si>
  <si>
    <t>ИП СУНАГАТУЛЛИН РОМАН ИЛДАРОВИЧ</t>
  </si>
  <si>
    <t>ИП ЛУНДОВСКАЯ АННА ВИКТОРОВНА</t>
  </si>
  <si>
    <t>ИП ШИРЯЕВ МАКСИМ ОЛЕГОВИЧ</t>
  </si>
  <si>
    <t>ИП БУГРЯКОВ НИКОЛАЙ ВЯЧЕСЛАВОВИЧ</t>
  </si>
  <si>
    <t>ИП САГИТОВА ГУЗЕЛЬ АМИРОВНА</t>
  </si>
  <si>
    <t>ИП БАЙНАЗАРОВ РАМИЛЬ РАХИМЬЯНОВИЧ</t>
  </si>
  <si>
    <t>ИП ЦЫГАНОВА МАРИНА АЛЕКСАНДРОВНА</t>
  </si>
  <si>
    <t>ИП КАСЬЯНОВА ИННА ЮРЬЕВНА</t>
  </si>
  <si>
    <t>ООО ПОИСК</t>
  </si>
  <si>
    <t>453103, РОССИЯ, РЕСПУБЛИКА БАШКОРТОСТАН, Г.О. ГОРОД СТЕРЛИТАМАК, Г СТЕРЛИТАМАК, УЛ ЭЛЕВАТОРНАЯ, ВЛД. 39Б</t>
  </si>
  <si>
    <t>ООО МС МОТОРС ЮГ</t>
  </si>
  <si>
    <t>453103, РЕСПУБЛИКА БАШКОРТОСТАН, Г СТЕРЛИТАМАК, УЛ ЭЛЕВАТОРНАЯ, ЗД. 39</t>
  </si>
  <si>
    <t>ООО АВТОДЕТАЛЬ</t>
  </si>
  <si>
    <t>453104, РЕСПУБЛИКА БАШКОРТОСТАН, Г СТЕРЛИТАМАК, УЛ ПРОФСОЮЗНАЯ, Д.17Б</t>
  </si>
  <si>
    <t>ООО УРАЛ-МОТОРС</t>
  </si>
  <si>
    <t>ООО ДЕТАЛИ МАШИН</t>
  </si>
  <si>
    <t>453102, РЕСПУБЛИКА БАШКОРТОСТАН, Г СТЕРЛИТАМАК, УЛ ВОИНОВ-ИНТЕРНАЦИОНАЛИСТОВ, ВЛД. 4</t>
  </si>
  <si>
    <t>ИП СУХАНОВ АНТОН ЕВГЕНЬЕВИЧ</t>
  </si>
  <si>
    <t>ИП КАМУЧЕВА ИРИНА АЛЕКСАНДРОВНА</t>
  </si>
  <si>
    <t>ИП АХМЕТШИН РИНАТ АБУЗАРОВИЧ</t>
  </si>
  <si>
    <t>ИП ШАРИПОВ ИЛЬДАР ДИЛЬБАРОВИЧ</t>
  </si>
  <si>
    <t>ИП ГОРШКОВА ОЛЬГА НИКОЛАЕВНА</t>
  </si>
  <si>
    <t>ООО МС МОТОРС ЗУБОВО</t>
  </si>
  <si>
    <t>450522, РЕСПУБЛИКА БАШКОРТОСТАН, Р-Н УФИМСКИЙ, С ЗУБОВО, УЛ ЭЛЕКТРОЗАВОДСКАЯ, ЗД. 18/1, ОФИС 1</t>
  </si>
  <si>
    <t>ООО ТК ИРБИС-РБ</t>
  </si>
  <si>
    <t>450520, РОССИЯ, РЕСПУБЛИКА БАШКОРТОСТАН, М.Р-Н УФИМСКИЙ, С ЗУБОВО, С.П. ЗУБОВСКИЙ СЕЛЬСОВЕТ, УЛ ЭЛЕКТРОЗАВОДСКАЯ, ЗД. 6/4, ПОМЕЩ. 2</t>
  </si>
  <si>
    <t>ООО ПРОФАВТО</t>
  </si>
  <si>
    <t>450522, РОССИЯ, РЕСПУБЛИКА БАШКОРТОСТАН, М.Р-Н УФИМСКИЙ, С ЗУБОВО, С.П. ЗУБОВСКИЙ СЕЛЬСОВЕТ, УЛ ПОЛЕВАЯ, Д. 35/1</t>
  </si>
  <si>
    <t>ООО АДЕО ПРО</t>
  </si>
  <si>
    <t>450511, РОССИЯ, РЕСПУБЛИКА БАШКОРТОСТАН, М.Р-Н УФИМСКИЙ, С МИХАЙЛОВКА, С.П. МИХАЙЛОВСКИЙ СЕЛЬСОВЕТ, УЛ НОВОУФИМСКАЯ, ЗД. 17/1</t>
  </si>
  <si>
    <t>ИП ИСКУЖИН НАИЛЬ ФАРИТОВИЧ</t>
  </si>
  <si>
    <t>ИП МУХТАРОВА НИНА АЛЕКСАНДРОВНА</t>
  </si>
  <si>
    <t>ИП ШАКИРОВ АЙДАР РАДМИРОВИЧ</t>
  </si>
  <si>
    <t>ИП ЯГАФАРОВ ДИНАР ХАНИФОВИЧ</t>
  </si>
  <si>
    <t>ИП НАУМОВА ТАТЬЯНА ГЕННАДЬЕВНА</t>
  </si>
  <si>
    <t>ИП ГАРАЕВА ИРИНА КАМИЛЕВНА</t>
  </si>
  <si>
    <t>ИП УШАНОВ ИДЕЛЬ УРАЛОВИЧ</t>
  </si>
  <si>
    <t>ИП АРТЕМЬЕВ СЕРГЕЙ НИКОЛАЕВИЧ</t>
  </si>
  <si>
    <t>ИП БРЮХАНОВ ЕВГЕНИЙ НИКОЛАЕВИЧ</t>
  </si>
  <si>
    <t>ГБУЗ РБ БЕЛОРЕЦКАЯ ЦРКБ</t>
  </si>
  <si>
    <t>453500, РЕСПУБЛИКА БАШКОРТОСТАН, Г БЕЛОРЕЦК, УЛ ЛЕНИНА, Д.65</t>
  </si>
  <si>
    <t>ИП ШУКТУЕВ ЯРОСЛАВ СЕРГЕЕВИЧ</t>
  </si>
  <si>
    <t>ИП БАДЬЯНОВ АНДРЕЙ СЕРГЕЕВИЧ</t>
  </si>
  <si>
    <t>ООО ТРАНСЗИП</t>
  </si>
  <si>
    <t>453512, РОССИЯ, РЕСПУБЛИКА БАШКОРТОСТАН, М.Р-Н БЕЛОРЕЦКИЙ, Г БЕЛОРЕЦК, Г.П. ГОРОД БЕЛОРЕЦК, УЛ ПУШКИНА, Д. 204</t>
  </si>
  <si>
    <t>ИП МУЗАФАРОВА ИРИНА ФИРАТОВНА</t>
  </si>
  <si>
    <t>ИП БАДЫКШАНОВ РУСТАМ ТАГИРОВИЧ</t>
  </si>
  <si>
    <t>ИП АСЕЕВ СЕРГЕЙ АЛЕКСАНДРОВИЧ</t>
  </si>
  <si>
    <t>ООО ТАРХАН</t>
  </si>
  <si>
    <t>453406, РЕСПУБЛИКА БАШКОРТОСТАН, Р-Н ДАВЛЕКАНОВСКИЙ, Г ДАВЛЕКАНОВО, УЛ СТЕПНАЯ, Д. 34, ОФИС 103</t>
  </si>
  <si>
    <t>ИП МИГУНОВ АРТЕМ АНАТОЛЬЕВИЧ</t>
  </si>
  <si>
    <t>ИП МИНИН АЛЕКСАНДР НИКОЛАЕВИЧ</t>
  </si>
  <si>
    <t>ИП ЕРМОЛАЕВА ТАТЬЯНА АЛЕКСАНДРОВНА</t>
  </si>
  <si>
    <t>ИП ХАМИДУЛЛИН РАМИЛЬ САФИУЛЛОВИЧ</t>
  </si>
  <si>
    <t>ИП АИТОВА ЛИЛИЯ РАМЗИЛОВНА</t>
  </si>
  <si>
    <t>ООО ХОЗМАСТЕР</t>
  </si>
  <si>
    <t>453215, РЕСПУБЛИКА БАШКОРТОСТАН, Р-Н ИШИМБАЙСКИЙ, Г ИШИМБАЙ, УЛ БУЛЬВАРНАЯ, ВЛД 43, ОФИС 1</t>
  </si>
  <si>
    <t>ИП ЛАТЫПОВА ДЖАМИЛЯ РАФКАТОВНА</t>
  </si>
  <si>
    <t>ИП ХАМИДУЛЛИНА НАТАЛЬЯ БОРИСОВНА</t>
  </si>
  <si>
    <t>ИП МАКСИМОВ МИХАИЛ ЮРЬЕВИЧ</t>
  </si>
  <si>
    <t>ИП ВОРОНЦОВА ВЕРА НИКОЛАЕВНА</t>
  </si>
  <si>
    <t>ИП ВОРОНЦОВА ЕЛЕНА ЮРЬЕВНА</t>
  </si>
  <si>
    <t>ИП КЛОКОВА НАТАЛЬЯ ВИКТОРОВНА</t>
  </si>
  <si>
    <t>ИП ТУЖИБАЕВ АРТЕМ АХТЯМОВИЧ</t>
  </si>
  <si>
    <t>ИП КОЗЛОВ НИКОЛАЙ ПЕТРОВИЧ</t>
  </si>
  <si>
    <t>ИП РАХМАТУЛЛИН ФИЛЮС ФАРИТОВИЧ</t>
  </si>
  <si>
    <t>ИП ИМАМОВА ИЛФИРА БИЛАЛОВНА</t>
  </si>
  <si>
    <t>ИП КАДЫРОВ ИЛЬГИЗ ГАЯЗОВИЧ</t>
  </si>
  <si>
    <t>ООО КАМАСПЕЦТРАНС+</t>
  </si>
  <si>
    <t>452680, РЕСПУБЛИКА БАШКОРТОСТАН, Г НЕФТЕКАМСК, УЛ МАГИСТРАЛЬНАЯ, Д.17, К.Д</t>
  </si>
  <si>
    <t>ИП ЧУВЫРОВ ДМИТРИЙ ВАЛЕРЬЕВИЧ</t>
  </si>
  <si>
    <t>ИП ЗАИРОВА РАЗИНА ТАГИРОВНА</t>
  </si>
  <si>
    <t>ООО АВТОВЕРСИЯ</t>
  </si>
  <si>
    <t>452680, РЕСПУБЛИКА БАШКОРТОСТАН, Г НЕФТЕКАМСК, УЛ АВТОЗАВОДСКАЯ, Д. 19</t>
  </si>
  <si>
    <t>ООО ДИЗЕЛЬ-АВТО</t>
  </si>
  <si>
    <t>452606, РЕСПУБЛИКА БАШКОРТОСТАН, Г ОКТЯБРЬСКИЙ, УЛ СЕВЕРНАЯ, ЗД. 38</t>
  </si>
  <si>
    <t>ООО МЕДСЕРВИС</t>
  </si>
  <si>
    <t>453266, РЕСПУБЛИКА БАШКОРТОСТАН, Г САЛАВАТ, УЛ ОКТЯБРЬСКАЯ, Д. 35</t>
  </si>
  <si>
    <t>ИП ЗАМЕСИНА МАРИЯ АЛЕКСАНДРОВНА</t>
  </si>
  <si>
    <t>ИП ГРЕБЕНЧУК ПАВЕЛ ВАЛЕРЬЕВИЧ</t>
  </si>
  <si>
    <t>ООО АВТОСЕРВИС ТРАНЗИТ</t>
  </si>
  <si>
    <t>453838, РЕСПУБЛИКА БАШКОРТОСТАН, Г СИБАЙ, Ш ИНДУСТРИАЛЬНОЕ, Д. 3В</t>
  </si>
  <si>
    <t>ИП ШАЙМАРДАНОВА ТАТЬЯНА НИКОЛАЕВНА</t>
  </si>
  <si>
    <t>ИП ПОНАМАРЁВ ЕВГЕНИЙ МИХАИЛОВИЧ</t>
  </si>
  <si>
    <t>ИП ПЕРМИНОВ АНДРЕЙ АНАТОЛЬЕВИЧ</t>
  </si>
  <si>
    <t>ИП КОРОТКОВА ЕЛЕНА АНАТОЛЬЕВНА</t>
  </si>
  <si>
    <t>ООО ТАСКО-ТРЕЙД</t>
  </si>
  <si>
    <t>453118, РЕСПУБЛИКА БАШКОРТОСТАН, Г СТЕРЛИТАМАК, УЛ ШАЙМУРАТОВА, Д. 12</t>
  </si>
  <si>
    <t>ИП ТИМЕРБАЕВ ИРИК НАДЫРОВИЧ</t>
  </si>
  <si>
    <t>ИП ТЕЛЕГОВ ДМИТРИЙ АЛЕКСЕЕВИЧ</t>
  </si>
  <si>
    <t>ИП ВОРОНИН МИХАИЛ АЛЕКСЕЕВИЧ</t>
  </si>
  <si>
    <t>ИП УТЯКАЕВ ИЛЬНУР ИЛЬДУСОВИЧ</t>
  </si>
  <si>
    <t>ИП ТУХВАТУЛЛИНА РЕЗЕДА МУСАБИРОВНА</t>
  </si>
  <si>
    <t>ИП ЕГОРОВА НАТАЛЬЯ ВЛАДИМИРОВНА</t>
  </si>
  <si>
    <t>ИП КОЗЛЕНКОВА ТАМАРА ПЕТРОВНА</t>
  </si>
  <si>
    <t>ООО АЙШОИЛ</t>
  </si>
  <si>
    <t>452793, РОССИЯ, РЕСПУБЛИКА БАШКОРТОСТАН, М.Р-Н ТУЙМАЗИНСКИЙ, С БИШКУРАЕВО, С.П. БИШКУРАЕВСКИЙ СЕЛЬСОВЕТ, УЛ НАГОРНАЯ, Д. 20</t>
  </si>
  <si>
    <t>ООО АРС МОТОРС</t>
  </si>
  <si>
    <t>452757, РЕСПУБЛИКА БАШКОРТОСТАН, Р-Н ТУЙМАЗИНСКИЙ, Г ТУЙМАЗЫ, УЛ ГОРЬКОГО, ЗД. 42</t>
  </si>
  <si>
    <t>ООО АЛЬФА-СЕРВИС ВОСТОК</t>
  </si>
  <si>
    <t>450522, РОССИЯ, РЕСПУБЛИКА БАШКОРТОСТАН, М.Р-Н УФИМСКИЙ, С ЗУБОВО, С.П. ЗУБОВСКИЙ СЕЛЬСОВЕТ, УЛ ЭЛЕКТРОЗАВОДСКАЯ, ЗД. 18/2, ОФИС 64</t>
  </si>
  <si>
    <t>ООО САЗ</t>
  </si>
  <si>
    <t>450511, РОССИЯ, РЕСПУБЛИКА БАШКОРТОСТАН, М.Р-Н УФИМСКИЙ, С МИХАЙЛОВКА, С.П. МИХАЙЛОВСКИЙ СЕЛЬСОВЕТ, УЛ СТРОЙУЧАСТОК, ЗД. 28</t>
  </si>
  <si>
    <t>ИП ЖДАНОВ ВИТАЛИЙ ВИКТОРОВИЧ</t>
  </si>
  <si>
    <t>ИП КРУГЛЯКОВА ВЕНЕРА КУТЛАГИЛЬДОВНА</t>
  </si>
  <si>
    <t>ИП ШАКИРОВА ГУЛЬНАРА ВЕНЕРОВНА</t>
  </si>
  <si>
    <t>ИП ХАМИДУЛЛИН ФЛИКС ЗИННАТОВИЧ</t>
  </si>
  <si>
    <t>ИП УЛЯМАЕВ РАДИК РАИФОВИЧ</t>
  </si>
  <si>
    <t>ИП Гилязов Дамир Наилович</t>
  </si>
  <si>
    <t>ИП КАТЕРАНОВ ЕВГЕНИЙ БОРИСОВИЧ</t>
  </si>
  <si>
    <t>ИП ВАЛЕТДИНОВ РАДМИР РАЗИТОВИЧ</t>
  </si>
  <si>
    <t>ИП НАУМОВА НАТАЛЬЯ ЕВГЕНИЕВНА</t>
  </si>
  <si>
    <t>ИП ЛИМОНОВ АЛЕКСАНДР ВАСИЛЬЕВИЧ</t>
  </si>
  <si>
    <t>ИП ВАРЛАМОВ АЛЕКСАНДР ЯРОСЛАВОВИЧ</t>
  </si>
  <si>
    <t>ИП ШАРАБАРОВА ЛЮБОВЬ ДМИТРИЕВНА</t>
  </si>
  <si>
    <t>ИП СЮЛЬДИН МИХАИЛ ВИКТОРОВИЧ</t>
  </si>
  <si>
    <t>ИП МОСКВИЧЕВА ТАТЬЯНА ВАСИЛЬЕВНА</t>
  </si>
  <si>
    <t>ИП АНИХОЯЗОВ РАЛИФ ФАТИХОВИЧ</t>
  </si>
  <si>
    <t>ИП АНДРИЯНОВ ВЯЧЕСЛАВ АЛЕКСЕЕВИЧ</t>
  </si>
  <si>
    <t>ИП КУЛИКОВ ОЛЕГ НИКОЛАЕВИЧ</t>
  </si>
  <si>
    <t>ИП ШАЛЬКОВА РАСИМА ФЛУРОВНА</t>
  </si>
  <si>
    <t>ИП Арямнова Рима Миннуловна</t>
  </si>
  <si>
    <t>ИП МИСЮЛЯ ВЛАДИМИР ВЛАДИМИРОВИЧ</t>
  </si>
  <si>
    <t>ИП Хомутов Валерий Валерьевич</t>
  </si>
  <si>
    <t>ИП РАХИМЬЯНОВ РАВИЛЬ ФАНИЛЕВИЧ</t>
  </si>
  <si>
    <t>ИП РАХИМЬЯНОВА РАСИМА МИННУЛОВНА</t>
  </si>
  <si>
    <t>ИП САТТАРОВ ШАВКАТ ЗАМИРОВИЧ</t>
  </si>
  <si>
    <t>ИП ВАЛИЕВ РУСЛАН ИЛЬДУСОВИЧ</t>
  </si>
  <si>
    <t>ИП МАВЛЮТШИН РУСЛАН РАДИКОВИЧ</t>
  </si>
  <si>
    <t>ИП ОКОЛЬЗИН АНТОН ДМИТРИЕВИЧ</t>
  </si>
  <si>
    <t>ИП ХАЖИЕВ АЙРАТ ВЛАДИКОВИЧ</t>
  </si>
  <si>
    <t>ИП АХМЕТЗЯНОВ РИНАТ ФАРИТОВИЧ</t>
  </si>
  <si>
    <t>ИП РАХМАТУЛЛИН УРАЛ ФАРИТОВИЧ</t>
  </si>
  <si>
    <t>ИП ШАВЫРОВ АЛЕКСЕЙ НИКОЛАЕВИЧ</t>
  </si>
  <si>
    <t>ИП МАВЛИЕВ ИЛЬДАР РАФИЛЕВИЧ</t>
  </si>
  <si>
    <t>ИП ГОЛОВНИН ИЛЬЯ СЕРГЕЕВИЧ</t>
  </si>
  <si>
    <t>ИП КАДЫРОВА АЛЬБИНА ГАЯЗОВНА</t>
  </si>
  <si>
    <t>ООО ТСЦ АВТОМОБИЛЬНЫЙ РЫНОК</t>
  </si>
  <si>
    <t>452680, РЕСПУБЛИКА БАШКОРТОСТАН, Г НЕФТЕКАМСК, УЛ ЯНАУЛЬСКАЯ, Д. 1А, ОФИС 2</t>
  </si>
  <si>
    <t>ИП ХАЛИМОВ ДИНАР ИЛЬФАТОВИЧ</t>
  </si>
  <si>
    <t>ИП ТИМИРГАЗИН АРТУР РИНАТОВИЧ</t>
  </si>
  <si>
    <t>ИП ИБРАГИМОВ ФАНИЛЬ АХМЕТОВИЧ</t>
  </si>
  <si>
    <t>ИП ОРЛОВА ЮЛИЯ ВЛАДИМИРОВНА</t>
  </si>
  <si>
    <t>ИП ПОПОВИЧ МАКСИМ АЛЕКСАНДРОВИЧ</t>
  </si>
  <si>
    <t>ИП ЛУНДОВСКИЙ ДМИТРИЙ ЮРЬЕВИЧ</t>
  </si>
  <si>
    <t>ИП СИЛАНТЬЕВА ИРИНА ПЕТРОВНА</t>
  </si>
  <si>
    <t>ИП ГОРБУНОВ АЛЕКСАНДР СЕРГЕЕВИЧ</t>
  </si>
  <si>
    <t>ИП КИЛЬМУХАМЕТОВА ГУЗЕЛЬ РАИЛОВНА</t>
  </si>
  <si>
    <t>ИП ГАБДУЛЛИН ТИМУР АЛЬФИРОВИЧ</t>
  </si>
  <si>
    <t>ИП ШАРИПОВА ЕЛЕНА СЕРГЕЕВНА</t>
  </si>
  <si>
    <t>ИП НАБИУЛЛИНА РАЗИНА ИРЕКОВНА</t>
  </si>
  <si>
    <t>ИП ТРУХАНОВ ВЛАДИМИР ВАСИЛЬЕВИЧ</t>
  </si>
  <si>
    <t>ИП ПОНАМАРЕВА ЛЮДМИЛА АНАТОЛЬЕВНА</t>
  </si>
  <si>
    <t>ИП ГАЗИЗОВА АННА ОЛЕГОВНА</t>
  </si>
  <si>
    <t>ООО ТАСКО-МОТОРС</t>
  </si>
  <si>
    <t>453118, РЕСПУБЛИКА БАШКОРТОСТАН, Г СТЕРЛИТАМАК, УЛ ШАЙМУРАТОВА, Д.12</t>
  </si>
  <si>
    <t>ООО АВТОЦЕНТР КЕРГ СТЕРЛИТАМАК</t>
  </si>
  <si>
    <t>453104, РЕСПУБЛИКА БАШКОРТОСТАН, Г СТЕРЛИТАМАК, УЛ ПРОФСОЮЗНАЯ, Д. 1, К. В</t>
  </si>
  <si>
    <t>ИП БОРИСЕНКО ИРИНА ВИКТОРОВНА</t>
  </si>
  <si>
    <t>ИП ШАЙНУРОВА ГУЛЬГЕНА САИТГАРЕЕВНА</t>
  </si>
  <si>
    <t>ИП САВИНА НАТАЛЬЯ СТЕПАНОВНА</t>
  </si>
  <si>
    <t>ИП САВИНА ЛАРИСА ВИКТОРОВНА</t>
  </si>
  <si>
    <t>ИП ИШМУРАТОВ ОЛЕГ РАДИКОВИЧ</t>
  </si>
  <si>
    <t>ИП ПОПОВА ЕКАТЕРИНА ГЕННАДЬЕВНА</t>
  </si>
  <si>
    <t>ИП ФИЛИМОНОВ ВИКТОР ВЛАДИМИРОВИЧ</t>
  </si>
  <si>
    <t>ИП АКБАШЕВА ЗИНФИРА ХАЗИНУРОВНА</t>
  </si>
  <si>
    <t>ИП ТЕРЕГУЛОВ РАСИМ РАШИТОВИЧ</t>
  </si>
  <si>
    <t>ИП КОЗЛЕНКОВ ДМИТРИЙ ВЛАДИМИРОВИЧ</t>
  </si>
  <si>
    <t>ИП ШАРИПОВА ОКСАНА ВАЛЕРЬЕВНА</t>
  </si>
  <si>
    <t>ИП КАШАПОВ ИЛЬГИЗ ФАНУЗОВИЧ</t>
  </si>
  <si>
    <t>ИП ТУХВАТУЛЛИН ТИМУР РИНАТОВИЧ</t>
  </si>
  <si>
    <t>ИП ХАННАНОВ РУСТАМ ГИЛМАНОВИЧ</t>
  </si>
  <si>
    <t>ИП ШАРИПОВ АЗАМАТ УРАЛОВИЧ</t>
  </si>
  <si>
    <t>ИП БАЙКОВ АЛЬБЕРТ ФЛОРИДОВИЧ</t>
  </si>
  <si>
    <t>ИП АФАНАСЬЕВА ЕЛЕНА АЛЕКСАНДРОВНА</t>
  </si>
  <si>
    <t>ИП ГАЙСИН АРТУР ИЛЬГАМОВИЧ</t>
  </si>
  <si>
    <t>ИП ХУСНИМАРДАНОВ НАИЛЬ НАСИМОВИЧ</t>
  </si>
  <si>
    <t>ООО АРМАДА</t>
  </si>
  <si>
    <t>450112, РЕСПУБЛИКА БАШКОРТОСТАН, Г УФА, УЛ ЦВЕТОЧНАЯ, Д. 5, К. 1</t>
  </si>
  <si>
    <t>ИП АХМАДУЛЛИН ИЛЬМИР ИРЕКОВИЧ</t>
  </si>
  <si>
    <t>ИП ОРЛОВ ВАЛЕРИЙ АЛЕКСАНДРОВИЧ</t>
  </si>
  <si>
    <t>ИП ПРОХОРОВА ЕЛЕНА ЛЕОНИДОВНА</t>
  </si>
  <si>
    <t>ИП ВАЛЕЕВ ЭДУАРД РАШИТОВИЧ</t>
  </si>
  <si>
    <t>ИП ГРИШАЕВ ДМИТРИЙ АЛЕКСАНДРОВИЧ</t>
  </si>
  <si>
    <t>ООО ЦЕНТР100</t>
  </si>
  <si>
    <t>450071, РЕСПУБЛИКА БАШКОРТОСТАН, Г.О. ГОРОД УФА, Г УФА, ПР-КТ САЛАВАТА ЮЛАЕВА, Д. 89, ПОМЕЩ. 421 А</t>
  </si>
  <si>
    <t>ООО МАРКЕТСТРОЙ</t>
  </si>
  <si>
    <t>450050, РОССИЯ, РЕСПУБЛИКА БАШКОРТОСТАН, Г.О. ГОРОД УФА, Г УФА, УЛ УХТОМСКОГО, Д. 24, ПОМЕЩ. 12</t>
  </si>
  <si>
    <t>ОБЩЕСТВО С ОГРАНИЧЕННОЙ ОТВЕТСТВЕННОСТЬЮ УРАЛО-СИБИРСКАЯ АККУМУЛЯТОРНАЯ КОМПАНИЯ</t>
  </si>
  <si>
    <t>450038, РЕСПУБЛИКА БАШКОРТОСТАН, Г УФА, УЛ ПЕКИНСКАЯ, Д.22</t>
  </si>
  <si>
    <t>ООО АВТОПРЕМЬЕР-М</t>
  </si>
  <si>
    <t>450081, РЕСПУБЛИКА БАШКОРТОСТАН, Г УФА, УЛ ТРАМВАЙНАЯ, Д. 1, К. 4</t>
  </si>
  <si>
    <t>ООО УРАЛСТРОЙРЕСУРС</t>
  </si>
  <si>
    <t>450075, РЕСПУБЛИКА БАШКОРТОСТАН, Г УФА, УЛ РИХАРДА ЗОРГЕ, Д.70, К.2, 10</t>
  </si>
  <si>
    <t>ИП ЛАЗАРЕВА ЛАРИСА ГЕННАДИЕВНА</t>
  </si>
  <si>
    <t>ООО ЛУИДОРГАРАНТИЯ-УФА</t>
  </si>
  <si>
    <t>450112, РЕСПУБЛИКА БАШКОРТОСТАН, Г УФА, УЛ ИНТЕРНАЦИОНАЛЬНАЯ, Д.20</t>
  </si>
  <si>
    <t>ООО АВТОМИР</t>
  </si>
  <si>
    <t>450030, РЕСПУБЛИКА БАШКОРТОСТАН, Г УФА, УЛ ФУРМАНОВА, Д. 85</t>
  </si>
  <si>
    <t>ИП КАЗАКОВА ВИКТОРИЯ ИЛЬШАТОВНА</t>
  </si>
  <si>
    <t>ИП ГАРЕЕВА ИЛЬДАНА САЛАВАТОВНА</t>
  </si>
  <si>
    <t>ИП ДМИТРИЕВ СЕРГЕЙ ПЕТРОВИЧ</t>
  </si>
  <si>
    <t>ООО ГРС-ТЕХНО</t>
  </si>
  <si>
    <t>450027, РОССИЯ, РЕСПУБЛИКА БАШКОРТОСТАН, Г.О. ГОРОД УФА, Г УФА, УЛ ПЕТЕРГОФСКАЯ, Д. 6</t>
  </si>
  <si>
    <t>ООО ИНДУСТРИЯ СМ</t>
  </si>
  <si>
    <t>450039, РОССИЯ, РЕСПУБЛИКА БАШКОРТОСТАН, Г.О. ГОРОД УФА, Г УФА, УЛ ФЕРИНА, Д. 10, КВ. 126</t>
  </si>
  <si>
    <t>ООО ДЕМАШ</t>
  </si>
  <si>
    <t>Импортер, Розница, УОТ</t>
  </si>
  <si>
    <t>450028, РОССИЯ, РЕСПУБЛИКА БАШКОРТОСТАН, Г.О. ГОРОД УФА, Г УФА, УЛ ПРОИЗВОДСТВЕННАЯ, Д. 11, ПОМЕЩ. 17</t>
  </si>
  <si>
    <t>ООО ПРОМЫШЛЕННАЯ ГРУППА ОЙЛ-МАРКЕТ</t>
  </si>
  <si>
    <t>Оптовик, Розница, УОТ, Производитель</t>
  </si>
  <si>
    <t>РОССИЯ, РЕСПУБЛИКА БАШКОРТОСТАН, Г.О. ГОРОД УФА, Г УФА, УЛ ИНДУСТРИАЛЬНОЕ ШОССЕ, Д. 112/1</t>
  </si>
  <si>
    <t>ФГБОУ ВО БГМУ МИНЗДРАВА РОССИИ</t>
  </si>
  <si>
    <t>450008, РЕСПУБЛИКА БАШКОРТОСТАН, Г УФА, УЛ ЛЕНИНА, Д. 3</t>
  </si>
  <si>
    <t>ИП МАЛОМОЖНОВ ДЕНИС АЛЕКСАНДРОВИЧ</t>
  </si>
  <si>
    <t>АО ТОСКО</t>
  </si>
  <si>
    <t>450027, РЕСПУБЛИКА БАШКОРТОСТАН, Г УФА, УЛ ИНДУСТРИАЛЬНОЕ ШОССЕ, Д. 46</t>
  </si>
  <si>
    <t>ИП АЛЁХИН ГЕОРГИЙ АЛЕКСАНДРОВИЧ</t>
  </si>
  <si>
    <t>ИП КАРИПОВ АЙДАР АЛЬТАФОВИЧ</t>
  </si>
  <si>
    <t>ИП МУКМИНОВ ДАУТ БЕКТИМИРОВИЧ</t>
  </si>
  <si>
    <t>ООО АВТОДВОР+</t>
  </si>
  <si>
    <t>450007, РЕСПУБЛИКА БАШКОРТОСТАН, Г УФА, ПР-Д БАЗИСНЫЙ, Д. 6, ОФИС 204</t>
  </si>
  <si>
    <t>ООО АЛЬКОР</t>
  </si>
  <si>
    <t>450074, РОССИЯ, РЕСПУБЛИКА БАШКОРТОСТАН, Г.О. ГОРОД УФА, Г УФА, УЛ СОФЬИ ПЕРОВСКОЙ, Д. 52/2, ОФИС 720</t>
  </si>
  <si>
    <t>ООО АКБ</t>
  </si>
  <si>
    <t>450074, РЕСПУБЛИКА БАШКОРТОСТАН, Г.О. ГОРОД УФА, Г УФА, УЛ ЗАЙНАБ БИИШЕВОЙ, Д. 11/1, ОФИС 1, ПОМЕЩ. 1</t>
  </si>
  <si>
    <t>ООО ЛИДЕР</t>
  </si>
  <si>
    <t>450022, РОССИЯ, РЕСПУБЛИКА БАШКОРТОСТАН, Г.О. ГОРОД УФА, Г УФА, УЛ ПОДПОЛКОВНИКА НЕДОШИВИНА, Д. 1/1, ЭТАЖ 1, ОФИС 1</t>
  </si>
  <si>
    <t>ООО УФАТРЕЙД</t>
  </si>
  <si>
    <t>450074, РОССИЯ, РЕСПУБЛИКА БАШКОРТОСТАН, Г.О. ГОРОД УФА, Г УФА, УЛ СОФЬИ ПЕРОВСКОЙ, Д. 52/2, ПОМЕЩ. 707/1</t>
  </si>
  <si>
    <t>ООО ТЕРМИНАЛ</t>
  </si>
  <si>
    <t>450076, РЕСПУБЛИКА БАШКОРТОСТАН, Г УФА, УЛ АКСАКОВА, Д.97</t>
  </si>
  <si>
    <t>ООО ЛЕССНАБ</t>
  </si>
  <si>
    <t>450076, РЕСПУБЛИКА БАШКОРТОСТАН, Г УФА, УЛ КРАСИНА, Д.15</t>
  </si>
  <si>
    <t>ИП ГРОЗНИХИНА ЕКАТЕРИНА ЮРЬЕВНА</t>
  </si>
  <si>
    <t>ИП МУСАЕВ АЛЬБЕРТ РАФАИЛОВИЧ</t>
  </si>
  <si>
    <t>ООО ОВЕН-УФА</t>
  </si>
  <si>
    <t>450071, РЕСПУБЛИКА БАШКОРТОСТАН, Г.О. ГОРОД УФА, Г УФА, УЛ РЯЗАНСКАЯ, Д. 14, ОФИС 2</t>
  </si>
  <si>
    <t>ООО РАССВЕТ</t>
  </si>
  <si>
    <t>450007, РОССИЯ, РЕСПУБЛИКА БАШКОРТОСТАН, Г.О. ГОРОД УФА, Г УФА, УЛ ЗАЩИТНИКОВ ОТЕЧЕСТВА, Д. 6, ПОМЕЩ. 6</t>
  </si>
  <si>
    <t>ИП КОЛОДКО АНТОН АНДРЕЕВИЧ</t>
  </si>
  <si>
    <t>ООО ПРОФИ ГРУПП</t>
  </si>
  <si>
    <t>450059, РЕСПУБЛИКА БАШКОРТОСТАН, Г УФА, УЛ МАЛАЯ ГРАЖДАНСКАЯ, Д.35А</t>
  </si>
  <si>
    <t>ООО АКРОС РБ</t>
  </si>
  <si>
    <t>450056, РЕСПУБЛИКА БАШКОРТОСТАН, Р-Н УФИМСКИЙ, УЛ АГРАРНАЯ (СТАНЦИЯ УРШАК ТЕР.), СТР. 5</t>
  </si>
  <si>
    <t>ООО ДЕЛЬТА-Е</t>
  </si>
  <si>
    <t>450112, РОССИЯ, РЕСПУБЛИКА БАШКОРТОСТАН, Г.О. ГОРОД УФА, Г УФА, УЛ ЦВЕТОЧНАЯ, Д. 7/4, ПОМЕЩ. 3</t>
  </si>
  <si>
    <t>ИП МАЛОМОЖНОВ НИКОЛАЙ ДЕНИСОВИЧ</t>
  </si>
  <si>
    <t>ООО АКРОНД УФА</t>
  </si>
  <si>
    <t>450071, РЕСПУБЛИКА БАШКОРТОСТАН, Г УФА, УЛ МЕНДЕЛЕЕВА, Д. 229, ОФИС 2</t>
  </si>
  <si>
    <t>ООО УСПЕХ</t>
  </si>
  <si>
    <t>450900, РЕСПУБЛИКА БАШКОРТОСТАН, Г УФА, С НАГАЕВО, УЛ МСТИСЛАВА КУЛАЕВА, Д. 16</t>
  </si>
  <si>
    <t>ИП МЕЛЬНИКОВ АЛЕКСЕЙ ЮРЬЕВИЧ</t>
  </si>
  <si>
    <t>ООО ТПО</t>
  </si>
  <si>
    <t>450071, РЕСПУБЛИКА БАШКОРТОСТАН, Г.О. ГОРОД УФА, Г УФА, УЛ МЕНДЕЛЕЕВА, Д. 197/2, ОФИС 9</t>
  </si>
  <si>
    <t>ИП СИБАГАТУЛЛИН РУСТАМ РАСИЛЕВИЧ</t>
  </si>
  <si>
    <t>ИП САДЫКОВ РАМИЛЬ РИНАТОВИЧ</t>
  </si>
  <si>
    <t>ООО АВТОСНАБ</t>
  </si>
  <si>
    <t>450065, РЕСПУБЛИКА БАШКОРТОСТАН, Г УФА, УЛ БУРЕВЕСТНИКА, Д.6</t>
  </si>
  <si>
    <t>ИП ЛОБАНОВ ДМИТРИЙ АНАТОЛЬЕВИЧ</t>
  </si>
  <si>
    <t>ИП ВАЛИАХМЕТОВА АЛЬФИЯ ЗЯВИТОВНА</t>
  </si>
  <si>
    <t>ООО АВТОКОМПЛЕКС 102</t>
  </si>
  <si>
    <t>450065, РЕСПУБЛИКА БАШКОРТОСТАН, Г УФА, УЛ БОРИСОГЛЕБСКАЯ, Д. 7, КВ. 86</t>
  </si>
  <si>
    <t>ИП ЮМАГУЗИН АРТУР РИМОВИЧ</t>
  </si>
  <si>
    <t>ИП МУЛЛАЯНОВ МАРАТ РАФАИЛЕВИЧ</t>
  </si>
  <si>
    <t>ИП КОЛОСОВ АЛЕКСАНДР ВЯЧЕСЛАВОВИЧ</t>
  </si>
  <si>
    <t>ИП МОКРОУСОВ АНДРЕЙ АЛЕКСЕЕВИЧ</t>
  </si>
  <si>
    <t>ИП РАДЗЮК ВЛАДИМИР ВЛАДИМИРОВИЧ</t>
  </si>
  <si>
    <t>ООО УК ЭРА-АВТО</t>
  </si>
  <si>
    <t>450044, РЕСПУБЛИКА БАШКОРТОСТАН, Г УФА, УЛ ПЕРВОМАЙСКАЯ, Д. 24, ОФИС 1</t>
  </si>
  <si>
    <t>ООО ТЕХКОМПЛЕКТ</t>
  </si>
  <si>
    <t>450081, РОССИЯ, РЕСПУБЛИКА БАШКОРТОСТАН, Г.О. ГОРОД УФА, Г УФА, УЛ АДМИРАЛА МАКАРОВА, Д. 18/2, ОФИС 10</t>
  </si>
  <si>
    <t>ООО ТГ</t>
  </si>
  <si>
    <t>450061, РОССИЯ, РЕСПУБЛИКА БАШКОРТОСТАН, Г.О. ГОРОД УФА, Г УФА, УЛ 40 ЛЕТ ОКТЯБРЯ, Д. 7, К. 1, КВ. 71</t>
  </si>
  <si>
    <t>ИП ШАФИЕВА АЙГУЛЬ СУФИАРОВНА</t>
  </si>
  <si>
    <t>ИП ГИЛЯЗОВ АРТУР СУФИАРОВИЧ</t>
  </si>
  <si>
    <t>ИП ГИЛЯЗОВ СУФИАР МУХАМЕТЗАДОВИЧ</t>
  </si>
  <si>
    <t>ИП ШАЙХУТДИНОВ НАИЛЬ ИЛЬЯСОВИЧ</t>
  </si>
  <si>
    <t>АО УФАНЕТ</t>
  </si>
  <si>
    <t>450001, РЕСПУБЛИКА БАШКОРТОСТАН, Г УФА, ПР-КТ ОКТЯБРЯ, Д. 4/3</t>
  </si>
  <si>
    <t>ООО ТЕРРА</t>
  </si>
  <si>
    <t>450105, РОССИЯ, РЕСПУБЛИКА БАШКОРТОСТАН, Г.О. ГОРОД УФА, Г УФА, УЛ САМАРКАНДСКАЯ, Д. 1/2, ОФИС 3-04</t>
  </si>
  <si>
    <t>ИП КУРИЛЕНКО АНДРЕЙ АЛЕКСАНДРОВИЧ</t>
  </si>
  <si>
    <t>ИП ГАЛИУЛЛИН ДАНИС САЛАВАТОВИЧ</t>
  </si>
  <si>
    <t>ООО ЛИДЕРГРУЗ</t>
  </si>
  <si>
    <t>450078, РОССИЯ, РЕСПУБЛИКА БАШКОРТОСТАН, Г.О. ГОРОД УФА, Г УФА, УЛ КИРОВА, Д. 136, К. 1, ОФИС 4-07</t>
  </si>
  <si>
    <t>ООО СНАБКОМ</t>
  </si>
  <si>
    <t>450532, РОССИЯ, РЕСПУБЛИКА БАШКОРТОСТАН, М.Р-Н УФИМСКИЙ, Д НИКОЛАЕВКА, С.П. НИКОЛАЕВСКИЙ СЕЛЬСОВЕТ, УЛ СОВЕТСКАЯ, Д. 69, КВ. 1</t>
  </si>
  <si>
    <t>ООО АЛЬФА - ТРЕЙД</t>
  </si>
  <si>
    <t>450078, РЕСПУБЛИКА БАШКОРТОСТАН, Г УФА, ПР-КТ САЛАВАТА ЮЛАЕВА, Д. 24, ЭТАЖ 2, ОФИС 29</t>
  </si>
  <si>
    <t>ООО АТЛАС</t>
  </si>
  <si>
    <t>452328, РОССИЯ, РЕСПУБЛИКА БАШКОРТОСТАН, М.Р-Н ДЮРТЮЛИНСКИЙ, С ЧИШМА, С.П. ИСМАИЛОВСКИЙ СЕЛЬСОВЕТ, УЛ ЛЕНИНА, ЗД. 19</t>
  </si>
  <si>
    <t>ФГБУЗ МСЧ № 142 ФМБА РОССИИ</t>
  </si>
  <si>
    <t>453571, РЕСПУБЛИКА БАШКОРТОСТАН, Г.О. ЗАТО ГОРОД МЕЖГОРЬЕ, Г МЕЖГОРЬЕ, УЛ ОЛИМПИЙСКАЯ, ЗД. 16</t>
  </si>
  <si>
    <t>ИП ЗИННАТУЛЛИН РАДИК СУНИЯТОВИЧ</t>
  </si>
  <si>
    <t>ООО ЕРМАКУФА</t>
  </si>
  <si>
    <t>450074, РЕСПУБЛИКА БАШКОРТОСТАН, Г УФА, УЛ СОФЬИ ПЕРОВСКОЙ, Д. 52/2, ПОМЕЩ. 39</t>
  </si>
  <si>
    <t>ИП ПЕТРОВ СЕРГЕЙ АНАТОЛЬЕВИЧ</t>
  </si>
  <si>
    <t>ИП СИТДИКОВ ГЕРМАН РУСТЭМОВИЧ</t>
  </si>
  <si>
    <t>ООО ЛОГИСТИК ОЙЛ</t>
  </si>
  <si>
    <t>450024, РЕСПУБЛИКА БАШКОРТОСТАН, Г УФА, УЛ ГЕНЕРАЛА КУСИМОВА, Д. 15, КВ. 270</t>
  </si>
  <si>
    <t>ООО МАНЦЕНТРУФА</t>
  </si>
  <si>
    <t>450095, РЕСПУБЛИКА БАШКОРТОСТАН, Г УФА, УЛ ЦЕНТРАЛЬНАЯ, Д. 43</t>
  </si>
  <si>
    <t>ООО МИР МАШИН</t>
  </si>
  <si>
    <t>450095, РЕСПУБЛИКА БАШКОРТОСТАН, Г УФА, УЛ ЦЕНТРАЛЬНАЯ, Д. 43, ОФИС 204</t>
  </si>
  <si>
    <t>ООО СТРОЙКАПИТАЛ</t>
  </si>
  <si>
    <t>450001, РЕСПУБЛИКА БАШКОРТОСТАН, Г.О. ГОРОД УФА, Г УФА, УЛ КИРОВОГРАДСКАЯ, Д. 36/1А, ОФИС 2</t>
  </si>
  <si>
    <t>ООО ЦЗЧ</t>
  </si>
  <si>
    <t>450024, РЕСПУБЛИКА БАШКОРТОСТАН, Г.О. ГОРОД УФА, Г УФА, УЛ ДАГЕСТАНСКАЯ, Д. 11/1, ЭТАЖ 1, ПОМЕЩ. 18, 19, 20, 21, 22</t>
  </si>
  <si>
    <t>ООО ГРУЗОВИК РГА</t>
  </si>
  <si>
    <t>450519, РОССИЯ, РЕСПУБЛИКА БАШКОРТОСТАН, М.Р-Н УФИМСКИЙ, С МИЛОВКА, С.П. МИЛОВСКИЙ СЕЛЬСОВЕТ, УЛ РАЗДОЛЬНАЯ, Д. 8</t>
  </si>
  <si>
    <t>ООО ЭЗ НЕФТЕХИМ</t>
  </si>
  <si>
    <t>450063, РЕСПУБЛИКА БАШКОРТОСТАН, Г.О. ГОРОД УФА, Г УФА, УЛ ЗЕЛЕНАЯ РОЩА, Д. 8</t>
  </si>
  <si>
    <t>ИП КИСЛИЦЫН ИГОРЬ ВЛАДИМИРОВИЧ</t>
  </si>
  <si>
    <t>ООО ТОРГСЕРВИС 102</t>
  </si>
  <si>
    <t>450027, РЕСПУБЛИКА БАШКОРТОСТАН, Г УФА, УЛ ИНДУСТРИАЛЬНОЕ ШОССЕ, Д. 112/1</t>
  </si>
  <si>
    <t>ИП ВЫДРИНА ТАТЬЯНА ИВАНОВНА</t>
  </si>
  <si>
    <t>ООО ТОРГСЕРВИС 202</t>
  </si>
  <si>
    <t>450027, РЕСПУБЛИКА БАШКОРТОСТАН, Г УФА, УЛ ИНДУСТРИАЛЬНОЕ ШОССЕ, Д. 112/1, К. 4</t>
  </si>
  <si>
    <t>ООО АВТОЦЕНТР ОЙЛ-МАРКЕТ</t>
  </si>
  <si>
    <t>450027, РОССИЯ, РЕСПУБЛИКА БАШКОРТОСТАН, Г.О. ГОРОД УФА, Г УФА, УЛ ТРАМВАЙНАЯ, Д. 4А, ЭТАЖ 2, ОФИС 11</t>
  </si>
  <si>
    <t>ООО УРАН</t>
  </si>
  <si>
    <t>450061, РОССИЯ, РЕСПУБЛИКА БАШКОРТОСТАН, Г.О. ГОРОД УФА, Г УФА, УЛ ИНТЕРНАЦИОНАЛЬНАЯ, Д. 107, КВ. 37</t>
  </si>
  <si>
    <t>ООО АВТОВЕК</t>
  </si>
  <si>
    <t>450039, РОССИЯ, РЕСПУБЛИКА БАШКОРТОСТАН, Г.О. ГОРОД УФА, Г УФА, Б-Р ТУХВАТА ЯНАБИ, Д. 34, ОФИС 2</t>
  </si>
  <si>
    <t>ООО ВСЕДЛЯАВТО</t>
  </si>
  <si>
    <t>450112, РОССИЯ, РЕСПУБЛИКА БАШКОРТОСТАН, Г.О. ГОРОД УФА, Г УФА, УЛ ЦВЕТОЧНАЯ, Д. 7, К. 3, ПОМЕЩ. 5</t>
  </si>
  <si>
    <t>ООО Л-ТРАНС УФА</t>
  </si>
  <si>
    <t>450112, РЕСПУБЛИКА БАШКОРТОСТАН, Г.О. ГОРОД УФА, Г УФА, УЛ ИНТЕРНАЦИОНАЛЬНАЯ, Д. 20, ОФИС 403</t>
  </si>
  <si>
    <t>ИП БЛОХИН ЕВГЕНИЙ ЮРЬЕВИЧ</t>
  </si>
  <si>
    <t>ИП Гильчик Галина Борисовна</t>
  </si>
  <si>
    <t>ИП САФИН РОБЕРТ АЛЬБЕРТОВИЧ</t>
  </si>
  <si>
    <t>ИП ЕЛЕСИН ПАВЕЛ АЛЕКСАНДРОВИЧ</t>
  </si>
  <si>
    <t>Розница, УОТ, Производитель</t>
  </si>
  <si>
    <t>ИП САЛИХОВ РУСЛАН РИНАТОВИЧ</t>
  </si>
  <si>
    <t>ИП ЛИШМАНОВ СЕРГЕЙ ВЛАДИМИРОВИЧ</t>
  </si>
  <si>
    <t>ИП КОНСТАНТИНОВА ДАРЬЯ ДАМИРОВНА</t>
  </si>
  <si>
    <t>ООО АВТОЦЕНТР КЕРГ УФА</t>
  </si>
  <si>
    <t>450078, РЕСПУБЛИКА БАШКОРТОСТАН, Г УФА, ПР-КТ САЛАВАТА ЮЛАЕВА, Д. 32</t>
  </si>
  <si>
    <t>ООО ДИМ-АВТО</t>
  </si>
  <si>
    <t>450019, РОССИЯ, РЕСПУБЛИКА БАШКОРТОСТАН, Г.О. ГОРОД УФА, Г УФА, УЛ МАЛАЯ ПЕРЕВАЛОЧНАЯ, Д. 1/1</t>
  </si>
  <si>
    <t>ООО РИК</t>
  </si>
  <si>
    <t>450092, РЕСПУБЛИКА БАШКОРТОСТАН, Г УФА, УЛ РАБКОРОВ, Д. 22, К. 2, КВ. 63</t>
  </si>
  <si>
    <t>ООО ЦЕНТР КУЗОВНОГО РЕМОНТА-РУБЕЖНАЯ</t>
  </si>
  <si>
    <t>450511, РОССИЯ, РЕСПУБЛИКА БАШКОРТОСТАН, М.Р-Н УФИМСКИЙ, С МИХАЙЛОВКА, С.П. МИХАЙЛОВСКИЙ СЕЛЬСОВЕТ, УЛ СЛИВОВАЯ, Д. 10, КВ. 104</t>
  </si>
  <si>
    <t>ООО РИАПРОМ</t>
  </si>
  <si>
    <t>450083, РЕСПУБЛИКА БАШКОРТОСТАН, Г УФА, УЛ РИХАРДА ЗОРГЕ, Д. 35, ЭТАЖ ЦОКОЛЬ</t>
  </si>
  <si>
    <t>ООО ТД АГИДЕЛЬ АВТО</t>
  </si>
  <si>
    <t>450065, РОССИЯ, РЕСПУБЛИКА БАШКОРТОСТАН, Г.О. ГОРОД УФА, Г УФА, УЛ КУЛИБИНА, Д. 43/3</t>
  </si>
  <si>
    <t>ООО АЛТИМ</t>
  </si>
  <si>
    <t>450103, РЕСПУБЛИКА БАШКОРТОСТАН, Г.О. ГОРОД УФА, Г УФА, УЛ КАВКАЗСКАЯ, Д. 6/4, КВ. 4</t>
  </si>
  <si>
    <t>ООО СПЕЦТЕХНИКА</t>
  </si>
  <si>
    <t>450081, РЕСПУБЛИКА БАШКОРТОСТАН, Г УФА, УЛ ШОТА РУСТАВЕЛИ, Д. 23</t>
  </si>
  <si>
    <t>ИП ХУСАЕНОВА ЮЛИЯ ЗАГИТОВНА</t>
  </si>
  <si>
    <t>ИП МУРАТШИН ДИНАР РАДИКОВИЧ</t>
  </si>
  <si>
    <t>ООО ТВИН</t>
  </si>
  <si>
    <t>450097, РЕСПУБЛИКА БАШКОРТОСТАН, Г УФА, УЛ КАЗАНСКАЯ, Д. 2, ОФИС 1</t>
  </si>
  <si>
    <t>ИП СУБХАНГУЛОВА ЕЛЕНА СЕРГЕЕВНА</t>
  </si>
  <si>
    <t>ООО ПРОМСЕРВИС</t>
  </si>
  <si>
    <t>450105, РЕСПУБЛИКА БАШКОРТОСТАН, Г УФА, УЛ МАРШАЛА ЖУКОВА, Д. 39, ПОМЕЩ. 56А</t>
  </si>
  <si>
    <t>ООО ЭКОЙЛ</t>
  </si>
  <si>
    <t>450071, РЕСПУБЛИКА БАШКОРТОСТАН, Г УФА, УЛ МЕНДЕЛЕЕВА, Д. 197/2, ОФИС 31</t>
  </si>
  <si>
    <t>ООО ПАРТСАВТОГРУПП</t>
  </si>
  <si>
    <t>450049, РЕСПУБЛИКА БАШКОРТОСТАН, Г УФА, УЛ САМАРКАНДСКАЯ, Д. 1, К. 2, ОФИС 209</t>
  </si>
  <si>
    <t>ООО ДЕТАЛЬ-СБЫТ</t>
  </si>
  <si>
    <t>450022, РЕСПУБЛИКА БАШКОРТОСТАН, Г.О. ГОРОД УФА, Г УФА, УЛ БАКАЛИНСКАЯ, Д. 48, ЭТАЖ ЦОКОЛЬНЫЙ 35</t>
  </si>
  <si>
    <t>ООО ЛИТЕРАВТО</t>
  </si>
  <si>
    <t>453510, РОССИЯ, РЕСПУБЛИКА БАШКОРТОСТАН, М.Р-Н БЕЛОРЕЦКИЙ, Г БЕЛОРЕЦК, Г.П. ГОРОД БЕЛОРЕЦК, УЛ ТЮЛЕНИНА, Д. 23, СТР. 1</t>
  </si>
  <si>
    <t>ООО ОПТИМА-СЕРВИС</t>
  </si>
  <si>
    <t>450064, РЕСПУБЛИКА БАШКОРТОСТАН, Г.О. ГОРОД УФА, Г УФА, УЛ КОМАРОВА, Д. 8, ПОМЕЩ. 4</t>
  </si>
  <si>
    <t>ООО АРДО</t>
  </si>
  <si>
    <t>450073, РЕСПУБЛИКА БАШКОРТОСТАН, Г.О. ГОРОД УФА, Г УФА, УЛ НАБЕРЕЖНАЯ Р. УФЫ, Д. 11/1, КВ. 81</t>
  </si>
  <si>
    <t>ООО УФА ТАЙРС СЕРВИС</t>
  </si>
  <si>
    <t>450104, РЕСПУБЛИКА БАШКОРТОСТАН, Г УФА, УЛ УФИМСКОЕ ШОССЕ, Д. 1, К. 1, ОФИС 3</t>
  </si>
  <si>
    <t>ООО СВ</t>
  </si>
  <si>
    <t>450105, РЕСПУБЛИКА БАШКОРТОСТАН, Г УФА, УЛ МАРШАЛА ЖУКОВА, Д. 20, КВ. 54</t>
  </si>
  <si>
    <t>ООО ЦЕНТР МАСЕЛ ОЙЛ-МАРКЕТ</t>
  </si>
  <si>
    <t>450105, РОССИЯ, РЕСПУБЛИКА БАШКОРТОСТАН, Г.О. ГОРОД УФА, Г УФА, УЛ МАРШАЛА ЖУКОВА, Д. 39, К. 3, ПОМЕЩ. 302</t>
  </si>
  <si>
    <t>ООО СВАРЛЕНД</t>
  </si>
  <si>
    <t>450096, РОССИЯ, РЕСПУБЛИКА БАШКОРТОСТАН, Г.О. ГОРОД УФА, Г УФА, УЛ ЛЕСОТЕХНИКУМА, Д. 16, КВ. 6</t>
  </si>
  <si>
    <t>ООО АЛЬФА-СЕРВИС</t>
  </si>
  <si>
    <t>450078, РЕСПУБЛИКА БАШКОРТОСТАН, Г УФА, ПР-КТ САЛАВАТА ЮЛАЕВА, Д. 24</t>
  </si>
  <si>
    <t>ИП САДЫКОВ РАВИЛЬ РАМИЛЬЕВИЧ</t>
  </si>
  <si>
    <t>ИП ГАРЕЕВ НАИЛЬ РАМИЛЕВИЧ</t>
  </si>
  <si>
    <t>ООО АВТОЛИДЕР-ВОСТОК</t>
  </si>
  <si>
    <t>ООО МОТОРСПОРТ</t>
  </si>
  <si>
    <t>450112, РЕСПУБЛИКА БАШКОРТОСТАН, Г.О. ГОРОД УФА, Г УФА, УЛ ЦВЕТОЧНАЯ, Д. 1/6</t>
  </si>
  <si>
    <t>ИП СУХОВА ТАТЬЯНА ЮРЬЕВНА</t>
  </si>
  <si>
    <t>ИП КОЛЕСОВА ЮЛИЯ ВЛАДИМИРОВНА</t>
  </si>
  <si>
    <t>ИП ШАБРИНА РЕЗЕДА ЗАКИРЬЯНОВНА</t>
  </si>
  <si>
    <t>ИП МАНЦВЕТОВ АСКАР РАФАЭЛЕВИЧ</t>
  </si>
  <si>
    <t>ИП ЗИАТДИНОВ РУСЛАН ФИРДАУСОВИЧ</t>
  </si>
  <si>
    <t>ООО АРМ</t>
  </si>
  <si>
    <t>ООО СНАБЭНЕРГОМАШ</t>
  </si>
  <si>
    <t>450071, РЕСПУБЛИКА БАШКОРТОСТАН, Г.О. ГОРОД УФА, Г УФА, УЛ ЛЕСОТЕХНИКУМА, Д. 53</t>
  </si>
  <si>
    <t>ИП ГАБДУЛЛИН АЙДАР ВИЛЕВИЧ</t>
  </si>
  <si>
    <t>ООО ПАНТЕОН</t>
  </si>
  <si>
    <t>450063, РОССИЯ, РЕСПУБЛИКА БАШКОРТОСТАН, Г.О. ГОРОД УФА, Г УФА, ТРАКТ БИРСКИЙ, Д. 81/3, ОФИС 1</t>
  </si>
  <si>
    <t>ИП ГАЗИЗУЛЛИН ИЛЬДАР УРАЛОВИЧ</t>
  </si>
  <si>
    <t>ИП МОСКВИЧЕВ АЛЕКСЕЙ ВЛАДИМИРОВИЧ</t>
  </si>
  <si>
    <t>ИП МАЛАФЕЕВ АРТЕМ СЕРГЕЕВИЧ</t>
  </si>
  <si>
    <t>ИП АСАДУЛЛИН ЗИНФИР ФАРИТОВИЧ</t>
  </si>
  <si>
    <t>ООО АЛЬФА-СЕРВИС МЕНЕДЖМЕНТ</t>
  </si>
  <si>
    <t>450081, РЕСПУБЛИКА БАШКОРТОСТАН, Г УФА, УЛ АДМИРАЛА МАКАРОВА, Д. 30</t>
  </si>
  <si>
    <t>ООО МДМ</t>
  </si>
  <si>
    <t>452000, РЕСПУБЛИКА БАШКОРТОСТАН, Г УФА, УЛ МИНИГАЛИ ГУБАЙДУЛЛИНА, Д. 2</t>
  </si>
  <si>
    <t>ОООГОРОД</t>
  </si>
  <si>
    <t>450078, РЕСПУБЛИКА БАШКОРТОСТАН, Г.О. ГОРОД УФА, Г УФА, УЛ РЕВОЛЮЦИОННАЯ, Д. 96/3, ПОМЕЩ. 1</t>
  </si>
  <si>
    <t>ООО ТЕХНИЧЕСКИЙ КОМПЛЕКС ОЙЛ-МАРКЕТ</t>
  </si>
  <si>
    <t>450059, РОССИЯ, РЕСПУБЛИКА БАШКОРТОСТАН, Г.О. ГОРОД УФА, Г УФА, УЛ РИХАРДА ЗОРГЕ, Д. 9, К. 5, ЭТАЖ 2, ПОМЕЩ. 47</t>
  </si>
  <si>
    <t>ООО ИМОЙЛ</t>
  </si>
  <si>
    <t>450097, РОССИЯ, РЕСПУБЛИКА БАШКОРТОСТАН, Г.О. ГОРОД УФА, Г УФА, УЛ БЕССОНОВА, Д. 24, КВ. 49</t>
  </si>
  <si>
    <t>ООО АЛЬФА-СЕРВИС ДРАЙВ</t>
  </si>
  <si>
    <t>450078, РОССИЯ, РЕСПУБЛИКА БАШКОРТОСТАН, Г.О. ГОРОД УФА, Г УФА, ПР-КТ САЛАВАТА ЮЛАЕВА, Д. 24, ОФИС 31</t>
  </si>
  <si>
    <t>ООО АЛЬФА-СТИЛЬ</t>
  </si>
  <si>
    <t>450078, РОССИЯ, РЕСПУБЛИКА БАШКОРТОСТАН, Г.О. ГОРОД УФА, Г УФА, ПР-КТ САЛАВАТА ЮЛАЕВА, Д. 26, ОФИС 26</t>
  </si>
  <si>
    <t>ООО АЛЬФА-СЕРВИС ГРАНД</t>
  </si>
  <si>
    <t>450078, РОССИЯ, РЕСПУБЛИКА БАШКОРТОСТАН, Г.О. ГОРОД УФА, Г УФА, ПР-КТ САЛАВАТА ЮЛАЕВА, Д. 26, ОФИС 14</t>
  </si>
  <si>
    <t>ООО АРГУС</t>
  </si>
  <si>
    <t>450097, РОССИЯ, РЕСПУБЛИКА БАШКОРТОСТАН, Г.О. ГОРОД УФА, Г УФА, УЛ КАЗАНСКАЯ, Д. 2, ОФИС 2</t>
  </si>
  <si>
    <t>ООО ТАТАР ПОВЕР</t>
  </si>
  <si>
    <t>Импортер, Оптовик, УОТ</t>
  </si>
  <si>
    <t>450015, РОССИЯ, РЕСПУБЛИКА БАШКОРТОСТАН, Г.О. ГОРОД УФА, Г УФА, УЛ БОРИСА ДОМАШНИКОВА, Д. 22, КВ. 286</t>
  </si>
  <si>
    <t>ИП ГИБАДУЛЛИН РУСЛАН РИНАТОВИЧ</t>
  </si>
  <si>
    <t>ИП ЛЕБЕДЕВА АЛЬБИНА ЮРЬЕВНА</t>
  </si>
  <si>
    <t>ИП АФАНАСЬЕВ ЮРИЙ ВИКТОРОВИЧ</t>
  </si>
  <si>
    <t>ИП ШАКИРОВ ИЛЬНУР ФИНАТОВИЧ</t>
  </si>
  <si>
    <t>ООО БИЗНЕС-ЭЛИТ</t>
  </si>
  <si>
    <t>450022, РЕСПУБЛИКА БАШКОРТОСТАН, Г.О. ГОРОД УФА, Г УФА, УЛ МЕНДЕЛЕЕВА, Д. 134/7, ПОМЕЩ. 44</t>
  </si>
  <si>
    <t>ООО МОНТАЖСЕРВИС</t>
  </si>
  <si>
    <t>450001, РЕСПУБЛИКА БАШКОРТОСТАН, Г.О. ГОРОД УФА, Г УФА, УЛ КИРОВОГРАДСКАЯ, Д. 36/1А, ОФИС 14,15</t>
  </si>
  <si>
    <t>ИП ЕНИКЕЕВ ИЛЬДУС ИРХАТОВИЧ</t>
  </si>
  <si>
    <t>ИП КИСЛИЦЫН МАКСИМ ИГОРЕВИЧ</t>
  </si>
  <si>
    <t>ИП КИСЛИЦЫНА ЕЛЕНА ВЛАДИМИРОВНА</t>
  </si>
  <si>
    <t>ООО ФОРСАЖ</t>
  </si>
  <si>
    <t>450027, РЕСПУБЛИКА БАШКОРТОСТАН, Г УФА, УЛ УФИМСКОЕ ШОССЕ, МЕЖДУ СУЩЕСТВУЮЩИМ АЗС И ДОМОМ №3/1 МАГАЗИН</t>
  </si>
  <si>
    <t>ООО НПО МЕГА ХИМ</t>
  </si>
  <si>
    <t>452416, РОССИЯ, РЕСПУБЛИКА БАШКОРТОСТАН, М.Р-Н ИГЛИНСКИЙ, Д ПЕРВОМАЙСКОЕ, С.П. КАЛЬТОВСКИЙ СЕЛЬСОВЕТ, УЛ ПЕРВОМАЙСКАЯ, Д. 60</t>
  </si>
  <si>
    <t>ООО МС МОТОРС</t>
  </si>
  <si>
    <t>452000, РЕСПУБЛИКА БАШКОРТОСТАН, Г УФА, УЛ ТРАМВАЙНАЯ, Д. 1, К. 5</t>
  </si>
  <si>
    <t>ООО ОЕМ ОЙЛ</t>
  </si>
  <si>
    <t>450027, РЕСПУБЛИКА БАШКОРТОСТАН, Г УФА, УЛ ТРАМВАЙНАЯ, Д.4, К.А, -</t>
  </si>
  <si>
    <t>ИП МАСАЛЬСКИЙ АНДРЕЙ АНАТОЛЬЕВИЧ</t>
  </si>
  <si>
    <t>ИП МАХМУТОВ АЙРАТ ХАМИТОВИЧ</t>
  </si>
  <si>
    <t>ИП МАХМУТОВ ФЕРДИНАТ ХАЙДАРОВИЧ</t>
  </si>
  <si>
    <t>ИП КАМАЛТДИНОВ ИЛЬДУС ФЛЮРОВИЧ</t>
  </si>
  <si>
    <t>ИП УРАЗОВ САНЖАР ЭЛМУРОДОВИЧ</t>
  </si>
  <si>
    <t>ПАО АНК БАШНЕФТЬ</t>
  </si>
  <si>
    <t>450052, РОССИЯ, РЕСПУБЛИКА БАШКОРТОСТАН, Г.О. ГОРОД УФА, Г УФА, УЛ КАРЛА МАРКСА, Д. 30/1</t>
  </si>
  <si>
    <t>АО ДАРС</t>
  </si>
  <si>
    <t>450059, РЕСПУБЛИКА БАШКОРТОСТАН, Г УФА, УЛ МАЛАЯ ГРАЖДАНСКАЯ, Д. 35А</t>
  </si>
  <si>
    <t>ИП ДУРНЕВ ВИТАЛИЙ ВЛАДИМИРОВИЧ</t>
  </si>
  <si>
    <t>ИП САЙХУТДИНОВ РИНАТ РАДИКОВИЧ</t>
  </si>
  <si>
    <t>ИП КОЧЕРГИНА ЕЛЕНА СЕРГЕЕВНА</t>
  </si>
  <si>
    <t>ООО КОМПАНИЯ ГОРСТ-СМ</t>
  </si>
  <si>
    <t>450083, РЕСПУБЛИКА БАШКОРТОСТАН, Г УФА, УЛ РИХАРДА ЗОРГЕ, Д. 44</t>
  </si>
  <si>
    <t>ООО ОРИОН</t>
  </si>
  <si>
    <t>450074, РЕСПУБЛИКА БАШКОРТОСТАН, Г УФА, УЛ ЗАЙНАБ БИИШЕВОЙ, Д. 2, КВ. 11</t>
  </si>
  <si>
    <t>ИП ГУМЕННАЯ ТАТЬЯНА ПЕТРОВНА</t>
  </si>
  <si>
    <t>ООО НПО ТАТУМ</t>
  </si>
  <si>
    <t>450003, РЕСПУБЛИКА БАШКОРТОСТАН, Г УФА, УЛ РАБОЧАЯ, Д. 43А</t>
  </si>
  <si>
    <t>ООО ЭЛИТУФА</t>
  </si>
  <si>
    <t>450007, РЕСПУБЛИКА БАШКОРТОСТАН, Г УФА, УЛ ЗАЩИТНИКОВ ОТЕЧЕСТВА, Д. 6, ПОМЕЩ. 21</t>
  </si>
  <si>
    <t>ООО ПРОЕКТ М</t>
  </si>
  <si>
    <t>450003, РОССИЯ, РЕСПУБЛИКА БАШКОРТОСТАН, Г.О. ГОРОД УФА, Г УФА, УЛ СИЛИКАТНАЯ, Д. 25Б, ОФИС 2</t>
  </si>
  <si>
    <t>ИП БОРИСЕВИЧ АЛЕКСАНДР НИКОЛАЕВИЧ</t>
  </si>
  <si>
    <t>ООО ТЕХТРАНС</t>
  </si>
  <si>
    <t>450900, РЕСПУБЛИКА БАШКОРТОСТАН, Г УФА, Ш НАГАЕВСКОЕ, Д. 29</t>
  </si>
  <si>
    <t>ИП ФОКИН ИЛЬЯ ВЛАДИМИРОВИЧ</t>
  </si>
  <si>
    <t>ИП АГЗАМОВ МАРАТ ШАЙХИТДИНОВИЧ</t>
  </si>
  <si>
    <t>ИП ГИРФАНОВ РОМАН АЛЬФИРОВИЧ</t>
  </si>
  <si>
    <t>ООО АРТ-МОТОРС МБ</t>
  </si>
  <si>
    <t>450018, РЕСПУБЛИКА БАШКОРТОСТАН, Г УФА, УЛ РУБЕЖНАЯ, Д. 170/1</t>
  </si>
  <si>
    <t>ИП МАЛАЕВ ДЕНИС ФАРИТОВИЧ</t>
  </si>
  <si>
    <t>ООО ВОЛТАИР ПЛЮС</t>
  </si>
  <si>
    <t>450096, РЕСПУБЛИКА БАШКОРТОСТАН, Г УФА, УЛ ШАФИЕВА, Д.43, К.1, 41</t>
  </si>
  <si>
    <t>ООО КОМПАНИЯ АВТОУРАЛ</t>
  </si>
  <si>
    <t>450027, РОССИЯ, РЕСПУБЛИКА БАШКОРТОСТАН, Г.О. ГОРОД УФА, Г УФА, УЛ СЕЛЬСКАЯ БОГОРОДСКАЯ, Д. 59, ОФИС 29</t>
  </si>
  <si>
    <t>ИП ВАСИЛЬЕВ АЛЕКСЕЙ СЕРГЕЕВИЧ</t>
  </si>
  <si>
    <t>ИП КИРИЛЛОВ АЛЕКСАНДР МИХАЙЛОВИЧ</t>
  </si>
  <si>
    <t>ИП НУГАЕВ РИШАТ РАУИЛЕВИЧ</t>
  </si>
  <si>
    <t>ООО АВТО-ДЕТАЛЬ УФА</t>
  </si>
  <si>
    <t>450104, РЕСПУБЛИКА БАШКОРТОСТАН, Г УФА, УЛ УФИМСКОЕ ШОССЕ, Д. 17, ОФИС 1</t>
  </si>
  <si>
    <t>ООО УРАЛПРОМ</t>
  </si>
  <si>
    <t>450063, РЕСПУБЛИКА БАШКОРТОСТАН, Г.О. ГОРОД УФА, Г УФА, УЛ ЗЕЛЕНАЯ РОЩА, Д. 16, ОФИС 1</t>
  </si>
  <si>
    <t>ООО ЭЛИТ-УФА</t>
  </si>
  <si>
    <t>450071, РЕСПУБЛИКА БАШКОРТОСТАН, Г УФА, ПР-КТ САЛАВАТА ЮЛАЕВА, Д. 93, ПОМЕЩ. 3</t>
  </si>
  <si>
    <t>ООО АВТОСЕТЬ УФА</t>
  </si>
  <si>
    <t>450071, РЕСПУБЛИКА БАШКОРТОСТАН, Г УФА, ПР-КТ САЛАВАТА ЮЛАЕВА, Д. 60, ОФИС 1</t>
  </si>
  <si>
    <t>ООО АРТМАКС</t>
  </si>
  <si>
    <t>450104, РОССИЯ, РЕСПУБЛИКА БАШКОРТОСТАН, Г.О. ГОРОД УФА, Г УФА, УЛ ВЕРХОЯНСКАЯ, Д. 15</t>
  </si>
  <si>
    <t>ООО ПРОМЭКО</t>
  </si>
  <si>
    <t>450029, РЕСПУБЛИКА БАШКОРТОСТАН, Г УФА, УЛ ЮБИЛЕЙНАЯ, Д.18</t>
  </si>
  <si>
    <t>ИП ИГНАТЬЕВ АНДРЕЙ ВАСИЛЬЕВИЧ</t>
  </si>
  <si>
    <t>ИП АСЛЯМОВ МАРСЕЛЬ ХАМИТОВИЧ</t>
  </si>
  <si>
    <t>ООО КОРСУН</t>
  </si>
  <si>
    <t>450063, РОССИЯ, РЕСПУБЛИКА БАШКОРТОСТАН, Г.О. ГОРОД УФА, Г УФА, УЛ ПАРИЖСКОЙ КОММУНЫ, Д. 47, ОФИС 2</t>
  </si>
  <si>
    <t>ИП КУДРЯШОВ АНДРЕЙ АЛЕКСАНДРОВИЧ</t>
  </si>
  <si>
    <t>ООО ЗАВОД СМАЗОЧНЫХ МАТЕРИАЛОВ ДЕВОН</t>
  </si>
  <si>
    <t>450029, РЕСПУБЛИКА БАШКОРТОСТАН, Г УФА, УЛ ЮБИЛЕЙНАЯ, Д. 7, К. 2</t>
  </si>
  <si>
    <t>ООО АНИОН</t>
  </si>
  <si>
    <t>450073, РОССИЯ, РЕСПУБЛИКА БАШКОРТОСТАН, Г.О. ГОРОД УФА, Г УФА, УЛ МАРШАЛА ЖУКОВА, Д. 2/4, КВ. 80</t>
  </si>
  <si>
    <t>ООО ЭВЕРЕСТ</t>
  </si>
  <si>
    <t>450014, РЕСПУБЛИКА БАШКОРТОСТАН, Г УФА, УЛ КУСТАРЕВО, Д. 106</t>
  </si>
  <si>
    <t>ООО АВТОТРЕЙД</t>
  </si>
  <si>
    <t>450065, РЕСПУБЛИКА БАШКОРТОСТАН, Г УФА, УЛ СЕВАСТОПОЛЬСКАЯ, Д. 9</t>
  </si>
  <si>
    <t>ООО ЗСМ ОЙЛНЕФТЕГАЗ</t>
  </si>
  <si>
    <t>450112, РОССИЯ, РЕСПУБЛИКА БАШКОРТОСТАН, Г.О. ГОРОД УФА, Г УФА, УЛ КОЛЬЦЕВАЯ, Д. 65, ОФИС 713</t>
  </si>
  <si>
    <t>ООО АРДОЛ</t>
  </si>
  <si>
    <t>450112, РОССИЯ, РЕСПУБЛИКА БАШКОРТОСТАН, Г.О. ГОРОД УФА, Г УФА, УЛ ПУТЕЙСКАЯ, Д. 2, ПОМЕЩ. 5</t>
  </si>
  <si>
    <t>ООО ТРАСТОЙЛ</t>
  </si>
  <si>
    <t>450112, РОССИЯ, РЕСПУБЛИКА БАШКОРТОСТАН, Г.О. ГОРОД УФА, Г УФА, УЛ МАКСИМА ГОРЬКОГО, Д. 83, ПОМЕЩ. 216</t>
  </si>
  <si>
    <t>ИП ПОТАПЕНКО АНАТОЛИЙ ИВАНОВИЧ</t>
  </si>
  <si>
    <t>ИП ГРОМОВ ВАДИМ ВАСИЛЬЕВИЧ</t>
  </si>
  <si>
    <t>ООО НПФ ЛАКОР</t>
  </si>
  <si>
    <t>450097, РЕСПУБЛИКА БАШКОРТОСТАН, Г УФА, УЛ КОМСОМОЛЬСКАЯ, Д.12, К.1</t>
  </si>
  <si>
    <t>ООО НАВИГАТОР</t>
  </si>
  <si>
    <t>450078, РЕСПУБЛИКА БАШКОРТОСТАН, Г УФА, УЛ КИРОВА, Д. 128/1</t>
  </si>
  <si>
    <t>ИП ЯКОВЛЕВ ГЕННАДИЙ АРКАДЬЕВИЧ</t>
  </si>
  <si>
    <t>ИП СИДОРОВ АНДРЕЙ АЛЕКСАНДРОВИЧ</t>
  </si>
  <si>
    <t>ИП ГАЗИЗОВ ЭРИК АЛЬБЕРТОВИЧ</t>
  </si>
  <si>
    <t>ООО ЕВРОДЕТАЛЬ-СЕРВИС</t>
  </si>
  <si>
    <t>450105, РОССИЯ, РЕСПУБЛИКА БАШКОРТОСТАН, Г.О. ГОРОД УФА, Г УФА, УЛ САМАРКАНДСКАЯ, Д. 3, К. 1, ОФИС 313</t>
  </si>
  <si>
    <t>ООО ГИДРОМАШУФА</t>
  </si>
  <si>
    <t>450029, РЕСПУБЛИКА БАШКОРТОСТАН, Г.О. ГОРОД УФА, Г УФА, УЛ УЛЬЯНОВЫХ, Д. 65/2</t>
  </si>
  <si>
    <t>ООО СКУ</t>
  </si>
  <si>
    <t>450001, РЕСПУБЛИКА БАШКОРТОСТАН, Г.О. ГОРОД УФА, Г УФА, УЛ КОМСОМОЛЬСКАЯ, Д. 2, ПОМЕЩ. 9, КОМ. 409</t>
  </si>
  <si>
    <t>ООО УФА-АВТО</t>
  </si>
  <si>
    <t>450081, РЕСПУБЛИКА БАШКОРТОСТАН, Г.О. ГОРОД УФА, Г УФА, УЛ АДМИРАЛА МАКАРОВА, Д. 30, ОФИС 43</t>
  </si>
  <si>
    <t>ООО ПРОФИ СМ</t>
  </si>
  <si>
    <t>450059, РЕСПУБЛИКА БАШКОРТОСТАН, Г.О. ГОРОД УФА, Г УФА, УЛ МАЛАЯ ГРАЖДАНСКАЯ, Д. 35А</t>
  </si>
  <si>
    <t>ООО ТК РЕГИОНСНАБ</t>
  </si>
  <si>
    <t>450078, РЕСПУБЛИКА БАШКОРТОСТАН, Г УФА, ПР-КТ САЛАВАТА ЮЛАЕВА, Д. 59, ОФИС 335</t>
  </si>
  <si>
    <t>ООО СМ ПРОФИ</t>
  </si>
  <si>
    <t>450015, РЕСПУБЛИКА БАШКОРТОСТАН, Г УФА, УЛ ЗАПОТОЦКОГО, Д. 10, КВ. 17</t>
  </si>
  <si>
    <t>ООО ПЛАНЕТА ЗАПЧАСТЕЙ</t>
  </si>
  <si>
    <t>450520, РЕСПУБЛИКА БАШКОРТОСТАН, М.Р-Н УФИМСКИЙ, С ЗУБОВО, С.П. ЗУБОВСКИЙ СЕЛЬСОВЕТ, УЛ ЦЕНТРАЛЬНАЯ, ЗД. 184/1, ОФИС 1</t>
  </si>
  <si>
    <t>ООО АЛЬФА-СЕРВИС ЗУБОВО</t>
  </si>
  <si>
    <t>450522, РЕСПУБЛИКА БАШКОРТОСТАН, Р-Н УФИМСКИЙ, С ЗУБОВО, УЛ ЭЛЕКТРОЗАВОДСКАЯ, Д. 18, К. 2</t>
  </si>
  <si>
    <t>ООО РОВАС</t>
  </si>
  <si>
    <t>450097, РОССИЯ, РЕСПУБЛИКА БАШКОРТОСТАН, Г.О. ГОРОД УФА, Г УФА, Б-Р ХАДИИ ДАВЛЕТШИНОЙ, Д. 7, ОФИС 1</t>
  </si>
  <si>
    <t>ООО НПП СМ</t>
  </si>
  <si>
    <t>450005, РОССИЯ, РЕСПУБЛИКА БАШКОРТОСТАН, Г.О. ГОРОД УФА, Г УФА, УЛ ПАРХОМЕНКО, Д. 99, ПОМЕЩ. 2</t>
  </si>
  <si>
    <t>ИП ПЛЕШКАН НИКОЛАЙ ГРИГОРЬЕВИЧ</t>
  </si>
  <si>
    <t>ООО СЕРЕБРЯНЫЙ САКВОЯЖ</t>
  </si>
  <si>
    <t>453505, РЕСПУБЛИКА БАШКОРТОСТАН, Р-Н БЕЛОРЕЦКИЙ, Г БЕЛОРЕЦК, УЛ ЛЕНИНА, Д. 41, КАБИНЕТ 204</t>
  </si>
  <si>
    <t>ИП БРЯНСКИЙ СЕМЕН ВЛАДИМИРОВИЧ</t>
  </si>
  <si>
    <t>ИП КОКШАРОВ АНДРЕЙ ВЛАДИМИРОВИЧ</t>
  </si>
  <si>
    <t>ООО СИЛЬВЕР-АВТО ГРУПП</t>
  </si>
  <si>
    <t>453505, РЕСПУБЛИКА БАШКОРТОСТАН, Р-Н БЕЛОРЕЦКИЙ, Г БЕЛОРЕЦК, УЛ ЛЕНИНА, Д. 41, КАБИНЕТ 203</t>
  </si>
  <si>
    <t>ООО ЛУКОЙЛ-УРАЛНЕФТЕПРОДУКТ</t>
  </si>
  <si>
    <t>450057, РЕСПУБЛИКА БАШКОРТОСТАН, Г УФА, УЛ ЦЮРУПЫ, Д. 16</t>
  </si>
  <si>
    <t>ИП САФАРГАЛЕЕВ ВАДИМ РИШАТОВИЧ</t>
  </si>
  <si>
    <t>ИП ХАМИДУЛЛИН РУСТЯМ МИННУЛЛОВИЧ</t>
  </si>
  <si>
    <t>ИП ЗАКИРОВ РИНАТ КАНИФОВИЧ</t>
  </si>
  <si>
    <t>ООО ОЛЗО</t>
  </si>
  <si>
    <t>Республика Бурятия</t>
  </si>
  <si>
    <t>670047, РОССИЯ, РЕСПУБЛИКА БУРЯТИЯ, Г.О. ГОРОД УЛАН-УДЭ, Г УЛАН-УДЭ, УЛ ЛАЗУРНАЯ, Д. 39А</t>
  </si>
  <si>
    <t>ИП ЕНДОНОВА ЕЛЕНА ЧИНГИСОВНА</t>
  </si>
  <si>
    <t>ИП ЧИРКОВА ОЛЬГА МИХАЙЛОВНА</t>
  </si>
  <si>
    <t>ИП МИХИН ЮРИЙ ВЛАДИМИРОВИЧ</t>
  </si>
  <si>
    <t>ИП ХАЛТАШКИН ГРИГОРИЙ ИОСИФОВИЧ</t>
  </si>
  <si>
    <t>ООО ПОКРОВКА 38</t>
  </si>
  <si>
    <t>670018, РЕСПУБЛИКА БУРЯТИЯ, Г УЛАН-УДЭ, УЛ ПОКРОВСКАЯ, ЗД. 38, ОФИС 1</t>
  </si>
  <si>
    <t>ООО ВЕЛИКАЯ СТЕНА</t>
  </si>
  <si>
    <t>670045, РОССИЯ, РЕСПУБЛИКА БУРЯТИЯ, Г.О. ГОРОД УЛАН-УДЭ, Г УЛАН-УДЭ, МКР. ПОЛИГОН, Д. 26, ОФИС 3</t>
  </si>
  <si>
    <t>ИП ШОДОЕВА ГАЛИНА ДАБАЖАПОВНА</t>
  </si>
  <si>
    <t>ИП ТАТАРНИКОВА АННА АЛЕКСАНДРОВНА</t>
  </si>
  <si>
    <t>ИП ЦЫНГУЕВА ЕЛЕНА БОРИСОВНА</t>
  </si>
  <si>
    <t>ИП ХАДАЕВА ГЭРЭЛМА БАДМАЖАПОВНА</t>
  </si>
  <si>
    <t>ИП ИВАНОВА ЕКАТЕРИНА АНДРЕЕВНА</t>
  </si>
  <si>
    <t>ООО СЕЛЕНГА</t>
  </si>
  <si>
    <t>670042, РЕСПУБЛИКА БУРЯТИЯ, Г.О. ГОРОД УЛАН-УДЭ, Г УЛАН-УДЭ, УЛ МОКРОВА, Д. 48, ОФИС 4</t>
  </si>
  <si>
    <t>ИП САФОНОВА ЛЮБОВЬ ВЛАДИМИРОВНА</t>
  </si>
  <si>
    <t>ИП БУДАЕВА АННА ПЕТРОВНА</t>
  </si>
  <si>
    <t>ИП НОРБОЕВА ИРИНА БАЛГАНОВНА</t>
  </si>
  <si>
    <t>ИП АНИСИМОВ АЛЕКСАНДР ПЕТРОВИЧ</t>
  </si>
  <si>
    <t>ИП ЧАЛАБЯН СЕЙРАН РОБЕРТОВИЧ</t>
  </si>
  <si>
    <t>ИП СИМОНЕНКО СВЕТЛАНА СЕРГЕЕВНА</t>
  </si>
  <si>
    <t>ИП РЕДИКАЛЬЦЕВА АКСИНЬЯ ИВАНОВНА</t>
  </si>
  <si>
    <t>ИП ТИМУХИН ЮРИЙ МИХАЙЛОВИЧ</t>
  </si>
  <si>
    <t>ИП ТОГОЧЕЕВ АЛЕКСАНДР ВАЛЕРЬЕВИЧ</t>
  </si>
  <si>
    <t>АО БНП</t>
  </si>
  <si>
    <t>670004, РЕСПУБЛИКА БУРЯТИЯ, Г УЛАН-УДЭ, УЛ ЗАОВРАЖНАЯ, Д.1</t>
  </si>
  <si>
    <t>ИП КАПЛИНА ЕКАТЕРИНА ПЕТРОВНА</t>
  </si>
  <si>
    <t>ГАПОУ РБ БРТАТ</t>
  </si>
  <si>
    <t>670013, РЕСПУБЛИКА БУРЯТИЯ, Г УЛАН-УДЭ, УЛ ЛЕБЕДЕВА, Д.4</t>
  </si>
  <si>
    <t>ИП СЕМЕННИКОВ ЕВГЕНИЙ ВЛАДИМИРОВИЧ</t>
  </si>
  <si>
    <t>ФКУ ГБ МСЭ ПО РЕСПУБЛИКЕ БУРЯТИЯ МИНТРУДА РОССИИ</t>
  </si>
  <si>
    <t>670047, РЕСПУБЛИКА БУРЯТИЯ, Г УЛАН-УДЭ, УЛ ПИРОГОВА, Д. 30А</t>
  </si>
  <si>
    <t>ИП КОБЯКОВ ДМИТРИЙ АЛЕКСЕЕВИЧ</t>
  </si>
  <si>
    <t>ООО СМАРТ СЕРВИС</t>
  </si>
  <si>
    <t>670042, РОССИЯ, РЕСПУБЛИКА БУРЯТИЯ, Г.О. ГОРОД УЛАН-УДЭ, Г УЛАН-УДЭ, ПР-КТ СТРОИТЕЛЕЙ, Д. 54, КВ. 56</t>
  </si>
  <si>
    <t>ИП СЕРБИН ДМИТРИЙ СЕРГЕЕВИЧ</t>
  </si>
  <si>
    <t>ИП МЕЩЕРЯКОВ АЛЕКСАНДР ВИТАЛЬЕВИЧ</t>
  </si>
  <si>
    <t>ИП БАИНОВА ИРИНА СЕРГЕЕВНА</t>
  </si>
  <si>
    <t>ИП КОТОМАНОВА НАТАЛИЯ ЕВГЕНЬЕВНА</t>
  </si>
  <si>
    <t>ИП ХУДИН КОНСТАНТИН ВЛАДИМИРОВИЧ</t>
  </si>
  <si>
    <t>ООО РЕАЛАВТО</t>
  </si>
  <si>
    <t>670045, РЕСПУБЛИКА БУРЯТИЯ, Г.О. ГОРОД УЛАН-УДЭ, Г УЛАН-УДЭ, ПР-КТ АВТОМОБИЛИСТОВ, Д. 5/1, ПОМЕЩ. 1</t>
  </si>
  <si>
    <t>ООО АВТОЦЕНТР НА БОРСОЕВА</t>
  </si>
  <si>
    <t>670000, РЕСПУБЛИКА БУРЯТИЯ, Г УЛАН-УДЭ, УЛ БОРСОЕВА, Д. 56, ОФИС 1</t>
  </si>
  <si>
    <t>ИП ПАРФЕНОВА ЛЮДМИЛА ЛЕОНИДОВНА</t>
  </si>
  <si>
    <t>ИП МУНКОНОВ АРДАН ЮРЬЕВИЧ</t>
  </si>
  <si>
    <t>ИП БЕГЛАРЯН РУЗАННА РАЗМИКОВНА</t>
  </si>
  <si>
    <t>ИП ЧЕБУНИНА ТАТЬЯНА ЯКОВЛЕВНА</t>
  </si>
  <si>
    <t>ИП МАМОНОВА ОЛЬГА ФЕДОРОВНА</t>
  </si>
  <si>
    <t>ИП АНАНЬИН ВЛАДИМИР СЕРГЕЕВИЧ</t>
  </si>
  <si>
    <t>ООО БУРЯТШИНТОРГ</t>
  </si>
  <si>
    <t>670045, РЕСПУБЛИКА БУРЯТИЯ, Г УЛАН-УДЭ, ПР-КТ АВТОМОБИЛИСТОВ, Д. 5</t>
  </si>
  <si>
    <t>ИП РЕБЯГИНА НАТАЛЬЯ ВИКТОРОВНА</t>
  </si>
  <si>
    <t>ИП ГАРМАЕВ ЮРИЙ АНДРЕЕВИЧ</t>
  </si>
  <si>
    <t>ООО БУРЯТАГРОСНАБ</t>
  </si>
  <si>
    <t>670000, РЕСПУБЛИКА БУРЯТИЯ, Г УЛАН-УДЭ, УЛ БАБУШКИНА, Д. 194</t>
  </si>
  <si>
    <t>ООО СЕРВИС-АВТО+</t>
  </si>
  <si>
    <t>670045, РЕСПУБЛИКА БУРЯТИЯ, Г УЛАН-УДЭ, УЛ АМБУЛАТОРНАЯ, Д.2</t>
  </si>
  <si>
    <t>ООО АВТОТРЕЙД-СЕРВИС</t>
  </si>
  <si>
    <t>670045, РЕСПУБЛИКА БУРЯТИЯ, Г.О. ГОРОД УЛАН-УДЭ, Г УЛАН-УДЭ, ПР-КТ АВТОМОБИЛИСТОВ, Д. 21Г, ОФИС 1</t>
  </si>
  <si>
    <t>ООО РУБИН</t>
  </si>
  <si>
    <t>670023, РЕСПУБЛИКА БУРЯТИЯ, Г УЛАН-УДЭ, УЛ КАБАНСКАЯ, Д. 52</t>
  </si>
  <si>
    <t>ООО БГ НОВЫЙ ФОРМАТ</t>
  </si>
  <si>
    <t>670000, РОССИЯ, РЕСПУБЛИКА БУРЯТИЯ, Г.О. ГОРОД УЛАН-УДЭ, Г УЛАН-УДЭ, УЛ ЕРБАНОВА, ЗД. 11, ОФИС 539</t>
  </si>
  <si>
    <t>ИП ОЧИРОВ ТАМИРЛАН ВИКТОРОВИЧ</t>
  </si>
  <si>
    <t>ИП СУТУРИНА ТАТЬЯНА АНАТОЛЬЕВНА</t>
  </si>
  <si>
    <t>ИП РАДНАЕВА ВИКТОРИЯ БУБЕЕВНА</t>
  </si>
  <si>
    <t>ИП ЛОНШАКОВ АНДРЕЙ АЛЕКСАНДРОВИЧ</t>
  </si>
  <si>
    <t>ИП СИМОНЕНКО КОНСТАНТИН ЕВГЕНЬЕВИЧ</t>
  </si>
  <si>
    <t>ИП МАНШЕЕВ ЛУПСАН МИХАЙЛОВИЧ</t>
  </si>
  <si>
    <t>ИП ГУЛЯ-ЯНОВСКАЯ ЛЮДМИЛА АЛЕКСЕЕВНА</t>
  </si>
  <si>
    <t>ИП МИХАЙЛОВА ТАТЬЯНА НИКОЛАЕВНА</t>
  </si>
  <si>
    <t>ИП МОЧАЛОВ БОРИС ГАВРИЛОВИЧ</t>
  </si>
  <si>
    <t>ООО БАТ</t>
  </si>
  <si>
    <t>670023, РЕСПУБЛИКА БУРЯТИЯ, Г УЛАН-УДЭ, УЛ АВТОТРАНСПОРТНАЯ, Д. 21</t>
  </si>
  <si>
    <t>ИП ЖИДОВЕЦКИЙ ЯН ЕВГЕНЬЕВИЧ</t>
  </si>
  <si>
    <t>ИП ЛЕСИНА ТАТЬЯНА АЛЕКСАНДРОВНА</t>
  </si>
  <si>
    <t>ИП ШОРИН ЕВГЕНИЙ АЛЕКСАНДРОВИЧ</t>
  </si>
  <si>
    <t>ООО СТ-СЕРВИС</t>
  </si>
  <si>
    <t>670045, РОССИЯ, РЕСПУБЛИКА БУРЯТИЯ, Г.О. ГОРОД УЛАН-УДЭ, Г УЛАН-УДЭ, ПР-КТ АВТОМОБИЛИСТОВ, Д. 1Б</t>
  </si>
  <si>
    <t>ООО БУРЯТСКИЙ КАМАЗ ЦЕНТР</t>
  </si>
  <si>
    <t>670023, РЕСПУБЛИКА БУРЯТИЯ, Г УЛАН-УДЭ, УЛ ДАЛЬНЕГУРУЛЬБИНСКАЯ, Д.5 А</t>
  </si>
  <si>
    <t>ООО САТУРН</t>
  </si>
  <si>
    <t>670045, РЕСПУБЛИКА БУРЯТИЯ, Г УЛАН-УДЭ, ПР-КТ АВТОМОБИЛИСТОВ, Д. 5/3, ОФИС 2</t>
  </si>
  <si>
    <t>ООО ДЖАСТОЛ-СМАЗОЧНЫЕ МАТЕРИАЛЫ</t>
  </si>
  <si>
    <t>670000, РОССИЯ, РЕСПУБЛИКА БУРЯТИЯ, Г.О. ГОРОД УЛАН-УДЭ, Г УЛАН-УДЭ, УЛ СОВЕТСКАЯ, Д. 2, ОФИС 1</t>
  </si>
  <si>
    <t>ИП Шаповалов Дмитрий Эдуардович</t>
  </si>
  <si>
    <t>ИП МАКОГОН ОЛЕГ ВИКТОРОВИЧ</t>
  </si>
  <si>
    <t>ИП ГУЩИН АЛЕКСЕЙ АЛЕКСАНДРОВИЧ</t>
  </si>
  <si>
    <t>ИП ФИЛИМОНОВ АЛЕКСЕЙ МИХАЙЛОВИЧ</t>
  </si>
  <si>
    <t>ООО БАЙКАЛ-АВТОТОРГ</t>
  </si>
  <si>
    <t>671920, РОССИЯ, РЕСПУБЛИКА БУРЯТИЯ, М.Р-Н ДЖИДИНСКИЙ, С ПЕТРОПАВЛОВКА, С.П. ПЕТРОПАВЛОВСКОЕ, УЛ МЕЛИОРАТОРОВ, Д. 5, КВ. 1</t>
  </si>
  <si>
    <t>ИП КАРУШКИН ВИКТОР СЕРГЕЕВИЧ</t>
  </si>
  <si>
    <t>ИП КИСЕЛЕВ СТАНИСЛАВ ВАСИЛЬЕВИЧ</t>
  </si>
  <si>
    <t>ИП МАРЧЕНКО КСЕНИЯ НИКОЛАЕВНА</t>
  </si>
  <si>
    <t>ООО РЕГИОН</t>
  </si>
  <si>
    <t>670033, РЕСПУБЛИКА БУРЯТИЯ, Г УЛАН-УДЭ, УЛ ДЕНИСОВА, Д. 13, СТР. 25</t>
  </si>
  <si>
    <t>ИП ОРТОНУЛОВА НАТАЛЬЯ ГЕРМАНОВНА</t>
  </si>
  <si>
    <t>Республика Алтай</t>
  </si>
  <si>
    <t>ООО РАЗВИТИЕ АЗС</t>
  </si>
  <si>
    <t>649780, РЕСПУБЛИКА АЛТАЙ, Р-Н КОШ-АГАЧСКИЙ, С КОШ-АГАЧ, УЛ НОВОЧУЙСКАЯ, Д. 11</t>
  </si>
  <si>
    <t>ООО ХОРСТОУН</t>
  </si>
  <si>
    <t>649458, РОССИЯ, РЕСПУБЛИКА АЛТАЙ, М.Р-Н УСТЬ-КАНСКИЙ, С УСТЬ-КУМИР, С.П. ТАЛИЦКОЕ, УЛ ЗЕЛЁНАЯ, ЗД. 34А</t>
  </si>
  <si>
    <t>ИП КУПИНА АЛЕНА АНДРЕЕВНА</t>
  </si>
  <si>
    <t>ИП САНАЛОВ ЭЗЕНДЕЙ АЛЕКСАНДРОВИЧ</t>
  </si>
  <si>
    <t>ИП ТЕКЕШЕВ ЕВГЕНИЙ ВАЛЕРЬЕВИЧ</t>
  </si>
  <si>
    <t>ИП ЗАХАРОВА СВЕТЛАНА МИХАЙЛОВНА</t>
  </si>
  <si>
    <t>ИП Рецлав Елена Петровна</t>
  </si>
  <si>
    <t>ИП ЯРАСКИНА ЕЛЕНА АЛЕКСЕЕВНА</t>
  </si>
  <si>
    <t>ИП МИРОНОВ ВАЛЕРИЙ ВЛАДИМИРОВИЧ</t>
  </si>
  <si>
    <t>ИП ЖАПАРОВ КУАНЫШБАЙ ДАУЛЕТПЕКОВИЧ</t>
  </si>
  <si>
    <t>ИП БАДАНОВА МАРИЯ ЗАХАРОВНА</t>
  </si>
  <si>
    <t>ИП ГОЛОВИН АЛЕКСАНДР СЕРГЕЕВИЧ</t>
  </si>
  <si>
    <t>ИП ШАДРИНА ЛИЛИЯ ВЛАДИМИРОВНА</t>
  </si>
  <si>
    <t>ИП Ненаспаева Валентина Владимировна</t>
  </si>
  <si>
    <t>ООО ПАУЭР</t>
  </si>
  <si>
    <t>649240, РОССИЯ, РЕСПУБЛИКА АЛТАЙ, М.Р-Н ЧЕМАЛЬСКИЙ, С ЧЕМАЛ, С.П. ЧЕМАЛЬСКОЕ, УЛ ЗЕЛЕНАЯ, Д. 37</t>
  </si>
  <si>
    <t>ИП КУЗНЕЦОВА МАРИЯ АЛЕКСЕЕВНА</t>
  </si>
  <si>
    <t>ИП КОСИНОВА ЕЛЕНА ВАЛЕРЬЕВНА</t>
  </si>
  <si>
    <t>БОУ РА РГ ИМ. В.К. ПЛАКАСА</t>
  </si>
  <si>
    <t>649000, РЕСПУБЛИКА АЛТАЙ, Г ГОРНО-АЛТАЙСК, ПР-КТ КОММУНИСТИЧЕСКИЙ, Д. 44/1</t>
  </si>
  <si>
    <t>ООО ГОРНО-АЛТАЙСК НЕФТЕПРОДУКТ</t>
  </si>
  <si>
    <t>649000, РЕСПУБЛИКА АЛТАЙ, Г ГОРНО-АЛТАЙСК, УЛ КОМСОМОЛЬСКАЯ, Д.4</t>
  </si>
  <si>
    <t>ООО АЛТАЙ АЗС</t>
  </si>
  <si>
    <t>649000, РЕСПУБЛИКА АЛТАЙ, Г ГОРНО-АЛТАЙСК, УЛ ЧОРОС-ГУРКИНА Г.И., Д. 39/1, ОФИС 2</t>
  </si>
  <si>
    <t>ООО АВТОПЕРВЫЙ</t>
  </si>
  <si>
    <t>649002, РЕСПУБЛИКА АЛТАЙ, Г.О. ГОРОД ГОРНО-АЛТАЙСК, Г ГОРНО-АЛТАЙСК, ПР-КТ КОММУНИСТИЧЕСКИЙ, Д. 109/6, К. 2, ПОМЕЩ. 4, ОФ. 7</t>
  </si>
  <si>
    <t>ООО АЛТАЙ-МОТОР</t>
  </si>
  <si>
    <t>649002, РЕСПУБЛИКА АЛТАЙ, Г.О. ГОРОД ГОРНО-АЛТАЙСК, Г ГОРНО-АЛТАЙСК, ПР-КТ КОММУНИСТИЧЕСКИЙ, Д. 109/6, К. 2, ПОМЕЩ. 4, КОМ. 6</t>
  </si>
  <si>
    <t>ИП АЛМАДАКОВА ОКСАНА ИВАНОВНА</t>
  </si>
  <si>
    <t>ООО ТД ТРАНС-ОЙЛ</t>
  </si>
  <si>
    <t>649006, РЕСПУБЛИКА АЛТАЙ, Г ГОРНО-АЛТАЙСК, ПР-КТ КОММУНИСТИЧЕСКИЙ, ЗД. 68, ПОМЕЩ. 324</t>
  </si>
  <si>
    <t>ООО  НЕВАДА-ДСТ</t>
  </si>
  <si>
    <t>ИП СКОРОВ ГЕННАДИЙ ЮРЬЕВИЧ</t>
  </si>
  <si>
    <t>ИП ТАГИЕВА РАГИБА ТЕЙМУР КЫЗЫ</t>
  </si>
  <si>
    <t>Республика Дагестан</t>
  </si>
  <si>
    <t>ООО ИНВЕСТ-РЕЗЕРВ</t>
  </si>
  <si>
    <t>367030, РЕСПУБЛИКА ДАГЕСТАН, Г.О. ГОРОД МАХАЧКАЛА, МКР СТЕПНОЙ, ВН.Р-Н ЛЕНИНСКИЙ РАЙОН, УЛ ХАДЖИ БУЛАЧА, ЗД. 74</t>
  </si>
  <si>
    <t>ИП ДЖУМАКОВА АЛЬБИНА ЮНУСОВНА</t>
  </si>
  <si>
    <t>ИП БЕКМУРАТОВ РУСЛАНБЕК АРСЛАНБЕКОВИЧ</t>
  </si>
  <si>
    <t>ИП КАЗАНБИЕВА РУКИЯТ АЛИЕВНА</t>
  </si>
  <si>
    <t>ИП СУЛЕЙМАНОВ ШАМИЛЬ ГОСЕНОВИЧ</t>
  </si>
  <si>
    <t>ИП ГАДЖИЕВА РАЗИЯТ ГАДЖИЕВНА</t>
  </si>
  <si>
    <t>ИП КУРБАНОВ АБДУСАЛАМ МАГОМЕДКАМИЛОВИЧ</t>
  </si>
  <si>
    <t>ИП АДЖИЕВ МУРАДХАН НАЖЕЮЛЛАЕВИЧ</t>
  </si>
  <si>
    <t>ИП МАГОМЕДОВА ДЖАМИЛЯ АБУМУСЛИМОВНА</t>
  </si>
  <si>
    <t>ООО МАГМА</t>
  </si>
  <si>
    <t>367000, РЕСПУБЛИКА ДАГЕСТАН, Г МАХАЧКАЛА, УЛ АЗИЗА АЛИЕВА, Д.42, 1А</t>
  </si>
  <si>
    <t>ИП АБДУЛАЕВ ШАМИЛЬ МАГОМЕДАЛИЕВИЧ</t>
  </si>
  <si>
    <t>ИП МАЛАЕВА АЙШАТ ГЕРАЕВНА</t>
  </si>
  <si>
    <t>ГБУ РД БПТД</t>
  </si>
  <si>
    <t>368220, РЕСПУБЛИКА ДАГЕСТАН, Г БУЙНАКСК, УЛ ЛОМОНОСОВА, Д. 77</t>
  </si>
  <si>
    <t>ИП ОМАРОВ МУСА АРСЛАНАЛИЕВИЧ</t>
  </si>
  <si>
    <t>ГБУ РД КИЗЛЯРСКАЯ МССМП</t>
  </si>
  <si>
    <t>368832, РЕСПУБЛИКА ДАГЕСТАН, Г КИЗЛЯР, УЛ ПОБЕДЫ, Д. 48</t>
  </si>
  <si>
    <t>ИП ГАДЖИЕВ ШАПИ МАГОМЕДОВИЧ</t>
  </si>
  <si>
    <t>ООО  ЭЛИТНЫЙ</t>
  </si>
  <si>
    <t>367000, РЕСПУБЛИКА ДАГЕСТАН, Г МАХАЧКАЛА, УЛ АЗИЗА АЛИЕВА, Д. 42, КВ. 1А</t>
  </si>
  <si>
    <t>ИП МУРЗАЕВА СУВАЖАТ АДИЛЬХАНОВНА</t>
  </si>
  <si>
    <t>ИП ИСРАПИЛОВ АЛИ АХМЕДОВИЧ</t>
  </si>
  <si>
    <t>ИП ГАДЖИЕВ БЕКМУРЗА АБДУЛАЗИМОВИЧ</t>
  </si>
  <si>
    <t>ИП ГАДЖИМИРЗАЕВ АЛЬБЕРТ НАЖМУТДИНОВИЧ</t>
  </si>
  <si>
    <t>ИП Ашуралиев Нажмудин Бадрудинович</t>
  </si>
  <si>
    <t>ИП АХМЕДОВ АХМЕД ИБРАГИМОВИЧ</t>
  </si>
  <si>
    <t>ООО МАМЕДКАЛИНСКИЙ ГРСУ</t>
  </si>
  <si>
    <t>368621, РОССИЯ, РЕСПУБЛИКА ДАГЕСТАН, М.Р-Н ДЕРБЕНТСКИЙ, П МАМЕДКАЛА, Г.П. ПОСЕЛОК МАМЕДКАЛА, УЛ СУЛИПА Н., Д. 10</t>
  </si>
  <si>
    <t>ООО СТИЛЬ АВТО МАСЛА</t>
  </si>
  <si>
    <t>368115, РЕСПУБЛИКА ДАГЕСТАН, Р-Н КИЗИЛЮРТОВСКИЙ, С ЗУБУТЛИ-МИАТЛИ, УЛ ЛЕНИНА, Д. 9</t>
  </si>
  <si>
    <t>ИП САЛИХОВ ГАДЖИМУРАТ МАГОМЕДГАНИПОВИЧ</t>
  </si>
  <si>
    <t>ООО ПРЕМИУМ МАСЛО</t>
  </si>
  <si>
    <t>368260, РОССИЯ, РЕСПУБЛИКА ДАГЕСТАН, М.Р-Н ХУНЗАХСКИЙ, С ГОРТКОЛО, С.П. СЕЛЬСОВЕТ ОБОДИНСКИЙ, УЛ ЦЕНТРАЛЬНАЯ, Д. 10</t>
  </si>
  <si>
    <t>ООО ТОРГСЕРВИС 105</t>
  </si>
  <si>
    <t>368001, РЕСПУБЛИКА ДАГЕСТАН, Г ХАСАВЮРТ, УЛ ЗАВОКЗАЛЬНАЯ, Д. 71</t>
  </si>
  <si>
    <t>ИП АХМЕДХАНОВ МАГОМЕД МАГОМЕДАРИПОВИЧ</t>
  </si>
  <si>
    <t>ИП РАБАДАНОВ АБУБАКАР МАГОМЕДГАДЖИЕВИЧ</t>
  </si>
  <si>
    <t>ИП АШУРБЕКОВ МАГОМЕД АШУРБЕКОВИЧ</t>
  </si>
  <si>
    <t>ООО ДЖОЙЛ</t>
  </si>
  <si>
    <t>367008, РЕСПУБЛИКА ДАГЕСТАН, Г.О. ГОРОД МАХАЧКАЛА, Г МАХАЧКАЛА, ВН.Р-Н СОВЕТСКИЙ РАЙОН, УЛ ЧКАЛОВА, Д. 19</t>
  </si>
  <si>
    <t>ИП МАНУЧАРЯН ГУРГЕН КАРОЕВИЧ</t>
  </si>
  <si>
    <t>ИП ЖИВОЛОЖНОВ ЕВГЕНИЙ ГЕОРГИЕВИЧ</t>
  </si>
  <si>
    <t>ООО ФАВОРИТ ОЙЛ</t>
  </si>
  <si>
    <t>Республика Ингушетия</t>
  </si>
  <si>
    <t>386138, РОССИЯ, РЕСПУБЛИКА ИНГУШЕТИЯ, М.Р-Н НАЗРАНОВСКИЙ, С ЯНДАРЕ, С.П. ЯНДАРЕ, УЛ САДОВАЯ, ДВЛД. 3</t>
  </si>
  <si>
    <t>ООО Э-ОК</t>
  </si>
  <si>
    <t>386255, РОССИЯ, РЕСПУБЛИКА ИНГУШЕТИЯ, М.Р-Н СУНЖЕНСКИЙ, С ГАЛАШКИ, С.П. ГАЛАШКИ, УЛ КОМСОМОЛЬСКАЯ, Д. 31</t>
  </si>
  <si>
    <t>ИП ИЛИЕВ РУСТАМ ДАВИДОВИЧ</t>
  </si>
  <si>
    <t>ООО МАС</t>
  </si>
  <si>
    <t>386331, РОССИЯ, РЕСПУБЛИКА ИНГУШЕТИЯ, М.Р-Н МАЛГОБЕКСКИЙ, С ВЕЖАРИЙ, С.П. ВЕЖАРИЙ, УЛ МАЙСКАЯ, ЗД. 4, КВ. 2</t>
  </si>
  <si>
    <t>ИП ДАВРИШЕВ РАМАЗАН РОМАНОВИЧ</t>
  </si>
  <si>
    <t>Кабардино-Балкарская республика</t>
  </si>
  <si>
    <t>ИП КИПОВ МИХАИЛ МУХАМЕДОВИЧ</t>
  </si>
  <si>
    <t>ГБУЗ ЦРБ Г.О. ПРОХЛАДНЫЙ И ПРОХЛАДНЕНСКОГО МУНИЦИПАЛЬНОГО РАЙОНА</t>
  </si>
  <si>
    <t>361045, КАБАРДИНО-БАЛКАРСКАЯ РЕСПУБЛИКА, Г ПРОХЛАДНЫЙ, УЛ ЛЕНИНА, Д.113</t>
  </si>
  <si>
    <t>ИП ХАБЕКОВА НАТАЛЬЯ НИКОЛАЕВНА</t>
  </si>
  <si>
    <t>ИП СИЖАЖЕВ МУРАТ ЛЕОНИДОВИЧ</t>
  </si>
  <si>
    <t>ИП КИМ НИКОЛАЙ АНАТОЛЬЕВИЧ</t>
  </si>
  <si>
    <t>ИП МАКАРЕНКО КИРИЛЛ СЕРГЕЕВИЧ</t>
  </si>
  <si>
    <t>ООО ОМЕГА</t>
  </si>
  <si>
    <t>360016, КАБАРДИНО-БАЛКАРСКАЯ РЕСПУБЛИКА, Г НАЛЬЧИК, УЛ МОВСИСЯНА, Д. 18</t>
  </si>
  <si>
    <t>ООО ФРУТЕТТО</t>
  </si>
  <si>
    <t>360010, КАБАРДИНО-БАЛКАРСКАЯ РЕСПУБЛИКА, Г НАЛЬЧИК, УЛ ИМЕНИ ГЕРОЯ РОССИЙСКОЙ ФЕДЕРАЦИИ НУРМАГОМЕДА ЭНГЕЛЬСОВИЧА ГАДЖИМАГОМЕДОВА, Д. 68</t>
  </si>
  <si>
    <t>ООО РН-ЭЛЬБРУС</t>
  </si>
  <si>
    <t>360022, КАБАРДИНО-БАЛКАРСКАЯ РЕСПУБЛИКА, Г НАЛЬЧИК, УЛ ПУШКИНА, Д. 101, ЭТАЖ - 6 КАБ. №621</t>
  </si>
  <si>
    <t>ИП АНСОКОВ АСКЕР АЛИКОВИЧ</t>
  </si>
  <si>
    <t>ГБУЗ БСМЭ МИНЗДРАВА КБР</t>
  </si>
  <si>
    <t>360001, КАБАРДИНО-БАЛКАРСКАЯ РЕСПУБЛИКА, Г НАЛЬЧИК, УЛ ГОРЬКОГО, Д.31</t>
  </si>
  <si>
    <t>ИП ПРИХОДЬКО ВЛАДИМИР ФЕДОРОВИЧ</t>
  </si>
  <si>
    <t>ООО СПЕЦСЕРВИС</t>
  </si>
  <si>
    <t>361041, КАБАРДИНО-БАЛКАРСКАЯ РЕСПУБЛИКА, Г ПРОХЛАДНЫЙ, УЛ ПРОМЫШЛЕННАЯ, Д.90</t>
  </si>
  <si>
    <t>ИП ТЕРЕНИЧЕВ АРТЁМ СЕРГЕЕВИЧ</t>
  </si>
  <si>
    <t>Республика Калмыкия</t>
  </si>
  <si>
    <t>ООО ОРСО</t>
  </si>
  <si>
    <t>358009, РОССИЯ, РЕСПУБЛИКА КАЛМЫКИЯ, Г.О. ГОРОД ЭЛИСТА, Г ЭЛИСТА, МКР 3, Д. 18, ОФИС 1</t>
  </si>
  <si>
    <t>ИП ШУМИЛИНА ЛЮДМИЛА ВИКТОРОВНА</t>
  </si>
  <si>
    <t>ИП МУЗРАЕВ ВАДИМ ДМИТРИЕВИЧ</t>
  </si>
  <si>
    <t>ИП Бачаев Саид-Магомед Абдул-Вахабович</t>
  </si>
  <si>
    <t>ИП Лысенко Евгений Дмитриевич</t>
  </si>
  <si>
    <t>ИП ТЮРИНА МАРИЯ ИГОРЕВНА</t>
  </si>
  <si>
    <t>ИП ДОЛГАНОВ НИКОЛАЙ ВЛАДИМИРОВИЧ</t>
  </si>
  <si>
    <t>ИП ПОЛОВИНКИН АНДРЕЙ ВИКТОРОВИЧ</t>
  </si>
  <si>
    <t>ИП ТАНЧИК ВИТАЛИЙ ВЛАДИМИРОВИЧ</t>
  </si>
  <si>
    <t>ИП САЛО ЕЛЕНА ЮРЬЕВНА</t>
  </si>
  <si>
    <t>ИП СИБИРЯКОВА ОЛЬГА ВИКТОРОВНА</t>
  </si>
  <si>
    <t>ИП ТОЛКАЧЕВ АНДРЕЙ ЛЕОНИДОВИЧ</t>
  </si>
  <si>
    <t>ИП ЛЫТКИН МИХАИЛ МИХАЙЛОВИЧ</t>
  </si>
  <si>
    <t>ИП СУРТАЕВ АЛЕКСАНДР АЛЕКСАНДРОВИЧ</t>
  </si>
  <si>
    <t>ИП ВИНОКУРОВ БОРИС ВЛАДИМИРОВИЧ</t>
  </si>
  <si>
    <t>ООО МОТО-МОТА</t>
  </si>
  <si>
    <t>358014, РОССИЯ, РЕСПУБЛИКА КАЛМЫКИЯ, Г.О. ГОРОД ЭЛИСТА, Г ЭЛИСТА, МКР 8, Д. 13, КВ. 11</t>
  </si>
  <si>
    <t>ИП НУРОВ ИБРАГИМ МАГОМЕДОВИЧ</t>
  </si>
  <si>
    <t>ИП Ульянова Татьяна Владимировна</t>
  </si>
  <si>
    <t>ИП ХОХУРОВ ТАГИР МИНГИЯНОВИЧ</t>
  </si>
  <si>
    <t>ИП Бадмаев Эрднь Урубжурович</t>
  </si>
  <si>
    <t>ИП МУКУРАЕВ АРСЛАН СЕРГЕЕВИЧ</t>
  </si>
  <si>
    <t>ИП КАЗАРИН ДЕНИС ИГОРЕВИЧ</t>
  </si>
  <si>
    <t>ИП ТРИГОЛОС СЕРГЕЙ АЛЕКСЕЕВИЧ</t>
  </si>
  <si>
    <t>ИП БУГАЕВ СЕРГЕЙ НИКОЛАЕВИЧ</t>
  </si>
  <si>
    <t>ИП МОРОЗОВА НАТАЛЬЯ ВЛАДИМИРОВНА</t>
  </si>
  <si>
    <t>ИП КЕКЕЕВА НАТАЛЬЯ АЛЕКСАНДРОВНА</t>
  </si>
  <si>
    <t>ИП ЛИДЖИЕВ ЧИНГИЗ БЕМБЕЕВИЧ</t>
  </si>
  <si>
    <t>ИП БЕРИКОВА БАЙРТА СЕРГЕЕВНА</t>
  </si>
  <si>
    <t>ИП ЦЕДЕНОВА ЛЮБОВЬ ВЛАДИМИРОВНА</t>
  </si>
  <si>
    <t>ИП МАЛЫШЕВ ДЕНИС ВЛАДИМИРОВИЧ</t>
  </si>
  <si>
    <t>ИП ЗАЙЦЕВА ТАТЬЯНА ИЛЬИНИЧНА</t>
  </si>
  <si>
    <t>ООО ГУДПОРТ</t>
  </si>
  <si>
    <t>358003, РОССИЯ, РЕСПУБЛИКА КАЛМЫКИЯ, Г.О. ГОРОД ЭЛИСТА, Г ЭЛИСТА, УЛ Ю.КЛЫКОВА, Д. 81Г, ПОМЕЩ. 29</t>
  </si>
  <si>
    <t>ИП ТЮРБЕЕВА ДИНА ПЕТРОВНА</t>
  </si>
  <si>
    <t>ИП Тунешев Сергей Валерьевич</t>
  </si>
  <si>
    <t>ИП ЛЕЩЕНКО ТАТЬЯНА ВАСИЛЬЕВНА</t>
  </si>
  <si>
    <t>ИП ТУНЕШЕВ ТИМУР СЕРГЕЕВИЧ</t>
  </si>
  <si>
    <t>ИП РАХМАТУЛЛИН ИЛЬДАР УРАЛОВИЧ</t>
  </si>
  <si>
    <t>ИП ТУМИН СЕРАФИМ ВЛАДИМИРОВИЧ</t>
  </si>
  <si>
    <t>ИП ТКАЧЕВ АНДРЕЙ ВИКТОРОВИЧ</t>
  </si>
  <si>
    <t>ИП САГДУТДИНОВА АНЖЕЛИКА АЛФИРОВНА</t>
  </si>
  <si>
    <t>ИП ЧИСТОВСКИЙ ИГОРЬ АНАТОЛЬЕВИЧ</t>
  </si>
  <si>
    <t>ИП ЧИСТОВСКАЯ ЛЮБОВЬ АЛЕКСАНДРОВНА</t>
  </si>
  <si>
    <t>ИП Соколов Александр Юрьевич</t>
  </si>
  <si>
    <t>ИП КУЛИКОВ ДМИТРИЙ НИКОЛАЕВИЧ</t>
  </si>
  <si>
    <t>ИП ГАСИЛОВ СТАНИСЛАВ ВАЛЕНТИНОВИЧ</t>
  </si>
  <si>
    <t>ИП МОРОЗОВ СТАНИСЛАВ ЕВГЕНЬЕВИЧ</t>
  </si>
  <si>
    <t>ООО ЗОЛОТОЕ РУНО</t>
  </si>
  <si>
    <t>Карачаево-Черкесская республика</t>
  </si>
  <si>
    <t>369015, РОССИЯ, КАРАЧАЕВО-ЧЕРКЕССКАЯ РЕСПУБЛИКА, Г.О. ЧЕРКЕССКИЙ, Г ЧЕРКЕССК, УЛ АБРИКОСОВАЯ, Д. 43</t>
  </si>
  <si>
    <t>АО НК РОСНЕФТЬ - КАРАЧАЕВО-ЧЕРКЕССКНЕФТЕПРОДУКТ</t>
  </si>
  <si>
    <t>369115, КАРАЧАЕВО-ЧЕРКЕССКАЯ РЕСПУБЛИКА, Р-Н ПРИКУБАНСКИЙ, С ЗНАМЕНКА, УЛ МИРА, Д.1, К.Б</t>
  </si>
  <si>
    <t>ИП КОНДОХОВ ОЛЕГ РАШИДОВИЧ</t>
  </si>
  <si>
    <t>ООО ТПК ТРАНССНАБ</t>
  </si>
  <si>
    <t>369005, КАРАЧАЕВО-ЧЕРКЕССКАЯ РЕСПУБЛИКА, Г ЧЕРКЕССК, ПЕР ЛИНЕЙНЫЙ, ЗД. 27</t>
  </si>
  <si>
    <t>ООО АРБАТОЙЛ</t>
  </si>
  <si>
    <t>369300, РОССИЯ, КАРАЧАЕВО-ЧЕРКЕССКАЯ РЕСПУБЛИКА, М.Р-Н УСТЬ-ДЖЕГУТИНСКИЙ, Г УСТЬ-ДЖЕГУТА, Г.П. УСТЬ-ДЖЕГУТИНСКОЕ, УЛ БОГАТЫРЕВА, Д. 47, ПОМЕЩ. 7</t>
  </si>
  <si>
    <t>ООО АВТОСФЕРА</t>
  </si>
  <si>
    <t>369005, КАРАЧАЕВО-ЧЕРКЕССКАЯ РЕСПУБЛИКА, Г ЧЕРКЕССК, УЛ ПОДГОРНАЯ, Д. 57, К. Д</t>
  </si>
  <si>
    <t>ИП ЭРТУЕВА ХАНИПА АБУЛКЕРИМОВНА</t>
  </si>
  <si>
    <t>ИП ЛАБУШКИНА ОЛЬГА МАТВЕЕВНА</t>
  </si>
  <si>
    <t>ИП ТОХЧУКОВ РАМАЗАН РУСЛАНОВИЧ</t>
  </si>
  <si>
    <t>ИП ПОЖИЛИС ЮРИЙ ИГОРЕВИЧ</t>
  </si>
  <si>
    <t>Республика Карелия</t>
  </si>
  <si>
    <t>ИП ЧЕКАШКИН АНТОН СЕРГЕЕВИЧ</t>
  </si>
  <si>
    <t>ИП Боченков Вадим Анатольевич</t>
  </si>
  <si>
    <t>ИП Рудый Игорь Степанович</t>
  </si>
  <si>
    <t>ООО КАРЕЛИЯ-СИБИРЬ-П</t>
  </si>
  <si>
    <t>185013, РЕСПУБЛИКА КАРЕЛИЯ, Г ПЕТРОЗАВОДСК, УЛ НОВОСУЛАЖГОРСКАЯ (РЫБКА Р-Н), Д. 19, ПОМЕЩ. 2</t>
  </si>
  <si>
    <t>ИП ШИХУЦКИЙ ЕВГЕНИЙ ПАВЛОВИЧ</t>
  </si>
  <si>
    <t>ИП ТУРКОВА МАРИЯ АЛЕКСЕЕВНА</t>
  </si>
  <si>
    <t>ИП КИРИЧЕНКО ЮЛИЯ АЛЕКСАНДРОВНА</t>
  </si>
  <si>
    <t>ООО КМ-АЛЬЯНС</t>
  </si>
  <si>
    <t>185014, РОССИЯ, РЕСПУБЛИКА КАРЕЛИЯ, Г.О. ПЕТРОЗАВОДСКИЙ, Г ПЕТРОЗАВОДСК, Р-Н ДРЕВЛЯНКА, ПР-КТ ЛЕСНОЙ, Д. 55, ОФИС 2</t>
  </si>
  <si>
    <t>ИП Шаталкин Александр Валентинович</t>
  </si>
  <si>
    <t>ИП ГЕРАСИМОВ ВЛАДИМИР МИХАЙЛОВИЧ</t>
  </si>
  <si>
    <t>АО КАРЕЛИЯНЕФТЕПРОДУКТ</t>
  </si>
  <si>
    <t>185003, РЕСПУБЛИКА КАРЕЛИЯ, Г ПЕТРОЗАВОДСК, УЛ ВОЛОДАРСКОГО (ГОЛИКОВКА Р-Н), Д.6</t>
  </si>
  <si>
    <t>ГБУ СО КЦСОН РК</t>
  </si>
  <si>
    <t>185030, РЕСПУБЛИКА КАРЕЛИЯ, Г ПЕТРОЗАВОДСК, УЛ ЛИЗЫ ЧАЙКИНОЙ (ГОЛИКОВКА Р-Н), Д. 5, ПОМЕЩ. 6-Н</t>
  </si>
  <si>
    <t>ИП ВАВУЛИНСКИЙ ВЛАДИМИР АНАТОЛЬЕВИЧ</t>
  </si>
  <si>
    <t>ИП МИШКОВ ВАДИМ БОРИСОВИЧ</t>
  </si>
  <si>
    <t>ООО ЛЕС-СЕРВИС П</t>
  </si>
  <si>
    <t>185014, РОССИЯ, РЕСПУБЛИКА КАРЕЛИЯ, Г.О. ПЕТРОЗАВОДСКИЙ, Г ПЕТРОЗАВОДСК, Р-Н ДРЕВЛЯНКА, Ш ЛОСОСИНСКОЕ, Д. 18</t>
  </si>
  <si>
    <t>ИП ФЕФЕЛОВ ВЛАДИМИР СЕРГЕЕВИЧ</t>
  </si>
  <si>
    <t>ИП БЕЛЯЕВ ОЛЕГ АЛЕКСЕЕВИЧ</t>
  </si>
  <si>
    <t>ООО ТОРГОВЫЙ ХОЛДИНГ ПИЛОТ</t>
  </si>
  <si>
    <t>185030, РЕСПУБЛИКА КАРЕЛИЯ, Г ПЕТРОЗАВОДСК, УЛ ЛЕСНАЯ (ГОЛИКОВКА Р-Н), Д.17</t>
  </si>
  <si>
    <t>ООО КМ-ДРАЙВ</t>
  </si>
  <si>
    <t>185014, РОССИЯ, РЕСПУБЛИКА КАРЕЛИЯ, Г.О. ПЕТРОЗАВОДСКИЙ, Г ПЕТРОЗАВОДСК, Р-Н ДРЕВЛЯНКА, ПР-КТ ЛЕСНОЙ, Д. 55, ОФИС 1</t>
  </si>
  <si>
    <t>ИП АВДЕЕНКО ИРИНА ИВАНОВНА</t>
  </si>
  <si>
    <t>ООО ТОРГОВЫЙ ХОЛДИНГ ЛОТОС</t>
  </si>
  <si>
    <t>185014, РОССИЯ, РЕСПУБЛИКА КАРЕЛИЯ, Г.О. ПЕТРОЗАВОДСКИЙ, Г ПЕТРОЗАВОДСК, Р-Н ДРЕВЛЯНКА, ПР-КТ ЛЕСНОЙ, Д. 47</t>
  </si>
  <si>
    <t>ООО ШИННЫЙ ЦЕНТР</t>
  </si>
  <si>
    <t>185013, РЕСПУБЛИКА КАРЕЛИЯ, Г ПЕТРОЗАВОДСК, УЛ БОРОВАЯ (ЖЕЛЕЗНОДОРОЖНЫЙ Р-Н), Д. 6А, ПОМЕЩ. 12</t>
  </si>
  <si>
    <t>ИП ЛУККОНЕН ЮРИЙ ВЛАДИМИРОВИЧ</t>
  </si>
  <si>
    <t>ИП БОБОТИНА ОЛЬГА ЕГОРОВНА</t>
  </si>
  <si>
    <t>ИП КАШИН НИКОЛАЙ АЛЕКСЕЕВИЧ</t>
  </si>
  <si>
    <t>ООО МС ОЙЛ</t>
  </si>
  <si>
    <t>185013, РЕСПУБЛИКА КАРЕЛИЯ, Г ПЕТРОЗАВОДСК, УЛ НОВОСУЛАЖГОРСКАЯ (РЫБКА Р-Н), Д.19</t>
  </si>
  <si>
    <t>ИП ГОНЧАРОВ АЛЕКСАНДР ДМИТРИЕВИЧ</t>
  </si>
  <si>
    <t>ИП БЕЛОГРИВЦЕВА ИРИНА ИВАНОВНА</t>
  </si>
  <si>
    <t>ИП ЗАНИНА НИНА АНДРЕЕВНА</t>
  </si>
  <si>
    <t>ИП ВОЙЦЕХОВСКАЯ ОЛЕСЯ ДМИТРИЕВНА</t>
  </si>
  <si>
    <t>ООО МС ТРАК</t>
  </si>
  <si>
    <t>ООО СЕЙЛ КОМПАНИ</t>
  </si>
  <si>
    <t>185030, РЕСПУБЛИКА КАРЕЛИЯ, Г ПЕТРОЗАВОДСК, УЛ ЛИЗЫ ЧАЙКИНОЙ (ГОЛИКОВКА Р-Н), Д.8, 46</t>
  </si>
  <si>
    <t>ООО ОЙЛМАРКЕТ</t>
  </si>
  <si>
    <t>185035, РОССИЯ, РЕСПУБЛИКА КАРЕЛИЯ, Г.О. ПЕТРОЗАВОДСКИЙ, Г ПЕТРОЗАВОДСК, Р-Н ЦЕНТР, УЛ ГОГОЛЯ, Д. 6</t>
  </si>
  <si>
    <t>ООО ГРУЗОВЫЕ ЗАПЧАСТИ</t>
  </si>
  <si>
    <t>185031, РОССИЯ, РЕСПУБЛИКА КАРЕЛИЯ, Г.О. ПЕТРОЗАВОДСКИЙ, Г ПЕТРОЗАВОДСК, Р-Н СЕВЕРНАЯ ПРОМЗОНА, УЛ ЗАВОДСКАЯ, Д. 2, ЭТАЖ 1, МАГАЗИН ГРУЗОВЫЕ ЗАПЧАСТИ</t>
  </si>
  <si>
    <t>ООО АЛМАКС</t>
  </si>
  <si>
    <t>185001, РОССИЯ, РЕСПУБЛИКА КАРЕЛИЯ, Г.О. ПЕТРОЗАВОДСКИЙ, Г ПЕТРОЗАВОДСК, Р-Н ПЕРВОМАЙСКИЙ, ПР-КТ ПЕРВОМАЙСКИЙ, Д. 17А, ПОМЕЩ. 1</t>
  </si>
  <si>
    <t>ИП КЛИМШИН ДЕНИС ОЛЕГОВИЧ</t>
  </si>
  <si>
    <t>ИП ЕРШОВ ИВАН ВАЛЕРЬЕВИЧ</t>
  </si>
  <si>
    <t>ООО  АВТОЛАЙН-ПЛЮС</t>
  </si>
  <si>
    <t>186931, РЕСПУБЛИКА КАРЕЛИЯ, Г КОСТОМУКША, УЛ ИНТЕРНАЦИОНАЛЬНАЯ, Д. 15</t>
  </si>
  <si>
    <t>ИП АНИСЬКО ИЛЬЯ ВЛАДИМИРОВИЧ</t>
  </si>
  <si>
    <t>ИП ФОМИН ДАНИЛ ГЕННАДЬЕВИЧ</t>
  </si>
  <si>
    <t>ИП САВИНОВ МАТВЕЙ ВАЛЕРЬЕВИЧ</t>
  </si>
  <si>
    <t>ООО ХОЗБЫТТОРГ</t>
  </si>
  <si>
    <t>186150, РЕСПУБЛИКА КАРЕЛИЯ, Р-Н ПУДОЖСКИЙ, Г ПУДОЖ, УЛ КОМСОМОЛЬСКАЯ, Д.26, -, -</t>
  </si>
  <si>
    <t>ООО ГИДРОКОМПЛЕКТ</t>
  </si>
  <si>
    <t>186150, РЕСПУБЛИКА КАРЕЛИЯ, М.Р-Н ПУДОЖСКИЙ, Г. ПУДОЖ, Г.П. ПУДОЖСКОЕ, УЛ КОМСОМОЛЬСКАЯ, ЗД. 33, ПОМЕЩ. 1</t>
  </si>
  <si>
    <t>ИП ТИМОНЕН МАКСИМ АНДРЕЕВИЧ</t>
  </si>
  <si>
    <t>ИП ИГНАТЮК ВЛАДИМИР ВЛАДИМИРОВИЧ</t>
  </si>
  <si>
    <t>ИП ПОЛОМОШНЫХ ЕВГЕНИЙ ВАЛЕРЬЕВИЧ</t>
  </si>
  <si>
    <t>ООО АВТОПАРТ-ИМПОРТ</t>
  </si>
  <si>
    <t>185002, РЕСПУБЛИКА КАРЕЛИЯ, Г ПЕТРОЗАВОДСК, УЛ ПАРКОВАЯ (ПЕРЕВАЛКА Р-Н), Д.56А</t>
  </si>
  <si>
    <t>ООО ПРОМЫШЛЕННЫЕ МАСЛА</t>
  </si>
  <si>
    <t>185014, РЕСПУБЛИКА КАРЕЛИЯ, Г ПЕТРОЗАВОДСК, УЛ СЫКТЫВКАРСКАЯ (ДРЕВЛЯНКА Р-Н), Д. 27, К. 2, 46</t>
  </si>
  <si>
    <t>ООО МЕГАВОЛЬТ</t>
  </si>
  <si>
    <t>185026, РЕСПУБЛИКА КАРЕЛИЯ, Г ПЕТРОЗАВОДСК, УЛ ЭНТУЗИАСТОВ (КУККОВКА Р-Н), Д. 15, КВ. 148</t>
  </si>
  <si>
    <t>ООО ОИЛМАРКЕТ</t>
  </si>
  <si>
    <t>185035, РЕСПУБЛИКА КАРЕЛИЯ, Г ПЕТРОЗАВОДСК, УЛ ЛОСОСИНСКАЯ (ЦЕНТР Р-Н), Д. 13, КВ. 48</t>
  </si>
  <si>
    <t>ООО АВТОЛИДЕР</t>
  </si>
  <si>
    <t>185031, РОССИЯ, РЕСПУБЛИКА КАРЕЛИЯ, Г.О. ПЕТРОЗАВОДСКИЙ, Г ПЕТРОЗАВОДСК, Р-Н СЕВЕРНАЯ ПРОМЗОНА, УЛ ЗАВОДСКАЯ, Д. 10</t>
  </si>
  <si>
    <t>ООО НАДЕЖДА</t>
  </si>
  <si>
    <t>186930, РЕСПУБЛИКА КАРЕЛИЯ, Г КОСТОМУКША, Ш ГОРНЯКОВ, Д. 124А</t>
  </si>
  <si>
    <t>САЛМИНСКОЕ СЕЛЬПО</t>
  </si>
  <si>
    <t>186821, РЕСПУБЛИКА КАРЕЛИЯ, Р-Н ПИТКЯРАНТСКИЙ, П САЛМИ, УЛ СВИРСКИХ ДИВИЗИЙ, Д. 11</t>
  </si>
  <si>
    <t>ИП Богданова Александра Петровна</t>
  </si>
  <si>
    <t>ИП ЕГОРОВ АНТОН БОРИСОВИЧ</t>
  </si>
  <si>
    <t>186150, РЕСПУБЛИКА КАРЕЛИЯ, Р-Н ПУДОЖСКИЙ, Г ПУДОЖ, УЛ МАШАКОВА, Д. 37</t>
  </si>
  <si>
    <t>ИП КОНЕВ ОЛЕГ ГЕННАДЬЕВИЧ</t>
  </si>
  <si>
    <t>ИП Лысюк Юрий Иванович</t>
  </si>
  <si>
    <t>ИП МОИСЕЕНКО АЛЕКСАНДР НИКОЛАЕВИЧ</t>
  </si>
  <si>
    <t>ИП КОЛОБОВ ДМИТРИЙ АНАТОЛЬЕВИЧ</t>
  </si>
  <si>
    <t>ООО ТРАК ПОИНТ</t>
  </si>
  <si>
    <t>185033, РЕСПУБЛИКА КАРЕЛИЯ, Г ПЕТРОЗАВОДСК, УЛ КОРАБЕЛОВ (КЛЮЧЕВАЯ Р-Н), Д. 18, КВ. 4</t>
  </si>
  <si>
    <t>ИП КЕЛКОЕВА НАДЕЖДА ПЕТРОВНА</t>
  </si>
  <si>
    <t>ООО МАКАН</t>
  </si>
  <si>
    <t>186931, РЕСПУБЛИКА КАРЕЛИЯ, Г КОСТОМУКША, ПЕР ТАЕЖНЫЙ, Д. 6, КВ. 15</t>
  </si>
  <si>
    <t>ООО РГ-КОМПЛЕКТ</t>
  </si>
  <si>
    <t>ИП ДЕМЕНТЬЕВ НИКОЛАЙ ОЛЕГОВИЧ</t>
  </si>
  <si>
    <t>ИП БЕРЕНДЯЕВ АНТОН ГЕННАДЬЕВИЧ</t>
  </si>
  <si>
    <t>ИП ТКАЧЕНКО СЕРГЕЙ СЕРГЕЕВИЧ</t>
  </si>
  <si>
    <t>ООО ШАГ</t>
  </si>
  <si>
    <t>186150, РОССИЯ, РЕСПУБЛИКА КАРЕЛИЯ, М.Р-Н ПУДОЖСКИЙ, Г. ПУДОЖ, Г.П. ПУДОЖСКОЕ, УЛ ПИОНЕРСКАЯ, Д. 64, ОФИС 2</t>
  </si>
  <si>
    <t>ИП Лукин Андрей Игоревич</t>
  </si>
  <si>
    <t>ИП ФЕДОРОВ АЛЕКСАНДР ВИКТОРОВИЧ</t>
  </si>
  <si>
    <t>ООО СФЕРА</t>
  </si>
  <si>
    <t>186422, РЕСПУБЛИКА КАРЕЛИЯ, Р-Н СЕГЕЖСКИЙ, Г СЕГЕЖА, УЛ 8 МАРТА, Д. 9</t>
  </si>
  <si>
    <t>ООО СК СНЕЖНЫЙ БАРС</t>
  </si>
  <si>
    <t>Республика Коми</t>
  </si>
  <si>
    <t>167984, РЕСПУБЛИКА КОМИ, Г СЫКТЫВКАР, Ш СЫСОЛЬСКОЕ, Д. 45/7</t>
  </si>
  <si>
    <t>ИП МАКСИМОВ РОМАН НИКОЛАЕВИЧ</t>
  </si>
  <si>
    <t>ООО ДИНАМИКА СЫКТЫВКАР</t>
  </si>
  <si>
    <t>167000, РОССИЯ, РЕСПУБЛИКА КОМИ, Г.О. СЫКТЫВКАР, Г СЫКТЫВКАР, УЛ МОРОЗОВА, СТР. 211, ПОМЕЩ 219</t>
  </si>
  <si>
    <t>ИП РАКИНА ЮЛИЯ АНАТОЛЬЕВНА</t>
  </si>
  <si>
    <t>ООО АТС ГАРАНТ</t>
  </si>
  <si>
    <t>167000, РОССИЯ, РЕСПУБЛИКА КОМИ, Г.О. СЫКТЫВКАР, Г СЫКТЫВКАР, УЛ МОРОЗОВА, Д. 202/2, ОФИС 1</t>
  </si>
  <si>
    <t>ИП КИЛЬДЮШОВ АЛЕКСАНДР НИКОЛАЕВИЧ</t>
  </si>
  <si>
    <t>ООО АВТОТРЕЙД-ПЕЧОРА</t>
  </si>
  <si>
    <t>169606, РЕСПУБЛИКА КОМИ, Г ПЕЧОРА, УЛ СОВЕТСКАЯ, Д. 45</t>
  </si>
  <si>
    <t>ИП ЧУПРОВА АНАСТАСИЯ ВЛАДИМИРОВНА</t>
  </si>
  <si>
    <t>ИП КЕРИМОВ ЭЛЬЧИН НАДИР ОГЛЫ</t>
  </si>
  <si>
    <t>ИП ЧЕРНЫХ ТАТЬЯНА ВИКТОРОВНА</t>
  </si>
  <si>
    <t>ИП МОИСЕЕВА ЕКАТЕРИНА СЕРГЕЕВНА</t>
  </si>
  <si>
    <t>ИП КУЗНЕЦОВА КРИСТИНА ВИКТОРОВНА</t>
  </si>
  <si>
    <t>ИП ВЕДУНКИН АЛЕКСАНДР СЕРГЕЕВИЧ</t>
  </si>
  <si>
    <t>ИП ПРЫТОВА НАТАЛЬЯ ПАВЛОВНА</t>
  </si>
  <si>
    <t>ИП АБИДОВ КАСУМ МАГОМЕДОВИЧ</t>
  </si>
  <si>
    <t>ИП НАПАЛКОВ ЕВГЕНИЙ НИКОЛАЕВИЧ</t>
  </si>
  <si>
    <t>ИП Харченко Юрий Александрович</t>
  </si>
  <si>
    <t>ИП Лыюров Владимир Александрович</t>
  </si>
  <si>
    <t>ООО ПОДШИПНИК ПЛЮС КОМИ</t>
  </si>
  <si>
    <t>167031, РЕСПУБЛИКА КОМИ, Г СЫКТЫВКАР, УЛ КАРЛА МАРКСА, Д.191, 62</t>
  </si>
  <si>
    <t>ООО СПЕЦМАРКЕТ</t>
  </si>
  <si>
    <t>167016, РЕСПУБЛИКА КОМИ, Г СЫКТЫВКАР, УЛ ДАЛЬНЯЯ, Д. 17, 75</t>
  </si>
  <si>
    <t>ИП ЖУРАВЛЕВА ЛЮДМИЛА АЛЕКСАНДРОВНА</t>
  </si>
  <si>
    <t>ИП Корнеев Константин Владимирович</t>
  </si>
  <si>
    <t>ООО СВЕМА ПЛЮС</t>
  </si>
  <si>
    <t>169300, РЕСПУБЛИКА КОМИ, Г УХТА, УЛ ЗАПАДНАЯ, Д. 6</t>
  </si>
  <si>
    <t>ООО К-СЕРВИС</t>
  </si>
  <si>
    <t>169300, РЕСПУБЛИКА КОМИ, Г УХТА, УЛ СЕВАСТОПОЛЬСКАЯ, Д. 8</t>
  </si>
  <si>
    <t>ИП ЧЕГЛЕЕВ АЛЕКСАНДР ЛЕОНИДОВИЧ</t>
  </si>
  <si>
    <t>ИП ГАЙДАКОВ РАМАЗАН РАМАЗАНОВИЧ</t>
  </si>
  <si>
    <t>ИП ПРУДНИКОВ АРТЕМ НИКОЛАЕВИЧ</t>
  </si>
  <si>
    <t>ИП АРТЕМОВА ИРИНА АЛЕКСАНДРОВНА</t>
  </si>
  <si>
    <t>ИП БОРИСОВА ЕЛЕНА ЗАХАРЬЕВНА</t>
  </si>
  <si>
    <t>ИП МИРОНОВА СВЕТЛАНА ЮРЬЕВНА</t>
  </si>
  <si>
    <t>ИП Линьков Олег Викторович</t>
  </si>
  <si>
    <t>ИП ТАЛИПОВ ЭЛЬДАР САБИРОВИЧ</t>
  </si>
  <si>
    <t>ИП ДАНИЛОВ МИХАИЛ РУДОЛЬФОВИЧ</t>
  </si>
  <si>
    <t>ИП ГОРЧАКОВА ЕКАТЕРИНА СЕРГЕЕВНА</t>
  </si>
  <si>
    <t>ИП ПОЛЯКОВ ВЯЧЕСЛАВ ВЛАДИМИРОВИЧ</t>
  </si>
  <si>
    <t>ИП ДЕГТЯРЬ СЕРГЕЙ МИХАЙЛОВИЧ</t>
  </si>
  <si>
    <t>ООО ТК УСА</t>
  </si>
  <si>
    <t>169710, РЕСПУБЛИКА КОМИ, Г УСИНСК, УЛ ЗАВОДСКАЯ, Д. 9/1</t>
  </si>
  <si>
    <t>ИП ШАМИЛОВА НАСИБА ГУДРАТ КЫЗЫ</t>
  </si>
  <si>
    <t>ИП ЛУГОМ НИКОЛАЙ НИКОЛАЕВИЧ</t>
  </si>
  <si>
    <t>ИП ТОМИЛОВ ЕФИМ АНДРЕЕВИЧ</t>
  </si>
  <si>
    <t>ИП Малафеевский Сергей Павлович</t>
  </si>
  <si>
    <t>168220, РЕСПУБЛИКА КОМИ, Р-Н СЫКТЫВДИНСКИЙ, С ВЫЛЬГОРТ, УЛ ДОМНЫ КАЛИКОВОЙ, Д. 39</t>
  </si>
  <si>
    <t>ИП РОЧЕВ ФЕДОР ВЛАДИМИРОВИЧ</t>
  </si>
  <si>
    <t>ИП ЛИХАЧЕВ МАКСИМ НИКОЛАЕВИЧ</t>
  </si>
  <si>
    <t>ИП ПАРШУКОВА ЛЮБОВЬ ВАСИЛЬЕВНА</t>
  </si>
  <si>
    <t>ИП ГРЕБЕНЮК СВЕТЛАНА ОЛЕГОВНА</t>
  </si>
  <si>
    <t>ИП САВИНОВ ДМИТРИЙ ВЛАДИМИРОВИЧ</t>
  </si>
  <si>
    <t>ИП Потолицын Андрей Альбертович</t>
  </si>
  <si>
    <t>ООО КОМИТРАК</t>
  </si>
  <si>
    <t>167000, РЕСПУБЛИКА КОМИ, Г СЫКТЫВКАР, УЛ КОЛХОЗНАЯ, Д. 125</t>
  </si>
  <si>
    <t>ООО РТП ВАСИ</t>
  </si>
  <si>
    <t>167000, РЕСПУБЛИКА КОМИ, Г СЫКТЫВКАР, М ДЫРНОС, Д.3/10</t>
  </si>
  <si>
    <t>167001, РОССИЯ, РЕСПУБЛИКА КОМИ, Г.О. СЫКТЫВКАР, Г СЫКТЫВКАР, УЛ ГАРАЖНАЯ, Д. 13</t>
  </si>
  <si>
    <t>ООО ПТФ ФАРКОП</t>
  </si>
  <si>
    <t>167009, РЕСПУБЛИКА КОМИ, Г СЫКТЫВКАР, УЛ СЕВЕРНАЯ, Д. 65/1</t>
  </si>
  <si>
    <t>ИП МАЛЬЦЕВ ИГОРЬ АЛЕКСАНДРОВИЧ</t>
  </si>
  <si>
    <t>ИП ДИДЕНКО АЛЕКСЕЙ ВЛАДИМИРОВИЧ</t>
  </si>
  <si>
    <t>ИП УДОВИЦКИЙ АЛЕКСАНДР АНАТОЛЬЕВИЧ</t>
  </si>
  <si>
    <t>ИП Астёнов Олег Николаевич</t>
  </si>
  <si>
    <t>ООО АТРИА</t>
  </si>
  <si>
    <t>169908, РОССИЯ, РЕСПУБЛИКА КОМИ, М.О. ВОРКУТА, Г ВОРКУТА, УЛ ЛЕНИНА, Д. 66А, КВ. 51</t>
  </si>
  <si>
    <t>ИП БАХАРЕВА НАДЕЖДА НИКОЛАЕВНА</t>
  </si>
  <si>
    <t>ООО УТК</t>
  </si>
  <si>
    <t>ООО ДИЗЕЛЬ СЕРВИС</t>
  </si>
  <si>
    <t>169712, РЕСПУБЛИКА КОМИ, Г УСИНСК, УЛ МОЛОДЕЖНАЯ, Д. 4, КВ. 28</t>
  </si>
  <si>
    <t>ИП СМИРНОВ АЛЕКСАНДР АБУТАЛИБОВИЧ</t>
  </si>
  <si>
    <t>ООО СЕВЕРРЕГИОНСНАБ</t>
  </si>
  <si>
    <t>168220, РЕСПУБЛИКА КОМИ, Р-Н СЫКТЫВДИНСКИЙ, С ВЫЛЬГОРТ, Ш СЫСОЛЬСКОЕ, СТР. 2</t>
  </si>
  <si>
    <t>ООО АВТОПРОМСЕРВИС</t>
  </si>
  <si>
    <t>168220, РЕСПУБЛИКА КОМИ, Р-Н СЫКТЫВДИНСКИЙ, С ВЫЛЬГОРТ, Ш СЫСОЛЬСКОЕ, Д. 3В, ОФИС 6</t>
  </si>
  <si>
    <t>ИП САЖИНА ЕЛЕНА ВЛАДИМИРОВНА</t>
  </si>
  <si>
    <t>ИП ПАДАНАЕВ МАКСИМ ВЛАДИМИРОВИЧ</t>
  </si>
  <si>
    <t>ИП ПАВЛОВ ВАДИМ МИХАЙЛОВИЧ</t>
  </si>
  <si>
    <t>ИП ТОКМАКОВ ЮРИЙ ФЕДОРОВИЧ</t>
  </si>
  <si>
    <t>ИП ИОЛЬ МАКСИМ ЮРЬЕВИЧ</t>
  </si>
  <si>
    <t>ИП ЦУКУРЬЯН ГЕОРГИЙ КУРКЕНОВИЧ</t>
  </si>
  <si>
    <t>ООО ПТФ ТРОЙКА</t>
  </si>
  <si>
    <t>167026, РЕСПУБЛИКА КОМИ, Г СЫКТЫВКАР, Ш УХТИНСКОЕ, Д. 12</t>
  </si>
  <si>
    <t>ООО НПП ЛЕСПРОМСЕРВИС</t>
  </si>
  <si>
    <t>167004, РЕСПУБЛИКА КОМИ, Г СЫКТЫВКАР, УЛ ПЕРВОМАЙСКАЯ, СТР. 114</t>
  </si>
  <si>
    <t>ООО КРТ</t>
  </si>
  <si>
    <t>167982, РЕСПУБЛИКА КОМИ, Г СЫКТЫВКАР, УЛ САВИНА, Д.81</t>
  </si>
  <si>
    <t>ООО ПРОМСЕРВИС-КОМИ</t>
  </si>
  <si>
    <t>167001, РЕСПУБЛИКА КОМИ, Г СЫКТЫВКАР, УЛ ГАРАЖНАЯ, Д. 9</t>
  </si>
  <si>
    <t>ООО МАСТЕР</t>
  </si>
  <si>
    <t>167000, РЕСПУБЛИКА КОМИ, Г СЫКТЫВКАР, УЛ ГАРАЖНАЯ, СТР. 4/4</t>
  </si>
  <si>
    <t>ИП ПОПОВ ВАЛЕРИЙ ВЛАДИМИРОВИЧ</t>
  </si>
  <si>
    <t>ООО АВТОРЕСУРС МОТОРС</t>
  </si>
  <si>
    <t>167001, РЕСПУБЛИКА КОМИ, Г СЫКТЫВКАР, УЛ ГАРАЖНАЯ, СТР. 19</t>
  </si>
  <si>
    <t>ИП ГАБОВА ВЕРОНИКА ИВАНОВНА</t>
  </si>
  <si>
    <t>ИП БУХОНЬКО КОНСТАНТИН СЕРГЕЕВИЧ</t>
  </si>
  <si>
    <t>ИП КИМША СТЕПАН НИКОЛАЕВИЧ</t>
  </si>
  <si>
    <t>ИП Попов Александр Александрович</t>
  </si>
  <si>
    <t>ИП Белая Лариса Владимировна</t>
  </si>
  <si>
    <t>ООО АТМ</t>
  </si>
  <si>
    <t>169300, РЕСПУБЛИКА КОМИ, Г УХТА, УЛ СЕНЮКОВА, Д. 8</t>
  </si>
  <si>
    <t>ИП ВАГИЗОВ ВЯЧЕСЛАВ МИХАЙЛОВИЧ</t>
  </si>
  <si>
    <t>ИП СУХАНОВ РОМАН АНАТОЛЬЕВИЧ</t>
  </si>
  <si>
    <t>ИП УЛЬЯНИЦКИЙ АРТЕМ РОМАНОВИЧ</t>
  </si>
  <si>
    <t>ИП ИЗЬЮРОВ ВИТАЛИЙ ОЛЕГОВИЧ</t>
  </si>
  <si>
    <t>ИП Созинов Андрей Валерьевич</t>
  </si>
  <si>
    <t>ИП Лихачев Виктор Николаевич</t>
  </si>
  <si>
    <t>ИП СТРЕКОЗОВА ЕЛЕНА МИХАЙЛОВНА</t>
  </si>
  <si>
    <t>ИП КРАХМАЛЕВА СВЕТЛАНА ГЕННАДЬЕВНА</t>
  </si>
  <si>
    <t>ИП МИРЗОЕВА ЖАННА ДМИТРИЕВНА</t>
  </si>
  <si>
    <t>ООО МЭТР</t>
  </si>
  <si>
    <t>169319, РОССИЯ, РЕСПУБЛИКА КОМИ, М.О. УХТА, Г УХТА, ПР-КТ ЛЕНИНА, Д. 79, ПОМЕЩ. Н-6, ПОМЕЩ. 3</t>
  </si>
  <si>
    <t>ГУЗ РК КОЙГОРОДСКАЯ ЦРБ</t>
  </si>
  <si>
    <t>168170, РЕСПУБЛИКА КОМИ, Р-Н КОЙГОРОДСКИЙ, С КОЙГОРОДОК, УЛ НАБЕРЕЖНАЯ, Д.103Б</t>
  </si>
  <si>
    <t>ИП Сажин Роман Валерьевич</t>
  </si>
  <si>
    <t>ИП ГЛУХ ИРИНА ВИТАЛЬЕВНА</t>
  </si>
  <si>
    <t>ИП ЕЛИСЕЕВ ИГОРЬ АНАТОЛЬЕВИЧ</t>
  </si>
  <si>
    <t>ИП ХОЗЯИНОВ ВИКТОР АЛЕКСЕЕВИЧ</t>
  </si>
  <si>
    <t>ООО ТОРГСЕРВИС 11</t>
  </si>
  <si>
    <t>167026, РЕСПУБЛИКА КОМИ, Г СЫКТЫВКАР, Ш УХТИНСКОЕ, Д. 12, КАБИНЕТ 3</t>
  </si>
  <si>
    <t>ИП КУЗНЕЦОВ ВЛАДИСЛАВ СЕРГЕЕВИЧ</t>
  </si>
  <si>
    <t>ИП ДЕНИСОВ ДМИТРИЙ АЛЕКСАНДРОВИЧ</t>
  </si>
  <si>
    <t>ИП ИЛЬИН МИХАИЛ СЕРГЕЕВИЧ</t>
  </si>
  <si>
    <t>ИП АРТАМОНОВА АНТОНИНА АНДРЕЕВНА</t>
  </si>
  <si>
    <t>ИП ЛЕШЕВ ВИКТОР АЛЕКСАНДРОВИЧ</t>
  </si>
  <si>
    <t>Республика Марий Эл</t>
  </si>
  <si>
    <t>ИП ЕВДОКИМОВА ГАЛИНА АЛЕКСАНДРОВНА</t>
  </si>
  <si>
    <t>ИП Козырев Андрей Вячеславович</t>
  </si>
  <si>
    <t>ИП АУХАДУЛЛИН АЛЬФИТ КАРИМУЛОВИЧ</t>
  </si>
  <si>
    <t>ООО РИНМЕД</t>
  </si>
  <si>
    <t>425200, РЕСПУБЛИКА МАРИЙ ЭЛ, Р-Н МЕДВЕДЕВСКИЙ, ПГТ МЕДВЕДЕВО, УЛ ЧЕХОВА, Д. 33А</t>
  </si>
  <si>
    <t>ИП Поляков Василий Борисович</t>
  </si>
  <si>
    <t>ИП МИДЯНЫЙ СЕРГЕЙ ГРИГОРЬЕВИЧ</t>
  </si>
  <si>
    <t>ООО ТАНОС</t>
  </si>
  <si>
    <t>425204, РОССИЯ, РЕСПУБЛИКА МАРИЙ ЭЛ, М.Р-Н МЕДВЕДЕВСКИЙ, П НОВЫЙ, С.П. ПЕКШИКСОЛИНСКОЕ, УЛ САДОВАЯ, Д. 1А</t>
  </si>
  <si>
    <t>ООО ГОГАВТО</t>
  </si>
  <si>
    <t>425009, РОССИЯ, РЕСПУБЛИКА МАРИЙ ЭЛ, Г.О. ГОРОД ВОЛЖСК, Г ВОЛЖСК, УЛ 107 БРИГАДЫ, Д. 6/3, КВ. 44</t>
  </si>
  <si>
    <t>ООО АВТО + Л</t>
  </si>
  <si>
    <t>424004, РЕСПУБЛИКА МАРИЙ ЭЛ, Г.О. ГОРОД ЙОШКАР-ОЛА, Г ЙОШКАР-ОЛА, УЛ ЧЕХОВА, Д. 12, КВ. 38</t>
  </si>
  <si>
    <t>ИП ЛОМАКИНА НАДЕЖДА ВЯЧЕСЛАВОВНА</t>
  </si>
  <si>
    <t>ИП РОМАНОВ АЛЕКСЕЙ ВАСИЛЬЕВИЧ</t>
  </si>
  <si>
    <t>ИП САБИРОВ ЛИНАР РАФИСОВИЧ</t>
  </si>
  <si>
    <t>ГБУ РМЭ МЕДВЕДЕВСКАЯ ЦРБ</t>
  </si>
  <si>
    <t>425200, РЕСПУБЛИКА МАРИЙ ЭЛ, Р-Н МЕДВЕДЕВСКИЙ, ПГТ МЕДВЕДЕВО, УЛ КООПЕРАТИВНАЯ, Д.11, -, -</t>
  </si>
  <si>
    <t>ООО МЕДГАЗ</t>
  </si>
  <si>
    <t>425200, РЕСПУБЛИКА МАРИЙ ЭЛ, Р-Н МЕДВЕДЕВСКИЙ, ПГТ МЕДВЕДЕВО, УЛ ЧЕХОВА, Д.18</t>
  </si>
  <si>
    <t>ИП ВИНОГОРОВА ЕКАТЕРИНА ЛЕОНИДОВНА</t>
  </si>
  <si>
    <t>ООО ЛЕОН</t>
  </si>
  <si>
    <t>425200, РЕСПУБЛИКА МАРИЙ ЭЛ, Р-Н МЕДВЕДЕВСКИЙ, ПГТ МЕДВЕДЕВО, УЛ ЧЕХОВА, Д. 16А</t>
  </si>
  <si>
    <t>ИП АЛЕКСАНДРОВ АЛЕКСАНДР ЛЕОНИДОВИЧ</t>
  </si>
  <si>
    <t>ИП ЛЕСОВЩИКОВА ИРИНА ВАСИЛЬЕВНА</t>
  </si>
  <si>
    <t>ИП ИВАШОВА ЕКАТЕРИНА ЮРЬЕВНА</t>
  </si>
  <si>
    <t>ИП РАХИМОВА ТАНЗИЛЯ РАУФОВНА</t>
  </si>
  <si>
    <t>ИП ЛЕУХИН ДМИТРИЙ СЕРГЕЕВИЧ</t>
  </si>
  <si>
    <t>ИП Царегородцев Евгений Юрьевич</t>
  </si>
  <si>
    <t>ИП КОГАРИНОВА НАТАЛЬЯ БОРИСОВНА</t>
  </si>
  <si>
    <t>ООО ПФ РМ</t>
  </si>
  <si>
    <t>424007, РЕСПУБЛИКА МАРИЙ ЭЛ, Г ЙОШКАР-ОЛА, УЛ СТРОИТЕЛЕЙ, Д. 92, КАБИНЕТ 4</t>
  </si>
  <si>
    <t>ООО АВТО-7</t>
  </si>
  <si>
    <t>424913, РЕСПУБЛИКА МАРИЙ ЭЛ, Г ЙОШКАР-ОЛА, ПР-Д КОКШАЙСКИЙ, Д.49, К.А</t>
  </si>
  <si>
    <t>ИП Стариков Александр Георгиевич</t>
  </si>
  <si>
    <t>ООО АВТОСНАБЖЕНИЕ</t>
  </si>
  <si>
    <t>424006, РЕСПУБЛИКА МАРИЙ ЭЛ, Г ЙОШКАР-ОЛА, УЛ СТРОИТЕЛЕЙ, Д. 95А</t>
  </si>
  <si>
    <t>ИП САВЕЛЬЕВ ДМИТРИЙ ВЛАДИМИРОВИЧ</t>
  </si>
  <si>
    <t>ИП ШКУРИН ЕВГЕНИЙ ВИКТОРОВИЧ</t>
  </si>
  <si>
    <t>ИП КАДОЧНИКОВА АННА ПАВЛОВНА</t>
  </si>
  <si>
    <t>ИП СОЛДАТЕНКО ТАРАС АНАТОЛЬЕВИЧ</t>
  </si>
  <si>
    <t>ООО АВТОРЕГИОН 12</t>
  </si>
  <si>
    <t>424005, РЕСПУБЛИКА МАРИЙ ЭЛ, Г.О. ГОРОД ЙОШКАР-ОЛА, Г ЙОШКАР-ОЛА, ТРАКТ СЕРНУРСКИЙ, Д. 20</t>
  </si>
  <si>
    <t>ИП МАМАЕВ КОНСТАНТИН АНДРЕЕВИЧ</t>
  </si>
  <si>
    <t>ИП БОЛЬШАКОВ АЛЕКСАНДР ДМИТРИЕВИЧ</t>
  </si>
  <si>
    <t>ИП БЫКОВ ВЛАДИМИР ГАВРИЛОВИЧ</t>
  </si>
  <si>
    <t>ООО ПАЙГУСОВО</t>
  </si>
  <si>
    <t>425316, РОССИЯ, РЕСПУБЛИКА МАРИЙ ЭЛ, М.Р-Н ГОРНОМАРИЙСКИЙ, С ПАЙГУСОВО, С.П. ПАЙГУСОВСКОЕ, УЛ ЦЕНТРАЛЬНАЯ, ЗД. 2А</t>
  </si>
  <si>
    <t>ИП МИХАЙЛОВ НИКОЛАЙ МИХАЙЛОВИЧ</t>
  </si>
  <si>
    <t>ИП ЯШМОЛКИН СЕРГЕЙ ИГОРЕВИЧ</t>
  </si>
  <si>
    <t>ИП БОЛЬШАКОВ ДЕНИС ИГОРЕВИЧ</t>
  </si>
  <si>
    <t>ИП Веденин Денис Викторович</t>
  </si>
  <si>
    <t>ИП ХАБИБУЛЛИНА ЛИЛИЯ МУХТАРОВНА</t>
  </si>
  <si>
    <t>ИП МАСЛЕННИКОВ КОНСТАНТИН ВАЛЕРЬЕВИЧ</t>
  </si>
  <si>
    <t>ИП СМИРНОВА ЕКАТЕРИНА РУСЛАНОВНА</t>
  </si>
  <si>
    <t>ИП ЕФРЕМОВА ОЛЬГА ВЛАДИМИРОВНА</t>
  </si>
  <si>
    <t>ИП ЯКОВЛЕВА ОКСАНА СТАНИСЛАВОВНА</t>
  </si>
  <si>
    <t>ИП Бахтина Галина Анатольевна</t>
  </si>
  <si>
    <t>ИП СМИРНОВ ЛЕОНИД ВЛАДИМИРОВИЧ</t>
  </si>
  <si>
    <t>ИП ЛАПИН МИХАИЛ АЛЕКСАНДРОВИЧ</t>
  </si>
  <si>
    <t>ИП Мосунов Сергей Васильевич</t>
  </si>
  <si>
    <t>ИП Жарких Игорь Сергеевич</t>
  </si>
  <si>
    <t>ООО ДЕЛЬТА</t>
  </si>
  <si>
    <t>424000, РЕСПУБЛИКА МАРИЙ ЭЛ, Г.О. ГОРОД ЙОШКАР-ОЛА, Г ЙОШКАР-ОЛА, Б-Р ЧАВАЙНА, Д. 36, ПОМЕЩ. 61</t>
  </si>
  <si>
    <t>ООО АВТОГАЗСЕРВИС</t>
  </si>
  <si>
    <t>424006, РЕСПУБЛИКА МАРИЙ ЭЛ, Г ЙОШКАР-ОЛА, УЛ СТРОИТЕЛЕЙ, Д.110</t>
  </si>
  <si>
    <t>ИП ХАБИБРАХМАНОВ РИНАТ ЗАЙНУЛГАРАПОВИЧ</t>
  </si>
  <si>
    <t>ООО АВТО-5</t>
  </si>
  <si>
    <t>ООО АВТОКОМ</t>
  </si>
  <si>
    <t>424030, РЕСПУБЛИКА МАРИЙ ЭЛ, Г ЙОШКАР-ОЛА, УЛ КАРЛА ЛИБКНЕХТА, Д.108</t>
  </si>
  <si>
    <t>ИП СМИРНОВ ЮРИЙ АНАТОЛЬЕВИЧ</t>
  </si>
  <si>
    <t>ООО МИР МАСЕЛ</t>
  </si>
  <si>
    <t>424037, РЕСПУБЛИКА МАРИЙ ЭЛ, Г.О. ГОРОД ЙОШКАР-ОЛА, Г ЙОШКАР-ОЛА, УЛ ОСИПЕНКО, Д. 1, ПОМЕЩ. 2</t>
  </si>
  <si>
    <t>ИП КИСЛИЦЫН МИХАИЛ ИВАНОВИЧ</t>
  </si>
  <si>
    <t>ИП ГАБДРАХИМОВ РИФАТ РАВХАТОВИЧ</t>
  </si>
  <si>
    <t>ИП ГЛУШКОВ КОНСТАНТИН СЕРГЕЕВИЧ</t>
  </si>
  <si>
    <t>ИП ЕФАНОВА АРИНА СЕРГЕЕВНА</t>
  </si>
  <si>
    <t>ИП САВАТЕЕВ АЛЕКСАНДР АЛЕКСАНДРОВИЧ</t>
  </si>
  <si>
    <t>ИП БАЛАНДАЕВА ЭЛЬВИРА ГЕННАДЬЕВНА</t>
  </si>
  <si>
    <t>ИП КУЗНЕЦОВ ЕВГЕНИЙ НИКОЛАЕВИЧ</t>
  </si>
  <si>
    <t>ООО ФАЗЕНДА</t>
  </si>
  <si>
    <t>425317, РОССИЯ, РЕСПУБЛИКА МАРИЙ ЭЛ, М.Р-Н ГОРНОМАРИЙСКИЙ, С МИКРЯКОВО, С.П. МИКРЯКОВСКОЕ, УЛ ЦЕНТРАЛЬНАЯ, Д. 27Б</t>
  </si>
  <si>
    <t>ИП ДАНИЛОВА ЮЛИЯ ДМИТРИЕВНА</t>
  </si>
  <si>
    <t>ИП КУТУЗОВА ВАЛЕНТИНА АЛЬБЕРТОВНА</t>
  </si>
  <si>
    <t>ПК АРДИНСКОЕ СПО</t>
  </si>
  <si>
    <t>425290, РЕСПУБЛИКА МАРИЙ ЭЛ, Р-Н КИЛЕМАРСКИЙ, Д ПАУЛКИНО, УЛ ЗЕЛЕНАЯ, Д. 1А</t>
  </si>
  <si>
    <t>ИП МАСЛЕННИКОВА ТАТЬЯНА ВАСИЛЬЕВНА</t>
  </si>
  <si>
    <t>ИП БЕЛОВА ЛЮЦИЯ ГАБДУЛФАЯЗОВНА</t>
  </si>
  <si>
    <t>ИП КОРЯКОВ АЛЕКСАНДР ВЯЧЕСЛАВОВИЧ</t>
  </si>
  <si>
    <t>ИП ТУПИЦЫНА МАРИНА АЛЕКСАНДРОВНА</t>
  </si>
  <si>
    <t>ИП БЕЛОРУСОВА ИРИНА НИКОЛАЕВНА</t>
  </si>
  <si>
    <t>ИП МОСКВИНА СВЕТЛАНА ЛЕОНИДОВНА</t>
  </si>
  <si>
    <t>ИП ПЕКПАЕВ ДЕНИС МИХАЙЛОВИЧ</t>
  </si>
  <si>
    <t>ИП КРОПОЧЕВ СТАНИСЛАВ СЕРГЕЕВИЧ</t>
  </si>
  <si>
    <t>ИП Соловьева Любовь Николаевна</t>
  </si>
  <si>
    <t>ООО ФИРМА АВТОРЕМОНТ</t>
  </si>
  <si>
    <t>424004, РЕСПУБЛИКА МАРИЙ ЭЛ, Г ЙОШКАР-ОЛА, УЛ ВОЛКОВА, Д.50</t>
  </si>
  <si>
    <t>ООО ЦЕНТРСБЫТ</t>
  </si>
  <si>
    <t>424007, РЕСПУБЛИКА МАРИЙ ЭЛ, Г ЙОШКАР-ОЛА, УЛ ПРОХОРОВА, Д. 37Б, ОФИС 207</t>
  </si>
  <si>
    <t>ИП ДОРОНИН СЕРГЕЙ МИХАЙЛОВИЧ</t>
  </si>
  <si>
    <t>ИП ОБУХОВ ОЛЕГ ВИТАЛЬЕВИЧ</t>
  </si>
  <si>
    <t>ИП ПАЛАГИН ЕВГЕНИЙ АЛЕКСЕЕВИЧ</t>
  </si>
  <si>
    <t>ИП ХУСАИНОВ АНТОН СЕРГЕЕВИЧ</t>
  </si>
  <si>
    <t>ИП Белова Елена Ивановна</t>
  </si>
  <si>
    <t>ИП КУРМАЕВ АЛЕКСЕЙ АЛЕКСАНДРОВИЧ</t>
  </si>
  <si>
    <t>ИП ЗИНОВЬЕВ АНДРЕЙ ГЕННАДЬЕВИЧ</t>
  </si>
  <si>
    <t>ИП МАДИГУЛОВ МАРАТ ТАХИРОВИЧ</t>
  </si>
  <si>
    <t>ИП ЯКОВЛЕВ АНДРЕЙ ВАЛЕРЬЕВИЧ</t>
  </si>
  <si>
    <t>ИП ИНАКОВА ЯНА ЕВГЕНЬЕВНА</t>
  </si>
  <si>
    <t>ООО ГАЛФ</t>
  </si>
  <si>
    <t>424028, РЕСПУБЛИКА МАРИЙ ЭЛ, Р-Н МЕДВЕДЕВСКИЙ, П СУРОК, УЛ КОММУНИСТИЧЕСКАЯ, Д. 13, ОФИС 1</t>
  </si>
  <si>
    <t>ООО ОПТ-ОЙЛ</t>
  </si>
  <si>
    <t>Импортер, Оптовик, УОТ, Производитель</t>
  </si>
  <si>
    <t>425000, РЕСПУБЛИКА МАРИЙ ЭЛ, Г ВОЛЖСК, ПР-Д ВОКЗАЛЬНЫЙ, Д. 4, ПОЗ 414А</t>
  </si>
  <si>
    <t>ООО КМ-АВТО САРАНСК-2</t>
  </si>
  <si>
    <t>Республика Мордовия</t>
  </si>
  <si>
    <t>430030, РОССИЯ, РЕСПУБЛИКА МОРДОВИЯ, Г.О. САРАНСК, Г САРАНСК, УЛ СТРОИТЕЛЬНАЯ, Д. 4Б</t>
  </si>
  <si>
    <t>ООО ТРАНСНЕФТЕПРОДУКТ-М</t>
  </si>
  <si>
    <t>430030, РЕСПУБЛИКА МОРДОВИЯ, Г.О. САРАНСК, Г САРАНСК, УЛ СТРОИТЕЛЬНАЯ, Д. 11, СТР. 9</t>
  </si>
  <si>
    <t>ИП БЕЛОВА НАДЕЖДА ВЯЧЕСЛАВОВНА</t>
  </si>
  <si>
    <t>ИП ГАЛИЕВ РИШАТ АСГАТОВИЧ</t>
  </si>
  <si>
    <t>ИП ГРИГОРЬЕВ ПАВЕЛ АЛЕКСАНДРОВИЧ</t>
  </si>
  <si>
    <t>ИП СЫРЧИН ИЛЬЯ ВЛАДИМИРОВИЧ</t>
  </si>
  <si>
    <t>ИП КРУПЦОВА ЭНДЖЕ ГАЗИЗОВНА</t>
  </si>
  <si>
    <t>ИП МИХАЙЛОВ АЛЕКСЕЙ ВИТАЛЬЕВИЧ</t>
  </si>
  <si>
    <t>430034, РОССИЯ, РЕСПУБЛИКА МОРДОВИЯ, Г.О. САРАНСК, Г САРАНСК, УЛ ПОБЕДЫ, Д. 1Б, ОФИС 2</t>
  </si>
  <si>
    <t>ИП ФЕДОТОВ СЕРГЕЙ ВЛАДИМИРОВИЧ</t>
  </si>
  <si>
    <t>ИП ПЕЛИН АНАТОЛИЙ НИКОЛАЕВИЧ</t>
  </si>
  <si>
    <t>ИП КОНОВАЛОВА МАРИЯ СЕМЕНОВНА</t>
  </si>
  <si>
    <t>ООО МПК НОРОВСКИЙ</t>
  </si>
  <si>
    <t>431591, РЕСПУБЛИКА МОРДОВИЯ, Р-Н КОЧКУРОВСКИЙ, П КРАСНОМАЙСКИЙ, УЛ КРАСНАЯ, Д.4</t>
  </si>
  <si>
    <t>ИП МИХЕЕВА ЮЛИЯ АЛЬЗЕРТОВНА</t>
  </si>
  <si>
    <t>ИП САДОВНИКОВ ЕВГЕНИЙ СЕРГЕЕВИЧ</t>
  </si>
  <si>
    <t>ИП Никишова Ираида Михайловна</t>
  </si>
  <si>
    <t>ИП ЯУШЕВ СЕРГЕЙ АЛЕКСАНДРОВИЧ</t>
  </si>
  <si>
    <t>ИП ХРАМОВ НИКОЛАЙ ВЛАДИМИРОВИЧ</t>
  </si>
  <si>
    <t>ООО ЗАПЧАСТИ ПЛЮС</t>
  </si>
  <si>
    <t>431350, РЕСПУБЛИКА МОРДОВИЯ, Г КОВЫЛКИНО, УЛ ПРОЛЕТАРСКАЯ, Д.2Б</t>
  </si>
  <si>
    <t>ООО МОРДОВАГРОЛИЗИНГ</t>
  </si>
  <si>
    <t>430006, РОССИЯ, РЕСПУБЛИКА МОРДОВИЯ, Г.О. САРАНСК, Г САРАНСК, УЛ ПРОМЫШЛЕННАЯ 2-Я, Д. 56</t>
  </si>
  <si>
    <t>ИП СКВОРЦОВА НАТАЛЬЯ ВЛАДИМИРОВНА</t>
  </si>
  <si>
    <t>ИП МАРШАЛОВ ВЛАДИМИР ВАСИЛЬЕВИЧ</t>
  </si>
  <si>
    <t>ИП СУРКОВ АЛЕКСЕЙ ВЛАДИМИРОВИЧ</t>
  </si>
  <si>
    <t>ИП КОРМИЛИЦЫН АНДРЕЙ ВЯЧЕСЛАВОВИЧ</t>
  </si>
  <si>
    <t>ИП МИХЕЕВ АЛЕКСАНДР НИКОЛАЕВИЧ</t>
  </si>
  <si>
    <t>ООО ФЛИНО ГРУП</t>
  </si>
  <si>
    <t>430030, РЕСПУБЛИКА МОРДОВИЯ, Г.О. САРАНСК, Г САРАНСК, УЛ ВАСЕНКО, Д. 17, ОФИС 206/4, ПОМЕЩ. 105</t>
  </si>
  <si>
    <t>ООО  САРАНСКМОТОРС+</t>
  </si>
  <si>
    <t>430030, РЕСПУБЛИКА МОРДОВИЯ, Г САРАНСК, УЛ СТРОИТЕЛЬНАЯ, Д. 14</t>
  </si>
  <si>
    <t>ООО АГРАРНЫЙ РЕСУРС</t>
  </si>
  <si>
    <t>430006, РОССИЯ, РЕСПУБЛИКА МОРДОВИЯ, Г.О. САРАНСК, Г САРАНСК, Ш АЛЕКСАНДРОВСКОЕ, Д. 43А, СТР. 1</t>
  </si>
  <si>
    <t>ИП ТОКАРЕВА НАТАЛЬЯ НИКОЛАЕВНА</t>
  </si>
  <si>
    <t>ИП ХРАМОВА ЛЮДМИЛА ВЛАДИМИРОВНА</t>
  </si>
  <si>
    <t>ИП ФАСКАРНАЕВА ЗУХРА ТАХИРОВНА</t>
  </si>
  <si>
    <t>ИП БАЛАЕВА АНАСТАСИЯ АНАТОЛЬЕВНА</t>
  </si>
  <si>
    <t>ООО ПАРУС</t>
  </si>
  <si>
    <t>431524, РЕСПУБЛИКА МОРДОВИЯ, Р-Н ЛЯМБИРСКИЙ, С АТЕМАР, УЛ ЦЕНТРАЛЬНАЯ, Д.90, 4</t>
  </si>
  <si>
    <t>ИП МОРГУНОВА ОЛЬГА ВЯЧЕСЛАВОВНА</t>
  </si>
  <si>
    <t>ИП ГУСЕВ ВИТАЛИЙ ГЕННАДЬЕВИЧ</t>
  </si>
  <si>
    <t>ИП КУЛАКОВ ДМИТРИЙ АЛЕКСАНДРОВИЧ</t>
  </si>
  <si>
    <t>ООО СТУДИЯ МИНТ</t>
  </si>
  <si>
    <t>430030, РЕСПУБЛИКА МОРДОВИЯ, Г.О. САРАНСК, Г САРАНСК, УЛ СТРОИТЕЛЬНАЯ, Д. 16Б, ОФИС 308</t>
  </si>
  <si>
    <t>ООО ТРЕЙДИМПОРТ</t>
  </si>
  <si>
    <t>430003, РЕСПУБЛИКА МОРДОВИЯ, Г САРАНСК, УЛ РАБОЧАЯ, Д. 102, ОФИС 13</t>
  </si>
  <si>
    <t>ООО МИРШИН</t>
  </si>
  <si>
    <t>430030, РЕСПУБЛИКА МОРДОВИЯ, Г САРАНСК, УЛ СТРОИТЕЛЬНАЯ, Д. 11Г, ОФИС 102</t>
  </si>
  <si>
    <t>ИП СТОЛБОВ НИКОЛАЙ СЕРГЕЕВИЧ</t>
  </si>
  <si>
    <t>ООО ИНТЕРСВЕТ</t>
  </si>
  <si>
    <t>430011, РЕСПУБЛИКА МОРДОВИЯ, Г САРАНСК, УЛ СТЕПАНА РАЗИНА, Д. 44, 1</t>
  </si>
  <si>
    <t>ИП Леванин Николай Иванович</t>
  </si>
  <si>
    <t>ИП МАЛАФЕЕВ СЕРГЕЙ МИХАЙЛОВИЧ</t>
  </si>
  <si>
    <t>ИП МАСКАЙКИНА СУСАННА СЕРГЕЕВНА</t>
  </si>
  <si>
    <t>ИП ЧЕРНЕЙКИН АРТЕМ СЕРГЕЕВИЧ</t>
  </si>
  <si>
    <t>ИП ЧЕРНОВА ГАЛИНА ИВАНОВНА</t>
  </si>
  <si>
    <t>ИП ЕРШКОВА ТАТЬЯНА КОНСТАНТИНОВНА</t>
  </si>
  <si>
    <t>ИП Янкин Владимир Семенович</t>
  </si>
  <si>
    <t>ООО СТРОЙФИЛТРАКТ</t>
  </si>
  <si>
    <t>431350, РЕСПУБЛИКА МОРДОВИЯ, Г КОВЫЛКИНО, УЛ ЖЕЛЯБОВА, Д.7А, 22</t>
  </si>
  <si>
    <t>ИП КУДАШКИН АЛЕКСЕЙ СЕРГЕЕВИЧ</t>
  </si>
  <si>
    <t>ИП СОЛОМАНИН ОЛЕГ АЛЕКСАНДРОВИЧ</t>
  </si>
  <si>
    <t>ИП МЕНЯЙЛО ДМИТРИЙ МИХАЙЛОВИЧ</t>
  </si>
  <si>
    <t>ООО БАМ САРАНСК</t>
  </si>
  <si>
    <t>430910, РЕСПУБЛИКА МОРДОВИЯ, Г САРАНСК, РП ЛУХОВКА, УЛ ОКТЯБРЬСКАЯ, Д. 17Д</t>
  </si>
  <si>
    <t>ООО ФТК</t>
  </si>
  <si>
    <t>430004, РЕСПУБЛИКА МОРДОВИЯ, Г САРАНСК, ПЕР КИРИЛЛОВА, Д. 2Б, ОФИС 503</t>
  </si>
  <si>
    <t>ООО ТД САРАНСКМОТОРС</t>
  </si>
  <si>
    <t>430030, РЕСПУБЛИКА МОРДОВИЯ, Г САРАНСК, УЛ СТРОИТЕЛЬНАЯ, Д. 4Б</t>
  </si>
  <si>
    <t>ИП ФЕРСТЯЕВ ВИТАЛИЙ АЛЕКСАНДРОВИЧ</t>
  </si>
  <si>
    <t>ИП АНДРОНОВА ОЛЬГА МИХАЙЛОВНА</t>
  </si>
  <si>
    <t>ИП НАГАРЕВ СЕРГЕЙ НИКОЛАЕВИЧ</t>
  </si>
  <si>
    <t>ООО АВТОДИЛЕР</t>
  </si>
  <si>
    <t>430034, РЕСПУБЛИКА МОРДОВИЯ, Г САРАНСК, УЛ ЛОДЫГИНА, Д. 9</t>
  </si>
  <si>
    <t>ООО ЛУИДОРСЕРВИС-САРАНСК</t>
  </si>
  <si>
    <t>430034, РЕСПУБЛИКА МОРДОВИЯ, Г САРАНСК, УЛ ПРОЛЕТАРСКАЯ, Д. 142А, ПОМЕЩ. 4</t>
  </si>
  <si>
    <t>ООО САРАНСКМОТОРС АВТО</t>
  </si>
  <si>
    <t>430030, РЕСПУБЛИКА МОРДОВИЯ, Г САРАНСК, УЛ ВАСЕНКО, Д. 21</t>
  </si>
  <si>
    <t>ООО АТИКС</t>
  </si>
  <si>
    <t>430030, РЕСПУБЛИКА МОРДОВИЯ, Г САРАНСК, УЛ ВАСЕНКО, Д. 15, ОФИС 301</t>
  </si>
  <si>
    <t>ООО ЭТАЛОН</t>
  </si>
  <si>
    <t>430034, РЕСПУБЛИКА МОРДОВИЯ, Г САРАНСК, Ш ЛЯМБИРСКОЕ, Д. 12, СТР. 1</t>
  </si>
  <si>
    <t>ИП КАЛЕДКИН КОНСТАНТИН ВЛАДИМИРОВИЧ</t>
  </si>
  <si>
    <t>ИП ПЕТРОВ ГЕННАДИЙ ТРОФИМОВИЧ</t>
  </si>
  <si>
    <t>ООО АЛЬФАТЕХНОТРАНС</t>
  </si>
  <si>
    <t>430003, РОССИЯ, РЕСПУБЛИКА МОРДОВИЯ, Г.О. САРАНСК, Г САРАНСК, УЛ ВАСЕНКО, Д. 2, ПОМЕЩ. 1</t>
  </si>
  <si>
    <t>ИП БЕЛЯВКИНА НАТАЛЬЯ ВАСИЛЬЕВНА</t>
  </si>
  <si>
    <t>ИП Русаков Сергей Владимирович</t>
  </si>
  <si>
    <t>ИП КОСТАРЕВА ОЛЬГА ВИКТОРОВНА</t>
  </si>
  <si>
    <t>ООО ЕВРОПАРТС</t>
  </si>
  <si>
    <t>430031, РЕСПУБЛИКА МОРДОВИЯ, Г САРАНСК, УЛ РУЗАЕВСКАЯ, Д. 36А, ОФИС 104</t>
  </si>
  <si>
    <t>ИП ПУТЯЙКИН ПЕТР ИВАНОВИЧ</t>
  </si>
  <si>
    <t>ИП ЕРМАЧКОВ СЕРГЕЙ ВИКТОРОВИЧ</t>
  </si>
  <si>
    <t>ООО АЗС МАРКЕТ</t>
  </si>
  <si>
    <t>430004, РЕСПУБЛИКА МОРДОВИЯ, Г САРАНСК, ПЕР КИРИЛЛОВА, Д. 2Б</t>
  </si>
  <si>
    <t>ИП АЛЕКСУТОЧКИН АНТОН ВАСИЛЬЕВИЧ</t>
  </si>
  <si>
    <t>ООО МАГИСТРАЛЬ-ГЛОНАСС</t>
  </si>
  <si>
    <t>430009, РЕСПУБЛИКА МОРДОВИЯ, Г САРАНСК, ПР-КТ 70 ЛЕТ ОКТЯБРЯ, Д. 69, 21</t>
  </si>
  <si>
    <t>ООО ТЕХСИСТЕМА-М</t>
  </si>
  <si>
    <t>430903, РЕСПУБЛИКА МОРДОВИЯ, Г САРАНСК, РП НИКОЛАЕВКА, УЛ МИЧУРИНА, Д. 1А, ОФИС 204</t>
  </si>
  <si>
    <t>ИП ФОМИНА ТАТЬЯНА ФЕДОРОВНА</t>
  </si>
  <si>
    <t>ИП БАТИН МИХАИЛ СЕМЕНОВИЧ</t>
  </si>
  <si>
    <t>ИП МОТОРИНА ОЛЬГА ИВАНОВНА</t>
  </si>
  <si>
    <t>ИП ТОЛСТОВ ВЯЧЕСЛАВ СЕРГЕЕВИЧ</t>
  </si>
  <si>
    <t>ИП ГАЯНОВ ЛЕНАР ИСЛАМОВИЧ</t>
  </si>
  <si>
    <t>ИП МЕЗЕНЦЕВ ДМИТРИЙ ЕВГЕНЬЕВИЧ</t>
  </si>
  <si>
    <t>ООО ВЫСОТА</t>
  </si>
  <si>
    <t>Республика Саха (Якутия)</t>
  </si>
  <si>
    <t>677901, РОССИЯ, РЕСПУБЛИКА САХА (ЯКУТИЯ), Г.О. ГОРОД ЯКУТСК, Г ЯКУТСК, МКР. МАРХА, УЛ СТРОДА, Д. 40</t>
  </si>
  <si>
    <t>АО ССК</t>
  </si>
  <si>
    <t>678960, РОССИЯ, РЕСПУБЛИКА САХА (ЯКУТИЯ), М.Р-Н НЕРЮНГРИНСКИЙ, Г НЕРЮНГРИ, Г.П. ГОРОД НЕРЮНГРИ, ТЕР. БАЗА АЛЬЯНС, СТР. 7</t>
  </si>
  <si>
    <t>ООО ТУЙМААДА-НЕФТЬ</t>
  </si>
  <si>
    <t>677008, РОССИЯ, РЕСПУБЛИКА САХА (ЯКУТИЯ), Г.О. ГОРОД ЯКУТСК, Г ЯКУТСК, ТРАКТ ВИЛЮЙСКИЙ 4 КМ, Д. 2/1</t>
  </si>
  <si>
    <t>ГБУ РС(Я) РСДИОПИ</t>
  </si>
  <si>
    <t>678920, РЕСПУБЛИКА САХА (ЯКУТИЯ), У АЛДАНСКИЙ, С ЫЛЛЫМАХ, УЛ НАГОРНАЯ, Д. 9</t>
  </si>
  <si>
    <t>ИП КОРЯКИН ТИМУР АРКАДЬЕВИЧ</t>
  </si>
  <si>
    <t>ИП СЕМЕНОВ ПЕТР МАКЕДОНОВИЧ</t>
  </si>
  <si>
    <t>ИП ВИНОКУРОВА ИРИНА БОЯНОВНА</t>
  </si>
  <si>
    <t>ООО 66 ОЙЛ</t>
  </si>
  <si>
    <t>678670, РЕСПУБЛИКА САХА (ЯКУТИЯ), У ЧУРАПЧИНСКИЙ, С ЧУРАПЧА, УЛ П.П. ПИНИГИНА, Д. 22</t>
  </si>
  <si>
    <t>ИП ТАМБОВЦЕВ МАКСИМ ВЛАДИМИРОВИЧ</t>
  </si>
  <si>
    <t>ООО ПО ЯКУТСКЭНЕРГОСЕРВИС</t>
  </si>
  <si>
    <t>678175, РЕСПУБЛИКА САХА (ЯКУТИЯ), У МИРНИНСКИЙ, Г МИРНЫЙ, УЛ ЛЕНИНА, Д. 34, 3</t>
  </si>
  <si>
    <t>ООО ГАРАНТАВТОСТРОЙ</t>
  </si>
  <si>
    <t>678190, РОССИЯ, РЕСПУБЛИКА САХА (ЯКУТИЯ), М.Р-Н МИРНИНСКИЙ, П АЙХАЛ, Г.П. ПОСЕЛОК АЙХАЛ, УЛ ЮБИЛЕЙНАЯ, Д. 6, КВ. 1</t>
  </si>
  <si>
    <t>ООО ТД ЮУМК</t>
  </si>
  <si>
    <t>678960, РЕСПУБЛИКА САХА (ЯКУТИЯ), М.Р-Н НЕРЮНГРИНСКИЙ, Г НЕРЮНГРИ, Г.П. ГОРОД НЕРЮНГРИ, УЛ АММОСОВА, Д. 16</t>
  </si>
  <si>
    <t>ООО РАРИТЭК АВТО ГРУПП</t>
  </si>
  <si>
    <t>678960, РЕСПУБЛИКА САХА (ЯКУТИЯ), Р-Н НЕРЮНГРИНСКИЙ, Г НЕРЮНГРИ, УЛ СЕВЕРНАЯ, ЗД. 13</t>
  </si>
  <si>
    <t>ИП Бутко Ольга Викторовна</t>
  </si>
  <si>
    <t>ИП Иванов Андрей Иванович</t>
  </si>
  <si>
    <t>ООО ТУЙМААДА-ГОЛД</t>
  </si>
  <si>
    <t>677009, РЕСПУБЛИКА САХА (ЯКУТИЯ), Г ЯКУТСК, ПЕР МАГАНСКИЙ, Д.1</t>
  </si>
  <si>
    <t>ИП МАМАЕВ ВЛАДИМИР ВАЛЬДЕМАРОВИЧ</t>
  </si>
  <si>
    <t>ИП КОРОТКИХ РАДА ВЛАДИМИРОВНА</t>
  </si>
  <si>
    <t>ИП СЕРГЕЕВ ЭДУАРД СЕМЕНОВИЧ</t>
  </si>
  <si>
    <t>ИП ВАСЕЛЮК НАДЕЖДА ВЛАДИМИРОВНА</t>
  </si>
  <si>
    <t>ООО ТД КАР-МЕН</t>
  </si>
  <si>
    <t>677000, РЕСПУБЛИКА САХА (ЯКУТИЯ), Г ЯКУТСК, УЛ ЖОРНИЦКОГО, Д.22, К.1</t>
  </si>
  <si>
    <t>ИП ГОРДЕЕВ ПЕТР АНАТОЛЬЕВИЧ</t>
  </si>
  <si>
    <t>ООО РАВЕНОЛ ЯКУТИЯ</t>
  </si>
  <si>
    <t>677008, РОССИЯ, РЕСПУБЛИКА САХА (ЯКУТИЯ), Г.О. ГОРОД ЯКУТСК, Г ЯКУТСК, ПЕР БАЗОВЫЙ, Д. 31/1</t>
  </si>
  <si>
    <t>ООО САХАПРО</t>
  </si>
  <si>
    <t>678380, РОССИЯ, РЕСПУБЛИКА САХА (ЯКУТИЯ), М.Р-Н НАМСКИЙ, С НАМЦЫ, С.П. ЛЕНСКИЙ НАСЛЕГ, УЛ Н.РЫКУНОВА, Д. 1, К. 3</t>
  </si>
  <si>
    <t>ООО СМАРТ</t>
  </si>
  <si>
    <t>678188, РОССИЯ, РЕСПУБЛИКА САХА (ЯКУТИЯ), М.Р-Н МИРНИНСКИЙ, Г УДАЧНЫЙ, Г.П. ГОРОД УДАЧНЫЙ, МКР НОВЫЙ ГОРОД, ЗД. 31/1</t>
  </si>
  <si>
    <t>ИП ШАКУРОВА ИРИНА ВИКТОРОВНА</t>
  </si>
  <si>
    <t>ИП САРАФАННИКОВ ОЛЕГ СЕРГЕЕВИЧ</t>
  </si>
  <si>
    <t>ИП МИХАЙЛОВ АЛЕКСАНДР ИВАНОВИЧ</t>
  </si>
  <si>
    <t>ИП КАЗАНЦЕВА НАТАЛЬЯ БОРИСОВНА</t>
  </si>
  <si>
    <t>ИП РАДЧЕНКО АНТОН АЛЕКСЕЕВИЧ</t>
  </si>
  <si>
    <t>ИП ВЛАСОВА НАТАЛЬЯ ВИТАЛЬЕВНА</t>
  </si>
  <si>
    <t>ИП МИХАЙЛОВ ПАВЕЛ ЕГОРОВИЧ</t>
  </si>
  <si>
    <t>ИП МИХАЙЛОВА НАДЕЖДА ЕГОРОВНА</t>
  </si>
  <si>
    <t>ООО САНДАЛ</t>
  </si>
  <si>
    <t>678650, РЕСПУБЛИКА САХА (ЯКУТИЯ), У. ТАТТИНСКИЙ, С ЫТЫК-КЮЕЛЬ, УЛ П.ВАСИЛЬЕВА, Д.43</t>
  </si>
  <si>
    <t>ИП КАЗАКОВ АНДРЕЙ ВИКТОРОВИЧ</t>
  </si>
  <si>
    <t>ООО СИТИМ</t>
  </si>
  <si>
    <t>678679, РЕСПУБЛИКА САХА (ЯКУТИЯ), У. ЧУРАПЧИНСКИЙ, С МЫРЫЛА, УЛ АМГИНСКАЯ, Д. 8, КВ. 3</t>
  </si>
  <si>
    <t>ИП ДЬЯЧКОВСКИЙ НИКОЛАЙ МИХАЙЛОВИЧ</t>
  </si>
  <si>
    <t>ИП КУКАЕВ НИКОЛАЙ ВАСИЛЬЕВИЧ</t>
  </si>
  <si>
    <t>ИП НЕГНЮРОВ ЕВГЕНИЙ ИЛЬИЧ</t>
  </si>
  <si>
    <t>ИП ЛОПАРЕВА ЕЛЕНА ВАЛЕРЬЕВНА</t>
  </si>
  <si>
    <t>АО ВТТ</t>
  </si>
  <si>
    <t>677008, РЕСПУБЛИКА САХА (ЯКУТИЯ), Г ЯКУТСК, УЛ ЛЕРМОНТОВА, Д.94</t>
  </si>
  <si>
    <t>ИП ВЫСОКИХ АНДРЕЙ АНАТОЛЬЕВИЧ</t>
  </si>
  <si>
    <t>ООО АЛЬФА-ТОРГ</t>
  </si>
  <si>
    <t>677007, РЕСПУБЛИКА САХА (ЯКУТИЯ), Г ЯКУТСК, УЛ ТИМИРЯЗЕВА, Д.35</t>
  </si>
  <si>
    <t>ИП КОБЯКОВА ЯНА ВАСИЛЬЕВНА</t>
  </si>
  <si>
    <t>ИП ФЕДОРОВ АЛЕКСАНДР СЕРГЕЕВИЧ</t>
  </si>
  <si>
    <t>ИП САЛАТЮК ИВАН ВЛАДИМИРОВИЧ</t>
  </si>
  <si>
    <t>ООО НМ</t>
  </si>
  <si>
    <t>677015, РЕСПУБЛИКА САХА (ЯКУТИЯ), Г ЯКУТСК, ДОР ОКРУЖНАЯ, Д. 90, ОФИС 1</t>
  </si>
  <si>
    <t>ООО ТУЛОН</t>
  </si>
  <si>
    <t>677015, РЕСПУБЛИКА САХА (ЯКУТИЯ), Г.О. ГОРОД ЯКУТСК, Г ЯКУТСК, Ш ХАТЫН-ЮРЯХСКОЕ 6 КМ, Д. 116, ЭТАЖ 2</t>
  </si>
  <si>
    <t>ООО ТД МШК</t>
  </si>
  <si>
    <t>677018, РОССИЯ, РЕСПУБЛИКА САХА (ЯКУТИЯ), Г.О. ГОРОД ЯКУТСК, Г ЯКУТСК, УЛ КИРОВА, Д. 7, КВ. 49</t>
  </si>
  <si>
    <t>ИП НИГМАТЗЯНОВ ОЛЕГ МИХАЙЛОВИЧ</t>
  </si>
  <si>
    <t>ИП Ушаков Юрий Анатольевич</t>
  </si>
  <si>
    <t>ИП Тюкин Александр Робертович</t>
  </si>
  <si>
    <t>ИП СЕРГЕЕВА НАДЕЖДА КОНСТАНТИНОВНА</t>
  </si>
  <si>
    <t>ИП СТОРОЖЕВА ИРИНА СЕРГЕЕВНА</t>
  </si>
  <si>
    <t>ИП БАНДЮКОВА СВЕТЛАНА МИХАЙЛОВНА</t>
  </si>
  <si>
    <t>ИП БОГАТЫРЕНКО ОЛЕГ ВИКТОРОВИЧ</t>
  </si>
  <si>
    <t>ИП СЕМЕНОВ ИВАН ПЕТРОВИЧ</t>
  </si>
  <si>
    <t>ИП ШИШУЛИН ПАВЕЛ АЛЕКСАНДРОВИЧ</t>
  </si>
  <si>
    <t>ООО ВОСТОК</t>
  </si>
  <si>
    <t>678967, РЕСПУБЛИКА САХА (ЯКУТИЯ), Р-Н НЕРЮНГРИНСКИЙ, Г НЕРЮНГРИ, ПР-КТ ДРУЖБЫ НАРОДОВ, Д.3, 16</t>
  </si>
  <si>
    <t>ИП ЕЛИЗАРОВА ИРИНА АМИРОВНА</t>
  </si>
  <si>
    <t>ИП КВАСОВА НАТАЛЬЯ СЕРГЕЕВНА</t>
  </si>
  <si>
    <t>ИП АЛЕКСЕЕВ АФАНАСИЙ ПАВЛОВИЧ</t>
  </si>
  <si>
    <t>ИП ЕРШОВ ОЛЕГ ЮРЬЕВИЧ</t>
  </si>
  <si>
    <t>ИП ЗЕЛЕНЦОВ АЛЕКСЕЙ ВЛАДИМИРОВИЧ</t>
  </si>
  <si>
    <t>ИП СОЛОВЬЕВА СВЕТЛАНА ВИКТОРОВНА</t>
  </si>
  <si>
    <t>ИП СЕМЕНОВА ЛЮБОВЬ НИКОЛАЕВНА</t>
  </si>
  <si>
    <t>ИП КУЗЬМИН МИХАИЛ ИЛЛАРИОНОВИЧ</t>
  </si>
  <si>
    <t>ООО АРКТИК МОТОРС</t>
  </si>
  <si>
    <t>677008, РЕСПУБЛИКА САХА (ЯКУТИЯ), Г ЯКУТСК, ПЕР БАЗОВЫЙ, Д. 67/1</t>
  </si>
  <si>
    <t>ИП СЕМЕНОВ ОЛЕГ АНАТОЛЬЕВИЧ</t>
  </si>
  <si>
    <t>ООО ССМ</t>
  </si>
  <si>
    <t>677014, РЕСПУБЛИКА САХА (ЯКУТИЯ), Г ЯКУТСК, УЛ КУЗЬМИНА, Д. 26Б, КВ. 17</t>
  </si>
  <si>
    <t>ИП ХАМИЦАЕВ СОСЛАН МАРАТОВИЧ</t>
  </si>
  <si>
    <t>Республика Северная Осетия — Алания</t>
  </si>
  <si>
    <t>ООО РГК-ГРУПП</t>
  </si>
  <si>
    <t>362007, РОССИЯ, РЕСПУБЛИКА СЕВЕРНАЯ ОСЕТИЯ - АЛАНИЯ, Г.О. ГОРОД ВЛАДИКАВКАЗ, Г ВЛАДИКАВКАЗ, УЛ КУТУЗОВА, Д. 104А</t>
  </si>
  <si>
    <t>ИП ФИДАРОВА ДИАНА АЛАНОВНА</t>
  </si>
  <si>
    <t>ООО  МАСЛА И СМАЗКИ</t>
  </si>
  <si>
    <t>362001, РЕСПУБЛИКА СЕВЕРНАЯ ОСЕТИЯ - АЛАНИЯ, Г ВЛАДИКАВКАЗ, УЛ ПОЖАРСКОГО, Д. 47, К. А</t>
  </si>
  <si>
    <t>ИП ШЕРСТНЕВА ИРИНА ЮРЬЕВНА</t>
  </si>
  <si>
    <t>ИП ЛАВРЕНТЬЕВ ДМИТРИЙ ЯКОВЛЕВИЧ</t>
  </si>
  <si>
    <t>ИП НАТАРОВ СЕРГЕЙ СЕРГЕЕВИЧ</t>
  </si>
  <si>
    <t>ИП АЛАВЕРДОВА АЛИСА ЯКОВЛЕВНА</t>
  </si>
  <si>
    <t>ООО КОРПОРАЦИЯ РИМИСТ</t>
  </si>
  <si>
    <t>362043, РЕСПУБЛИКА СЕВЕРНАЯ ОСЕТИЯ - АЛАНИЯ, Г ВЛАДИКАВКАЗ, УЛ ВЕСЕННЯЯ, Д. 27, ЭТАЖ 1</t>
  </si>
  <si>
    <t>ООО КУЗБАСС</t>
  </si>
  <si>
    <t>362013, РЕСПУБЛИКА СЕВЕРНАЯ ОСЕТИЯ - АЛАНИЯ, Г ВЛАДИКАВКАЗ, УЛ СТАХАНОВА, Д. 16</t>
  </si>
  <si>
    <t>ИП БЕГИЗОВ АЛАН ЭДУАРДОВИЧ</t>
  </si>
  <si>
    <t>ИП Дербитов Рудольф Николаевич</t>
  </si>
  <si>
    <t>ИП Точиев Мустафа Яхьяевич</t>
  </si>
  <si>
    <t>ИП Сапитонов Александр Игоревич</t>
  </si>
  <si>
    <t>ИП МАРГИЕВА ВИЛЬМА АХСАРТАГОВНА</t>
  </si>
  <si>
    <t>ООО ТОРГСЕРВИС 15</t>
  </si>
  <si>
    <t>363021, РОССИЯ, РЕСПУБЛИКА СЕВЕРНАЯ ОСЕТИЯ - АЛАНИЯ, М.Р-Н ПРАВОБЕРЕЖНЫЙ, Г БЕСЛАН, Г.П. БЕСЛАНСКОЕ, УЛ КОМИНТЕРНА, ДВЛД. 90</t>
  </si>
  <si>
    <t>ООО ФАРМ-ВЛАД</t>
  </si>
  <si>
    <t>362047, РЕСПУБЛИКА СЕВЕРНАЯ ОСЕТИЯ - АЛАНИЯ, Г ВЛАДИКАВКАЗ, УЛ ВЕСЕННЯЯ, Д. 15, К. 3, КВ. 255</t>
  </si>
  <si>
    <t>ИП САБИЕВ МАГОМЕД ИСМАИЛОВИЧ</t>
  </si>
  <si>
    <t>362031, РОССИЯ, РЕСПУБЛИКА СЕВЕРНАЯ ОСЕТИЯ - АЛАНИЯ, М.Р-Н ПРИГОРОДНЫЙ, С НОГИР, С.П. НОГИРСКОЕ, Ш АРХОНСКОЕ, ЗД. 5А</t>
  </si>
  <si>
    <t>ИП ДЖИОЕВА АЙЛА КАЗБЕКОВНА</t>
  </si>
  <si>
    <t>ИП ДЖИОЕВ ВАДИМ ВИКТОРОВИЧ</t>
  </si>
  <si>
    <t>ИП ЗИННАТУЛЛИН МАРСЕЛЬ АЗАМАТОВИЧ</t>
  </si>
  <si>
    <t>Республика Татарстан</t>
  </si>
  <si>
    <t>ИП ШВЫРКОВА НАТАЛЬЯ НИКОЛАЕВНА</t>
  </si>
  <si>
    <t>ИП МИНДУБАЕВА ГУЛЬШАТ ИЛЬДУСОВНА</t>
  </si>
  <si>
    <t>ИП ФАЙЗРАХМАНОВ ИЛЬЯС МУХАРРАМОВИЧ</t>
  </si>
  <si>
    <t>ИП СТЕПАНОВА ВАЛЕНТИНА ИЛЬИНИЧНА</t>
  </si>
  <si>
    <t>ООО РАИ</t>
  </si>
  <si>
    <t>423812, РЕСПУБЛИКА ТАТАРСТАН (ТАТАРСТАН), Г.О. ГОРОД НАБЕРЕЖНЫЕ ЧЕЛНЫ, Г НАБЕРЕЖНЫЕ ЧЕЛНЫ, УЛ АХМЕТШИНА, ЗД. 117, СКЛ. 3</t>
  </si>
  <si>
    <t>ИП НАСРТДИНОВА АЛЬФИНУР ИСХАКОВНА</t>
  </si>
  <si>
    <t>ООО СЕЛЬХОЗСНАБ-А</t>
  </si>
  <si>
    <t>422900, РЕСПУБЛИКА ТАТАРСТАН (ТАТАРСТАН), Р-Н АЛЕКСЕЕВСКИЙ, ПГТ АЛЕКСЕЕВСКОЕ, УЛ ЛЕНИНА, Д.107, К.3</t>
  </si>
  <si>
    <t>ИП АМЕРХАНОВ ФАНИС АЗАТОВИЧ</t>
  </si>
  <si>
    <t>ИП ГАРИПОВ АЛЬБЕРТ ИЛЬСУРОВИЧ</t>
  </si>
  <si>
    <t>ИП БУЛАТОВ АЛЕКСЕЙ ВИКЕНТЬЕВИЧ</t>
  </si>
  <si>
    <t>ИП Воробьев Сергей Леонидович</t>
  </si>
  <si>
    <t>ИП ИСКАНДАРОВ АЗАТ ИНСАФОВИЧ</t>
  </si>
  <si>
    <t>ИП УВАРОВА ЭЛЬМИРА ИРЕКОВНА</t>
  </si>
  <si>
    <t>ИП ФАЙЗУЛЛИН ЭЛЬДАР РИНАТОВИЧ</t>
  </si>
  <si>
    <t>ИП ЕРМОЛАЕВ ВЛАДИМИР АЛЕКСЕЕВИЧ</t>
  </si>
  <si>
    <t>ИП ВЕГЕРА ОЛЕГ НИКОЛАЕВИЧ</t>
  </si>
  <si>
    <t>ООО СТФК КАМАЗ</t>
  </si>
  <si>
    <t>423800, РЕСПУБЛИКА ТАТАРСТАН (ТАТАРСТАН), Г НАБЕРЕЖНЫЕ ЧЕЛНЫ, ПР-Д РЕЗЕРВНЫЙ, Д. 43/18</t>
  </si>
  <si>
    <t>ООО СОВ</t>
  </si>
  <si>
    <t>420036, РЕСПУБЛИКА ТАТАРСТАН (ТАТАРСТАН), Г КАЗАНЬ, УЛ БЕЛИНСКОГО, Д. 21Б, ПОМЕЩ. 415</t>
  </si>
  <si>
    <t>ИП ГАЛИЕВ МУХТАР КАМИЛОВИЧ</t>
  </si>
  <si>
    <t>ООО МАТАДОР ФОРКЛИФТ</t>
  </si>
  <si>
    <t>423800, РЕСПУБЛИКА ТАТАРСТАН (ТАТАРСТАН), Г НАБЕРЕЖНЫЕ ЧЕЛНЫ, ПР-Д РЕЗЕРВНЫЙ, Д. 43/18, ПОМЕЩ. А221</t>
  </si>
  <si>
    <t>ООО АВТОДОР-МОТОРС</t>
  </si>
  <si>
    <t>420051, РЕСПУБЛИКА ТАТАРСТАН (ТАТАРСТАН), Г КАЗАНЬ, УЛ АВТОСЕРВИСНАЯ, Д.19</t>
  </si>
  <si>
    <t>ИП БРАХНОВ АЛЕКСАНДР ВЛАДИМИРОВИЧ</t>
  </si>
  <si>
    <t>ООО СТРОЙ ДЕЛЮКС</t>
  </si>
  <si>
    <t>423814, РЕСПУБЛИКА ТАТАРСТАН (ТАТАРСТАН), Г.О. ГОРОД НАБЕРЕЖНЫЕ ЧЕЛНЫ, Г НАБЕРЕЖНЫЕ ЧЕЛНЫ, УЛ АКАДЕМИКА КОРОЛЕВА, ЗД. 2/1, ЭТАЖ 2, ОФИС 6</t>
  </si>
  <si>
    <t>ООО ТЕХНОГРУПП</t>
  </si>
  <si>
    <t>423800, РОССИЯ, РЕСПУБЛИКА ТАТАРСТАН (ТАТАРСТАН), Г.О. ГОРОД НАБЕРЕЖНЫЕ ЧЕЛНЫ, Г НАБЕРЕЖНЫЕ ЧЕЛНЫ, УЛ ПРОФИЛЬНАЯ, ЗД. 58В, ПОМЕЩ. 1002</t>
  </si>
  <si>
    <t>ООО БИ2БИАВТО</t>
  </si>
  <si>
    <t>423800, РОССИЯ, РЕСПУБЛИКА ТАТАРСТАН (ТАТАРСТАН), Г.О. ГОРОД НАБЕРЕЖНЫЕ ЧЕЛНЫ, Г НАБЕРЕЖНЫЕ ЧЕЛНЫ, ПРОЕЗД ТРАНСПОРТНЫЙ, Д. 81, ПОМЕЩ. 1000(Г), ОФИС 108</t>
  </si>
  <si>
    <t>ИП КОТОВ ИГОРЬ МИХАЙЛОВИЧ</t>
  </si>
  <si>
    <t>ООО КОЛЕСА ДАРОМ.РУ</t>
  </si>
  <si>
    <t>423814, РОССИЯ, РЕСПУБЛИКА ТАТАРСТАН (ТАТАРСТАН), Г.О. ГОРОД НАБЕРЕЖНЫЕ ЧЕЛНЫ, Г НАБЕРЕЖНЫЕ ЧЕЛНЫ, ПР-КТ МИРА, Д. 18А, ОФИС 205</t>
  </si>
  <si>
    <t>ООО ТИМОЙЛ - ГРУПП</t>
  </si>
  <si>
    <t>420097, РЕСПУБЛИКА ТАТАРСТАН (ТАТАРСТАН), Г КАЗАНЬ, УЛ ЗАСЛОНОВА, Д. 17, КВ. 132</t>
  </si>
  <si>
    <t>420012, РЕСПУБЛИКА ТАТАРСТАН (ТАТАРСТАН), Г.О. ГОРОД КАЗАНЬ, Г КАЗАНЬ, УЛ БУТЛЕРОВА, Д. 31, ПОМЕЩ. 1Н, ОФИС 4</t>
  </si>
  <si>
    <t>ООО КАН АВТО</t>
  </si>
  <si>
    <t>420103, РЕСПУБЛИКА ТАТАРСТАН (ТАТАРСТАН), Г.О. ГОРОД КАЗАНЬ, Г КАЗАНЬ, УЛ МУСИНА, Д. 37, КАБИНЕТ 17-1</t>
  </si>
  <si>
    <t>ИП ГАПТЕЛЬХАКОВ РИНАТ НАЗИПОВИЧ</t>
  </si>
  <si>
    <t>ООО ПЛАУЭН-СЕРВИС</t>
  </si>
  <si>
    <t>420136, РОССИЯ, РЕСПУБЛИКА ТАТАРСТАН (ТАТАРСТАН), Г.О. ГОРОД КАЗАНЬ, Г КАЗАНЬ, УЛ МАРШАЛА ЧУЙКОВА, ЗД. 35Б, ПОМЕЩ. 40</t>
  </si>
  <si>
    <t>ООО КУЗОВНАЯ СТАНЦИЯ ИБРАГИМОВА</t>
  </si>
  <si>
    <t>420066, РОССИЯ, РЕСПУБЛИКА ТАТАРСТАН (ТАТАРСТАН), Г.О. ГОРОД КАЗАНЬ, Г КАЗАНЬ, ПР-КТ ИБРАГИМОВА, Д. 48, ПОМЕЩ. 37</t>
  </si>
  <si>
    <t>ООО АВТОЗАПЧАСТИ ОПТОМ КАЗАНЬ</t>
  </si>
  <si>
    <t>420054, РЕСПУБЛИКА ТАТАРСТАН (ТАТАРСТАН), Г.О. ГОРОД КАЗАНЬ, Г КАЗАНЬ, УЛ ТИХОРЕЦКАЯ, ЗД. 7В, К. 10, ОФИС 1</t>
  </si>
  <si>
    <t>ИП ГУМЕРОВ МАРАТ СИРРИНОВИЧ</t>
  </si>
  <si>
    <t>ООО АВТОСЕРВИС</t>
  </si>
  <si>
    <t>420140, РЕСПУБЛИКА ТАТАРСТАН (ТАТАРСТАН), Г КАЗАНЬ, УЛ ЮЛИУСА ФУЧИКА, Д.78, 177</t>
  </si>
  <si>
    <t>ООО ВОЛГА ОЙЛ</t>
  </si>
  <si>
    <t>420103, РЕСПУБЛИКА ТАТАРСТАН (ТАТАРСТАН), Г.О. ГОРОД КАЗАНЬ, Г КАЗАНЬ, УЛ МУСИНА, ЗД. 10А</t>
  </si>
  <si>
    <t>ООО ДОРЦЕНТР</t>
  </si>
  <si>
    <t>420087, РЕСПУБЛИКА ТАТАРСТАН (ТАТАРСТАН), Г.О. ГОРОД КАЗАНЬ, Г КАЗАНЬ, УЛ БУХАРСКАЯ, Д. 4А, ОФИС 9</t>
  </si>
  <si>
    <t>ООО НТФ ХИМЗАВОД</t>
  </si>
  <si>
    <t>420111, РОССИЯ, РЕСПУБЛИКА ТАТАРСТАН (ТАТАРСТАН), Г.О. ГОРОД КАЗАНЬ, Г КАЗАНЬ, УЛ ДЗЕРЖИНСКОГО, Д. 6, ПОМЕЩ. 1007, ОФИС 403</t>
  </si>
  <si>
    <t>ООО ИСТОК</t>
  </si>
  <si>
    <t>420075, РЕСПУБЛИКА ТАТАРСТАН (ТАТАРСТАН), Г КАЗАНЬ, УЛ ТОПОЛЕВАЯ, Д. 57А</t>
  </si>
  <si>
    <t>ООО ЛТ ГЛОБАЛ ФОРВАРДИНГ</t>
  </si>
  <si>
    <t>423831, РОССИЯ, РЕСПУБЛИКА ТАТАРСТАН (ТАТАРСТАН), Г.О. ГОРОД НАБЕРЕЖНЫЕ ЧЕЛНЫ, Г НАБЕРЕЖНЫЕ ЧЕЛНЫ, ПР-КТ ЧУЛМАН, Д. 50, ПОМЕЩ. 1059</t>
  </si>
  <si>
    <t>ООО ВАЗ-СЕРВИС</t>
  </si>
  <si>
    <t>423800, РОССИЯ, РЕСПУБЛИКА ТАТАРСТАН (ТАТАРСТАН), Г.О. ГОРОД НАБЕРЕЖНЫЕ ЧЕЛНЫ, Г НАБЕРЕЖНЫЕ ЧЕЛНЫ, ПР-КТ КАЗАНСКИЙ, Д. 133</t>
  </si>
  <si>
    <t>ООО АВТОМАРКЕТ</t>
  </si>
  <si>
    <t>423838, РОССИЯ, РЕСПУБЛИКА ТАТАРСТАН (ТАТАРСТАН), Г.О. ГОРОД НАБЕРЕЖНЫЕ ЧЕЛНЫ, Г НАБЕРЕЖНЫЕ ЧЕЛНЫ, УЛ ИМЕНИ ИЛЬДАРА МАННАНОВА, Д. 8, КВ. 102</t>
  </si>
  <si>
    <t>ИП СИГАЧЕВ СЕРГЕЙ ВИКТОРОВИЧ</t>
  </si>
  <si>
    <t>ООО ДЖЕНЕРАЛ СЕРВИС</t>
  </si>
  <si>
    <t>423800, РЕСПУБЛИКА ТАТАРСТАН (ТАТАРСТАН), Г НАБЕРЕЖНЫЕ ЧЕЛНЫ, ТРАКТ МЕНЗЕЛИНСКИЙ, Д. 56</t>
  </si>
  <si>
    <t>ИП ЖУРАВЛЕВА ДАРЬЯ СЕРГЕЕВНА</t>
  </si>
  <si>
    <t>ИП Феоктистова Юлия Вячеславовна</t>
  </si>
  <si>
    <t>ИП ПЕТРОВ АЛЕКСЕЙ НИКОЛАЕВИЧ</t>
  </si>
  <si>
    <t>ИП МАКАРОВ АНТОН ПАВЛОВИЧ</t>
  </si>
  <si>
    <t>ИП МАКСУТОВ РУСТАМ РАФИСОВИЧ</t>
  </si>
  <si>
    <t>ИП ЕФИМЕНКО АЛЕКСАНДР СЕРГЕЕВИЧ</t>
  </si>
  <si>
    <t>ИП ГИСМАТУЛЛИН АРТУР ЛЕНАРОВИЧ</t>
  </si>
  <si>
    <t>ИП ЛОКМАНОВ АГЛЯМ ТАВИСОВИЧ</t>
  </si>
  <si>
    <t>ИП РАХМАТУЛЛИН АЙНАЗ ФАЗИТОВИЧ</t>
  </si>
  <si>
    <t>ИП Хатямов Ренат Амирович</t>
  </si>
  <si>
    <t>АО ТАТАГРОЛИЗИНГ</t>
  </si>
  <si>
    <t>422701, РЕСПУБЛИКА ТАТАРСТАН (ТАТАРСТАН), М.Р-Н ВЫСОКОГОРСКИЙ, С.П. ВЫСОКОГОРСКОЕ, ТЕР. ПРОМЫШЛЕННАЯ ЗОНА КИНДЕРИ, ЗД. 47/5, ОФИС 33</t>
  </si>
  <si>
    <t>ООО СМАРТКОМПЛЕКС</t>
  </si>
  <si>
    <t>420100, РЕСПУБЛИКА ТАТАРСТАН (ТАТАРСТАН), Г КАЗАНЬ, ПР-КТ ПОБЕДЫ, Д. 206, ПОМЕЩ. 9</t>
  </si>
  <si>
    <t>ООО ТИТУЛ</t>
  </si>
  <si>
    <t>422700, РЕСПУБЛИКА ТАТАРСТАН (ТАТАРСТАН), Р-Н ВЫСОКОГОРСКИЙ, П Ж/Д СТАНЦИИ ВЫСОКАЯ ГОРА, УЛ СОВЕТСКАЯ, Д. 1Д, ПОМЕЩ. 10</t>
  </si>
  <si>
    <t>ООО ОРЕГОН</t>
  </si>
  <si>
    <t>420000, РЕСПУБЛИКА ТАТАРСТАН (ТАТАРСТАН), М.Р-Н ВЫСОКОГОРСКИЙ, С.П. ВЫСОКОГОРСКОЕ, ТЕР. ПРОМЫШЛЕННАЯ ЗОНА БИЕКТАУ М7, ЗД. 3, ОФИС 2</t>
  </si>
  <si>
    <t>ИП БЕКМУХАМЕДОВ РИНАТ КАМИЛЕВИЧ</t>
  </si>
  <si>
    <t>ГКУ СОЦИАЛЬНЫЙ ПРИЮТ ДЛЯ ДЕТЕЙ И ПОДРОСТКОВ ТЕПЛЫЙ ДОМ</t>
  </si>
  <si>
    <t>422464, РЕСПУБЛИКА ТАТАРСТАН (ТАТАРСТАН), Р-Н ДРОЖЖАНОВСКИЙ, С УБЕЙ, УЛ КРАСНАЯ ПЛОЩАДЬ, Д.24</t>
  </si>
  <si>
    <t>ООО КАЙБИЦКИЙ АГРОТОРГСЕРВИС</t>
  </si>
  <si>
    <t>422330, РЕСПУБЛИКА ТАТАРСТАН (ТАТАРСТАН), Р-Н КАЙБИЦКИЙ, С БОЛЬШИЕ КАЙБИЦЫ, УЛ РОДНИКОВАЯ, Д.24</t>
  </si>
  <si>
    <t>ИП МИННЕГАЛИЕВ АДЕЛЬ ИЛЬГАМОВИЧ</t>
  </si>
  <si>
    <t>ИП АСЫЛГАРАЕВ ВЛАДИСЛАВ АЛЕКСЕЕВИЧ</t>
  </si>
  <si>
    <t>ООО ТОС</t>
  </si>
  <si>
    <t>422650, РЕСПУБЛИКА ТАТАРСТАН (ТАТАРСТАН), Р-Н РЫБНО-СЛОБОДСКИЙ, ПГТ РЫБНАЯ СЛОБОДА, УЛ Н.НЕКРАСОВА, Д. 11</t>
  </si>
  <si>
    <t>ИП ИСМАГИЛОВ ДАМИР ХАМИТОВИЧ</t>
  </si>
  <si>
    <t>ИП ИВАНОВА РУЗАЛИЯ МИННЕБАЕВНА</t>
  </si>
  <si>
    <t>ИП НУРУТДИНОВ РАМИЛЬ ГАЯЗОВИЧ</t>
  </si>
  <si>
    <t>ИП АХМАДУЛЛИН БУЛАТ УЛЬФАТОВИЧ</t>
  </si>
  <si>
    <t>ООО ТАИФ-НК АЗС</t>
  </si>
  <si>
    <t>420097, РОССИЯ, РЕСПУБЛИКА ТАТАРСТАН (ТАТАРСТАН), Г.О. ГОРОД КАЗАНЬ, Г КАЗАНЬ, УЛ ЗИНИНА, Д. 10, ОФИС 507</t>
  </si>
  <si>
    <t>ООО КАМАВТОКОМПЛЕКТ</t>
  </si>
  <si>
    <t>423847, РЕСПУБЛИКА ТАТАРСТАН (ТАТАРСТАН), Р-Н ТУКАЕВСКИЙ, Д БЕЛОУС, УЛ СОСНОВАЯ, Д. 6</t>
  </si>
  <si>
    <t>ООО ТРИ-Н</t>
  </si>
  <si>
    <t>423800, РОССИЯ, РЕСПУБЛИКА ТАТАРСТАН (ТАТАРСТАН), Г.О. ГОРОД НАБЕРЕЖНЫЕ ЧЕЛНЫ, Г НАБЕРЕЖНЫЕ ЧЕЛНЫ, ПР-КТ КАЗАНСКИЙ, СООР. 235</t>
  </si>
  <si>
    <t>ООО ТРАНСАВТО</t>
  </si>
  <si>
    <t>423885, РЕСПУБЛИКА ТАТАРСТАН (ТАТАРСТАН), Р-Н ТУКАЕВСКИЙ, С МУСАБАЙ-ЗАВОД, УЛ КИРОВА, Д. 41А</t>
  </si>
  <si>
    <t>ООО ПРОГРЕСС-СЕРВИС</t>
  </si>
  <si>
    <t>423872, РЕСПУБЛИКА ТАТАРСТАН (ТАТАРСТАН), М.Р-Н ТУКАЕВСКИЙ, П НОВЫЙ, С.П. АЗЬМУШКИНСКОЕ, УЛ ЦЕНТРАЛЬНАЯ, Д. 3, ОФИС 4</t>
  </si>
  <si>
    <t>ООО АЛЬФАСЕРВИС</t>
  </si>
  <si>
    <t>423604, РОССИЯ, РЕСПУБЛИКА ТАТАРСТАН (ТАТАРСТАН), М.Р-Н ЕЛАБУЖСКИЙ, Г ЕЛАБУГА, Г.П. ГОРОД ЕЛАБУГА, УЛ БОЛЬШАЯ ПОКРОВСКАЯ, Д. 136, ОФИС 18</t>
  </si>
  <si>
    <t>ИП СУЛТАНОВ РУСТЕМ РАФХАТОВИЧ</t>
  </si>
  <si>
    <t>ИП БАЛАШЕВ ВЛАДИМИР ВЛАДИМИРОВИЧ</t>
  </si>
  <si>
    <t>ИП МАЛИКОВ РАМИЛЬ ФАРИТОВИЧ</t>
  </si>
  <si>
    <t>ИП ЕГОРОВ АНДРЕЙ АЛЕКСЕЕВИЧ</t>
  </si>
  <si>
    <t>ИП НУРУЛЛИН МАРАТ РАМИЛЕВИЧ</t>
  </si>
  <si>
    <t>ИП ШИГАПОВ НУРСИЛЬ ВАСИЛОВИЧ</t>
  </si>
  <si>
    <t>ООО КАЕНСАР</t>
  </si>
  <si>
    <t>422740, РЕСПУБЛИКА ТАТАРСТАН (ТАТАРСТАН), Р-Н АТНИНСКИЙ, С КАЕНСАР, УЛ МИРА, Д. 9</t>
  </si>
  <si>
    <t>ГКУ СОЦИАЛЬНЫЙ ПРИЮТ ДЛЯ ДЕТЕЙ И ПОДРОСТКОВ СЕМЬЯ</t>
  </si>
  <si>
    <t>423931, РЕСПУБЛИКА ТАТАРСТАН (ТАТАРСТАН), Р-Н БАВЛИНСКИЙ, Г БАВЛЫ, УЛ ПЕРВОМАЙСКАЯ, Д. 82А, -</t>
  </si>
  <si>
    <t>ИП ХАДИЕВ РУСЛАН РЕВАЛЕВИЧ</t>
  </si>
  <si>
    <t>ИП ФАСХУТДИНОВ АМИР ЭКРЕМЕТДИНОВИЧ</t>
  </si>
  <si>
    <t>ООО ТРАНЗИТ-ОЙЛ</t>
  </si>
  <si>
    <t>422060, РЕСПУБЛИКА ТАТАРСТАН (ТАТАРСТАН), Р-Н САБИНСКИЙ, ПГТ БОГАТЫЕ САБЫ, УЛ А.КАРИМУЛЛИНА, Д. 32, ОФИС 3</t>
  </si>
  <si>
    <t>ИП ИШКИНИНА НАИЛЯ ЗУФАРОВНА</t>
  </si>
  <si>
    <t>ИП КУКТАШЕВА АЛЬБИНА АЛЕКСАНДРОВНА</t>
  </si>
  <si>
    <t>ИП ТИХОНОВ ДМИТРИЙ ИГОРЕВИЧ</t>
  </si>
  <si>
    <t>ГКУ СОЦИАЛЬНЫЙ ПРИЮТ ДЛЯ ДЕТЕЙ И ПОДРОСТКОВ НАДЕЖДА</t>
  </si>
  <si>
    <t>422165, РЕСПУБЛИКА ТАТАРСТАН (ТАТАРСТАН), Р-Н МАМАДЫШСКИЙ, С КРАСНАЯ ГОРКА, УЛ ЯМАШЕВА, Д.2 А</t>
  </si>
  <si>
    <t>ИП АХМЕТЗЯНОВА ФАНУЗА ФАИЛЕВНА</t>
  </si>
  <si>
    <t>ИП Мартынов Михаил Владимирович</t>
  </si>
  <si>
    <t>ИП ХИСАМОВ РАИЛЬ РАМИЛЕВИЧ</t>
  </si>
  <si>
    <t>ГАПОУ МЕНЗЕЛИНСКИЙ СЕЛЬСКОХОЗЯЙСТВЕННЫЙ ТЕХНИКУМ</t>
  </si>
  <si>
    <t>423700, РЕСПУБЛИКА ТАТАРСТАН (ТАТАРСТАН), Р-Н МЕНЗЕЛИНСКИЙ, Г МЕНЗЕЛИНСК, УЛ ЧЕРНЫШЕВСКОГО, Д.14</t>
  </si>
  <si>
    <t>ООО ВЕРАНДА</t>
  </si>
  <si>
    <t>423702, РЕСПУБЛИКА ТАТАРСТАН (ТАТАРСТАН), Р-Н МЕНЗЕЛИНСКИЙ, Г МЕНЗЕЛИНСК, УЛ ИЗЫСКАТЕЛЕЙ, Д.3/19</t>
  </si>
  <si>
    <t>ИП ГИЛЬФАНОВ АЛМАЗ АЙДАРОВИЧ</t>
  </si>
  <si>
    <t>ИП СЛЕПНЕВ МАРСЕЛЬ АФАНАСЬЕВИЧ</t>
  </si>
  <si>
    <t>ИП АНДРЕЕВА АЛЕКСАНДРА МИХАЙЛОВНА</t>
  </si>
  <si>
    <t>ООО ПСК</t>
  </si>
  <si>
    <t>422549, РЕСПУБЛИКА ТАТАРСТАН (ТАТАРСТАН), Р-Н ЗЕЛЕНОДОЛЬСКИЙ, Г ЗЕЛЕНОДОЛЬСК, УЛ ПАСЕЧНАЯ, Д. 59</t>
  </si>
  <si>
    <t>ИП ВАЛИЕВ ЛЕНАР МАРАТОВИЧ</t>
  </si>
  <si>
    <t>ИП Хузин Рамиль Зуфарович</t>
  </si>
  <si>
    <t>ООО ИНИШ</t>
  </si>
  <si>
    <t>423800, РОССИЯ, РЕСПУБЛИКА ТАТАРСТАН (ТАТАРСТАН), Г.О. ГОРОД НАБЕРЕЖНЫЕ ЧЕЛНЫ, Г НАБЕРЕЖНЫЕ ЧЕЛНЫ, УЛ ТИМЕР, ЗД. 49/15А</t>
  </si>
  <si>
    <t>ООО ОЙЛТЕХ</t>
  </si>
  <si>
    <t>423800, РЕСПУБЛИКА ТАТАРСТАН (ТАТАРСТАН), М.Р-Н ТУКАЕВСКИЙ, С.П. НОВОТРОИЦКОЕ, ТЕР БСИ (БАЗА СТРОИТЕЛЬНОЙ ИНДУСТРИИ), УЛ СТАРОСАРМАНОВСКАЯ, ЗД. 38/5, ОФИС 18</t>
  </si>
  <si>
    <t>ООО ПРОМТРАНС-Н</t>
  </si>
  <si>
    <t>423800, РОССИЯ, РЕСПУБЛИКА ТАТАРСТАН (ТАТАРСТАН), Г.О. ГОРОД НАБЕРЕЖНЫЕ ЧЕЛНЫ, Г НАБЕРЕЖНЫЕ ЧЕЛНЫ, УЛ ПРОФИЛЬНАЯ, Д. 32</t>
  </si>
  <si>
    <t>ООО АМГ ГРУП</t>
  </si>
  <si>
    <t>420111, РЕСПУБЛИКА ТАТАРСТАН (ТАТАРСТАН), Г.О. ГОРОД КАЗАНЬ, Г КАЗАНЬ, УЛ ТЕЛЬМАНА, Д. 18, ПОМЕЩ. 20</t>
  </si>
  <si>
    <t>ООО КАМАВТОКОМПЛЕКТ ТРАК</t>
  </si>
  <si>
    <t>ООО МБ-ОРЛОВКА</t>
  </si>
  <si>
    <t>ИП КАМАЛОВ ИЛЬМИР САЛАВАТОВИЧ</t>
  </si>
  <si>
    <t>ИП ХАРИСОВ РУСТЕМ ВЯЧЕСЛАВОВИЧ</t>
  </si>
  <si>
    <t>ИП КАРИМОВА ГУЛЬНУР МИНАХМЕТОВНА</t>
  </si>
  <si>
    <t>ПАО ТАТНЕФТЬ ИМ. В.Д. ШАШИНА</t>
  </si>
  <si>
    <t>423450, РОССИЯ, РЕСПУБЛИКА ТАТАРСТАН (ТАТАРСТАН), М.Р-Н АЛЬМЕТЬЕВСКИЙ, Г АЛЬМЕТЬЕВСК, Г.П. ГОРОД АЛЬМЕТЬЕВСК, УЛ ЛЕНИНА, Д. 75</t>
  </si>
  <si>
    <t>ИП Калугин Олег Владимирович</t>
  </si>
  <si>
    <t>ООО ТОРГОВАЯ КОМПАНИЯ ОМЕГА</t>
  </si>
  <si>
    <t>423458, РЕСПУБЛИКА ТАТАРСТАН (ТАТАРСТАН), Р-Н АЛЬМЕТЬЕВСКИЙ, Г АЛЬМЕТЬЕВСК, УЛ КИРОВА, Д.13А, 107</t>
  </si>
  <si>
    <t>ООО АВТОЭНЕРГИЯ</t>
  </si>
  <si>
    <t>423458, РЕСПУБЛИКА ТАТАРСТАН (ТАТАРСТАН), Р-Н АЛЬМЕТЬЕВСКИЙ, Г АЛЬМЕТЬЕВСК, УЛ РИЗЫ ФАХРЕТДИНА, Д.59А</t>
  </si>
  <si>
    <t>ООО БАЗИС</t>
  </si>
  <si>
    <t>423450, РЕСПУБЛИКА ТАТАРСТАН (ТАТАРСТАН), Р-Н АЛЬМЕТЬЕВСКИЙ, Г АЛЬМЕТЬЕВСК, УЛ ШЕВЧЕНКО, Д. 60, КВ. 6</t>
  </si>
  <si>
    <t>ООО КРОНОС</t>
  </si>
  <si>
    <t>423458, РОССИЯ, РЕСПУБЛИКА ТАТАРСТАН (ТАТАРСТАН), М.Р-Н АЛЬМЕТЬЕВСКИЙ, Г АЛЬМЕТЬЕВСК, Г.П. ГОРОД АЛЬМЕТЬЕВСК, ТРАКТ ОБЪЕЗДНОЙ, Д. 47, ОФИС 8</t>
  </si>
  <si>
    <t>ООО ТАТНЕФТЬ-СМ</t>
  </si>
  <si>
    <t>423457, РОССИЯ, РЕСПУБЛИКА ТАТАРСТАН (ТАТАРСТАН), М.Р-Н АЛЬМЕТЬЕВСКИЙ, Г АЛЬМЕТЬЕВСК, Г.П. ГОРОД АЛЬМЕТЬЕВСК, УЛ МИРА, Д. 6, ОФИС 303</t>
  </si>
  <si>
    <t>ООО РН-СЕРВИС</t>
  </si>
  <si>
    <t>423455, РОССИЯ, РЕСПУБЛИКА ТАТАРСТАН (ТАТАРСТАН), М.Р-Н АЛЬМЕТЬЕВСКИЙ, Г АЛЬМЕТЬЕВСК, Г.П. ГОРОД АЛЬМЕТЬЕВСК, УЛ НЕФТЕБАЗА, Д. 1, КВ. 2</t>
  </si>
  <si>
    <t>ООО ПЛАНЕТА</t>
  </si>
  <si>
    <t>423740, РЕСПУБЛИКА ТАТАРСТАН (ТАТАРСТАН), М.Р-Н АКТАНЫШСКИЙ, С АКТАНЫШ, С.П. АКТАНЫШСКОЕ, УЛ Б.УРМАНЧЕ, Д. 9</t>
  </si>
  <si>
    <t>ИП ФАРДИЕВ РАДИК ИНСАФОВИЧ</t>
  </si>
  <si>
    <t>ООО СЕЛЬХОЗСНАБ БАЗАРНЫЕ МАТАКИ</t>
  </si>
  <si>
    <t>422870, РЕСПУБЛИКА ТАТАРСТАН (ТАТАРСТАН), Р-Н АЛЬКЕЕВСКИЙ, С БАЗАРНЫЕ МАТАКИ, УЛ СОЛНЕЧНАЯ, ЗД 30, ПОМЕЩ. 1</t>
  </si>
  <si>
    <t>ООО СЕЛЬХОЗСНАБ АПАС</t>
  </si>
  <si>
    <t>422340, РЕСПУБЛИКА ТАТАРСТАН (ТАТАРСТАН), Р-Н АПАСТОВСКИЙ, П СВИЯЖСКИЙ, УЛ ШОССЕЙНАЯ, ЗД. 25</t>
  </si>
  <si>
    <t>ООО ФИРМА ТАЙД-ФОЙЛ</t>
  </si>
  <si>
    <t>422000, РЕСПУБЛИКА ТАТАРСТАН (ТАТАРСТАН), Р-Н АРСКИЙ, Г АРСК, ПЛ СОВЕТСКАЯ, Д. 7</t>
  </si>
  <si>
    <t>ИП ГАЛИМЗЯНОВА ЛИЛИЯ ФИРДАВЕСОВНА</t>
  </si>
  <si>
    <t>ИП САДЫКОВ РУСЛАН АЙРАТОВИЧ</t>
  </si>
  <si>
    <t>ИП КОТДУСОВ ГАМИЛЬ ХАННАНОВИЧ</t>
  </si>
  <si>
    <t>ООО ТК НАРАТ</t>
  </si>
  <si>
    <t>422243, РОССИЯ, РЕСПУБЛИКА ТАТАРСТАН (ТАТАРСТАН), М.Р-Н БАЛТАСИНСКИЙ, С ЦИПЬЯ, С.П. ЦИПЬИНСКОЕ, УЛ ЛЕНИНА, Д. 5А, ПОМЕЩ. 3</t>
  </si>
  <si>
    <t>ИП Мухаметов Рустам Рифатович</t>
  </si>
  <si>
    <t>ИП ШИГУЕВ ЕВГЕНИЙ АЛЕКСАНДРОВИЧ</t>
  </si>
  <si>
    <t>ООО ТОРСА</t>
  </si>
  <si>
    <t>422700, РЕСПУБЛИКА ТАТАРСТАН (ТАТАРСТАН), М.Р-Н ВЫСОКОГОРСКИЙ, С.П. КРАСНОСЕЛЬСКОЕ, ТЕР. ПРОМЫШЛЕННАЯ ЗОНА БАЗА КИНДЕРИ, Д. 1, ОФИС 8</t>
  </si>
  <si>
    <t>ООО ЛИБЕРТИ+</t>
  </si>
  <si>
    <t>422701, РЕСПУБЛИКА ТАТАРСТАН (ТАТАРСТАН), Р-Н ВЫСОКОГОРСКИЙ, С ВЫСОКАЯ ГОРА, УЛ МЕЛИОРАТОРОВ, Д. 3, КВ. 15</t>
  </si>
  <si>
    <t>ИП ЗАЛЯЛИЕВ НИЯЗ НАГИМОВИЧ</t>
  </si>
  <si>
    <t>ИП ГАЛИУЛЛИН АЗАМАТ ИЛЬЯСОВИЧ</t>
  </si>
  <si>
    <t>ИП НАСЫБУЛЛИН АЛЬБЕРТ РУСТАМОВИЧ</t>
  </si>
  <si>
    <t>ООО СЕЛЬХОЗСНАБ-М</t>
  </si>
  <si>
    <t>422191, РЕСПУБЛИКА ТАТАРСТАН (ТАТАРСТАН), М.Р-Н МАМАДЫШСКИЙ, Г МАМАДЫШ, Г.П. ГОРОД МАМАДЫШ, УЛ ПРОМЫШЛЕННАЯ, ЗД. 2А, ОФИС 1</t>
  </si>
  <si>
    <t>ИП ГАЗИЗОВ АЙНУР ФАННУРОВИЧ</t>
  </si>
  <si>
    <t>ООО ЭЛЕКТРОКОМ</t>
  </si>
  <si>
    <t>423703, РЕСПУБЛИКА ТАТАРСТАН (ТАТАРСТАН), Р-Н МЕНЗЕЛИНСКИЙ, Г МЕНЗЕЛИНСК, УЛ ЧЕЛНИНСКИЙ ТРАКТ, Д.34</t>
  </si>
  <si>
    <t>ИП АХТЯМОВА АЛЬБИНА ОЛЕГОВНА</t>
  </si>
  <si>
    <t>ИП ИВАНОВА ЛЮДМИЛА АЛЕКСАНДРОВНА</t>
  </si>
  <si>
    <t>ИП НУРИЕВ ШАМИЛЬ АЙДАРОВИЧ</t>
  </si>
  <si>
    <t>ООО ТУФАН+</t>
  </si>
  <si>
    <t>423041, РЕСПУБЛИКА ТАТАРСТАН (ТАТАРСТАН), Р-Н НУРЛАТСКИЙ, Г НУРЛАТ, УЛ КАМСКАЯ, ДВЛД. 15</t>
  </si>
  <si>
    <t>ООО ШИНСЕРВИС-ТС</t>
  </si>
  <si>
    <t>422770, РЕСПУБЛИКА ТАТАРСТАН (ТАТАРСТАН), Р-Н ПЕСТРЕЧИНСКИЙ, НП 847 КМ АВТОДОРОГИ МОСКВА-УФА</t>
  </si>
  <si>
    <t>ООО СЕЛЬХОЗСНАБ-С</t>
  </si>
  <si>
    <t>422060, РЕСПУБЛИКА ТАТАРСТАН (ТАТАРСТАН), Р-Н САБИНСКИЙ, ПГТ БОГАТЫЕ САБЫ, УЛ ЗАВОДСКАЯ, ЗД. 4Б</t>
  </si>
  <si>
    <t>ИП ИБРАГИМОВ РУСТЕМ МИСБАХОВИЧ</t>
  </si>
  <si>
    <t>ИП ШИШКИНА ОЛЬГА ВЛАДИМИРОВНА</t>
  </si>
  <si>
    <t>ИП ХАРИТОНОВ ВИКТОР СЕРГЕЕВИЧ</t>
  </si>
  <si>
    <t>ООО ПЕРВЫЙ КУЗОВНОЙ</t>
  </si>
  <si>
    <t>420051, РОССИЯ, РЕСПУБЛИКА ТАТАРСТАН (ТАТАРСТАН), М.Р-Н ЗЕЛЕНОДОЛЬСКИЙ, П НОВОНИКОЛАЕВСКИЙ, С.П. ОСИНОВСКОЕ, УЛ ЦЕНТРАЛЬНАЯ, Д. 1Б</t>
  </si>
  <si>
    <t>ООО ДЛК</t>
  </si>
  <si>
    <t>423814, РОССИЯ, РЕСПУБЛИКА ТАТАРСТАН (ТАТАРСТАН), Г.О. ГОРОД НАБЕРЕЖНЫЕ ЧЕЛНЫ, Г НАБЕРЕЖНЫЕ ЧЕЛНЫ, УЛ АКАДЕМИКА КОРОЛЕВА, ЗД. 2/2, ПОМЕЩ. 3</t>
  </si>
  <si>
    <t>ООО ДЗИЛ</t>
  </si>
  <si>
    <t>423846, РЕСПУБЛИКА ТАТАРСТАН (ТАТАРСТАН), Р-Н ТУКАЕВСКИЙ, Д СТАРЫЕ ЕРЫКЛЫ, УЛ ЗАПАДНАЯ, Д. 19</t>
  </si>
  <si>
    <t>ООО АЛЬФАФЛИТ</t>
  </si>
  <si>
    <t>423800, РОССИЯ, РЕСПУБЛИКА ТАТАРСТАН (ТАТАРСТАН), Г.О. ГОРОД НАБЕРЕЖНЫЕ ЧЕЛНЫ, Г НАБЕРЕЖНЫЕ ЧЕЛНЫ, ТРАКТ МЕНЗЕЛИНСКИЙ, Д. 114/2, ПОМЕЩ. 30</t>
  </si>
  <si>
    <t>423464, РЕСПУБЛИКА ТАТАРСТАН (ТАТАРСТАН), Р-Н АЛЬМЕТЬЕВСКИЙ, Г АЛЬМЕТЬЕВСК, УЛ ТУХВАТУЛЛИНА, Д. 1/2, ПОМЕЩ. 4</t>
  </si>
  <si>
    <t>ООО СЕРВИС А</t>
  </si>
  <si>
    <t>423462, РЕСПУБЛИКА ТАТАРСТАН (ТАТАРСТАН), М.Р-Н АЛЬМЕТЬЕВСКИЙ, Г АЛЬМЕТЬЕВСК, Г.П. ГОРОД АЛЬМЕТЬЕВСК, УЛ СОВЕТСКАЯ, Д. 182/2, ОФИС 1</t>
  </si>
  <si>
    <t>ООО ПРОМГИДРАВЛИКА</t>
  </si>
  <si>
    <t>423440, РЕСПУБЛИКА ТАТАРСТАН (ТАТАРСТАН), М.Р-Н АЛЬМЕТЬЕВСКИЙ, ПГТ НИЖНЯЯ МАКТАМА, Г.П. ПОСЕЛОК ГОРОДСКОГО ТИПА НИЖНЯЯ МАКТАМА, УЛ ПРОМЫШЛЕННАЯ, Д. 5В</t>
  </si>
  <si>
    <t>ООО ТАТНЕФТЬ-АЗС ЦЕНТР</t>
  </si>
  <si>
    <t>423458, РЕСПУБЛИКА ТАТАРСТАН (ТАТАРСТАН), Р-Н АЛЬМЕТЬЕВСКИЙ, Г АЛЬМЕТЬЕВСК, УЛ РИЗЫ ФАХРЕТДИНА, Д.37</t>
  </si>
  <si>
    <t>ИП АСЫЛГАРИЕВА КЛАРА ИЛЬЯСОВНА</t>
  </si>
  <si>
    <t>ООО СЕЛЬХОЗСНАБ АЛЬМЕТ</t>
  </si>
  <si>
    <t>423450, РЕСПУБЛИКА ТАТАРСТАН (ТАТАРСТАН), Р-Н АЛЬМЕТЬЕВСКИЙ, Г АЛЬМЕТЬЕВСК, УЛ МОНТАЖНАЯ, Д. 7</t>
  </si>
  <si>
    <t>ООО СЕРВИСНЫЙ ЦЕНТР-3</t>
  </si>
  <si>
    <t>423453, РЕСПУБЛИКА ТАТАРСТАН (ТАТАРСТАН), Р-Н АЛЬМЕТЬЕВСКИЙ, Г АЛЬМЕТЬЕВСК, УЛ ПОЛЕВАЯ, Д. 17</t>
  </si>
  <si>
    <t>ООО ГАЗ-ГАЗ</t>
  </si>
  <si>
    <t>423458, РЕСПУБЛИКА ТАТАРСТАН (ТАТАРСТАН), Р-Н АЛЬМЕТЬЕВСКИЙ, Г АЛЬМЕТЬЕВСК, УЛ КИРОВА, Д. 13 Б, КАБИНЕТ 210/А</t>
  </si>
  <si>
    <t>ООО ИНДУСТРИЯ</t>
  </si>
  <si>
    <t>423455, РОССИЯ, РЕСПУБЛИКА ТАТАРСТАН (ТАТАРСТАН), М.Р-Н АЛЬМЕТЬЕВСКИЙ, Г АЛЬМЕТЬЕВСК, Г.П. ГОРОД АЛЬМЕТЬЕВСК, УЛ ЦВЕТОЧНАЯ, Д. 16, КВ. 2</t>
  </si>
  <si>
    <t>ООО ЛИДЕР-С</t>
  </si>
  <si>
    <t>423458, РОССИЯ, РЕСПУБЛИКА ТАТАРСТАН (ТАТАРСТАН), М.Р-Н АЛЬМЕТЬЕВСКИЙ, Г АЛЬМЕТЬЕВСК, Г.П. ГОРОД АЛЬМЕТЬЕВСК, УЛ РИЗЫ ФАХРЕТДИНА, Д. 59А</t>
  </si>
  <si>
    <t>ООО СНАБТОРГИ</t>
  </si>
  <si>
    <t>ИП Денисова Роза Фирдаусовна</t>
  </si>
  <si>
    <t>ИП МУРЗИН РУСТЕМ МАНСУРОВИЧ</t>
  </si>
  <si>
    <t>ИП ДЕНИСОВ ДЕНИС МИХАЙЛОВИЧ</t>
  </si>
  <si>
    <t>ИП ХАФИЗОВ АЛМАЗ МАРАТОВИЧ</t>
  </si>
  <si>
    <t>ООО ТРИС</t>
  </si>
  <si>
    <t>423231, РЕСПУБЛИКА ТАТАРСТАН (ТАТАРСТАН), Р-Н БУГУЛЬМИНСКИЙ, Г БУГУЛЬМА, УЛ СТРОИТЕЛЬНАЯ, Д.10</t>
  </si>
  <si>
    <t>ИП ШАРИПОВА ФЛЮРА ВИЛЬДАНОВНА</t>
  </si>
  <si>
    <t>ИП МАЛЫШЕВ КОНСТАНТИН ВИКТОРОВИЧ</t>
  </si>
  <si>
    <t>ИП ЗАКИЕВ ТИМУР ДАМИРОВИЧ</t>
  </si>
  <si>
    <t>ИП ИКСАНОВ ВЛАДИСЛАВ ОЛЕГОВИЧ</t>
  </si>
  <si>
    <t>ИП ТЮНИН ПАВЕЛ СЕРГЕЕВИЧ</t>
  </si>
  <si>
    <t>ИП ФИЛОЧКИН СЕРГЕЙ ВЛАДИМИРОВИЧ</t>
  </si>
  <si>
    <t>ООО ТАЙМ-М</t>
  </si>
  <si>
    <t>423602, РЕСПУБЛИКА ТАТАРСТАН (ТАТАРСТАН), Р-Н ЕЛАБУЖСКИЙ, Г ЕЛАБУГА, Ш ОКРУЖНОЕ, Д. 4В</t>
  </si>
  <si>
    <t>ИП МЫЛЬНИКОВ СЕРГЕЙ ВЛАДИМИРОВИЧ</t>
  </si>
  <si>
    <t>ИП МАВЛЯКИЕВ ДАМИР ИЛЬГИЗОВИЧ</t>
  </si>
  <si>
    <t>ООО МАГНИТ МАРКЕТ</t>
  </si>
  <si>
    <t>422550, РОССИЯ, РЕСПУБЛИКА ТАТАРСТАН (ТАТАРСТАН), М.Р-Н ЗЕЛЕНОДОЛЬСКИЙ, Г ЗЕЛЕНОДОЛЬСК, Г.П. ГОРОД ЗЕЛЕНОДОЛЬСК, УЛ ЛЕНИНА, Д. 35, ЭТАЖ 1, ПОМЕЩ. 2</t>
  </si>
  <si>
    <t>ИП КАТЫХИНА ОЛЬГА АНДРЕЕВНА</t>
  </si>
  <si>
    <t>ИП ГАЛИУЛЛИН МАРСЕЛЬ РАИЛЕВИЧ</t>
  </si>
  <si>
    <t>ИП ВЛАСОВ АЛЕКСЕЙ ГЕННАДЬЕВИЧ</t>
  </si>
  <si>
    <t>ООО УНИВЕРМАГ</t>
  </si>
  <si>
    <t>423282, РЕСПУБЛИКА ТАТАРСТАН (ТАТАРСТАН), Р-Н ЛЕНИНОГОРСКИЙ, С ШУГУРОВО, УЛ ЛЕНИНА, Д. 24</t>
  </si>
  <si>
    <t>ИП Сяткин Сергей Николаевич</t>
  </si>
  <si>
    <t>ИП Струздин Михаил Петрович</t>
  </si>
  <si>
    <t>ИП Нурмухаметов Ильгиз Масгутович</t>
  </si>
  <si>
    <t>ИП КЛЮЕВ ВИКТОР АЛЕКСАНДРОВИЧ</t>
  </si>
  <si>
    <t>ИП Ахметханов Ильгизар Назифович</t>
  </si>
  <si>
    <t>ООО ПФ ТРАНСТЕХСЕРВИС-2</t>
  </si>
  <si>
    <t>420066, РЕСПУБЛИКА ТАТАРСТАН (ТАТАРСТАН), Г КАЗАНЬ, УЛ ДЕКАБРИСТОВ, Д.96</t>
  </si>
  <si>
    <t>ООО ХИМАВТОСЕРВИС</t>
  </si>
  <si>
    <t>423803, РОССИЯ, РЕСПУБЛИКА ТАТАРСТАН (ТАТАРСТАН), Г.О. ГОРОД НАБЕРЕЖНЫЕ ЧЕЛНЫ, Г НАБЕРЕЖНЫЕ ЧЕЛНЫ, УЛ ПРИДОРОЖНАЯ, Д. 23</t>
  </si>
  <si>
    <t>ИП НАЗОЛИН МАКСИМ АЛЕКСАНДРОВИЧ</t>
  </si>
  <si>
    <t>ООО ГК СОЮЗ-РЕГИОН</t>
  </si>
  <si>
    <t>423800, РЕСПУБЛИКА ТАТАРСТАН (ТАТАРСТАН), Г НАБЕРЕЖНЫЕ ЧЕЛНЫ, УЛ МЕТАЛЛУРГИЧЕСКАЯ, Д.11</t>
  </si>
  <si>
    <t>ИП ТЕРЕХИН ДЕНИС СЕРГЕЕВИЧ</t>
  </si>
  <si>
    <t>ИП ШИМАНОВСКАЯ АННА ВАСИЛЬЕВНА</t>
  </si>
  <si>
    <t>ООО РЕГИОНТРАНС</t>
  </si>
  <si>
    <t>423800, РЕСПУБЛИКА ТАТАРСТАН (ТАТАРСТАН), Г.О. ГОРОД НАБЕРЕЖНЫЕ ЧЕЛНЫ, Г НАБЕРЕЖНЫЕ ЧЕЛНЫ, УЛ ГИДРОСТРОИТЕЛЕЙ, Д. 8, ОФИС 514</t>
  </si>
  <si>
    <t>ИП ГОЛОЛОБОВ СЕРГЕЙ ВАСИЛЬЕВИЧ</t>
  </si>
  <si>
    <t>ИП ФЕДОТОВА ЮЛИЯ ВАСИМОВНА</t>
  </si>
  <si>
    <t>ООО ТД МАГИС</t>
  </si>
  <si>
    <t>423800, РЕСПУБЛИКА ТАТАРСТАН (ТАТАРСТАН), Г НАБЕРЕЖНЫЕ ЧЕЛНЫ, ПР-Д ИНДУСТРИАЛЬНЫЙ, Д. 3Б, ОФИС 5</t>
  </si>
  <si>
    <t>ООО КАРДЭК</t>
  </si>
  <si>
    <t>423822, РЕСПУБЛИКА ТАТАРСТАН (ТАТАРСТАН), Г НАБЕРЕЖНЫЕ ЧЕЛНЫ, УЛ ВАЗИЛА МАВЛИКОВА, Д. 1А, КВ. 28</t>
  </si>
  <si>
    <t>ООО ТОРГОВЫЙ ДОМ РЕАЛСНАБ</t>
  </si>
  <si>
    <t>420127, РОССИЯ, РЕСПУБЛИКА ТАТАРСТАН (ТАТАРСТАН), Г.О. ГОРОД КАЗАНЬ, Г КАЗАНЬ, УЛ ДЕМЕНТЬЕВА, ЗД. 70А, ОФИС 214</t>
  </si>
  <si>
    <t>ООО ФАВОРИТ-МОТОРС</t>
  </si>
  <si>
    <t>423831, РОССИЯ, РЕСПУБЛИКА ТАТАРСТАН (ТАТАРСТАН), Г.О. ГОРОД НАБЕРЕЖНЫЕ ЧЕЛНЫ, Г НАБЕРЕЖНЫЕ ЧЕЛНЫ, УЛ ШАМИЛЯ УСМАНОВА, Д. 61, КВ. 143</t>
  </si>
  <si>
    <t>ИП САЛИМГАРЕЕВ АРТУР АЛЬБЕРТОВИЧ</t>
  </si>
  <si>
    <t>ООО АЛЬЯНС</t>
  </si>
  <si>
    <t>423803, РОССИЯ, РЕСПУБЛИКА ТАТАРСТАН (ТАТАРСТАН), Г.О. ГОРОД НАБЕРЕЖНЫЕ ЧЕЛНЫ, Г НАБЕРЕЖНЫЕ ЧЕЛНЫ, ПР-КТ НАБЕРЕЖНОЧЕЛНИНСКИЙ, Д. 1, КВ. 359</t>
  </si>
  <si>
    <t>ООО РАЗНЫЕ ЗАПЧАСТИ</t>
  </si>
  <si>
    <t>423800, РОССИЯ, РЕСПУБЛИКА ТАТАРСТАН (ТАТАРСТАН), Г.О. ГОРОД НАБЕРЕЖНЫЕ ЧЕЛНЫ, Г НАБЕРЕЖНЫЕ ЧЕЛНЫ, ПРОЕЗД ПРОЛЕТАРСКИЙ, ЗД. 10, ПОМЕЩ. 501</t>
  </si>
  <si>
    <t>ООО ПРОКРАС</t>
  </si>
  <si>
    <t>423803, РОССИЯ, РЕСПУБЛИКА ТАТАРСТАН (ТАТАРСТАН), Г.О. ГОРОД НАБЕРЕЖНЫЕ ЧЕЛНЫ, Г НАБЕРЕЖНЫЕ ЧЕЛНЫ, УЛ ИМ ХАДИ ТАКТАША, Д. 23, КВ. 140</t>
  </si>
  <si>
    <t>ООО ПАРТНЕР-СЕРВИС</t>
  </si>
  <si>
    <t>423826, РОССИЯ, РЕСПУБЛИКА ТАТАРСТАН (ТАТАРСТАН), Г.О. ГОРОД НАБЕРЕЖНЫЕ ЧЕЛНЫ, Г НАБЕРЕЖНЫЕ ЧЕЛНЫ, УЛ ПРИБРЕЖНАЯ, Д. 21, КВ. 99</t>
  </si>
  <si>
    <t>ООО КЕДР</t>
  </si>
  <si>
    <t>423800, РОССИЯ, РЕСПУБЛИКА ТАТАРСТАН (ТАТАРСТАН), Г.О. ГОРОД НАБЕРЕЖНЫЕ ЧЕЛНЫ, Г НАБЕРЕЖНЫЕ ЧЕЛНЫ, ПРОЕЗД ТРАНСПОРТНЫЙ, Д. 81, ОФИС 202</t>
  </si>
  <si>
    <t>ООО АВТОКУЗОВ</t>
  </si>
  <si>
    <t>423800, РОССИЯ, РЕСПУБЛИКА ТАТАРСТАН (ТАТАРСТАН), Г.О. ГОРОД НАБЕРЕЖНЫЕ ЧЕЛНЫ, Г НАБЕРЕЖНЫЕ ЧЕЛНЫ, УЛ МАШИНОСТРОИТЕЛЬНАЯ, Д. 108, ПОМЕЩ. 39</t>
  </si>
  <si>
    <t>ИП НАРЯДЧИКОВ АНТОН ЮРЬЕВИЧ</t>
  </si>
  <si>
    <t>ИП ФАТИХОВ ТИМУР РУСТАМОВИЧ</t>
  </si>
  <si>
    <t>ИП КАЗАКОВ ВЛАДИСЛАВ ВАСИЛЬЕВИЧ</t>
  </si>
  <si>
    <t>ИП КОРНИЛОВ ПАВЕЛ СЕРГЕЕВИЧ</t>
  </si>
  <si>
    <t>ИП ЗАРУХОВИЧ МАРК ВАДИМОВИЧ</t>
  </si>
  <si>
    <t>ГКУ СОЦИАЛЬНЫЙ ПРИЮТ ДЛЯ ДЕТЕЙ И ПОДРОСТКОВ БАЛКЫШ</t>
  </si>
  <si>
    <t>423582, РЕСПУБЛИКА ТАТАРСТАН (ТАТАРСТАН), Р-Н НИЖНЕКАМСКИЙ, Г НИЖНЕКАМСК, ПР-КТ ХИМИКОВ, Д.102А</t>
  </si>
  <si>
    <t>ООО РВД НК</t>
  </si>
  <si>
    <t>423585, РОССИЯ, РЕСПУБЛИКА ТАТАРСТАН (ТАТАРСТАН), М.Р-Н НИЖНЕКАМСКИЙ, Г НИЖНЕКАМСК, Г.П. ГОРОД НИЖНЕКАМСК, УЛ РИФКАТА ГАЙНУЛЛИНА, Д. 18, КВ. 191</t>
  </si>
  <si>
    <t>ООО ТРАК-ЛАЙФ-СЕРВИС</t>
  </si>
  <si>
    <t>423551, РОССИЯ, РЕСПУБЛИКА ТАТАРСТАН (ТАТАРСТАН), М.Р-Н НИЖНЕКАМСКИЙ, С БОЛЬШОЕ АФАНАСОВО, С.П. АФАНАСОВСКОЕ, УЛ МОЛОДЕЖНАЯ, Д. 22Б/1, ОФИС 26</t>
  </si>
  <si>
    <t>ИП ГАЗИЗУЛЛИН РУСЛАН РУСТАМОВИЧ</t>
  </si>
  <si>
    <t>ИП ФАТХИЕВ ДАМИР ИЛЬЯСОВИЧ</t>
  </si>
  <si>
    <t>ИП Новиков Михаил Леонидович</t>
  </si>
  <si>
    <t>ИП КАМАЛОВА ТАТЬЯНА МАКСУМОВНА</t>
  </si>
  <si>
    <t>ИП СОБАНОВА АНАСТАСИЯ ВЛАДИМИРОВНА</t>
  </si>
  <si>
    <t>ИП КУЗИН АНДРЕЙ АНАТОЛЬЕВИЧ</t>
  </si>
  <si>
    <t>ИП ДУДАРЕВ АЛЕКСЕЙ ЕВГЕНЬЕВИЧ</t>
  </si>
  <si>
    <t>ИП ГАЗИЗОВ РАДИК БОРИСОВИЧ</t>
  </si>
  <si>
    <t>ИП ШИНКАРОВА СВЕТЛАНА НИКОЛАЕВНА</t>
  </si>
  <si>
    <t>ООО АВТОЦЕНТР ИНТЕР</t>
  </si>
  <si>
    <t>423241, РЕСПУБЛИКА ТАТАРСТАН (ТАТАРСТАН), Р-Н БУГУЛЬМИНСКИЙ, Г БУГУЛЬМА, УЛ ВАЦЛАВА ВОРОВСКОГО, ЗД. 68/1, -</t>
  </si>
  <si>
    <t>ООО ИРБИС</t>
  </si>
  <si>
    <t>423258, РЕСПУБЛИКА ТАТАРСТАН (ТАТАРСТАН), М.Р-Н ЛЕНИНОГОРСКИЙ, Г ЛЕНИНОГОРСК, Г.П. ГОРОД ЛЕНИНОГОРСК, УЛ ЧАЙКОВСКОГО, ЗД. 19И, ПОМЕЩ. 10</t>
  </si>
  <si>
    <t>ИП НИЗАМОВА ГАЛИНА АЛЕКСЕЕВНА</t>
  </si>
  <si>
    <t>ИП КОЧЕТКОВА РЕГИНА ФАРИТОВНА</t>
  </si>
  <si>
    <t>ИП Латыпов Азат Маратович</t>
  </si>
  <si>
    <t>ИП ЗАГИДУЛЛИНА ЭЛИНА РУСЛАНОВНА</t>
  </si>
  <si>
    <t>ИП МУТИФУЛЛИН ДАМИР ГАБДУЛХАМИТОВИЧ</t>
  </si>
  <si>
    <t>ОООЛИДЕР</t>
  </si>
  <si>
    <t>423603, РЕСПУБЛИКА ТАТАРСТАН (ТАТАРСТАН), Р-Н ЕЛАБУЖСКИЙ, Г ЕЛАБУГА, ПР-КТ НЕФТЯНИКОВ, Д. 4</t>
  </si>
  <si>
    <t>ИП Рябушева Наталья Владимировна</t>
  </si>
  <si>
    <t>ИП ДЯТЛОВ ДМИТРИЙ МИХАЙЛОВИЧ</t>
  </si>
  <si>
    <t>ООО РОСТОЙЛ</t>
  </si>
  <si>
    <t>420087, РЕСПУБЛИКА ТАТАРСТАН (ТАТАРСТАН), Г.О. ГОРОД КАЗАНЬ, Г КАЗАНЬ, УЛ ДАУРСКАЯ, Д. 44В, ПОМЕЩ. 1006</t>
  </si>
  <si>
    <t>ООО ОРИЭНС</t>
  </si>
  <si>
    <t>420127, РОССИЯ, РЕСПУБЛИКА ТАТАРСТАН (ТАТАРСТАН), Г.О. ГОРОД КАЗАНЬ, Г КАЗАНЬ, УЛ ЧАЙКОВСКОГО, Д. 4, ОФИС 2</t>
  </si>
  <si>
    <t>ООО ГРИНКАР</t>
  </si>
  <si>
    <t>422551, РОССИЯ, РЕСПУБЛИКА ТАТАРСТАН (ТАТАРСТАН), М.Р-Н ЗЕЛЕНОДОЛЬСКИЙ, Г ЗЕЛЕНОДОЛЬСК, Г.П. ГОРОД ЗЕЛЕНОДОЛЬСК, УЛ СТОЛИЧНАЯ, Д. 12, КВ. 131</t>
  </si>
  <si>
    <t>ИП ФЕОКТИСТОВ АНДРЕЙ ВЯЧЕСЛАВОВИЧ</t>
  </si>
  <si>
    <t>ИП МАРЬИНА КСЕНИЯ АЛЕКСАНДРОВНА</t>
  </si>
  <si>
    <t>ИП КАРИМОВ АЛЬБЕРТ РИНАТОВИЧ</t>
  </si>
  <si>
    <t>ИП НИКОНОРОВ ВИТАЛИЙ БОРИСОВИЧ</t>
  </si>
  <si>
    <t>ИП СЕРГЕЕВ ЮРИЙ НИКОЛАЕВИЧ</t>
  </si>
  <si>
    <t>ИП Хусаинов Рамиль Габдрауфович</t>
  </si>
  <si>
    <t>ООО РОСС</t>
  </si>
  <si>
    <t>423800, РЕСПУБЛИКА ТАТАРСТАН (ТАТАРСТАН), Г НАБЕРЕЖНЫЕ ЧЕЛНЫ, УЛ САДОВОДЧЕСКАЯ, Д.34</t>
  </si>
  <si>
    <t>ООО ГРУПОЙЛ</t>
  </si>
  <si>
    <t>423800, РЕСПУБЛИКА ТАТАРСТАН (ТАТАРСТАН), Г НАБЕРЕЖНЫЕ ЧЕЛНЫ, УЛ САДОВОДЧЕСКАЯ, Д.32</t>
  </si>
  <si>
    <t>ООО ОЛЕОКАМ</t>
  </si>
  <si>
    <t>423800, РЕСПУБЛИКА ТАТАРСТАН (ТАТАРСТАН), Г НАБЕРЕЖНЫЕ ЧЕЛНЫ, ПР-Д ОГНЕБОРЬЯ, Д.5</t>
  </si>
  <si>
    <t>ООО АВТОЙЛ-ЦЕНТР</t>
  </si>
  <si>
    <t>423800, РЕСПУБЛИКА ТАТАРСТАН (ТАТАРСТАН), Г НАБЕРЕЖНЫЕ ЧЕЛНЫ, УЛ МАШИНОСТРОИТЕЛЬНАЯ, Д.15</t>
  </si>
  <si>
    <t>ООО АВТОПАРТНЕР</t>
  </si>
  <si>
    <t>423800, РЕСПУБЛИКА ТАТАРСТАН (ТАТАРСТАН), Г.О. ГОРОД НАБЕРЕЖНЫЕ ЧЕЛНЫ, Г НАБЕРЕЖНЫЕ ЧЕЛНЫ, ПРОЕЗД ПРОЛЕТАРСКИЙ, ЗД. 21</t>
  </si>
  <si>
    <t>ООО УК ТРАНСТЕХСЕРВИС</t>
  </si>
  <si>
    <t>423831, РЕСПУБЛИКА ТАТАРСТАН (ТАТАРСТАН), Г НАБЕРЕЖНЫЕ ЧЕЛНЫ, ПР-КТ ЧУЛМАН, Д. 111, ПОМЕЩ. 23</t>
  </si>
  <si>
    <t>ООО ГРУППА БРИНЭКС</t>
  </si>
  <si>
    <t>423823, РОССИЯ, РЕСПУБЛИКА ТАТАРСТАН (ТАТАРСТАН), Г.О. ГОРОД НАБЕРЕЖНЫЕ ЧЕЛНЫ, Г НАБЕРЕЖНЫЕ ЧЕЛНЫ, ПР-КТ СЮЮМБИКЕ, Д. 26, ОФИС 409</t>
  </si>
  <si>
    <t>ООО ЦЕНТР</t>
  </si>
  <si>
    <t>423819, РЕСПУБЛИКА ТАТАРСТАН (ТАТАРСТАН), Г НАБЕРЕЖНЫЕ ЧЕЛНЫ, ПР-КТ МИРА, Д.48, 24</t>
  </si>
  <si>
    <t>ООО ТД КАМАЦЕНТРСЕРВИС</t>
  </si>
  <si>
    <t>423800, РЕСПУБЛИКА ТАТАРСТАН (ТАТАРСТАН), Г НАБЕРЕЖНЫЕ ЧЕЛНЫ, ТРАКТ МЕНЗЕЛИНСКИЙ, Д.48</t>
  </si>
  <si>
    <t>ООО АВТОЗАПЧАСТЬ КАМАЗ</t>
  </si>
  <si>
    <t>423800, РЕСПУБЛИКА ТАТАРСТАН (ТАТАРСТАН), Г НАБЕРЕЖНЫЕ ЧЕЛНЫ, ПР-Д ПРОИЗВОДСТВЕННЫЙ, ЗД. 49, ЭТАЖ 3 АБП 5</t>
  </si>
  <si>
    <t>ООО ТД РИАТ-ЗАПЧАСТЬ</t>
  </si>
  <si>
    <t>423800, РЕСПУБЛИКА ТАТАРСТАН (ТАТАРСТАН), Г НАБЕРЕЖНЫЕ ЧЕЛНЫ, ТРАКТ МЕНЗЕЛИНСКИЙ, Д.42/1</t>
  </si>
  <si>
    <t>ООО КОМПЛЕКСНОЕ ОСНАЩЕНИЕ</t>
  </si>
  <si>
    <t>423806, РОССИЯ, РЕСПУБЛИКА ТАТАРСТАН (ТАТАРСТАН), Г.О. ГОРОД НАБЕРЕЖНЫЕ ЧЕЛНЫ, Г НАБЕРЕЖНЫЕ ЧЕЛНЫ, УЛ ИМ ХАДИ ТАКТАША, Д. 34, ЭТАЖ 1,2</t>
  </si>
  <si>
    <t>ООО ДЕТАЛЬ АВТО</t>
  </si>
  <si>
    <t>423803, РЕСПУБЛИКА ТАТАРСТАН (ТАТАРСТАН), Г НАБЕРЕЖНЫЕ ЧЕЛНЫ, УЛ БАХЕТЛЕ, Д.23</t>
  </si>
  <si>
    <t>ООО ТАТПАРТС</t>
  </si>
  <si>
    <t>423800, РЕСПУБЛИКА ТАТАРСТАН (ТАТАРСТАН), Г НАБЕРЕЖНЫЕ ЧЕЛНЫ, Б-Р КОЛ ГАЛИ, Д.10, 73</t>
  </si>
  <si>
    <t>ООО ЯРАР-ТОРГ</t>
  </si>
  <si>
    <t>423800, РЕСПУБЛИКА ТАТАРСТАН (ТАТАРСТАН), Г НАБЕРЕЖНЫЕ ЧЕЛНЫ, ПР-Д ТРУБНЫЙ, ЗД. 38/17, ОФИС 75</t>
  </si>
  <si>
    <t>ИП ШАКИРЗЯНОВ РАФАЭЛЬ РАИФОВИЧ</t>
  </si>
  <si>
    <t>ООО ТД РАДИАН</t>
  </si>
  <si>
    <t>423800, РЕСПУБЛИКА ТАТАРСТАН (ТАТАРСТАН), Г НАБЕРЕЖНЫЕ ЧЕЛНЫ, УЛ ДОРОЖНАЯ, Д. 13, ОФИС 1</t>
  </si>
  <si>
    <t>ООО АВТОМАГНАТ</t>
  </si>
  <si>
    <t>423800, РЕСПУБЛИКА ТАТАРСТАН (ТАТАРСТАН), Г НАБЕРЕЖНЫЕ ЧЕЛНЫ, ПР-КТ КАЗАНСКИЙ, Д. 224/9, ПОМЕЩ. 16</t>
  </si>
  <si>
    <t>ИП ПОТЯЙКИН ВЛАДИМИР АЛЕКСАНДРОВИЧ</t>
  </si>
  <si>
    <t>ООО ЛИНКОР-ТС</t>
  </si>
  <si>
    <t>423800, РЕСПУБЛИКА ТАТАРСТАН (ТАТАРСТАН), Г.О. ГОРОД НАБЕРЕЖНЫЕ ЧЕЛНЫ, Г НАБЕРЕЖНЫЕ ЧЕЛНЫ, ТРАКТ МЕНЗЕЛИНСКИЙ, ЗД. 116</t>
  </si>
  <si>
    <t>ООО СТФК ЛАКИ-ТРЕЙД</t>
  </si>
  <si>
    <t>423823, РЕСПУБЛИКА ТАТАРСТАН (ТАТАРСТАН), Г НАБЕРЕЖНЫЕ ЧЕЛНЫ, Б-Р ГЛАВМОССТРОЕВЦЕВ, Д. 1, КВ. 224</t>
  </si>
  <si>
    <t>ООО АМАЛИЯ ИНСТРУМЕНТ</t>
  </si>
  <si>
    <t>423826, РЕСПУБЛИКА ТАТАРСТАН (ТАТАРСТАН), Г НАБЕРЕЖНЫЕ ЧЕЛНЫ, УЛ БОРОВЕЦКАЯ, Д. 32</t>
  </si>
  <si>
    <t>ООО КАМА ОЙЛ</t>
  </si>
  <si>
    <t>420125, РОССИЯ, РЕСПУБЛИКА ТАТАРСТАН (ТАТАРСТАН), Г.О. ГОРОД КАЗАНЬ, Г КАЗАНЬ, УЛ МАМАДЫШСКИЙ ТРАКТ, СООР. 52</t>
  </si>
  <si>
    <t>ООО РЕСТАРТ</t>
  </si>
  <si>
    <t>423814, РЕСПУБЛИКА ТАТАРСТАН (ТАТАРСТАН), Г НАБЕРЕЖНЫЕ ЧЕЛНЫ, УЛ АКАДЕМИКА КОРОЛЕВА, Д. 14/70, КВ. 58</t>
  </si>
  <si>
    <t>ООО ИСТЕХ</t>
  </si>
  <si>
    <t>423838, РОССИЯ, РЕСПУБЛИКА ТАТАРСТАН (ТАТАРСТАН), Г.О. ГОРОД НАБЕРЕЖНЫЕ ЧЕЛНЫ, Г НАБЕРЕЖНЫЕ ЧЕЛНЫ, УЛ РАСКОЛЬНИКОВА, Д. 19, КВ. 99</t>
  </si>
  <si>
    <t>ООО КЛЕВЕР ТРАК</t>
  </si>
  <si>
    <t>423806, РОССИЯ, РЕСПУБЛИКА ТАТАРСТАН (ТАТАРСТАН), Г.О. ГОРОД НАБЕРЕЖНЫЕ ЧЕЛНЫ, Г НАБЕРЕЖНЫЕ ЧЕЛНЫ, ПР-КТ КАЗАНСКИЙ, Д. 148, ЭТАЖ 1, ПОМЕЩ. 11</t>
  </si>
  <si>
    <t>ООО РС АВТО</t>
  </si>
  <si>
    <t>423838, РОССИЯ, РЕСПУБЛИКА ТАТАРСТАН (ТАТАРСТАН), Г.О. ГОРОД НАБЕРЕЖНЫЕ ЧЕЛНЫ, Г НАБЕРЕЖНЫЕ ЧЕЛНЫ, ПР-КТ ДРУЖБЫ НАРОДОВ, Д. 27, КВ. 56</t>
  </si>
  <si>
    <t>ООО СТК ГРУПП</t>
  </si>
  <si>
    <t>423800, РОССИЯ, РЕСПУБЛИКА ТАТАРСТАН (ТАТАРСТАН), Г.О. ГОРОД НАБЕРЕЖНЫЕ ЧЕЛНЫ, Г НАБЕРЕЖНЫЕ ЧЕЛНЫ, УЛ МАШИНОСТРОИТЕЛЬНАЯ, Д. 44, ОФИС 302</t>
  </si>
  <si>
    <t>ИП ГИНИЯТУЛЛИНА ДИЛЯРА РУСЛАНОВНА</t>
  </si>
  <si>
    <t>ООО ПРО-ЗАПЧАСТИ</t>
  </si>
  <si>
    <t>423822, РОССИЯ, РЕСПУБЛИКА ТАТАРСТАН (ТАТАРСТАН), Г.О. ГОРОД НАБЕРЕЖНЫЕ ЧЕЛНЫ, Г НАБЕРЕЖНЫЕ ЧЕЛНЫ, УЛ НИКОЛАЯ МАЛЬНЕВА, Д. 3, КВ. 266</t>
  </si>
  <si>
    <t>ООО ПАИНТ</t>
  </si>
  <si>
    <t>423800, РОССИЯ, РЕСПУБЛИКА ТАТАРСТАН (ТАТАРСТАН), Г.О. ГОРОД НАБЕРЕЖНЫЕ ЧЕЛНЫ, Г НАБЕРЕЖНЫЕ ЧЕЛНЫ, ПРОЕЗД ОГНЕБОРЬЯ, Д. 4</t>
  </si>
  <si>
    <t>ООО БИЛЯР ТЕПЛОСНАБ</t>
  </si>
  <si>
    <t>423800, РОССИЯ, РЕСПУБЛИКА ТАТАРСТАН (ТАТАРСТАН), Г.О. ГОРОД НАБЕРЕЖНЫЕ ЧЕЛНЫ, Г НАБЕРЕЖНЫЕ ЧЕЛНЫ, ПРОЕЗД ТРУБНЫЙ, Д. 9, ПОМЕЩ. 2</t>
  </si>
  <si>
    <t>ИП САДРИЕВ ДИНАР РАМЗИТОВИЧ</t>
  </si>
  <si>
    <t>ИП ЗАРУХОВИЧ РОМАН ВАДИМОВИЧ</t>
  </si>
  <si>
    <t>ИП ФАТТАХОВ БУЛАТ ГАБТРАУФОВИЧ</t>
  </si>
  <si>
    <t>АО ТАНЕКО</t>
  </si>
  <si>
    <t>423570, РЕСПУБЛИКА ТАТАРСТАН (ТАТАРСТАН), Р-Н НИЖНЕКАМСКИЙ, Г НИЖНЕКАМСК, ТЕР ПРОМЗОНА</t>
  </si>
  <si>
    <t>ООО СЕЛЬХОЗСНАБ НК</t>
  </si>
  <si>
    <t>423556, РЕСПУБЛИКА ТАТАРСТАН (ТАТАРСТАН), Р-Н НИЖНЕКАМСКИЙ, Г НИЖНЕКАМСК, УЛ ПЕРВОПРОХОДЦЕВ, Д. 31</t>
  </si>
  <si>
    <t>ООО ФАТОН</t>
  </si>
  <si>
    <t>423556, РЕСПУБЛИКА ТАТАРСТАН (ТАТАРСТАН), Р-Н НИЖНЕКАМСКИЙ, Г НИЖНЕКАМСК, УЛ ЦЕНТРАЛЬНАЯ, Д. 7Б</t>
  </si>
  <si>
    <t>ООО АМ-МОТОРС</t>
  </si>
  <si>
    <t>423556, РЕСПУБЛИКА ТАТАРСТАН (ТАТАРСТАН), Р-Н НИЖНЕКАМСКИЙ, Г НИЖНЕКАМСК, УЛ ПЕРВОПРОХОДЦЕВ, Д. 27</t>
  </si>
  <si>
    <t>ИП МУСТАФИНА АЛЬБИНА МУХЛИСОВНА</t>
  </si>
  <si>
    <t>ИП ШИЩУК АНДРЕЙ ВАЛЕРЬЕВИЧ</t>
  </si>
  <si>
    <t>ИП СОМОВ ДМИТРИЙ ИВАНОВИЧ</t>
  </si>
  <si>
    <t>ИП ПУЗАНКОВ ВИКТОР ПАВЛОВИЧ</t>
  </si>
  <si>
    <t>АО ТФК КАМАЗ</t>
  </si>
  <si>
    <t>423800, РОССИЯ, РЕСПУБЛИКА ТАТАРСТАН (ТАТАРСТАН), Г.О. ГОРОД НАБЕРЕЖНЫЕ ЧЕЛНЫ, Г НАБЕРЕЖНЫЕ ЧЕЛНЫ, ПРОЕЗД АВТОСБОРОЧНЫЙ, ЗД. 12</t>
  </si>
  <si>
    <t>ИП ГОРДЕЕВ АНДРЕЙ ВИКТОРОВИЧ</t>
  </si>
  <si>
    <t>ООО ПРОМИНТЕЛ</t>
  </si>
  <si>
    <t>420087, РЕСПУБЛИКА ТАТАРСТАН (ТАТАРСТАН), Г КАЗАНЬ, УЛ БУХАРСКАЯ, Д. 4А, ОФИС 7</t>
  </si>
  <si>
    <t>ООО ДЕЛЬТАСКАН</t>
  </si>
  <si>
    <t>420051, РЕСПУБЛИКА ТАТАРСТАН (ТАТАРСТАН), Р-Н ЗЕЛЕНОДОЛЬСКИЙ, П НОВОНИКОЛАЕВСКИЙ, УЛ ЦЕНТРАЛЬНАЯ, Д. 1Б</t>
  </si>
  <si>
    <t>ООО ДК АВТОМИР</t>
  </si>
  <si>
    <t>420021, РЕСПУБЛИКА ТАТАРСТАН (ТАТАРСТАН), Г КАЗАНЬ, УЛ ГАБДУЛЛЫ ТУКАЯ, Д. 112, ОФИС 8В</t>
  </si>
  <si>
    <t>ООО ТД КАМОЙЛ</t>
  </si>
  <si>
    <t>420107, РЕСПУБЛИКА ТАТАРСТАН (ТАТАРСТАН), Г КАЗАНЬ, УЛ ОСТРОВСКОГО, Д. 67, ПОМЕЩ. №11 ОФИС 402</t>
  </si>
  <si>
    <t>ООО РУТЭК</t>
  </si>
  <si>
    <t>420021, РОССИЯ, РЕСПУБЛИКА ТАТАРСТАН (ТАТАРСТАН), Г.О. ГОРОД КАЗАНЬ, Г КАЗАНЬ, УЛ МОСКОВСКАЯ, Д. 57/13, ПОМ/ОФИС 1011/1Ж</t>
  </si>
  <si>
    <t>ОБЩЕСТВО С ОГРАНИЧЕННОЙ ОТВЕТСТВЕННОСТЬЮ А-ВОСТОК</t>
  </si>
  <si>
    <t>420088, РОССИЯ, РЕСПУБЛИКА ТАТАРСТАН (ТАТАРСТАН), Г.О. ГОРОД КАЗАНЬ, Г КАЗАНЬ, ПР-КТ ПОБЕДЫ, ЗД. 173, ОФИС 714</t>
  </si>
  <si>
    <t>ООО ТАИФ-СМ</t>
  </si>
  <si>
    <t>420043, РОССИЯ, РЕСПУБЛИКА ТАТАРСТАН (ТАТАРСТАН), Г.О. ГОРОД КАЗАНЬ, Г КАЗАНЬ, УЛ ДОСТОЕВСКОГО, Д. 44/6</t>
  </si>
  <si>
    <t>ООО ТРАКС ВОСТОК РУС</t>
  </si>
  <si>
    <t>423800, РЕСПУБЛИКА ТАТАРСТАН (ТАТАРСТАН), Г НАБЕРЕЖНЫЕ ЧЕЛНЫ, ПР-Д ПРОИЗВОДСТВЕННЫЙ, Д. 47</t>
  </si>
  <si>
    <t>ИП КОПЫЛОВ СЕРГЕЙ НИКОЛАЕВИЧ</t>
  </si>
  <si>
    <t>ИП НАБИУЛЛИН АЛЬБЕРТ РАВИЛЕВИЧ</t>
  </si>
  <si>
    <t>ИП ГОРНОСТАЕВ ВАЛЕРИЙ АЛЕКСАНДРОВИЧ</t>
  </si>
  <si>
    <t>ИП ГОРЕЛОВ ЕВГЕНИЙ НИКОЛАЕВИЧ</t>
  </si>
  <si>
    <t>ИП АБДРАКОВА КАМИЛЛА ТАЛГАТОВНА</t>
  </si>
  <si>
    <t>ООО ТПК МТЗ-ТАТАРСТАН</t>
  </si>
  <si>
    <t>423601, РЕСПУБЛИКА ТАТАРСТАН (ТАТАРСТАН), Р-Н ЕЛАБУЖСКИЙ, УЛ 9 (ПРОМЫШЛЕННАЯ ПЛОЩАДКА АЛАБУГА ТЕР.), Д. 1</t>
  </si>
  <si>
    <t>ИП КРЮЧКОВ АЛЕКСАНДР МИХАЙЛОВИЧ</t>
  </si>
  <si>
    <t>ИП ХАСАНОВА ЛЕЙСАН ИЛЬДУСОВНА</t>
  </si>
  <si>
    <t>ИП ВИНОКУРОВ СЕРГЕЙ ВЛАДИМИРОВИЧ</t>
  </si>
  <si>
    <t>ООО ЛИДЕР-СЕРВИС</t>
  </si>
  <si>
    <t>423602, РЕСПУБЛИКА ТАТАРСТАН (ТАТАРСТАН), Р-Н ЕЛАБУЖСКИЙ, Г ЕЛАБУГА, УЛ АКЧАРЛАК, Д. 10А</t>
  </si>
  <si>
    <t>ИП РАГИНОВ МИХАИЛ ВАЛЕНТИНОВИЧ</t>
  </si>
  <si>
    <t>ИП Серебряков Василий Фролович</t>
  </si>
  <si>
    <t>ООО СТАРКЕЙС</t>
  </si>
  <si>
    <t>422544, РЕСПУБЛИКА ТАТАРСТАН (ТАТАРСТАН), Р-Н ЗЕЛЕНОДОЛЬСКИЙ, Г ЗЕЛЕНОДОЛЬСК, УЛ РОГАЧЕВА, СТР. 34А</t>
  </si>
  <si>
    <t>ООО КАМАВТОЦЕНТР</t>
  </si>
  <si>
    <t>422545, РЕСПУБЛИКА ТАТАРСТАН (ТАТАРСТАН), Р-Н ЗЕЛЕНОДОЛЬСКИЙ, Г ЗЕЛЕНОДОЛЬСК, УЛ СТОЛИЧНАЯ, Д. 30</t>
  </si>
  <si>
    <t>ИП МИФТАХОВ МАРСЕЛЬ РИНАТОВИЧ</t>
  </si>
  <si>
    <t>ИП ЛЕВИН АЛЕКСАНДР ИВАНОВИЧ</t>
  </si>
  <si>
    <t>ИП НАСИБУЛЛИН РАМИЛЬ АЗГАРОВИЧ</t>
  </si>
  <si>
    <t>ИП ПОЛЯЕВ АНАТОЛИЙ НИКОЛАЕВИЧ</t>
  </si>
  <si>
    <t>ИП ПАВЛОВ МАКСИМ АЛЕКСЕЕВИЧ</t>
  </si>
  <si>
    <t>ИП ЮДИНА ОЛЬГА МИХАЙЛОВНА</t>
  </si>
  <si>
    <t>ИП ГАЗИЗУЛЛИНА РАМЗИЯ ИЛЬДАРОВНА</t>
  </si>
  <si>
    <t>ЗАО КЕНТАВР</t>
  </si>
  <si>
    <t>423822, РОССИЯ, РЕСПУБЛИКА ТАТАРСТАН (ТАТАРСТАН), Г.О. ГОРОД НАБЕРЕЖНЫЕ ЧЕЛНЫ, Г НАБЕРЕЖНЫЕ ЧЕЛНЫ, УЛ ШАМИЛЯ УСМАНОВА, ЗД. 17А, ПОМЕЩ. 1002</t>
  </si>
  <si>
    <t>ИП Билалов Хасанзян Аминович</t>
  </si>
  <si>
    <t>ИП Абдулганиев Нягим Ахметович</t>
  </si>
  <si>
    <t>ООО КОМБАТ</t>
  </si>
  <si>
    <t>423806, РЕСПУБЛИКА ТАТАРСТАН (ТАТАРСТАН), Г НАБЕРЕЖНЫЕ ЧЕЛНЫ, ПР-КТ КАЗАНСКИЙ, Д. 242</t>
  </si>
  <si>
    <t>ООО АГРОТЕХМАШ</t>
  </si>
  <si>
    <t>423800, РЕСПУБЛИКА ТАТАРСТАН (ТАТАРСТАН), Г НАБЕРЕЖНЫЕ ЧЕЛНЫ, ПР-КТ МИРА, Д.48, 24</t>
  </si>
  <si>
    <t>ИП ГАЛИМОВ РАИС МИДАРИСОВИЧ</t>
  </si>
  <si>
    <t>ООО КАМАТРАНСНЕФТЬ</t>
  </si>
  <si>
    <t>423820, РОССИЯ, РЕСПУБЛИКА ТАТАРСТАН (ТАТАРСТАН), Г.О. ГОРОД НАБЕРЕЖНЫЕ ЧЕЛНЫ, Г НАБЕРЕЖНЫЕ ЧЕЛНЫ, ПР-КТ ИМ МУСЫ ДЖАЛИЛЯ, Д. 5</t>
  </si>
  <si>
    <t>ООО БЕЛКАМ</t>
  </si>
  <si>
    <t>423825, РЕСПУБЛИКА ТАТАРСТАН (ТАТАРСТАН), Г НАБЕРЕЖНЫЕ ЧЕЛНЫ, УЛ ТИХАЯ, Д. 3</t>
  </si>
  <si>
    <t>ООО ТД АЛЬФА-МОБИЛЬ</t>
  </si>
  <si>
    <t>423800, РЕСПУБЛИКА ТАТАРСТАН (ТАТАРСТАН), Г.О. ГОРОД НАБЕРЕЖНЫЕ ЧЕЛНЫ, Г НАБЕРЕЖНЫЕ ЧЕЛНЫ, ПР-КТ КАЗАНСКИЙ, ЗД. 210А, ПОМЕЩ. 3</t>
  </si>
  <si>
    <t>ООО ЕМЕКС-16</t>
  </si>
  <si>
    <t>423800, РЕСПУБЛИКА ТАТАРСТАН (ТАТАРСТАН), Г НАБЕРЕЖНЫЕ ЧЕЛНЫ, УЛ МАШИНОСТРОИТЕЛЬНАЯ, Д. 76</t>
  </si>
  <si>
    <t>ООО ГЕРМАН АВТО 116</t>
  </si>
  <si>
    <t>423800, РОССИЯ, РЕСПУБЛИКА ТАТАРСТАН (ТАТАРСТАН), Г.О. ГОРОД НАБЕРЕЖНЫЕ ЧЕЛНЫ, Г НАБЕРЕЖНЫЕ ЧЕЛНЫ, ПР-КТ ХАСАНА ТУФАНА, ЗД. 3А</t>
  </si>
  <si>
    <t>ООО  ИНТРАК</t>
  </si>
  <si>
    <t>423831, РЕСПУБЛИКА ТАТАРСТАН (ТАТАРСТАН), Г НАБЕРЕЖНЫЕ ЧЕЛНЫ, ПР-КТ ЧУЛМАН, Д. 54, КВ. 40</t>
  </si>
  <si>
    <t>ООО ЗУБР</t>
  </si>
  <si>
    <t>423800, РЕСПУБЛИКА ТАТАРСТАН (ТАТАРСТАН), Г НАБЕРЕЖНЫЕ ЧЕЛНЫ, ТРАКТ МЕНЗЕЛИНСКИЙ, Д. 52, ОФИС 404</t>
  </si>
  <si>
    <t>ООО ТД РУСАГРОИМПОРТ</t>
  </si>
  <si>
    <t>423826, РОССИЯ, РЕСПУБЛИКА ТАТАРСТАН (ТАТАРСТАН), Г.О. ГОРОД НАБЕРЕЖНЫЕ ЧЕЛНЫ, Г НАБЕРЕЖНЫЕ ЧЕЛНЫ, УЛ ЛЕСНАЯ, Д. 18</t>
  </si>
  <si>
    <t>ООО АЗС БСИ</t>
  </si>
  <si>
    <t>423800, РЕСПУБЛИКА ТАТАРСТАН (ТАТАРСТАН), Г НАБЕРЕЖНЫЕ ЧЕЛНЫ, УЛ МЕЛИОРАТОРНАЯ, Д. 1/7</t>
  </si>
  <si>
    <t>ООО ТД ЦЕНТР ШИН НЧ</t>
  </si>
  <si>
    <t>423810, РЕСПУБЛИКА ТАТАРСТАН (ТАТАРСТАН), Г НАБЕРЕЖНЫЕ ЧЕЛНЫ, ПР-КТ МОСКОВСКИЙ, Д. 139, КВ. 18</t>
  </si>
  <si>
    <t>ООО КОМПЛЕКС ГРУПП</t>
  </si>
  <si>
    <t>423806, РЕСПУБЛИКА ТАТАРСТАН (ТАТАРСТАН), Г.О. ГОРОД НАБЕРЕЖНЫЕ ЧЕЛНЫ, Г НАБЕРЕЖНЫЕ ЧЕЛНЫ, УЛ ИМ ХАДИ ТАКТАША, Д. 34, ПОМЕЩ. 10</t>
  </si>
  <si>
    <t>ИП БЕДИАШВИЛИ ИРИНА РАЗЫКОВНА</t>
  </si>
  <si>
    <t>ООО СТО МАСЕЛ</t>
  </si>
  <si>
    <t>423821, РЕСПУБЛИКА ТАТАРСТАН (ТАТАРСТАН), Г НАБЕРЕЖНЫЕ ЧЕЛНЫ, ПР-КТ МИРА, Д. 97/2, КВ. 106</t>
  </si>
  <si>
    <t>ООО РРС</t>
  </si>
  <si>
    <t>423800, РЕСПУБЛИКА ТАТАРСТАН (ТАТАРСТАН), Г НАБЕРЕЖНЫЕ ЧЕЛНЫ, ПР-Д ТРУБНЫЙ, Д. 22/11, ОФИС 3</t>
  </si>
  <si>
    <t>ООО ДИСКИ-ШИНЫ</t>
  </si>
  <si>
    <t>423800, РЕСПУБЛИКА ТАТАРСТАН (ТАТАРСТАН), Г НАБЕРЕЖНЫЕ ЧЕЛНЫ, ПР-КТ КАЗАНСКИЙ, ЗД 217, ОФИС 1</t>
  </si>
  <si>
    <t>ООО ТК БИ2БИ АВТО</t>
  </si>
  <si>
    <t>423800, РОССИЯ, РЕСПУБЛИКА ТАТАРСТАН (ТАТАРСТАН), Г.О. ГОРОД НАБЕРЕЖНЫЕ ЧЕЛНЫ, Г НАБЕРЕЖНЫЕ ЧЕЛНЫ, ПРОЕЗД ТРАНСПОРТНЫЙ, Д. 81, ПОМЕЩ. 1000 (Г), ОФИС 112</t>
  </si>
  <si>
    <t>ООО ТПК КЭРОС</t>
  </si>
  <si>
    <t>423800, РОССИЯ, РЕСПУБЛИКА ТАТАРСТАН (ТАТАРСТАН), Г.О. ГОРОД НАБЕРЕЖНЫЕ ЧЕЛНЫ, Г НАБЕРЕЖНЫЕ ЧЕЛНЫ, ПРОЕЗД ПРОИЗВОДСТВЕННЫЙ, Д. 31, ОФИС 219</t>
  </si>
  <si>
    <t>ООО АДВАНС</t>
  </si>
  <si>
    <t>423832, РОССИЯ, РЕСПУБЛИКА ТАТАРСТАН (ТАТАРСТАН), Г.О. ГОРОД НАБЕРЕЖНЫЕ ЧЕЛНЫ, Г НАБЕРЕЖНЫЕ ЧЕЛНЫ, УЛ ШАМИЛЯ УСМАНОВА, Д. 38Б, ОФИС 3-06</t>
  </si>
  <si>
    <t>ООО СМАРТ ТРЕЙД</t>
  </si>
  <si>
    <t>423823, РОССИЯ, РЕСПУБЛИКА ТАТАРСТАН (ТАТАРСТАН), Г.О. ГОРОД НАБЕРЕЖНЫЕ ЧЕЛНЫ, Г НАБЕРЕЖНЫЕ ЧЕЛНЫ, ПР-КТ СЮЮМБИКЕ, Д. 26, ПОМЕЩ. 511</t>
  </si>
  <si>
    <t>ООО АВТОЛАВКА</t>
  </si>
  <si>
    <t>423831, РОССИЯ, РЕСПУБЛИКА ТАТАРСТАН (ТАТАРСТАН), Г.О. ГОРОД НАБЕРЕЖНЫЕ ЧЕЛНЫ, Г НАБЕРЕЖНЫЕ ЧЕЛНЫ, ПР-КТ СЮЮМБИКЕ, Д. 25, КВ. 265</t>
  </si>
  <si>
    <t>ООО УРАЛНЕФТЬТРАНЗИТ</t>
  </si>
  <si>
    <t>423800, РОССИЯ, РЕСПУБЛИКА ТАТАРСТАН (ТАТАРСТАН), Г.О. ГОРОД НАБЕРЕЖНЫЕ ЧЕЛНЫ, Г НАБЕРЕЖНЫЕ ЧЕЛНЫ, УЛ 40 ЛЕТ ПОБЕДЫ, Д. 68, ОФИС 1</t>
  </si>
  <si>
    <t>ООО СПАРТО</t>
  </si>
  <si>
    <t>423832, РОССИЯ, РЕСПУБЛИКА ТАТАРСТАН (ТАТАРСТАН), Г.О. ГОРОД НАБЕРЕЖНЫЕ ЧЕЛНЫ, Г НАБЕРЕЖНЫЕ ЧЕЛНЫ, ПР-КТ РАИСА БЕЛЯЕВА, Д. 54, КВ. 59</t>
  </si>
  <si>
    <t>ИП БОРИСОВ ДЕНИС МИХАЙЛОВИЧ</t>
  </si>
  <si>
    <t>ООО ДЕЛОВДЕТАЛЯХ</t>
  </si>
  <si>
    <t>423800, РОССИЯ, РЕСПУБЛИКА ТАТАРСТАН (ТАТАРСТАН), Г.О. ГОРОД НАБЕРЕЖНЫЕ ЧЕЛНЫ, Г НАБЕРЕЖНЫЕ ЧЕЛНЫ, ПРОЕЗД ТОЗЕЛЕШ, Д. 27, ПОМЕЩ. 2</t>
  </si>
  <si>
    <t>ИП АМИНОВА ГУЗЕЛЬ ИЛЬШАТОВНА</t>
  </si>
  <si>
    <t>ИП МАННАПОВ ДИНАР РАМИЛЕВИЧ</t>
  </si>
  <si>
    <t>ИП СТИЛЬСКИЙ КОНСТАНТИН ЭДУАРДОВИЧ</t>
  </si>
  <si>
    <t>ООО НИЖНЕКАМСКНЕФТЕОРГСИНТЕЗ</t>
  </si>
  <si>
    <t>423570, РЕСПУБЛИКА ТАТАРСТАН (ТАТАРСТАН), Р-Н НИЖНЕКАМСКИЙ, Г НИЖНЕКАМСК, ПР-КТ ХИМИКОВ, Д. 50Б, ОФИС 4</t>
  </si>
  <si>
    <t>ООО УНИВЕРСАЛ</t>
  </si>
  <si>
    <t>423587, РЕСПУБЛИКА ТАТАРСТАН (ТАТАРСТАН), Р-Н НИЖНЕКАМСКИЙ, Г НИЖНЕКАМСК, Д ИЛЬИНКА, УЛ ЗЕЛЕНАЯ, Д.1</t>
  </si>
  <si>
    <t>ИП МУХАМЕТЗЯНОВА ЭЛЬВИРА ФАРИТОВНА</t>
  </si>
  <si>
    <t>ИП ПУЗАНКОВА НАТАЛЬЯ ПЕТРОВНА</t>
  </si>
  <si>
    <t>ООО МОТОР МАСТЕР</t>
  </si>
  <si>
    <t>420054, РЕСПУБЛИКА ТАТАРСТАН (ТАТАРСТАН), Г.О. ГОРОД КАЗАНЬ, Г КАЗАНЬ, УЛ ЛЕБЕДЕВА, ЗД. 20, ОФИС 2</t>
  </si>
  <si>
    <t>ООО ОЙЛСИСТЕМ</t>
  </si>
  <si>
    <t>420111, РЕСПУБЛИКА ТАТАРСТАН (ТАТАРСТАН), Г КАЗАНЬ, УЛ ТАЗИ ГИЗЗАТА, Д. 10, ПОМЕЩ. 8</t>
  </si>
  <si>
    <t>ООО КАУСАР</t>
  </si>
  <si>
    <t>420043, РОССИЯ, РЕСПУБЛИКА ТАТАРСТАН (ТАТАРСТАН), Г.О. ГОРОД КАЗАНЬ, Г КАЗАНЬ, УЛ ВИШНЕВСКОГО, Д. 24, ПОМЕЩ. 2003</t>
  </si>
  <si>
    <t>ООО СИРИУС</t>
  </si>
  <si>
    <t>420043, РОССИЯ, РЕСПУБЛИКА ТАТАРСТАН (ТАТАРСТАН), Г.О. ГОРОД КАЗАНЬ, Г КАЗАНЬ, УЛ ВИШНЕВСКОГО, Д. 26А, ПОМЕЩ. 4006</t>
  </si>
  <si>
    <t>ООО СЭР-АВТО</t>
  </si>
  <si>
    <t>420000, РЕСПУБЛИКА ТАТАРСТАН (ТАТАРСТАН), М.Р-Н ВЫСОКОГОРСКИЙ, С.П. ВЫСОКОГОРСКОЕ, ТЕР. ПРОМЫШЛЕННАЯ ЗОНА БИЕКТАУ М7, ЗД. 1, ОФИС 1</t>
  </si>
  <si>
    <t>ООО ДИЗАЙН-ГРУПП</t>
  </si>
  <si>
    <t>420021, РЕСПУБЛИКА ТАТАРСТАН (ТАТАРСТАН), Г КАЗАНЬ, УЛ ГАБДУЛЛЫ ТУКАЯ, Д. 112, ОФИС 9</t>
  </si>
  <si>
    <t>ООО ЭКХ</t>
  </si>
  <si>
    <t>420021, РЕСПУБЛИКА ТАТАРСТАН (ТАТАРСТАН), Г КАЗАНЬ, УЛ ТАЗИ ГИЗЗАТА, Д. 6/31, ПОМЕЩ. 9</t>
  </si>
  <si>
    <t>ООО СЕЛЬХОЗСНАБ КИНДЕРИ</t>
  </si>
  <si>
    <t>422700, РЕСПУБЛИКА ТАТАРСТАН (ТАТАРСТАН), М.Р-Н ВЫСОКОГОРСКИЙ, С.П. ВЫСОКОГОРСКОЕ, ТЕР. ПРОМЫШЛЕННАЯ ЗОНА КИНДЕРИ, ЗД. 16А, ОФИС 202</t>
  </si>
  <si>
    <t>ООО РВ-ОЙЛ ГРУПП</t>
  </si>
  <si>
    <t>420012, РОССИЯ, РЕСПУБЛИКА ТАТАРСТАН (ТАТАРСТАН), Г.О. ГОРОД КАЗАНЬ, Г КАЗАНЬ, УЛ ВОЛКОВА, Д. 55/21, ПОМЕЩ. 19</t>
  </si>
  <si>
    <t>ООО ТЕХНОБАЗА</t>
  </si>
  <si>
    <t>420107, РОССИЯ, РЕСПУБЛИКА ТАТАРСТАН (ТАТАРСТАН), Г.О. ГОРОД КАЗАНЬ, Г КАЗАНЬ, УЛ НУРСУЛТАНА НАЗАРБАЕВА, Д. 74, КВ. 8</t>
  </si>
  <si>
    <t>ООО АВТОХИМСЕРВИС</t>
  </si>
  <si>
    <t>420030, РЕСПУБЛИКА ТАТАРСТАН (ТАТАРСТАН), Г КАЗАНЬ, УЛ КЛАРЫ ЦЕТКИН, Д. 17А, ОФИС 17</t>
  </si>
  <si>
    <t>ООО ЯРИЛО</t>
  </si>
  <si>
    <t>420095, РЕСПУБЛИКА ТАТАРСТАН (ТАТАРСТАН), Г КАЗАНЬ, УЛ ВОССТАНИЯ, Д. 101, ПОМЕЩ. 32</t>
  </si>
  <si>
    <t>ООО ПРЕМИУМ ЭЙР</t>
  </si>
  <si>
    <t>420030, РЕСПУБЛИКА ТАТАРСТАН (ТАТАРСТАН), Г КАЗАНЬ, УЛ АДМИРАЛТЕЙСКАЯ, Д. 3, ПОМЕЩ. 1067</t>
  </si>
  <si>
    <t>ИП ЮСУПОВ ЛЕНАР ГУСМАНОВИЧ</t>
  </si>
  <si>
    <t>ИП САБИРОВ РАДИК ВАКИЛЬЕВИЧ</t>
  </si>
  <si>
    <t>ИП МАЧИХИН РОМАН ВЛАДИМИРОВИЧ</t>
  </si>
  <si>
    <t>ООО ДАКАР-КАЗАНЬ</t>
  </si>
  <si>
    <t>420044, РЕСПУБЛИКА ТАТАРСТАН (ТАТАРСТАН), Г КАЗАНЬ, УЛ КОРОЛЕНКО, Д. 61, ПОМЕЩ. 1112</t>
  </si>
  <si>
    <t>АО ТАТЭНЕРГО</t>
  </si>
  <si>
    <t>420107, РОССИЯ, РЕСПУБЛИКА ТАТАРСТАН (ТАТАРСТАН), Г.О. ГОРОД КАЗАНЬ, Г КАЗАНЬ, УЛ МАРСЕЛЯ САЛИМЖАНОВА, Д. 1</t>
  </si>
  <si>
    <t>ИП СМИРНОВ ДМИТРИЙ ВЛАДИМИРОВИЧ</t>
  </si>
  <si>
    <t>ИП ТРЕТЬЯКОВА АЛИНА ВЯЧЕСЛАВОВНА</t>
  </si>
  <si>
    <t>ИП РОМАНОВА ОЛЕСЯ АЛИКОВНА</t>
  </si>
  <si>
    <t>ИП ЮСУПОВА АЛИНА РАФИКОВНА</t>
  </si>
  <si>
    <t>ООО ТИТАН АВТО</t>
  </si>
  <si>
    <t>420094, РЕСПУБЛИКА ТАТАРСТАН (ТАТАРСТАН), Г КАЗАНЬ, УЛ СИЛИКАТНАЯ, Д. 4, КВ. 1</t>
  </si>
  <si>
    <t>ООО ЕМЕХ-ТОТЕМ</t>
  </si>
  <si>
    <t>420087, РЕСПУБЛИКА ТАТАРСТАН (ТАТАРСТАН), Г КАЗАНЬ, УЛ ГВАРДЕЙСКАЯ, ЗД 55А</t>
  </si>
  <si>
    <t>ООО АВТОТЕХНОЛОГИИ</t>
  </si>
  <si>
    <t>420094, РЕСПУБЛИКА ТАТАРСТАН (ТАТАРСТАН), Г КАЗАНЬ, УЛ БОНДАРЕНКО, Д. 1, ПОМЕЩ. 146-1</t>
  </si>
  <si>
    <t>ООО ТК ДЕТАЛЬНО</t>
  </si>
  <si>
    <t>420126, РЕСПУБЛИКА ТАТАРСТАН (ТАТАРСТАН), Г КАЗАНЬ, УЛ АДОРАТСКОГО, Д. 13, КВ. 73</t>
  </si>
  <si>
    <t>ИП ВОЗНЮК АЛЕКСАНДР ВИКТОРОВИЧ</t>
  </si>
  <si>
    <t>ООО ОЙЛ ВОРК</t>
  </si>
  <si>
    <t>422522, РОССИЯ, РЕСПУБЛИКА ТАТАРСТАН (ТАТАРСТАН), М.Р-Н ЗЕЛЕНОДОЛЬСКИЙ, П ДУБРОВКА, С.П. НОВОПОЛЬСКОЕ, УЛ ЗЕМЛЯНИЧНАЯ, Д. 2</t>
  </si>
  <si>
    <t>ООО РЕМЗОНА-АВТОСЕРВИС</t>
  </si>
  <si>
    <t>420006, РЕСПУБЛИКА ТАТАРСТАН (ТАТАРСТАН), Г.О. ГОРОД КАЗАНЬ, Г КАЗАНЬ, УЛ ХЛЕБОЗАВОДСКАЯ, ЗД. 11, К. 2</t>
  </si>
  <si>
    <t>ООО АДЕЛЬ</t>
  </si>
  <si>
    <t>420066, РОССИЯ, РЕСПУБЛИКА ТАТАРСТАН (ТАТАРСТАН), Г.О. ГОРОД КАЗАНЬ, Г КАЗАНЬ, УЛ СОЛДАТСКАЯ, Д. 8, ПОМЕЩ. 14</t>
  </si>
  <si>
    <t>ИП Жандаров Георгий Викторович</t>
  </si>
  <si>
    <t>ООО АРДИ</t>
  </si>
  <si>
    <t>420129, РЕСПУБЛИКА ТАТАРСТАН (ТАТАРСТАН), Г КАЗАНЬ, УЛ ЦЕНТРАЛЬНАЯ (САЛМАЧИ), Д. 129А</t>
  </si>
  <si>
    <t>ИП АРИСЛАНОВА ОЛЬГА ЕВГЕНЬЕВНА</t>
  </si>
  <si>
    <t>ООО ОПТИМА+</t>
  </si>
  <si>
    <t>420054, РЕСПУБЛИКА ТАТАРСТАН (ТАТАРСТАН), Г КАЗАНЬ, УЛ УЧИТЕЛЬСКАЯ, Д. 2, ПОМЕЩ. 1</t>
  </si>
  <si>
    <t>ОООТЕХНООЙЛ</t>
  </si>
  <si>
    <t>420140, РЕСПУБЛИКА ТАТАРСТАН (ТАТАРСТАН), Г КАЗАНЬ, УЛ НОКСИНСКИЙ СПУСК, Д.16, 75</t>
  </si>
  <si>
    <t>ООО МОСКВОРЕЧЬЕ-КАЗАНЬ</t>
  </si>
  <si>
    <t>420087, РЕСПУБЛИКА ТАТАРСТАН (ТАТАРСТАН), Г КАЗАНЬ, УЛ АДЕЛЯ КУТУЯ, Д. 151, ПОМЕЩ. 1</t>
  </si>
  <si>
    <t>ИП ХАЙРУЛЛИНА РЕГИНА РАДИКОВНА</t>
  </si>
  <si>
    <t>ООО СГСК КАЗАНЬ</t>
  </si>
  <si>
    <t>420104, РЕСПУБЛИКА ТАТАРСТАН (ТАТАРСТАН), Г КАЗАНЬ, УЛ РОДИНЫ, ЗД. 33Г, ОФИС 2</t>
  </si>
  <si>
    <t>ИП ИЗМОРОСИН СЕРГЕЙ ВЛАДИМИРОВИЧ</t>
  </si>
  <si>
    <t>ООО ТК ИРБИС</t>
  </si>
  <si>
    <t>420081, РОССИЯ, РЕСПУБЛИКА ТАТАРСТАН (ТАТАРСТАН), Г.О. ГОРОД КАЗАНЬ, Г КАЗАНЬ, УЛ ГАБДУЛЛЫ КАРИЕВА, Д. 10, ПОМЕЩ. 1007</t>
  </si>
  <si>
    <t>ООО ПРАЙМ</t>
  </si>
  <si>
    <t>420075, РЕСПУБЛИКА ТАТАРСТАН (ТАТАРСТАН), Г КАЗАНЬ, УЛ ТОПОЛЕВАЯ, Д. 57А, ОФИС 11</t>
  </si>
  <si>
    <t>ООО АГРО КОНТОРА</t>
  </si>
  <si>
    <t>420073, РЕСПУБЛИКА ТАТАРСТАН (ТАТАРСТАН), Г.О. ГОРОД КАЗАНЬ, Г КАЗАНЬ, УЛ АДЕЛЯ КУТУЯ, Д. 50/9, ОФИС 1-20</t>
  </si>
  <si>
    <t>ООО АЛЬРЕТТА</t>
  </si>
  <si>
    <t>420127, РЕСПУБЛИКА ТАТАРСТАН (ТАТАРСТАН), Г.О. ГОРОД КАЗАНЬ, Г КАЗАНЬ, УЛ МИХАИЛА МИЛЯ, ЗД. 61, К. 5, ЛИТЕР А, ОФИС 204</t>
  </si>
  <si>
    <t>ООО ТК РАДИАН</t>
  </si>
  <si>
    <t>420127, РОССИЯ, РЕСПУБЛИКА ТАТАРСТАН (ТАТАРСТАН), Г.О. ГОРОД КАЗАНЬ, Г КАЗАНЬ, УЛ МИХАИЛА МИЛЯ, ЗД. 61, К. 5, ЭТАЖ 2, ПОМЕЩ. 221/1</t>
  </si>
  <si>
    <t>ООО СОКОЛ ТРАК</t>
  </si>
  <si>
    <t>420088, РОССИЯ, РЕСПУБЛИКА ТАТАРСТАН (ТАТАРСТАН), Г.О. ГОРОД КАЗАНЬ, Г КАЗАНЬ, ПР-КТ ПОБЕДЫ, ЗД. 173, ОФИС 602</t>
  </si>
  <si>
    <t>ООО ДА КОМПАНИ</t>
  </si>
  <si>
    <t>420096, РОССИЯ, РЕСПУБЛИКА ТАТАРСТАН (ТАТАРСТАН), Г.О. ГОРОД КАЗАНЬ, Г КАЗАНЬ, УЛ АВИАЦИИ, Д. 14А</t>
  </si>
  <si>
    <t>ООО АВТОСПЕКТР</t>
  </si>
  <si>
    <t>420025, РОССИЯ, РЕСПУБЛИКА ТАТАРСТАН (ТАТАРСТАН), Г.О. ГОРОД КАЗАНЬ, Г КАЗАНЬ, ПР-КТ ПОБЕДЫ, ЗД. 194, ПОМЕЩ. 18</t>
  </si>
  <si>
    <t>ООО ФЛАГМАН</t>
  </si>
  <si>
    <t>ИП МАЛАЕВ АНТОН АНДРЕЕВИЧ</t>
  </si>
  <si>
    <t>ООО АЛЬФАТЕХРУС</t>
  </si>
  <si>
    <t>420030, РЕСПУБЛИКА ТАТАРСТАН (ТАТАРСТАН), Г.О. ГОРОД КАЗАНЬ, Г КАЗАНЬ, УЛ АРХАНГЕЛЬСКАЯ, Д. 2А, ОФИС 109</t>
  </si>
  <si>
    <t>ИП БУКАТИНА ЛАРИСА АЛЕКСАНДРОВНА</t>
  </si>
  <si>
    <t>ИП ШИМАРИН ВАЛЕРИЙ ИГОРЕВИЧ</t>
  </si>
  <si>
    <t>ООО ГРАЛ</t>
  </si>
  <si>
    <t>420006, РЕСПУБЛИКА ТАТАРСТАН (ТАТАРСТАН), Г.О. ГОРОД КАЗАНЬ, Г КАЗАНЬ, УЛ РАХИМОВА, ЗД. 61В, ПОМЕЩ. 1</t>
  </si>
  <si>
    <t>ИП ЛУЗГОВА НАДЕЖДА ПАВЛОВНА</t>
  </si>
  <si>
    <t>ИП САГИТОВА ИННА АЗАТОВНА</t>
  </si>
  <si>
    <t>ИП ВАЛИШЕВ СТАНИСЛАВ МАРКСОВИЧ</t>
  </si>
  <si>
    <t>ИП КОРОБКОВ АЛЕКСЕЙ НИКОЛАЕВИЧ</t>
  </si>
  <si>
    <t>ИП ПОЗОВ РУСЛАН СПАРТАКОВИЧ</t>
  </si>
  <si>
    <t>ИП ГУСЕВ НИКОЛАЙ ГРИГОРЬЕВИЧ</t>
  </si>
  <si>
    <t>ООО ДСМ</t>
  </si>
  <si>
    <t>420136, РОССИЯ, РЕСПУБЛИКА ТАТАРСТАН (ТАТАРСТАН), Г.О. ГОРОД КАЗАНЬ, Г КАЗАНЬ, УЛ ФАТЫХА АМИРХАНА, Д. 91Б, КВ. 53</t>
  </si>
  <si>
    <t>ООО ФЕНИКС</t>
  </si>
  <si>
    <t>420136, РОССИЯ, РЕСПУБЛИКА ТАТАРСТАН (ТАТАРСТАН), Г.О. ГОРОД КАЗАНЬ, Г КАЗАНЬ, УЛ ФАТЫХА АМИРХАНА, Д. 97, КВ. 13</t>
  </si>
  <si>
    <t>ИП РУСАКОВ АНДРЕЙ АЛЕКСАНДРОВИЧ</t>
  </si>
  <si>
    <t>ООО ХИМИК ЛАЙФ</t>
  </si>
  <si>
    <t>420095, РЕСПУБЛИКА ТАТАРСТАН (ТАТАРСТАН), Г.О. ГОРОД КАЗАНЬ, Г КАЗАНЬ, ТЕР. ХИМГРАД, Д. 19, ПОМЕЩ. 1050</t>
  </si>
  <si>
    <t>ООО ТРАНСТЕХСЕРВИС-32</t>
  </si>
  <si>
    <t>420039, РЕСПУБЛИКА ТАТАРСТАН (ТАТАРСТАН), Г КАЗАНЬ, УЛ ДЕКАБРИСТОВ, Д.96</t>
  </si>
  <si>
    <t>ИП ПРОКОФЬЕВ АНТОН ВЛАДИМИРОВИЧ</t>
  </si>
  <si>
    <t>ИП БУЛГАКОВ АРТУР ВЛАДИМИРОВИЧ</t>
  </si>
  <si>
    <t>ООО АКОМ</t>
  </si>
  <si>
    <t>420102, РЕСПУБЛИКА ТАТАРСТАН (ТАТАРСТАН), Г КАЗАНЬ, УЛ БАТЫРШИНА, Д. 37, КВ. 173</t>
  </si>
  <si>
    <t>ООО СОЛХАТ ТРЕЙД</t>
  </si>
  <si>
    <t>420095, РОССИЯ, РЕСПУБЛИКА ТАТАРСТАН (ТАТАРСТАН), Г.О. ГОРОД КАЗАНЬ, Г КАЗАНЬ, УЛ ВОССТАНИЯ, Д. 80А, КВ. 98</t>
  </si>
  <si>
    <t>ООО ТССАГРО</t>
  </si>
  <si>
    <t>420102, РОССИЯ, РЕСПУБЛИКА ТАТАРСТАН (ТАТАРСТАН), Г.О. ГОРОД КАЗАНЬ, Г КАЗАНЬ, УЛ СЕРОВА, Д. 6, К. 1, КВ. 102</t>
  </si>
  <si>
    <t>ООО АВТОТОРГ</t>
  </si>
  <si>
    <t>420095, РОССИЯ, РЕСПУБЛИКА ТАТАРСТАН (ТАТАРСТАН), Г.О. ГОРОД КАЗАНЬ, Г КАЗАНЬ, УЛ СЕРОВА, Д. 43, К. 1, КВ. 137</t>
  </si>
  <si>
    <t>ООО КЛЕВЕР ТРАК КАЗАНЬ</t>
  </si>
  <si>
    <t>420006, РОССИЯ, РЕСПУБЛИКА ТАТАРСТАН (ТАТАРСТАН), Г.О. ГОРОД КАЗАНЬ, Г КАЗАНЬ, УЛ РАХИМОВА, ЗД. 10В, ЭТАЖ 1, ПОМЕЩ. 1-5</t>
  </si>
  <si>
    <t>ООО ТД САВОЙ</t>
  </si>
  <si>
    <t>420108, РЕСПУБЛИКА ТАТАРСТАН (ТАТАРСТАН), Г КАЗАНЬ, УЛ МАГИСТРАЛЬНАЯ, Д.22</t>
  </si>
  <si>
    <t>ИП МУСТАФИН НАСЫХ МИНСАФОВИЧ</t>
  </si>
  <si>
    <t>ООО ТОРГСЕРВИС 116</t>
  </si>
  <si>
    <t>420054, РЕСПУБЛИКА ТАТАРСТАН (ТАТАРСТАН), Г КАЗАНЬ, УЛ ТУЛЬСКАЯ, Д. 58, ПОМЕЩ. 4</t>
  </si>
  <si>
    <t>ИП ШАМСУТДИНОВА ВЕНЕРА ИЛЬДАРОВНА</t>
  </si>
  <si>
    <t>ООО ГП</t>
  </si>
  <si>
    <t>420138, РОССИЯ, РЕСПУБЛИКА ТАТАРСТАН (ТАТАРСТАН), Г.О. ГОРОД КАЗАНЬ, Г КАЗАНЬ, УЛ ДУБРАВНАЯ, Д. 47, КВ. 28</t>
  </si>
  <si>
    <t>ИП ЦИБИН РОМАН ВИКТОРОВИЧ</t>
  </si>
  <si>
    <t>ИП СОКОВИКОВ ЕВГЕНИЙ РОМАНОВИЧ</t>
  </si>
  <si>
    <t>ООО АГАВА</t>
  </si>
  <si>
    <t>420088, РЕСПУБЛИКА ТАТАРСТАН (ТАТАРСТАН), Г КАЗАНЬ, ПР-КТ ПОБЕДЫ, Д. 159, ОФИС 1003</t>
  </si>
  <si>
    <t>ИП КАДЫРОВ РИНАР ТАГИРОВИЧ</t>
  </si>
  <si>
    <t>ИП РОМАНОВ ЕВГЕНИЙ ВЛАДИМИРОВИЧ</t>
  </si>
  <si>
    <t>ИП ШАКИРОВ РАМИЛЬ ФАИЗОВИЧ</t>
  </si>
  <si>
    <t>ИП КРОПОТОВ СЕРГЕЙ АЛЕКСЕЕВИЧ</t>
  </si>
  <si>
    <t>ИП ТУХТАМЫШЕВ РИНАТ ТАГИРОВИЧ</t>
  </si>
  <si>
    <t>ИП УМНОВ НИКИТА СЕРГЕЕВИЧ</t>
  </si>
  <si>
    <t>ООО ХАРВЕСТАВТО</t>
  </si>
  <si>
    <t>420029, РЕСПУБЛИКА ТАТАРСТАН (ТАТАРСТАН), Г КАЗАНЬ, УЛ АКАДЕМИКА КИРПИЧНИКОВА, Д. 15, КВ. 23</t>
  </si>
  <si>
    <t>ООО ПРОМЫШЛЕННОЕ ОБОРУДОВАНИЕ</t>
  </si>
  <si>
    <t>420085, РЕСПУБЛИКА ТАТАРСТАН (ТАТАРСТАН), Г КАЗАНЬ, УЛ СУВОРОВА, Д. 19/239</t>
  </si>
  <si>
    <t>ООО ТЕХЦЕНТР АЛЬФА</t>
  </si>
  <si>
    <t>420036, РЕСПУБЛИКА ТАТАРСТАН (ТАТАРСТАН), Г КАЗАНЬ, УЛ ТЭЦЕВСКАЯ, Д. 5, ПОМЕЩ. 6</t>
  </si>
  <si>
    <t>ООО ИНТЕХКРАНСЕРВИС</t>
  </si>
  <si>
    <t>420085, РЕСПУБЛИКА ТАТАРСТАН (ТАТАРСТАН), Г КАЗАНЬ, УЛ ОБНОРСКОГО, ЗД. 30А, ОФИС 4</t>
  </si>
  <si>
    <t>ИП ГИЗЗАТУЛЛИН АЙРАТ РУЗАЛЕВИЧ</t>
  </si>
  <si>
    <t>ООО ПАН СЕРВИС</t>
  </si>
  <si>
    <t>422701, РЕСПУБЛИКА ТАТАРСТАН (ТАТАРСТАН), М.Р-Н ВЫСОКОГОРСКИЙ, С.П. ВЫСОКОГОРСКОЕ, ТЕР. ПРОМЫШЛЕННАЯ ЗОНА ВЫСОКАЯ ГОРА, ЗД. 15/1, ЭТАЖ 2, ПОМЕЩ. 6</t>
  </si>
  <si>
    <t>ООО ГАРМОНИЯ ДОРОГ</t>
  </si>
  <si>
    <t>422527, РОССИЯ, РЕСПУБЛИКА ТАТАРСТАН (ТАТАРСТАН), М.Р-Н ЗЕЛЕНОДОЛЬСКИЙ, С ОСИНОВО, С.П. ОСИНОВСКОЕ, УЛ СЕВЕРНАЯ, Д. 15, КВ. 1</t>
  </si>
  <si>
    <t>ООО ВСД</t>
  </si>
  <si>
    <t>422549, РОССИЯ, РЕСПУБЛИКА ТАТАРСТАН (ТАТАРСТАН), М.Р-Н ЗЕЛЕНОДОЛЬСКИЙ, Г ЗЕЛЕНОДОЛЬСК, Г.П. ГОРОД ЗЕЛЕНОДОЛЬСК, УЛ СОЛНЕЧНАЯ, Д. 23, КВ. 9</t>
  </si>
  <si>
    <t>ООО ТТО</t>
  </si>
  <si>
    <t>420054, РОССИЯ, РЕСПУБЛИКА ТАТАРСТАН (ТАТАРСТАН), Г.О. ГОРОД КАЗАНЬ, Г КАЗАНЬ, УЛ АВАНГАРДНАЯ, Д. 90Е, ОФИС 7</t>
  </si>
  <si>
    <t>ООО АВТОКУЗОВ ДАУРСКАЯ</t>
  </si>
  <si>
    <t>420059, РЕСПУБЛИКА ТАТАРСТАН (ТАТАРСТАН), Г.О. ГОРОД КАЗАНЬ, Г КАЗАНЬ, УЛ ДАУРСКАЯ, Д. 18, ПОМЕЩ. 60</t>
  </si>
  <si>
    <t>ООО ЦЕНТР КУЗОВНОГО РЕМОНТА АЗИНО</t>
  </si>
  <si>
    <t>420054, РОССИЯ, РЕСПУБЛИКА ТАТАРСТАН (ТАТАРСТАН), Г.О. ГОРОД КАЗАНЬ, Г КАЗАНЬ, УЛ АВАНГАРДНАЯ, Д. 187, КВ. 38</t>
  </si>
  <si>
    <t>ООО ТПК ВИКОС</t>
  </si>
  <si>
    <t>423251, РОССИЯ, РЕСПУБЛИКА ТАТАРСТАН (ТАТАРСТАН), М.Р-Н ЛЕНИНОГОРСКИЙ, Г ЛЕНИНОГОРСК, Г.П. ГОРОД ЛЕНИНОГОРСК, УЛ АГАДУЛЛИНА, Д. 2, СТР. 3, ПОМЕЩ. 78</t>
  </si>
  <si>
    <t>ИП КОНДРАТЕНКОВ ВИКТОР СЕРГЕЕВИЧ</t>
  </si>
  <si>
    <t>ООО СПЕЦТЕХОЙЛ</t>
  </si>
  <si>
    <t>420100, РЕСПУБЛИКА ТАТАРСТАН (ТАТАРСТАН), Г КАЗАНЬ, УЛ АКАДЕМИКА ГЛУШКО, Д. 16А, КВ. 64</t>
  </si>
  <si>
    <t>ООО ГАЗЗАПЧАСТИ</t>
  </si>
  <si>
    <t>420083, РЕСПУБЛИКА ТАТАРСТАН (ТАТАРСТАН), Г КАЗАНЬ, УЛ МАМАДЫШСКИЙ ТРАКТ, Д. 35, К. 1</t>
  </si>
  <si>
    <t>ООО ИН-КАР</t>
  </si>
  <si>
    <t>420083, РЕСПУБЛИКА ТАТАРСТАН (ТАТАРСТАН), Г.О. ГОРОД КАЗАНЬ, Г КАЗАНЬ, УЛ МАМАДЫШСКИЙ ТРАКТ, Д. 35, ОФИС 4</t>
  </si>
  <si>
    <t>ИП ШАКИРОВ АЙРАТ ЗУФАРОВИЧ</t>
  </si>
  <si>
    <t>ООО ТЕХНОЛОГИЯ ВОСТОКА</t>
  </si>
  <si>
    <t>420094, РЕСПУБЛИКА ТАТАРСТАН (ТАТАРСТАН), Г КАЗАНЬ, УЛ БОНДАРЕНКО, Д. 1</t>
  </si>
  <si>
    <t>ООО СМАРТСИСТЕМС</t>
  </si>
  <si>
    <t>420025, РОССИЯ, РЕСПУБЛИКА ТАТАРСТАН (ТАТАРСТАН), Г.О. ГОРОД КАЗАНЬ, Г КАЗАНЬ, УЛ ДЖАУДАТА ФАЙЗИ, Д. 15, ПОМЕЩ. 1000</t>
  </si>
  <si>
    <t>ООО ТЕХНОЛИТ</t>
  </si>
  <si>
    <t>423812, РОССИЯ, РЕСПУБЛИКА ТАТАРСТАН (ТАТАРСТАН), Г.О. ГОРОД НАБЕРЕЖНЫЕ ЧЕЛНЫ, Г НАБЕРЕЖНЫЕ ЧЕЛНЫ, Б-Р МОЛОДЕЖНЫЙ, Д. 1, КВ. 31</t>
  </si>
  <si>
    <t>ООО КИТКАРС</t>
  </si>
  <si>
    <t>420136, РЕСПУБЛИКА ТАТАРСТАН (ТАТАРСТАН), Г КАЗАНЬ, УЛ МАРШАЛА ЧУЙКОВА, Д. 37, КВ. 179</t>
  </si>
  <si>
    <t>ООО МЕГАТРИКС</t>
  </si>
  <si>
    <t>420137, РЕСПУБЛИКА ТАТАРСТАН (ТАТАРСТАН), Г КАЗАНЬ, УЛ МАРШАЛА ЧУЙКОВА, Д. 58, КАБИНЕТ 308</t>
  </si>
  <si>
    <t>ООО  ПОЛИМЕРТЕХ</t>
  </si>
  <si>
    <t>420061, РОССИЯ, РЕСПУБЛИКА ТАТАРСТАН (ТАТАРСТАН), Г.О. ГОРОД КАЗАНЬ, Г КАЗАНЬ, УЛ НИКОЛАЯ ЕРШОВА, Д. 1А</t>
  </si>
  <si>
    <t>ООО ТЕХНОЛОГИЯ</t>
  </si>
  <si>
    <t>420087, РЕСПУБЛИКА ТАТАРСТАН (ТАТАРСТАН), Г КАЗАНЬ, УЛ РОДИНЫ, Д. 7, ПОМЕЩ. 537</t>
  </si>
  <si>
    <t>ООО НАЧАЛО</t>
  </si>
  <si>
    <t>420085, РЕСПУБЛИКА ТАТАРСТАН (ТАТАРСТАН), Г КАЗАНЬ, УЛ ГУДОВАНЦЕВА, Д. 1А, ЛИТЕР К, ОФИС 113</t>
  </si>
  <si>
    <t>ООО ПАТРИОТ</t>
  </si>
  <si>
    <t>420132, РЕСПУБЛИКА ТАТАРСТАН (ТАТАРСТАН), Г КАЗАНЬ, УЛ АДОРАТСКОГО, Д. 49, КВ. 135</t>
  </si>
  <si>
    <t>ООО РЕМЗОНА-ДЕТАЛЬ</t>
  </si>
  <si>
    <t>420006, РЕСПУБЛИКА ТАТАРСТАН (ТАТАРСТАН), Г КАЗАНЬ, УЛ ХЛЕБОЗАВОДСКАЯ, Д. 1, ОФИС 202В</t>
  </si>
  <si>
    <t>ООО ТОРГСЕРВИС 16</t>
  </si>
  <si>
    <t>ООО ТЕХХАУС</t>
  </si>
  <si>
    <t>420103, РЕСПУБЛИКА ТАТАРСТАН (ТАТАРСТАН), Г КАЗАНЬ, ПР-КТ ЯМАШЕВА, Д. 54, К. 1, ПОМЕЩ. 1004</t>
  </si>
  <si>
    <t>ИП ХАСАНОВ АЙРАТ ИЛЬДУСОВИЧ</t>
  </si>
  <si>
    <t>ООО ВЕРСАДА-ТРЕЙД</t>
  </si>
  <si>
    <t>420054, РЕСПУБЛИКА ТАТАРСТАН (ТАТАРСТАН), Г КАЗАНЬ, УЛ ДОКУЧАЕВА, Д. 6</t>
  </si>
  <si>
    <t>ИП ШАГИДУЛЛИН АДЕЛЬ РУСТЕМОВИЧ</t>
  </si>
  <si>
    <t>ООО РСТ</t>
  </si>
  <si>
    <t>420054, РЕСПУБЛИКА ТАТАРСТАН (ТАТАРСТАН), Г.О. ГОРОД КАЗАНЬ, Г КАЗАНЬ, УЛ КАУЧУКОВАЯ, Д. 5, ПОМЕЩ. 18</t>
  </si>
  <si>
    <t>ИП ЯНЫШЕВА ВАЛЕРИЯ ДМИТРИЕВНА</t>
  </si>
  <si>
    <t>ИП ГАЙНУЛЛИН ЗИННУР АЙРАТОВИЧ</t>
  </si>
  <si>
    <t>ИП РУДЕНКО ОКСАНА ЕВГЕНЬЕВНА</t>
  </si>
  <si>
    <t>ИП ШАГИЕВ ЭРИК ШАВКАТОВИЧ</t>
  </si>
  <si>
    <t>ООО КАЗАНЬ-ШИНТОРГ</t>
  </si>
  <si>
    <t>420088, РЕСПУБЛИКА ТАТАРСТАН (ТАТАРСТАН), Г КАЗАНЬ, УЛ АКАДЕМИКА ГУБКИНА, Д. 39/1, ЛИТЕР А</t>
  </si>
  <si>
    <t>ООО КЗМС</t>
  </si>
  <si>
    <t>420054, РЕСПУБЛИКА ТАТАРСТАН (ТАТАРСТАН), Г.О. ГОРОД КАЗАНЬ, Г КАЗАНЬ, УЛ КРУТОВСКАЯ, Д. 26Т</t>
  </si>
  <si>
    <t>ООО ЭЛИТ - АВТО</t>
  </si>
  <si>
    <t>420034, РЕСПУБЛИКА ТАТАРСТАН (ТАТАРСТАН), Г КАЗАНЬ, УЛ ДЕКАБРИСТОВ, Д. 81 В, ОФИС 3</t>
  </si>
  <si>
    <t>ООО ЛУИДОРГАРАНТИЯ-КАЗАНЬ</t>
  </si>
  <si>
    <t>420029, РЕСПУБЛИКА ТАТАРСТАН (ТАТАРСТАН), Г КАЗАНЬ, УЛ СИБИРСКИЙ ТРАКТ, ЗД 59, ПОМЕЩ. 6</t>
  </si>
  <si>
    <t>ООО ТК БРЕНД-ОЙЛ</t>
  </si>
  <si>
    <t>420075, РЕСПУБЛИКА ТАТАРСТАН (ТАТАРСТАН), Г КАЗАНЬ, УЛ ТОПОЛЕВАЯ, Д. 53, ПОМЕЩ. 302</t>
  </si>
  <si>
    <t>ООО ОЙЛРУСТРЕЙД</t>
  </si>
  <si>
    <t>420127, РЕСПУБЛИКА ТАТАРСТАН (ТАТАРСТАН), Г КАЗАНЬ, УЛ КОРОЛЕНКО, Д. 120, ОФИС 9</t>
  </si>
  <si>
    <t>ООО АРТ</t>
  </si>
  <si>
    <t>422594, РОССИЯ, РЕСПУБЛИКА ТАТАРСТАН (ТАТАРСТАН), М.Р-Н ВЕРХНЕУСЛОНСКИЙ, П ДЕСЯТИДВОРКА, С.П. НАБЕРЕЖНО-МОРКВАШСКОЕ, УЛ ДВОРИКОВ ПРОЕЗД, ЗД. 2, К. 3, ОФИС 1</t>
  </si>
  <si>
    <t>ООО МИР ГРУЗОВИКОВ</t>
  </si>
  <si>
    <t>420099, РОССИЯ, РЕСПУБЛИКА ТАТАРСТАН (ТАТАРСТАН), Г.О. ГОРОД КАЗАНЬ, Г КАЗАНЬ, УЛ ОСИНОВАЯ, Д. 11, ПОМЕЩ. 1</t>
  </si>
  <si>
    <t>ООО ТЕХНИЧЕСКИЙ ЦЕНТР С-ТРАК</t>
  </si>
  <si>
    <t>420000, РЕСПУБЛИКА ТАТАРСТАН (ТАТАРСТАН), М.Р-Н ВЫСОКОГОРСКИЙ, С.П. ВЫСОКОГОРСКОЕ, ТЕР. ПРОМЫШЛЕННАЯ ЗОНА БИЕКТАУ М7, ЗД. 1, ОФИС 2</t>
  </si>
  <si>
    <t>ООО ПОВОЛЖЬЕ</t>
  </si>
  <si>
    <t>420127, РОССИЯ, РЕСПУБЛИКА ТАТАРСТАН (ТАТАРСТАН), Г.О. ГОРОД КАЗАНЬ, Г КАЗАНЬ, УЛ ДЕМЕНТЬЕВА, Д. 37, КВ. 49</t>
  </si>
  <si>
    <t>ООО АЛЬТЕРНАТИВА</t>
  </si>
  <si>
    <t>420125, РОССИЯ, РЕСПУБЛИКА ТАТАРСТАН (ТАТАРСТАН), Г.О. ГОРОД КАЗАНЬ, Г КАЗАНЬ, УЛ МАМАДЫШСКИЙ ТРАКТ, Д. 30, ПОМЕЩ. А-1-8</t>
  </si>
  <si>
    <t>ООО  МОТОПРЕМИУМ</t>
  </si>
  <si>
    <t>420061, РОССИЯ, РЕСПУБЛИКА ТАТАРСТАН (ТАТАРСТАН), Г.О. ГОРОД КАЗАНЬ, Г КАЗАНЬ, УЛ КОСМОНАВТОВ, Д. 57В</t>
  </si>
  <si>
    <t>ООО БАЙКСТАР</t>
  </si>
  <si>
    <t>422788, РОССИЯ, РЕСПУБЛИКА ТАТАРСТАН (ТАТАРСТАН), М.Р-Н ПЕСТРЕЧИНСКИЙ, Д ЦАРЕВО, С.П. КОЩАКОВСКОЕ, УЛ ПЕТРА ГАВРИЛОВА, Д. 10, КВ. 88</t>
  </si>
  <si>
    <t>ООО ЛУНА</t>
  </si>
  <si>
    <t>420029, РОССИЯ, РЕСПУБЛИКА ТАТАРСТАН (ТАТАРСТАН), Г.О. ГОРОД КАЗАНЬ, Г КАЗАНЬ, УЛ ЖУРНАЛИСТОВ, Д. 2А, ПОМЕЩ. 405А</t>
  </si>
  <si>
    <t>ООО АРА-ГРУПП</t>
  </si>
  <si>
    <t>420087, РОССИЯ, РЕСПУБЛИКА ТАТАРСТАН (ТАТАРСТАН), Г.О. ГОРОД КАЗАНЬ, Г КАЗАНЬ, УЛ ГВАРДЕЙСКАЯ, Д. 61, КВ. 100</t>
  </si>
  <si>
    <t>ООО МАЙТРЕЙД</t>
  </si>
  <si>
    <t>420140, РОССИЯ, РЕСПУБЛИКА ТАТАРСТАН (ТАТАРСТАН), Г.О. ГОРОД КАЗАНЬ, Г КАЗАНЬ, ПР-КТ ПОБЕДЫ, Д. 106, КВ. 13</t>
  </si>
  <si>
    <t>ИП БЕЛЕК ВЛАДИМИР ВАСИЛЬЕВИЧ</t>
  </si>
  <si>
    <t>Республика Тыва</t>
  </si>
  <si>
    <t>ИП ЧАМЫЯН ЮЛИЯ СЕРГЕЕВНА</t>
  </si>
  <si>
    <t>ИП Дядечкина Надежда Владимировна</t>
  </si>
  <si>
    <t>ИП РЯБОВА НАТАЛЬЯ АЛЕКСЕЕВНА</t>
  </si>
  <si>
    <t>ИП МОНГУШ САЙГАЛ ХУРЕШ-ООЛОВИЧ</t>
  </si>
  <si>
    <t>ИП ПОТРОГОШ ТАТЬЯНА ИВАНОВНА</t>
  </si>
  <si>
    <t>ООО Д2</t>
  </si>
  <si>
    <t>667007, РОССИЯ, РЕСПУБЛИКА ТЫВА, Г.О. ГОРОД КЫЗЫЛ, Г КЫЗЫЛ, ПЕР КРУТОЙ, ДВЛД. 13</t>
  </si>
  <si>
    <t>ООО ГСС</t>
  </si>
  <si>
    <t>667000, РОССИЯ, РЕСПУБЛИКА ТЫВА, Г.О. ГОРОД КЫЗЫЛ, Г КЫЗЫЛ, УЛ ПРОЛЕТАРСКАЯ, ДВЛД. 198</t>
  </si>
  <si>
    <t>ИП ЛЫКОВА ЕКАТЕРИНА ВИКТОРОВНА</t>
  </si>
  <si>
    <t>ИП МЕЖЕРИЦКИЙ ЮРИЙ АЛЕКСАНДРОВИЧ</t>
  </si>
  <si>
    <t>ИП УНДЕЗИН ЛАРИСА АРАГАЧИЕВНА</t>
  </si>
  <si>
    <t>ИП СУНДУЙ-ООЛ ФЕЛИКС ГРИГОРЬЕВИЧ</t>
  </si>
  <si>
    <t>ИП МОНГУШ ЧАЯНА ВАДИМОВНА</t>
  </si>
  <si>
    <t>ИП АХПАШЕВ АЛЕКСАНДР ВИКТОРОВИЧ</t>
  </si>
  <si>
    <t>ИП ЧЫРГАЛ АЛТЫНАЙ СЕРГЕЕВНА</t>
  </si>
  <si>
    <t>ИП БЕЛОЗЕРОВ ДМИТРИЙ НИКОЛАЕВИЧ</t>
  </si>
  <si>
    <t>Удмуртская республика</t>
  </si>
  <si>
    <t>426006, РОССИЯ, УДМУРТСКАЯ РЕСПУБЛИКА, Г.О. ГОРОД ИЖЕВСК, Г ИЖЕВСК, УЛ НОВОАЖИМОВА, Д. 20</t>
  </si>
  <si>
    <t>ООО НА ГОРКЕ</t>
  </si>
  <si>
    <t>427018, РОССИЯ, УДМУРТСКАЯ РЕСПУБЛИКА, М.О. ЗАВЬЯЛОВСКИЙ РАЙОН, Д РУССКИЙ ВОЖОЙ, УЛ БЕРСЕНЕВАЯ, Д. 1</t>
  </si>
  <si>
    <t>ООО ДЕТАЛЬКИН</t>
  </si>
  <si>
    <t>427974, РОССИЯ, УДМУРТСКАЯ РЕСПУБЛИКА, Г.О. ГОРОД САРАПУЛ, Г САРАПУЛ, УЛ ПРОЛЕТАРСКАЯ, ЗД. 31, К. 6, ПОМЕЩ. 1</t>
  </si>
  <si>
    <t>ИП КАРКИНА СВЕТЛАНА АЛЕКСАНДРОВНА</t>
  </si>
  <si>
    <t>ИП БЕЛОВ ВАЛЕРИЙ ВЕНИАМИНОВИЧ</t>
  </si>
  <si>
    <t>ИП БАЖЕНОВ АНДРЕЙ ПЕТРОВИЧ</t>
  </si>
  <si>
    <t>ИП Рябова Екатерина Станиславовна</t>
  </si>
  <si>
    <t>ИП СОБОЛЬ АЛЕКСАНДР ИВАНОВИЧ</t>
  </si>
  <si>
    <t>ИП ЛИХАЧЕВ СЕРГЕЙ АНАТОЛЬЕВИЧ</t>
  </si>
  <si>
    <t>ИП ПИСАНЕНКО АЛЕКСАНДР МИХАЙЛОВИЧ</t>
  </si>
  <si>
    <t>ИП РУКАВИШНИКОВА МАРИНА АНАТОЛЬЕВНА</t>
  </si>
  <si>
    <t>ИП КАЛИНИН АЛЕКСЕЙ АЛЕКСАНДРОВИЧ</t>
  </si>
  <si>
    <t>ИП ГЛУХОВ ДМИТРИЙ СЕРГЕЕВИЧ</t>
  </si>
  <si>
    <t>ИП Павлов Анатолий Сергеевич</t>
  </si>
  <si>
    <t>ИП СТЕПАНЮК АЛЕКСАНДР ДМИТРИЕВИЧ</t>
  </si>
  <si>
    <t>ИП ФРОЛОВ АЛЕКСЕЙ ГЕННАДЬЕВИЧ</t>
  </si>
  <si>
    <t>ИП МИЩЕНКО ЕЛЕНА АЛЕКСЕЕВНА</t>
  </si>
  <si>
    <t>ИП ГАБДРАХМАНОВ АЛЕКСЕЙ АЛЕКСАНДРОВИЧ</t>
  </si>
  <si>
    <t>ИП ЯГОВКИНА АННА ЕВГЕНЬЕВНА</t>
  </si>
  <si>
    <t>ИП САЛАМАТОВ АНАТОЛИЙ ВЛАДИМИРОВИЧ</t>
  </si>
  <si>
    <t>ИП ГАБИДУЛЛИН ИЛЬСУР ГИЛЬМУЛЛАЕВИЧ</t>
  </si>
  <si>
    <t>ИП МУСТАФИН РУСЛАН РАВИЛЬЕВИЧ</t>
  </si>
  <si>
    <t>ООО АСПЭК-МОТОРС</t>
  </si>
  <si>
    <t>426075, УДМУРТСКАЯ РЕСПУБЛИКА, Г ИЖЕВСК, УЛ СОЮЗНАЯ, Д.2, К.Б</t>
  </si>
  <si>
    <t>ИП РОГОЗИН ДМИТРИЙ ВЛАДИМИРОВИЧ</t>
  </si>
  <si>
    <t>ООО БИНОМ</t>
  </si>
  <si>
    <t>426011, УДМУРТСКАЯ РЕСПУБЛИКА, Г ИЖЕВСК, УЛ ХОЛМОГОРОВА, ЗД. 11А</t>
  </si>
  <si>
    <t>ООО ПРЕМЬЕР-АВТО</t>
  </si>
  <si>
    <t>426075, УДМУРТСКАЯ РЕСПУБЛИКА, Г ИЖЕВСК, УЛ СОЮЗНАЯ, Д.2, К.А</t>
  </si>
  <si>
    <t>ООО АСПЭК-ЦЕНТР</t>
  </si>
  <si>
    <t>426011, УДМУРТСКАЯ РЕСПУБЛИКА, Г ИЖЕВСК, УЛ ХОЛМОГОРОВА, Д. 9</t>
  </si>
  <si>
    <t>ООО АСПЭК-ЛИДЕР</t>
  </si>
  <si>
    <t>ИП ПЛЕХОВА ОЛЬГА СЕРГЕЕВНА</t>
  </si>
  <si>
    <t>ООО РУССКАЯ ЛАДЬЯ</t>
  </si>
  <si>
    <t>426006, УДМУРТСКАЯ РЕСПУБЛИКА, Г ИЖЕВСК, УЛ НОВОАЖИМОВА, ЗД. 16</t>
  </si>
  <si>
    <t>ООО АВТОДИЗЕЛЬ-ПЛЮС</t>
  </si>
  <si>
    <t>427143, УДМУРТСКАЯ РЕСПУБЛИКА, Р-Н ИГРИНСКИЙ, П ИГРА, УЛ 1-Я ПОДЛЕСНАЯ, Д.25</t>
  </si>
  <si>
    <t>ООО СТРОЙ ПЛАНЕТА</t>
  </si>
  <si>
    <t>426014, РОССИЯ, УДМУРТСКАЯ РЕСПУБЛИКА, М.О. ЗАВЬЯЛОВСКИЙ РАЙОН, С ПЕРВОМАЙСКИЙ, УЛ СТРОИТЕЛЯ НИКОЛАЯ ШИШКИНА, Д. 5/3, КВ. 99</t>
  </si>
  <si>
    <t>ООО СИ-МОТОРС ПЛЮС</t>
  </si>
  <si>
    <t>426000, РОССИЯ, УДМУРТСКАЯ РЕСПУБЛИКА, Г.О. ГОРОД ИЖЕВСК, Г ИЖЕВСК, УЛ КАРЛА МАРКСА, Д. 411, ПОМЕЩ. 9</t>
  </si>
  <si>
    <t>ИП ВАСИЛЬЕВА АЛЬБИНА РАИСОВНА</t>
  </si>
  <si>
    <t>ИП Сунцов Вадим Васильевич</t>
  </si>
  <si>
    <t>ИП ШИБАНОВА МАРИНА НИКОЛАЕВНА</t>
  </si>
  <si>
    <t>ИП КУЗНЕЦОВ АНТОН ИЛЬФАТОВИЧ</t>
  </si>
  <si>
    <t>ООО АВТОСТАТУС</t>
  </si>
  <si>
    <t>424960, УДМУРТСКАЯ РЕСПУБЛИКА, Г ИЖЕВСК, УЛ ЛЕВАНЕВСКОГО, Д. 115, ОФИС 1</t>
  </si>
  <si>
    <t>ООО МАГНЭТИК СПОРТ</t>
  </si>
  <si>
    <t>426006, УДМУРТСКАЯ РЕСПУБЛИКА, Г ИЖЕВСК, УЛ ТЕЛЕГИНА, Д. 30, ОФИС 134</t>
  </si>
  <si>
    <t>ИП ИВАНОВА НАТАЛЬЯ СЕРГЕЕВНА</t>
  </si>
  <si>
    <t>ИП ФЕДОРОВА ЕЛЕНА АРКАДЬЕВНА</t>
  </si>
  <si>
    <t>ИП БОРИСОВ ВЛАДИМИР АЛЕКСЕЕВИЧ</t>
  </si>
  <si>
    <t>ИП МАЛЫГИН ДЕНИС НИКОЛАЕВИЧ</t>
  </si>
  <si>
    <t>ИП КАРИМОВ ДАВЛАТ РУСТАМОВИЧ</t>
  </si>
  <si>
    <t>ИП СТРОГАНОВ МИХАИЛ СЕРГЕЕВИЧ</t>
  </si>
  <si>
    <t>ИП СИСИН ВЛАДИМИР ЛЕОНИДОВИЧ</t>
  </si>
  <si>
    <t>ИП КОКИНА НАТАЛИЯ АЛЕКСАНДРОВНА</t>
  </si>
  <si>
    <t>ИП ОВЧИННИКОВ ДМИТРИЙ ГЕННАДЬЕВИЧ</t>
  </si>
  <si>
    <t>ГУП УР РЫБХОЗ ПИХТОВКА</t>
  </si>
  <si>
    <t>427425, УДМУРТСКАЯ РЕСПУБЛИКА, Р-Н ВОТКИНСКИЙ, С ПИХТОВКА, УЛ ЦЕНТРАЛЬНАЯ, Д.8</t>
  </si>
  <si>
    <t>СПК КОММУНАР</t>
  </si>
  <si>
    <t>427642, УДМУРТСКАЯ РЕСПУБЛИКА, Р-Н ГЛАЗОВСКИЙ, Д УДМУРТСКИЕ КЛЮЧИ, УЛ ЦЕНТРАЛЬНАЯ, Д.27Б</t>
  </si>
  <si>
    <t>ИП АХМЕДОВ АЛИ АХМЕД ОГЛЫ</t>
  </si>
  <si>
    <t>ИП ПОНОМАРЕВ АНТОН ВЛАДИМИРОВИЧ</t>
  </si>
  <si>
    <t>ИП КОРЕПАНОВ МАКСИМ АНДРЕЕВИЧ</t>
  </si>
  <si>
    <t>ИП ФИЛИППОВ АЛЕКСЕЙ НИКОЛАЕВИЧ</t>
  </si>
  <si>
    <t>ИП ЖУЙКОВ СЕРГЕЙ ВЛАДИМИРОВИЧ</t>
  </si>
  <si>
    <t>ИП КОТЕЛЬНИКОВ ЯРОСЛАВ АЛЕКСАНДРОВИЧ</t>
  </si>
  <si>
    <t>ИП РУССКИХ АЛЕКСЕЙ НИКОЛАЕВИЧ</t>
  </si>
  <si>
    <t>ИП БЛИНОВА ВАЛЕНТИНА ИВАНОВНА</t>
  </si>
  <si>
    <t>ИП ШУХАРДИНА СВЕТЛАНА ВАСИЛЬЕВНА</t>
  </si>
  <si>
    <t>ИП ЗВОРЫГИН НИКОЛАЙ ИВАНОВИЧ</t>
  </si>
  <si>
    <t>ООО ПЕРВОМАЙ</t>
  </si>
  <si>
    <t>427260, УДМУРТСКАЯ РЕСПУБЛИКА, М.О. УВИНСКИЙ РАЙОН, П УВА, УЛ КОРОЛЕВА, ЗД. 4, СТРОЕНИЕ 6, ПОМЕЩ. 1</t>
  </si>
  <si>
    <t>ИП ОСМАНОВ АРЗУМАН ЭЛЬЧИНОВИЧ</t>
  </si>
  <si>
    <t>ЮКАМЕНСКОЕ РАЙПО</t>
  </si>
  <si>
    <t>427680, УДМУРТСКАЯ РЕСПУБЛИКА, Р-Н ЮКАМЕНСКИЙ, С ЮКАМЕНСКОЕ, УЛ ПЕРВОМАЙСКАЯ, Д. 1, ОФИС 1</t>
  </si>
  <si>
    <t>ИП ГЫРДЫМОВ АЛЕКСЕЙ ИВАНОВИЧ</t>
  </si>
  <si>
    <t>ИП ИЗМЕСТЬЕВ СЕРГЕЙ ПЕТРОВИЧ</t>
  </si>
  <si>
    <t>ИП ГАЛИМОВ АЛЕКСЕЙ ГЕРМАНОВИЧ</t>
  </si>
  <si>
    <t>ИП АРСЛАНОВ ДАНИЛ ИЛДУСОВИЧ</t>
  </si>
  <si>
    <t>ИП Гайнанова Гулнур Анваровна</t>
  </si>
  <si>
    <t>ООО ВОТКИНСКИЙ АГРОСНАБ</t>
  </si>
  <si>
    <t>427436, УДМУРТСКАЯ РЕСПУБЛИКА, Г ВОТКИНСК, УЛ ЛЕРМОНТОВА, Д. 31, ОФИС 1</t>
  </si>
  <si>
    <t>ИП НЕГАНОВ АНДРЕЙ АНАТОЛЬЕВИЧ</t>
  </si>
  <si>
    <t>ИП РОМАНОВА ВЕРА ВЯЧЕСЛАВОВНА</t>
  </si>
  <si>
    <t>ИП СОКОЛОВА ЮЛИЯ ИВАНОВНА</t>
  </si>
  <si>
    <t>ИП САДНИН НИКИТА КОНСТАНТИНОВИЧ</t>
  </si>
  <si>
    <t>ИП МИНГАЛЕВА НАТАЛИЯ ВИКТОРОВНА</t>
  </si>
  <si>
    <t>ИП ПЕРЕВОЗЧИКОВ ВЛАДИМИР ЛЕОНИДОВИЧ</t>
  </si>
  <si>
    <t>ИП КОНДРАТЬЕВА ЕЛЕНА ЮРЬЕВНА</t>
  </si>
  <si>
    <t>ИП ПАРИЛОВА ЮЛИЯ ЕВГЕНЬЕВНА</t>
  </si>
  <si>
    <t>ИП САФИН РИНАТ РАИСОВИЧ</t>
  </si>
  <si>
    <t>ИП АРТЕЕВ ВЛАДИМИР ВЯЧЕСЛАВОВИЧ</t>
  </si>
  <si>
    <t>ИП ГУСЕВ РУСЛАН АНАТОЛЬЕВИЧ</t>
  </si>
  <si>
    <t>ИП УСКОВ РУСЛАН АНАТОЛЬЕВИЧ</t>
  </si>
  <si>
    <t>ООО СИ-МОТОРС</t>
  </si>
  <si>
    <t>426011, УДМУРТСКАЯ РЕСПУБЛИКА, Г ИЖЕВСК, УЛ КАРЛА МАРКСА, Д.411</t>
  </si>
  <si>
    <t>ИП БАБКИН ИГОРЬ ЛЕОНИДОВИЧ</t>
  </si>
  <si>
    <t>ООО  АГРОДОКА</t>
  </si>
  <si>
    <t>427009, РОССИЯ, УДМУРТСКАЯ РЕСПУБЛИКА, М.О. ЗАВЬЯЛОВСКИЙ РАЙОН, С ЮСЬКИ, УЛ КОМСОМОЛЬСКАЯ, ЗД. 22, ОФИС 5</t>
  </si>
  <si>
    <t>ООО ПРАЙД</t>
  </si>
  <si>
    <t>426011, УДМУРТСКАЯ РЕСПУБЛИКА, Г ИЖЕВСК, УЛ ПУШКИНСКАЯ, Д. 281, КВ. 76</t>
  </si>
  <si>
    <t>ИП КАРПОВ ЕВГЕНИЙ ВИКТОРОВИЧ</t>
  </si>
  <si>
    <t>ООО РЕМЗАПЧАСТЬ-ИГРА</t>
  </si>
  <si>
    <t>ИП РЫЛОВ ВЛАДИМИР ВИКТОРОВИЧ</t>
  </si>
  <si>
    <t>АО ИОМЗ</t>
  </si>
  <si>
    <t>426049, УДМУРТСКАЯ РЕСПУБЛИКА, Г.О. ГОРОД ИЖЕВСК, Г ИЖЕВСК, УЛ ГАГАРИНА, Д. 51Б</t>
  </si>
  <si>
    <t>ООО АВИАСЕРВИС-ИНЖИНИРИНГ</t>
  </si>
  <si>
    <t>426000, УДМУРТСКАЯ РЕСПУБЛИКА, Г.О. ГОРОД ИЖЕВСК, Г ИЖЕВСК, УЛ ПУШКИНСКАЯ, ЗД. 277, ОФИС 6.3</t>
  </si>
  <si>
    <t>ООО ТЕХМАС</t>
  </si>
  <si>
    <t>426010, УДМУРТСКАЯ РЕСПУБЛИКА, Г ИЖЕВСК, УЛ НОВОАЖИМОВА, Д. 13/160, ОФИС 6</t>
  </si>
  <si>
    <t>ООО БАСТИОН</t>
  </si>
  <si>
    <t>426028, УДМУРТСКАЯ РЕСПУБЛИКА, Г ИЖЕВСК, УЛ ПОЙМА, Д. 71, ЛИТЕРА Б</t>
  </si>
  <si>
    <t>ООО АЛЬЯНС-ГРУПП</t>
  </si>
  <si>
    <t>426058, РОССИЯ, УДМУРТСКАЯ РЕСПУБЛИКА, Г.О. ГОРОД ИЖЕВСК, Г ИЖЕВСК, УЛ ГЕРОЯ РОССИИ ИЛЬФАТА ЗАКИРОВА, Д. 23, К. 2, КВ. 52</t>
  </si>
  <si>
    <t>ООО АВТОКОМПЛЕКС</t>
  </si>
  <si>
    <t>427627, РОССИЯ, УДМУРТСКАЯ РЕСПУБЛИКА, Г.О. ГОРОД ГЛАЗОВ, Г. ГЛАЗОВ, УЛ ДРАГУНОВА, Д. 43</t>
  </si>
  <si>
    <t>ИП РЯБУХИН ЕВГЕНИЙ АЛЕКСАНДРОВИЧ</t>
  </si>
  <si>
    <t>ИП ПЛАТОНОВА ЕВГЕНИЯ ВЛАДИМИРОВНА</t>
  </si>
  <si>
    <t>ИП БАРАНОВ АНДРЕЙ ЮРЬЕВИЧ</t>
  </si>
  <si>
    <t>ИП КУБАСОВ ВАДИМ ГЕННАДЬЕВИЧ</t>
  </si>
  <si>
    <t>ИП ПЛЕШАКОВ ЮРИЙ АРКАДЬЕВИЧ</t>
  </si>
  <si>
    <t>ИП ДЕРЮГИН МИХАИЛ ЮРЬЕВИЧ</t>
  </si>
  <si>
    <t>ООО РОДИНА</t>
  </si>
  <si>
    <t>427680, УДМУРТСКАЯ РЕСПУБЛИКА, Р-Н ЮКАМЕНСКИЙ, С ЮКАМЕНСКОЕ, УЛ МОЛОДЕЖНАЯ, Д.1</t>
  </si>
  <si>
    <t>ООО МАЯК</t>
  </si>
  <si>
    <t>427680, УДМУРТСКАЯ РЕСПУБЛИКА, Р-Н ЮКАМЕНСКИЙ, С ЮКАМЕНСКОЕ, УЛ ВЕЖЕЕВСКАЯ, Д.45</t>
  </si>
  <si>
    <t>ООО АГРОНИВА</t>
  </si>
  <si>
    <t>427690, РОССИЯ, УДМУРТСКАЯ РЕСПУБЛИКА, М.О. ЮКАМЕНСКИЙ РАЙОН, Д ПОЧИНКИ, УЛ КООПЕРАТИВНАЯ, Д. 9, ОФИС 1</t>
  </si>
  <si>
    <t>ООО КАМСКИЕ ДАЛИ</t>
  </si>
  <si>
    <t>426054, УДМУРТСКАЯ РЕСПУБЛИКА, Г ИЖЕВСК, УЛ 9-Я ПОДЛЕСНАЯ, Д. 17, КВ. 159</t>
  </si>
  <si>
    <t>ООО ТД ИНТЕРАВТО</t>
  </si>
  <si>
    <t>426039, УДМУРТСКАЯ РЕСПУБЛИКА, Г ИЖЕВСК, Ш ВОТКИНСКОЕ, Д. 8, ПОМЕЩ. 19-21</t>
  </si>
  <si>
    <t>ООО АСПЭК-ОТКРЫТИЕ</t>
  </si>
  <si>
    <t>426075, УДМУРТСКАЯ РЕСПУБЛИКА, Г ИЖЕВСК, УЛ СОЮЗНАЯ, ЗД. 2Д/В, ПОМЕЩ. 6</t>
  </si>
  <si>
    <t>ООО ИЖЕВСК ТРАК СЕРВИС</t>
  </si>
  <si>
    <t>426028, УДМУРТСКАЯ РЕСПУБЛИКА, Г ИЖЕВСК, УЛ ПОЙМА, Д. 36, ЗД. 1, ОФИС 3</t>
  </si>
  <si>
    <t>ООО ПКФ МЕТПРОМ</t>
  </si>
  <si>
    <t>426067, РОССИЯ, УДМУРТСКАЯ РЕСПУБЛИКА, Г.О. ГОРОД ИЖЕВСК, Г ИЖЕВСК, УЛ ТРУДА, Д. 76, КВ. 39</t>
  </si>
  <si>
    <t>ООО МАСЛЕНКА</t>
  </si>
  <si>
    <t>426011, РОССИЯ, УДМУРТСКАЯ РЕСПУБЛИКА, Г.О. ГОРОД ИЖЕВСК, Г ИЖЕВСК, УЛ 10 ЛЕТ ОКТЯБРЯ, Д. 32Г, ОФИС 105</t>
  </si>
  <si>
    <t>ООО ВИОНА</t>
  </si>
  <si>
    <t>426006, УДМУРТСКАЯ РЕСПУБЛИКА, Г.О. ГОРОД ИЖЕВСК, Г ИЖЕВСК, УЛ ТЕЛЕГИНА, Д. 30, ПОМЕЩ. 129, 134А</t>
  </si>
  <si>
    <t>ООО МОЛОТ</t>
  </si>
  <si>
    <t>426039, РОССИЯ, УДМУРТСКАЯ РЕСПУБЛИКА, Г.О. ГОРОД ИЖЕВСК, Г ИЖЕВСК, УЛ БУММАШЕВСКАЯ, Д. 7/10, КОМ. 11</t>
  </si>
  <si>
    <t>ИП БАННИКОВА ВЕРА НИКОЛАЕВНА</t>
  </si>
  <si>
    <t>ИП САВИНЦЕВ ВАСИЛИЙ СТАНИСЛАВОВИЧ</t>
  </si>
  <si>
    <t>ООО ТЕХПАРТС</t>
  </si>
  <si>
    <t>426008, РОССИЯ, УДМУРТСКАЯ РЕСПУБЛИКА, Г.О. ГОРОД ИЖЕВСК, Г ИЖЕВСК, УЛ КРАСНОГЕРОЙСКАЯ, Д. 16, ПОМЕЩ. 9</t>
  </si>
  <si>
    <t>ООО РУБЕЖ ОЙЛ</t>
  </si>
  <si>
    <t>427413, РОССИЯ, УДМУРТСКАЯ РЕСПУБЛИКА, М.О. ВОТКИНСКИЙ РАЙОН, П НОВЫЙ, УЛ СТРОИТЕЛЕЙ, Д. 25, КВ. 59</t>
  </si>
  <si>
    <t>ООО ЦЕНТР КУЗОВНОГО РЕМОНТА-ИЖЕВСК</t>
  </si>
  <si>
    <t>427018, РОССИЯ, УДМУРТСКАЯ РЕСПУБЛИКА, М.О. ЗАВЬЯЛОВСКИЙ РАЙОН, С ЯГУЛ, УЛ ПИОНЕРСКАЯ, Д. 29</t>
  </si>
  <si>
    <t>ОООВВАЗ</t>
  </si>
  <si>
    <t>426073, РОССИЯ, УДМУРТСКАЯ РЕСПУБЛИКА, Г.О. ГОРОД ИЖЕВСК, Г ИЖЕВСК, УЛ СОЮЗНАЯ, Д. 161, ОФИС 8</t>
  </si>
  <si>
    <t>ООО МАСЛОЛЕЙ</t>
  </si>
  <si>
    <t>427004, РОССИЯ, УДМУРТСКАЯ РЕСПУБЛИКА, М.О. ЗАВЬЯЛОВСКИЙ РАЙОН, С БАБИНО, УЛ ЦЕНТРАЛЬНАЯ, Д. 4, КВ. 8</t>
  </si>
  <si>
    <t>СПК ЛУЧ</t>
  </si>
  <si>
    <t>427641, РОССИЯ, УДМУРТСКАЯ РЕСПУБЛИКА, М.О. ГЛАЗОВСКИЙ РАЙОН, Д ГУЛЕКОВО, УЛ ЦЕНТРАЛЬНАЯ, ЗД. 13А</t>
  </si>
  <si>
    <t>ИП ТРЯСЦИН АЛЕКСАНДР МИХАЙЛОВИЧ</t>
  </si>
  <si>
    <t>ИП ЗАЙЦЕВ АНДРЕЙ ВАЛЕРЬЕВИЧ</t>
  </si>
  <si>
    <t>ООО ТЕХСНАБ</t>
  </si>
  <si>
    <t>426019, УДМУРТСКАЯ РЕСПУБЛИКА, Г ИЖЕВСК, УЛ ЗАВОДСКАЯ, Д. 2А, ПОМЕЩ. 28</t>
  </si>
  <si>
    <t>ИП НИКИТИН МИХАИЛ ГЕОРГИЕВИЧ</t>
  </si>
  <si>
    <t>ИП БОРЛУЦКАЯ МАРИНА ДАВИДОВНА</t>
  </si>
  <si>
    <t>ИП ДРЕСВЯННИКОВ СЕРГЕЙ ВИКТОРОВИЧ</t>
  </si>
  <si>
    <t>ИП КАБАЛИН ЮРИЙ ВАСИЛЬЕВИЧ</t>
  </si>
  <si>
    <t>ИП КУЗИКОВ АЛЕКСЕЙ СЕРГЕЕВИЧ</t>
  </si>
  <si>
    <t>КОЛХОЗ ЗАРЯ</t>
  </si>
  <si>
    <t>427771, УДМУРТСКАЯ РЕСПУБЛИКА, Р-Н МОЖГИНСКИЙ, Д КВАТЧИ, ПЛ ЦЕНТРАЛЬНАЯ, Д.18</t>
  </si>
  <si>
    <t>ООО ШОНЕР</t>
  </si>
  <si>
    <t>426000, РОССИЯ, УДМУРТСКАЯ РЕСПУБЛИКА, Г.О. ГОРОД ИЖЕВСК, Г ИЖЕВСК, УЛ БОРОДИНА, Д. 2, ЛИТЕР Т ПОМЕЩ. 13</t>
  </si>
  <si>
    <t>ИП АБУБАКАРОВ РУСТАМ МАГОМЕДОВИЧ</t>
  </si>
  <si>
    <t>ИП КОБАЛИЯ ИРАКЛИЙ МАМУКАЕВИЧ</t>
  </si>
  <si>
    <t>ООО МАГМА ПЛЮС</t>
  </si>
  <si>
    <t>427264, УДМУРТСКАЯ РЕСПУБЛИКА, Р-Н УВИНСКИЙ, П УВА, УЛ ТОЛСТОГО, ЗД. 69В</t>
  </si>
  <si>
    <t>ООО АЛИНА</t>
  </si>
  <si>
    <t>427042, УДМУРТСКАЯ РЕСПУБЛИКА, Р-Н ШАРКАНСКИЙ, С МИШКИНО, УЛ БЕРЕЗОВКА, Д.7</t>
  </si>
  <si>
    <t>ООО ЛУЧ</t>
  </si>
  <si>
    <t>427694, УДМУРТСКАЯ РЕСПУБЛИКА, Р-Н ЮКАМЕНСКИЙ, Д НОВОЕЛОВО, УЛ МИРА, Д.1</t>
  </si>
  <si>
    <t>ИП Тумаров Алексей Владимирович</t>
  </si>
  <si>
    <t>ИП ШАДРИН СЕРГЕЙ АЛЕКСЕЕВИЧ</t>
  </si>
  <si>
    <t>БПОУ УР СМК</t>
  </si>
  <si>
    <t>427968, УДМУРТСКАЯ РЕСПУБЛИКА, Г САРАПУЛ, УЛ ГОНЧАРОВА, Д.40</t>
  </si>
  <si>
    <t>ИП АРСЛАНОВ ИЛДУС ЗУЛФАТОВИЧ</t>
  </si>
  <si>
    <t>ИП СТЕПАНЮК ЛЮДМИЛА ГЕННАДЬЕВНА</t>
  </si>
  <si>
    <t>ИП ЖЖОНОВА ИННА АЛЕКСАНДРОВНА</t>
  </si>
  <si>
    <t>ИП СОПИН ИВАН НИКОЛАЕВИЧ</t>
  </si>
  <si>
    <t>ИП СОБИН ВЛАДИСЛАВ АЛЕКСЕЕВИЧ</t>
  </si>
  <si>
    <t>ИП ГЕВОРГЯН ЛУСИК АМАЯКОВНА</t>
  </si>
  <si>
    <t>ИП Ушакова Ольга Аркадьевна</t>
  </si>
  <si>
    <t>ИП ВЕРЕТЕННИКОВА ОЛЬГА ВИТАЛЬЕВНА</t>
  </si>
  <si>
    <t>ИП МАКСИМОВ ПАВЕЛ АЛЕКСАНДРОВИЧ</t>
  </si>
  <si>
    <t>ИП ВОЛОГЖАНИНА ИРИНА СЕРГЕЕВНА</t>
  </si>
  <si>
    <t>ИП АНДРЕЕВА ЛЮДМИЛА АРКАДЬЕВНА</t>
  </si>
  <si>
    <t>ИП КОРОВКИН АНДРЕЙ АЛЕКСАНДРОВИЧ</t>
  </si>
  <si>
    <t>ИП МАКСИМОВ АНДРЕЙ НИКОЛАЕВИЧ</t>
  </si>
  <si>
    <t>ООО НАВИГАТОР АВТО</t>
  </si>
  <si>
    <t>426008, УДМУРТСКАЯ РЕСПУБЛИКА, Г ИЖЕВСК, УЛ КОММУНАРОВ, Д. 381</t>
  </si>
  <si>
    <t>ООО ТРАК</t>
  </si>
  <si>
    <t>426032, УДМУРТСКАЯ РЕСПУБЛИКА, Г.О. ГОРОД ИЖЕВСК, Г ИЖЕВСК, УЛ ЗИМНЯЯ, Д. 6, ОФИС 307</t>
  </si>
  <si>
    <t>ООО ЮСМ</t>
  </si>
  <si>
    <t>426028, РОССИЯ, УДМУРТСКАЯ РЕСПУБЛИКА, Г.О. ГОРОД ИЖЕВСК, Г ИЖЕВСК, УЛ МАЯКОВСКОГО, ЗД. 33В, ЛИТЕР Б ОФИС 4</t>
  </si>
  <si>
    <t>ООО АВТОЦЕНТР - КОМОС</t>
  </si>
  <si>
    <t>426008, УДМУРТСКАЯ РЕСПУБЛИКА, Г ИЖЕВСК, УЛ КОММУНАРОВ, Д. 381, КАБИНЕТ 18</t>
  </si>
  <si>
    <t>ИП МИНГАЗОВ АЗАТ ИСКАНДАРОВИЧ</t>
  </si>
  <si>
    <t>ИП КУДРЯВЦЕВ ЯН ГЕННАДЬЕВИЧ</t>
  </si>
  <si>
    <t>ИП ПОЗДЕЕВ АНДРЕЙ ВЯЧЕСЛАВОВИЧ</t>
  </si>
  <si>
    <t>ИП БЕЛЬТЮКОВА ТАТЬЯНА СЕРГЕЕВНА</t>
  </si>
  <si>
    <t>ИП КОРОБЕЙНИКОВ АЛЕКСАНДР ПАВЛОВИЧ</t>
  </si>
  <si>
    <t>ИП ОРДИНА ОЛЬГА МИХАЙЛОВНА</t>
  </si>
  <si>
    <t>ИП УХО ОЛЕГ ЛЕОНИДОВИЧ</t>
  </si>
  <si>
    <t>ИП РУКАВИШНИКОВ АЛЕКСАНДР ВЛАДИМИРОВИЧ</t>
  </si>
  <si>
    <t>ИП БАДЕРИНА ВЕРОНИКА АЛЕКСАНДРОВНА</t>
  </si>
  <si>
    <t>ООО ФИРМА ИНТЕРПАРТНЕР</t>
  </si>
  <si>
    <t>426027, УДМУРТСКАЯ РЕСПУБЛИКА, Г ИЖЕВСК, УЛ ПРОМЫШЛЕННАЯ, Д. 2</t>
  </si>
  <si>
    <t>ИП КАРДАПОЛЬЦЕВА ЮЛИЯ МИХАЙЛОВНА</t>
  </si>
  <si>
    <t>ООО ФОРМУЛА</t>
  </si>
  <si>
    <t>426073, РОССИЯ, УДМУРТСКАЯ РЕСПУБЛИКА, Г.О. ГОРОД ИЖЕВСК, Г ИЖЕВСК, УЛ МОЛОДЕЖНАЯ, ЗД. 115, ПОМЕЩ. 1-3</t>
  </si>
  <si>
    <t>ИП ТИХОНОВА ЮЛИЯ АЛЕКСАНДРОВНА</t>
  </si>
  <si>
    <t>ИП МУХТАРОВА ГУЗЕЛЬ ХАМИДУЛЛАЕВНА</t>
  </si>
  <si>
    <t>ИП ФАЙЗУЛЛИН РАДИК ДИЛУСОВИЧ</t>
  </si>
  <si>
    <t>ИП БРОННИКОВ ПАВЕЛ АЛЕКСАНДРОВИЧ</t>
  </si>
  <si>
    <t>ООО АСПЭК-ДРАЙВ</t>
  </si>
  <si>
    <t>426075, УДМУРТСКАЯ РЕСПУБЛИКА, Г ИЖЕВСК, УЛ СОЮЗНАЯ, Д.2В</t>
  </si>
  <si>
    <t>ИП МЕРЗЛЯКОВА МАРИНА ВЕНИАМИНОВНА</t>
  </si>
  <si>
    <t>ИП Колесникова Татьяна Викториновна</t>
  </si>
  <si>
    <t>ИП ПРЯННИКОВ ЮРИЙ ГЕННАДЬЕВИЧ</t>
  </si>
  <si>
    <t>АО ИЖ-ЛАДА</t>
  </si>
  <si>
    <t>426075, УДМУРТСКАЯ РЕСПУБЛИКА, Г ИЖЕВСК, УЛ КАМБАРСКАЯ, Д. 49</t>
  </si>
  <si>
    <t>ИП ВНЕБРАЧНЫХ РОМАН АНДРЕЕВИЧ</t>
  </si>
  <si>
    <t>ООО РУЛЕВОЙ</t>
  </si>
  <si>
    <t>427962, УДМУРТСКАЯ РЕСПУБЛИКА, Г САРАПУЛ, УЛ ПУТЕЙСКАЯ, ЗД. 64А</t>
  </si>
  <si>
    <t>ООО ИНАВТО</t>
  </si>
  <si>
    <t>427962, УДМУРТСКАЯ РЕСПУБЛИКА, Г САРАПУЛ, УЛ ПУТЕЙСКАЯ, ЗД. 7А</t>
  </si>
  <si>
    <t>ООО АСПЭК-ИМПУЛЬС</t>
  </si>
  <si>
    <t>426075, УДМУРТСКАЯ РЕСПУБЛИКА, Г ИЖЕВСК, УЛ СОЮЗНАЯ, Д.2А</t>
  </si>
  <si>
    <t>ООО АВТОСАЛОН КИТ</t>
  </si>
  <si>
    <t>426060, УДМУРТСКАЯ РЕСПУБЛИКА, Г.О. ГОРОД ИЖЕВСК, Г ИЖЕВСК, УЛ 10 ЛЕТ ОКТЯБРЯ, ЗД. 60А, ПОМЕЩ. 2</t>
  </si>
  <si>
    <t>ООО ТОРГСЕРВИС 18</t>
  </si>
  <si>
    <t>426011, УДМУРТСКАЯ РЕСПУБЛИКА, Г.О. ГОРОД ИЖЕВСК, Г ИЖЕВСК, УЛ МАЯКОВСКОГО, Д. 10, ОФИС 27, ЛИТЕР С</t>
  </si>
  <si>
    <t>ООО БАВАРСКИЕ МОТОРЫ</t>
  </si>
  <si>
    <t>426068, УДМУРТСКАЯ РЕСПУБЛИКА, Г ИЖЕВСК, УЛ ИМ САБУРОВА А.Н., Д. 19, КВ. 15</t>
  </si>
  <si>
    <t>ООО КАМАВТОКОМПЛЕКТ-ИЖЕВСК</t>
  </si>
  <si>
    <t>427000, УДМУРТСКАЯ РЕСПУБЛИКА, Р-Н ЗАВЬЯЛОВСКИЙ, КВ-Л МАРТЬЯНОВСКИЙ, Д. 1, ОФИС 20</t>
  </si>
  <si>
    <t>ООО ДВИЖЕНИЕ</t>
  </si>
  <si>
    <t>426039, УДМУРТСКАЯ РЕСПУБЛИКА, Г ИЖЕВСК, УЛ НОВОСМИРНОВСКАЯ, Д. 40Б, ОФИС 2</t>
  </si>
  <si>
    <t>ООО ЧЕЛНЫАВТО</t>
  </si>
  <si>
    <t>426039, РОССИЯ, УДМУРТСКАЯ РЕСПУБЛИКА, Г.О. ГОРОД ИЖЕВСК, Г ИЖЕВСК, Ш ВОТКИНСКОЕ, Д. 105, ЛИТЕР Ч ОФИС 4</t>
  </si>
  <si>
    <t>427007, УДМУРТСКАЯ РЕСПУБЛИКА, Р-Н ЗАВЬЯЛОВСКИЙ, С ПЕРВОМАЙСКИЙ, УЛ АЗИНА, ЗД. 14, ОФИС 1</t>
  </si>
  <si>
    <t>ИП МУСОНОВА ЮЛИЯ АЛЕКСАНДРОВНА</t>
  </si>
  <si>
    <t>ИП ОРЛОВ АЛЕКСЕЙ ВЛАДИМИРОВИЧ</t>
  </si>
  <si>
    <t>ИП НЕЙМАН ВСЕВОЛОД СЕРГЕЕВИЧ</t>
  </si>
  <si>
    <t>ИП ВОЛЧКОВ ВИТАЛИЙ АЛЕКСАНДРОВИЧ</t>
  </si>
  <si>
    <t>ИП БЫКОВ АЛЕКСАНДР НИКОЛАЕВИЧ</t>
  </si>
  <si>
    <t>ИП САФИН РУСЛАН РАШИТОВИЧ</t>
  </si>
  <si>
    <t>ИП КАСИМОВА СВЕТЛАНА ВАСИЛЬЕВНА</t>
  </si>
  <si>
    <t>ИП ЧЕРЕНЕВ ИВАН ВАСИЛЬЕВИЧ</t>
  </si>
  <si>
    <t>ИП ПЕРМИНОВ ИВАН АЛЕКСЕЕВИЧ</t>
  </si>
  <si>
    <t>ООО  КАЧКАШУРСКОЕ</t>
  </si>
  <si>
    <t>427656, УДМУРТСКАЯ РЕСПУБЛИКА, Р-Н КРАСНОГОРСКИЙ, С ДЕБЫ, УЛ СОВХОЗНАЯ</t>
  </si>
  <si>
    <t>ИП СОЛОПОВ АНТОН ИВАНОВИЧ</t>
  </si>
  <si>
    <t>ИП ДЬЯКОНОВ АЛЕКСАНДР ВАСИЛЬЕВИЧ</t>
  </si>
  <si>
    <t>ИП ВОЛОБУЕВА МАРИНА АЛЕКСАНДРОВНА</t>
  </si>
  <si>
    <t>ИП АСАТРЯН ТИГРАН ЗОГРАБОВИЧ</t>
  </si>
  <si>
    <t>ООО ПАРЗИНСКИЙ</t>
  </si>
  <si>
    <t>427643, УДМУРТСКАЯ РЕСПУБЛИКА, М.О. ГЛАЗОВСКИЙ РАЙОН, С ПАРЗИ, УЛ ШКОЛЬНАЯ, Д. 11</t>
  </si>
  <si>
    <t>ООО ТД ИЖАС</t>
  </si>
  <si>
    <t>426063, УДМУРТСКАЯ РЕСПУБЛИКА, Г ИЖЕВСК, ПР-Д ДЗЕРЖИНСКОГО, Д.3, ОФИС 119</t>
  </si>
  <si>
    <t>ООО КАРТ</t>
  </si>
  <si>
    <t>426077, УДМУРТСКАЯ РЕСПУБЛИКА, Г ИЖЕВСК, УЛ УДМУРТСКАЯ, Д. 155, КВ. 71</t>
  </si>
  <si>
    <t>ИП ВИЛЬДАНОВ ИЛЬНУР ИЛЬДУСОВИЧ</t>
  </si>
  <si>
    <t>ИП МУГИНОВ РУСТАМ РАДИОНОВИЧ</t>
  </si>
  <si>
    <t>ИП САФИНА РАМЗИЛЯ ГИЛМАНОВНА</t>
  </si>
  <si>
    <t>ИП ЦЕЛЛЕР СЕРГЕЙ ВИКТОРОВИЧ</t>
  </si>
  <si>
    <t>ИП ШИПУЛИНА ИРИНА ВАЛЕРЬЕВНА</t>
  </si>
  <si>
    <t>ИП КРЮКОВ АЛЕКСЕЙ АРКАДЬЕВИЧ</t>
  </si>
  <si>
    <t>ИП ХАРИН ВЯЧЕСЛАВ ЮРЬЕВИЧ</t>
  </si>
  <si>
    <t>ИП АРСЛАНОВ РАДИК ЗУЛФАТОВИЧ</t>
  </si>
  <si>
    <t>ИП ВАХРУШЕВ ЕГОР РОМАНОВИЧ</t>
  </si>
  <si>
    <t>ИП ТАКТАЕВ ОЛЕГ ВЛАДИМИРОВИЧ</t>
  </si>
  <si>
    <t>ООО КОМОС-ЕВРОПА</t>
  </si>
  <si>
    <t>426008, УДМУРТСКАЯ РЕСПУБЛИКА, Г ИЖЕВСК, УЛ КОММУНАРОВ, Д. 381, КАБИНЕТ 14</t>
  </si>
  <si>
    <t>ООО МОТОЛИДЕР</t>
  </si>
  <si>
    <t>426019, УДМУРТСКАЯ РЕСПУБЛИКА, Г ИЖЕВСК, УЛ ОБЛАСТНАЯ, Д. 6, ОФИС 1</t>
  </si>
  <si>
    <t>ИП СЕЛЕЗЕНЕВ АНДРЕЙ НИКОДИМОВИЧ</t>
  </si>
  <si>
    <t>ООО АВТОЦЕНТР ГАЗ</t>
  </si>
  <si>
    <t>426039, УДМУРТСКАЯ РЕСПУБЛИКА, Г ИЖЕВСК, Ш ВОТКИНСКОЕ, Д.196/4</t>
  </si>
  <si>
    <t>ИП АЛЕКСЕЕВ СЕРГЕЙ ВЛАДИМИРОВИЧ</t>
  </si>
  <si>
    <t>ООО ЭЛИТА</t>
  </si>
  <si>
    <t>427527, УДМУРТСКАЯ РЕСПУБЛИКА, Р-Н БАЛЕЗИНСКИЙ, Д ВОЕГУРТ, УЛ ШКОЛЬНАЯ, Д. 34</t>
  </si>
  <si>
    <t>ООО ГРАНШ</t>
  </si>
  <si>
    <t>427964, РОССИЯ, УДМУРТСКАЯ РЕСПУБЛИКА, Г.О. ГОРОД САРАПУЛ, Г САРАПУЛ, УЛ АЗИНА, Д. 152, ПОМЕЩ. 1</t>
  </si>
  <si>
    <t>ООО КОМПАНИЯ ИНТЕКО</t>
  </si>
  <si>
    <t>426004, УДМУРТСКАЯ РЕСПУБЛИКА, Г ИЖЕВСК, УЛ ПАСТУХОВА, Д. 49, КВ. 71</t>
  </si>
  <si>
    <t>ИП АЛИН ДЕНИС СЕРГЕЕВИЧ</t>
  </si>
  <si>
    <t>ИП КОЗУБЕНКО ВЛАДИМИР НИКОЛАЕВИЧ</t>
  </si>
  <si>
    <t>ИП МАЙБАХ ВЛАДИМИР ВИКТОРОВИЧ</t>
  </si>
  <si>
    <t>ИП ЗЕЛЕНИН ВЯЧЕСЛАВ АЛЕКСЕЕВИЧ</t>
  </si>
  <si>
    <t>ИП ФИЛИППОВА СВЕТЛАНА АЛЕКСАНДРОВНА</t>
  </si>
  <si>
    <t>ИП КАЧИМСКИЙ ДЕНИС АНАТОЛЬЕВИЧ</t>
  </si>
  <si>
    <t>ИП ТУРАЕВ НИКОЛАЙ АНАТОЛЬЕВИЧ</t>
  </si>
  <si>
    <t>ИП ЛИТВИНОВ АЛЕКСАНДР СЕРГЕЕВИЧ</t>
  </si>
  <si>
    <t>ИП ПОНОМАРЕВ ДМИТРИЙ НИКОЛАЕВИЧ</t>
  </si>
  <si>
    <t>ИП ОГОРОДНОВ АЛЕКСАНДР ЕВГЕНЬЕВИЧ</t>
  </si>
  <si>
    <t>ИП ИВАНОВ АЛЕКСЕЙ ВЛАДИМИРОВИЧ</t>
  </si>
  <si>
    <t>ИП ГАРИФУЛЛИНА ЭЛЬВИРА ФАРИХЬЯНОВНА</t>
  </si>
  <si>
    <t>ИП ПРИКИЧ МАКСИМ ВАЛЕРЬЕВИЧ</t>
  </si>
  <si>
    <t>ИП СМИРНОВ ОЛЕГ ПЕТРОВИЧ</t>
  </si>
  <si>
    <t>ИП ФАСХУТДИНОВА ЭЛЬЗА МАРАТОВНА</t>
  </si>
  <si>
    <t>ИП ПАНТЮХИН ДМИТРИЙ АНАТОЛЬЕВИЧ</t>
  </si>
  <si>
    <t>ИП ЗАРУХОВИЧ ВАДИМ КОНСТАНТИНОВИЧ</t>
  </si>
  <si>
    <t>ИП Дзюбан Светлана Николаевна</t>
  </si>
  <si>
    <t>ИП ПОЛЕТАЕВ ИГОРЬ ЭДУАРДОВИЧ</t>
  </si>
  <si>
    <t>ИП НЕЙМАН СЕРГЕЙ АЛЕКСАНДРОВИЧ</t>
  </si>
  <si>
    <t>ИП СОРОКИНА АННА АЛЕКСЕЕВНА</t>
  </si>
  <si>
    <t>ИП ЗАРИПОВА ВАЛЕРИЯ АНДРЕЕВНА</t>
  </si>
  <si>
    <t>ИП СМИРНОВ ДЕНИС ВЛАДИМИРОВИЧ</t>
  </si>
  <si>
    <t>Республика Хакасия</t>
  </si>
  <si>
    <t>ИП Высоцкий Сергей Николаевич</t>
  </si>
  <si>
    <t>ИП БАШКАТОВ СТАНИСЛАВ ВАЛЕНТИНОВИЧ</t>
  </si>
  <si>
    <t>ИП НАУМЧИК ВЯЧЕСЛАВ НИКОЛАЕВИЧ</t>
  </si>
  <si>
    <t>ООО ДИЗЕЛЬАВТОКОМПЛЕКТ</t>
  </si>
  <si>
    <t>655014, РОССИЯ, РЕСПУБЛИКА ХАКАСИЯ, Г.О. ГОРОД АБАКАН, Г АБАКАН, УЛ ГЕРОЯ РОССИИ ЛЕЛЮХА, Д. 4</t>
  </si>
  <si>
    <t>ООО С ПОЛОБОРОТА</t>
  </si>
  <si>
    <t>655008, РОССИЯ, РЕСПУБЛИКА ХАКАСИЯ, Г.О. ГОРОД АБАКАН, Г АБАКАН, УЛ СОВЕТСКАЯ, Д. 209Д, СТР. 1, СТР. 1, ПОМЕЩ. 3Н</t>
  </si>
  <si>
    <t>ИП Зуев Анатолий Михайлович</t>
  </si>
  <si>
    <t>ИП АРДАМИН АНДРЕЙ МИХАЙЛОВИЧ</t>
  </si>
  <si>
    <t>ООО СИБИРСКАЯ МУШКА</t>
  </si>
  <si>
    <t>655017, РЕСПУБЛИКА ХАКАСИЯ, Г АБАКАН, УЛ ЧКАЛОВА, Д.10</t>
  </si>
  <si>
    <t>ООО АВТО ХАКАСИЯ</t>
  </si>
  <si>
    <t>655017, РЕСПУБЛИКА ХАКАСИЯ, Г.О. ГОРОД АБАКАН, Г АБАКАН, КВ-Л МОЛОДЕЖНЫЙ, Д. 5Ж, СТР. 1</t>
  </si>
  <si>
    <t>ООО ДАЛЬНОБОЙЩИК</t>
  </si>
  <si>
    <t>655008, РЕСПУБЛИКА ХАКАСИЯ, Г АБАКАН, УЛ ИГАРСКАЯ, Д. 5И, СТР. 1</t>
  </si>
  <si>
    <t>ИП КОПИЕВ НИКИТА СЕРГЕЕВИЧ</t>
  </si>
  <si>
    <t>ИП ПРОКУДИН АНДРЕЙ МИХАЙЛОВИЧ</t>
  </si>
  <si>
    <t>ИП Колесник Артем Юрьевич</t>
  </si>
  <si>
    <t>ИП ПЕСТОВ ИВАН ВИКТОРОВИЧ</t>
  </si>
  <si>
    <t>ИП НЕФЕДОВ МИХАИЛ ВИКТОРОВИЧ</t>
  </si>
  <si>
    <t>ИП Золотых Роман Викторович</t>
  </si>
  <si>
    <t>ИП ПОПКОВ МИХАИЛ АЛЕКСАНДРОВИЧ</t>
  </si>
  <si>
    <t>ИП ЛИПАЕВА ГАЛИНА ПАВЛОВНА</t>
  </si>
  <si>
    <t>ИП БЕККЕР СЕРГЕЙ АЛЕКСАНДРОВИЧ</t>
  </si>
  <si>
    <t>ИП ЗОЛИНА АЛЬФИЯ РАДИКОВНА</t>
  </si>
  <si>
    <t>АО ХАКАСНЕФТЕПРОДУКТ ВНК</t>
  </si>
  <si>
    <t>655002, РЕСПУБЛИКА ХАКАСИЯ, Г АБАКАН, УЛ ГАГАРИНА, Д.7</t>
  </si>
  <si>
    <t>ООО АВТОГРАД</t>
  </si>
  <si>
    <t>655008, РОССИЯ, РЕСПУБЛИКА ХАКАСИЯ, Г.О. ГОРОД АБАКАН, Г АБАКАН, УЛ ИГАРСКАЯ, Д. 21Ш, ПОМЕЩ. 20</t>
  </si>
  <si>
    <t>ИП ГОРОДИЛОВ ВАЛЕРИЙ ВАСИЛЬЕВИЧ</t>
  </si>
  <si>
    <t>ИП РУДАКОВ ИЛЬЯ БОРИСОВИЧ</t>
  </si>
  <si>
    <t>ИП ШУЛЯК ВЛАДИМИР АЛЕКСЕЕВИЧ</t>
  </si>
  <si>
    <t>ИП ЕСЮТОВ ДМИТРИЙ ЮРЬЕВИЧ</t>
  </si>
  <si>
    <t>ИП ЕФИМОВ СЕРГЕЙ ВИКТОРОВИЧ</t>
  </si>
  <si>
    <t>ООО ТЕХНОКОМПЛЕКТ</t>
  </si>
  <si>
    <t>655001, РЕСПУБЛИКА ХАКАСИЯ, Г АБАКАН, УЛ ЛЕРМОНТОВА, Д.9, 7</t>
  </si>
  <si>
    <t>ИП АНИСИМОВ ОЛЕГ ЮРЬЕВИЧ</t>
  </si>
  <si>
    <t>ИП АСТАШКИНА ЕЛЕНА НИКОЛАЕВНА</t>
  </si>
  <si>
    <t>ООО ХАК-КОМПОНЕНТ-М</t>
  </si>
  <si>
    <t>655008, РЕСПУБЛИКА ХАКАСИЯ, Г АБАКАН, УЛ ЗАВОДСКАЯ, Д. 2</t>
  </si>
  <si>
    <t>655131, РОССИЯ, РЕСПУБЛИКА ХАКАСИЯ, Г.О. ГОРОД АБАКАН, Г АБАКАН, ПР-КТ ДРУЖБЫ НАРОДОВ, Д. 65Ж, СТР. 3</t>
  </si>
  <si>
    <t>ИП КИРПИЧЕНКО АЛЕКСАНДР АЛЕКСЕЕВИЧ</t>
  </si>
  <si>
    <t>ИП СМИРНОВ СЕРГЕЙ АЛЕКСАНДРОВИЧ</t>
  </si>
  <si>
    <t>ООО ТД ИМПЕРИЯ</t>
  </si>
  <si>
    <t>655012, РЕСПУБЛИКА ХАКАСИЯ, Г АБАКАН, УЛ КРАСНОЯРСКАЯ, Д. 8, КВ. 31</t>
  </si>
  <si>
    <t>ИП АНИСИМОВ ПАВЕЛ ЮРЬЕВИЧ</t>
  </si>
  <si>
    <t>ИП ЗЕЛЕНИН ЛЕОНИД ВЛАДИМИРОВИЧ</t>
  </si>
  <si>
    <t>ИП РЕЙЩЕЛЬ ОЛЬГА ВЛАДИМИРОВНА</t>
  </si>
  <si>
    <t>ИП ВОЛЧЕНКО АНДРЕЙ НИКОЛАЕВИЧ</t>
  </si>
  <si>
    <t>ИП КОНЯХИН ВИКТОР ЛЕОНИДОВИЧ</t>
  </si>
  <si>
    <t>ИП ШАЛГИНОВ ВЛАДИМИР МИХАЙЛОВИЧ</t>
  </si>
  <si>
    <t>ИП ГОЛИКОВА ОЛЬГА ВЛАДИМИРОВНА</t>
  </si>
  <si>
    <t>ИП ШАРУХА НАТАЛЬЯ НИКОЛАЕВНА</t>
  </si>
  <si>
    <t>ООО АВТОХИМ-ХОЛДИНГ</t>
  </si>
  <si>
    <t>655004, РОССИЯ, РЕСПУБЛИКА ХАКАСИЯ, Г.О. ГОРОД АБАКАН, Г АБАКАН, УЛ КИРОВА, Д. 260, СТР. 2, ПОМЕЩ. 57</t>
  </si>
  <si>
    <t>ООО СИГМА ПЛЮС</t>
  </si>
  <si>
    <t>655008, РОССИЯ, РЕСПУБЛИКА ХАКАСИЯ, Г.О. ГОРОД АБАКАН, Г АБАКАН, УЛ КИРОВА, ЗД. 257А, СТР. 1</t>
  </si>
  <si>
    <t>ИП ЧУДИНОВ СЕМЕН ПАВЛОВИЧ</t>
  </si>
  <si>
    <t>ИП ПОЛЬКИНА НАТАЛЬЯ АЛЕКСЕЕВНА</t>
  </si>
  <si>
    <t>ООО МЕДВЕДЬ АБАКАН</t>
  </si>
  <si>
    <t>655017, РЕСПУБЛИКА ХАКАСИЯ, Г АБАКАН, КВ-Л МОЛОДЕЖНЫЙ, Д. 20-В</t>
  </si>
  <si>
    <t>ООО ПРОГРЕСС-СМ</t>
  </si>
  <si>
    <t>655003, РЕСПУБЛИКА ХАКАСИЯ, Г АБАКАН, УЛ КРЫЛОВА, Д. 17А</t>
  </si>
  <si>
    <t>ООО ПК УГОЛЬ</t>
  </si>
  <si>
    <t>655008, РЕСПУБЛИКА ХАКАСИЯ, Г.О. ГОРОД АБАКАН, Г АБАКАН, УЛ СОВЕТСКАЯ, Д. 182</t>
  </si>
  <si>
    <t>ООО НП АВТО</t>
  </si>
  <si>
    <t>655008, РЕСПУБЛИКА ХАКАСИЯ, Г.О. ГОРОД АБАКАН, Г АБАКАН, УЛ ИГАРСКАЯ, Д. 21П, СТР. 1</t>
  </si>
  <si>
    <t>ИП СТРЕЛЬЧЕНКО ЛАРИСА ГЕННАДЬЕВНА</t>
  </si>
  <si>
    <t>ИП ТРОФИМОВА ТАТЬЯНА ПАВЛОВНА</t>
  </si>
  <si>
    <t>ИП ЦИБУЛЬСКИЙ НИКОЛАЙ АЛЕКСАНДРОВИЧ</t>
  </si>
  <si>
    <t>ИП САВИН АНДРЕЙ ГЕННАДЬЕВИЧ</t>
  </si>
  <si>
    <t>ИП СМИРНОВА ВАЛЕНТИНА ВЛАДИМИРОВНА</t>
  </si>
  <si>
    <t>ИП АУХАДЕЕВ МАРАТ МАНСУРОВИЧ</t>
  </si>
  <si>
    <t>ИП Иванисенко Наталья Геннадьевна</t>
  </si>
  <si>
    <t>ИП КЛИНЦОВА КРИСТИНА АЛЕКСАНДРОВНА</t>
  </si>
  <si>
    <t>ИП КОНДРАТЕНКО НАДЕЖДА ЕВГЕНЬЕВНА</t>
  </si>
  <si>
    <t>ДЖИРИМСКОЕ ПО</t>
  </si>
  <si>
    <t>655234, РЕСПУБЛИКА ХАКАСИЯ, Р-Н ШИРИНСКИЙ, С ДЖИРИМ, УЛ МИРА, ЗД. 16</t>
  </si>
  <si>
    <t>ИП КАПРАН МАКСИМ ГЕННАДЬЕВИЧ</t>
  </si>
  <si>
    <t>ИП БАБУШКИНА НАТАЛЬЯ ВИКТОРОВНА</t>
  </si>
  <si>
    <t>ИП ЖВИРБЛИС ВЛАДИСЛАВ КАЗИМИРОВИЧ</t>
  </si>
  <si>
    <t>ИП НАДЕЙКИНА ГАЛИНА НИКОЛАЕВНА</t>
  </si>
  <si>
    <t>ООО МЕДВЕДЬ</t>
  </si>
  <si>
    <t>655017, РЕСПУБЛИКА ХАКАСИЯ, Г АБАКАН, КВ-Л МОЛОДЕЖНЫЙ, Д. 2В, СТР. 1, КОМ. 37</t>
  </si>
  <si>
    <t>ИП МОЛЕНДОР ЮРИЙ ВАЛЕРЬЕВИЧ</t>
  </si>
  <si>
    <t>ИП Петрученя Игорь Геннадьевич</t>
  </si>
  <si>
    <t>ИП МИТИН ИГОРЬ СЕРГЕЕВИЧ</t>
  </si>
  <si>
    <t>ИП ЕЛИЗАРЬЕВ СЕРГЕЙ ДМИТРИЕВИЧ</t>
  </si>
  <si>
    <t>ИП ТОТОРОВА МАРИНА ВАСИЛЬЕВНА</t>
  </si>
  <si>
    <t>ИП НАДЕЙКИН АЛЕКСАНДР ВИКТОРОВИЧ</t>
  </si>
  <si>
    <t>ИП ХЕРТЕК ЮЛИЯ КАЛЗАНОВНА</t>
  </si>
  <si>
    <t>ИП ДМИТРИЕВА АНАСТАСИЯ АЛЕКСАНДРОВНА</t>
  </si>
  <si>
    <t>ИП ПЕРМЯКОВ НИКИТА ВАЛЕРЬЕВИЧ</t>
  </si>
  <si>
    <t>ИП Пискунова Нина Николаевна</t>
  </si>
  <si>
    <t>ИП ГЛАДКОВ АРТЕМ ВАЛЕРЬЕВИЧ</t>
  </si>
  <si>
    <t>Чеченская республика</t>
  </si>
  <si>
    <t>ИП АБАСОВ ЛОМАЛИ РУСЛАНОВИЧ</t>
  </si>
  <si>
    <t>ООО ФОЛИАНТ</t>
  </si>
  <si>
    <t>366815, ЧЕЧЕНСКАЯ РЕСПУБЛИКА, Р-Н НАДТЕРЕЧНЫЙ, С ГВАРДЕЙСКОЕ, УЛ ИМ Б.АРСАНОВА, Д. 5</t>
  </si>
  <si>
    <t>ИП ДАДАЕВ ИБРАГИМ АДАМОВИЧ</t>
  </si>
  <si>
    <t>ООО ТДМЕРКАТА</t>
  </si>
  <si>
    <t>364020, РОССИЯ, ЧЕЧЕНСКАЯ РЕСПУБЛИКА, Г.О. ГОРОД ГРОЗНЫЙ, Г ГРОЗНЫЙ, Р-Н АХМАТОВСКИЙ, УЛ СТАРОПРОМЫСЛОВСКОЕ ШОССЕ, Д. 24, К. 2, ОФИС 13</t>
  </si>
  <si>
    <t>ИП ЖАДАЕВ ПАВЕЛ ЮРЬЕВИЧ</t>
  </si>
  <si>
    <t>ООО ЮГ-ОЙЛ-ТРЕЙД</t>
  </si>
  <si>
    <t>364022, ЧЕЧЕНСКАЯ РЕСПУБЛИКА, Г.О. ГОРОД ГРОЗНЫЙ, Г ГРОЗНЫЙ, Р-Н ШЕЙХ-МАНСУРОВСКИЙ, УЛ ФАСАДНАЯ, ЗД. 34</t>
  </si>
  <si>
    <t>ООО ИМПЭК</t>
  </si>
  <si>
    <t>366108, РОССИЯ, ЧЕЧЕНСКАЯ РЕСПУБЛИКА, М.Р-Н ШЕЛКОВСКОЙ, Г. ШЕЛКОВСКАЯ, Г.П. ШЕЛКОВСКОЕ, УЛ ИМ Р.МАЖАТОВА, Д. 1Б, ОФИС 19</t>
  </si>
  <si>
    <t>ИП РОМАШЕВСКИЙ ДМИТРИЙ АЛЕКСАНДРОВИЧ</t>
  </si>
  <si>
    <t>ООО ФОКУС</t>
  </si>
  <si>
    <t>366701, ЧЕЧЕНСКАЯ РЕСПУБЛИКА, Р-Н СЕРНОВОДСКИЙ, Г СЕРНОВОДСКОЕ, УЛ КОМСОМОЛЬСКАЯ, Д. 12</t>
  </si>
  <si>
    <t>ИП ШАНДУРА ПАВЕЛ ФЕДОРОВИЧ</t>
  </si>
  <si>
    <t>ИП АХМАДОВ РАМЗАН СУЛТАНОВИЧ</t>
  </si>
  <si>
    <t>ООО ТОРГСЕРВИС 95</t>
  </si>
  <si>
    <t>366101, ЧЕЧЕНСКАЯ РЕСПУБЛИКА, М.Р-Н ШЕЛКОВСКОЙ, Г. ШЕЛКОВСКАЯ, Г.П. ШЕЛКОВСКОЕ, УЛ. А.АЙДАМИРОВА, ЗД. 69А</t>
  </si>
  <si>
    <t>ИП СТАРКОВ ПАВЕЛ ВЛАДИМИРОВИЧ</t>
  </si>
  <si>
    <t>ООО МОТОПАРК</t>
  </si>
  <si>
    <t>364043, РОССИЯ, ЧЕЧЕНСКАЯ РЕСПУБЛИКА, Г.О. ГОРОД ГРОЗНЫЙ, Г ГРОЗНЫЙ, Р-Н ВИСАИТОВСКИЙ, УЛ ХАСАНА КААЕВА, Д. 24, КВ. 10</t>
  </si>
  <si>
    <t>ИП АНТОНИЧЕВ ЕВГЕНИЙ НИКОЛАЕВИЧ</t>
  </si>
  <si>
    <t>ИП БЕЛЬТОЕВ ШАМИЛЬ МУХАРБЕКОВИЧ</t>
  </si>
  <si>
    <t>ООО ТД ЖИВАЯ СТАЛЬ</t>
  </si>
  <si>
    <t>366284, РОССИЯ, ЧЕЧЕНСКАЯ РЕСПУБЛИКА, Г.О. ГОРОД АРГУН, Г АРГУН, УЛ ШОССЕЙНАЯ, Д. 110Б, ОФИС 11</t>
  </si>
  <si>
    <t>ООО МТТ - КАРГО</t>
  </si>
  <si>
    <t>364060, РОССИЯ, ЧЕЧЕНСКАЯ РЕСПУБЛИКА, Г.О. ГОРОД ГРОЗНЫЙ, Г ГРОЗНЫЙ, Р-Н АХМАТОВСКИЙ, ПР-КТ МОХАММЕДА АЛИ, Д. 27А, КВ. 30</t>
  </si>
  <si>
    <t>ИП СЕДЕЛЬНИКОВ ВЯЧЕСЛАВ ВАСИЛЬЕВИЧ</t>
  </si>
  <si>
    <t>ИП ШИП АЛЕКСАНДР АНАТОЛЬЕВИЧ</t>
  </si>
  <si>
    <t>ООО АЛЬКОРР</t>
  </si>
  <si>
    <t>366521, ЧЕЧЕНСКАЯ РЕСПУБЛИКА, Р-Н СЕРНОВОДСКИЙ, Г СЕРНОВОДСКОЕ, УЛ ВИСАИТОВА М.А., ЗД. 1/1</t>
  </si>
  <si>
    <t>ИП Салиев Александр Сергеевич</t>
  </si>
  <si>
    <t>ИП ВЕРЕСОВА ЛАДЛЕНА СВЯТОСЛАВОВНА</t>
  </si>
  <si>
    <t>ИП РАСКОВ СЕРГЕЙ НИКОЛАЕВИЧ</t>
  </si>
  <si>
    <t>ИП ХАЛИКОВ САЛИХ РАВИЛЕВИЧ</t>
  </si>
  <si>
    <t>ИП Приходько Олег Анатольевич</t>
  </si>
  <si>
    <t>ИП АХТЯМОВ ТИМУР ФЛЁРОВИЧ</t>
  </si>
  <si>
    <t>ООО БРЕНД-ПАРТС</t>
  </si>
  <si>
    <t>364047, РОССИЯ, ЧЕЧЕНСКАЯ РЕСПУБЛИКА, Г.О. ГОРОД ГРОЗНЫЙ, Г ГРОЗНЫЙ, Р-Н БАЙСАНГУРОВСКИЙ, ПР-КТ КУНТА-ХАДЖИ КИШИЕВА, ДВЛД. 50, ПОМЕЩ. 6</t>
  </si>
  <si>
    <t>ООО МКС</t>
  </si>
  <si>
    <t>Чувашская республика</t>
  </si>
  <si>
    <t>428009, РОССИЯ, ЧУВАШСКАЯ РЕСПУБЛИКА - ЧУВАШИЯ, Г.О. ГОРОД ЧЕБОКСАРЫ, Г ЧЕБОКСАРЫ, УЛ УНИВЕРСИТЕТСКАЯ, Д. 22, КВ. 257</t>
  </si>
  <si>
    <t>ИП АСКАРОВ ВАЛЕХ ИСМАИЛ-ОГЛЫ</t>
  </si>
  <si>
    <t>ИП КУДАШКИНА АНАСТАСИЯ ВАЛЕНТИНОВНА</t>
  </si>
  <si>
    <t>ИП ДМИТРИЕВ ЮРИЙ СЕРГЕЕВИЧ</t>
  </si>
  <si>
    <t>ИП СОКОЛОВА СВЕТЛАНА НИКОЛАЕВНА</t>
  </si>
  <si>
    <t>ООО ЦЕНТРАВТО</t>
  </si>
  <si>
    <t>428003, РОССИЯ, ЧУВАШСКАЯ РЕСПУБЛИКА - ЧУВАШИЯ, Г.О. ГОРОД ЧЕБОКСАРЫ, Г ЧЕБОКСАРЫ, УЛ ПРИСТАНЦИОННАЯ, Д. 3, ОФИС 109</t>
  </si>
  <si>
    <t>ИП ВАСИЛЬЕВ ВЛАДИМИР НИКОЛАЕВИЧ</t>
  </si>
  <si>
    <t>ИП КУДРЯВЦЕВ НИКОЛАЙ ИВАНОВИЧ</t>
  </si>
  <si>
    <t>429500, ЧУВАШСКАЯ РЕСПУБЛИКА - ЧУВАШИЯ, Р-Н ЧЕБОКСАРСКИЙ, П КУГЕСИ, УЛ МЕХАНИЗАТОРОВ, Д.13</t>
  </si>
  <si>
    <t>ИП Гришняков Константин Николаевич</t>
  </si>
  <si>
    <t>ООО СТРОЙМАРКЕТ</t>
  </si>
  <si>
    <t>429060, ЧУВАШСКАЯ РЕСПУБЛИКА - ЧУВАШИЯ, Р-Н ЯДРИНСКИЙ, Г ЯДРИН, УЛ НЕКРАСОВА, Д. 26</t>
  </si>
  <si>
    <t>ООО СОВЕТСКИЙ КООПТОРГ</t>
  </si>
  <si>
    <t>429060, ЧУВАШСКАЯ РЕСПУБЛИКА - ЧУВАШИЯ, Р-Н ЯДРИНСКИЙ, Г ЯДРИН, УЛ КРАСНОАРМЕЙСКАЯ, ЗД. 4А</t>
  </si>
  <si>
    <t>ИП ВАСИЛЬЕВ ПАВЕЛ ОЛЕГОВИЧ</t>
  </si>
  <si>
    <t>ИП ДЕМИДОВА ИРИНА ВЯЧЕСЛАВОВНА</t>
  </si>
  <si>
    <t>ООО ЭП-ЗАПЧАСТЬ</t>
  </si>
  <si>
    <t>428000, РОССИЯ, ЧУВАШСКАЯ РЕСПУБЛИКА - ЧУВАШИЯ, Г.О. ГОРОД ЧЕБОКСАРЫ, Г ЧЕБОКСАРЫ, Ш МАРПОСАДСКОЕ, Д. 6, СТР. А</t>
  </si>
  <si>
    <t>ИП КОСТЕРИНА ЛЮДМИЛА АГАФОНОВНА</t>
  </si>
  <si>
    <t>ИП ЕФИМОВ АЛЕКСАНДР ИВАНОВИЧ</t>
  </si>
  <si>
    <t>ИП ВОРОНИНА ТАТЬЯНА ВАЛЕРИАНОВНА</t>
  </si>
  <si>
    <t>ИП КОРОТКОВ ПАВЕЛ АЛЕКСАНДРОВИЧ</t>
  </si>
  <si>
    <t>ООО КОСТИНСТРОЙ</t>
  </si>
  <si>
    <t>428003, ЧУВАШСКАЯ РЕСПУБЛИКА - ЧУВАШИЯ, Г ЧЕБОКСАРЫ, ПР-Д БАЗОВЫЙ, Д. 3, ПОМЕЩ. 5</t>
  </si>
  <si>
    <t>ИП АНИСИМОВ СЕРГЕЙ ВАСИЛЬЕВИЧ</t>
  </si>
  <si>
    <t>ООО ГАИРА</t>
  </si>
  <si>
    <t>428035, ЧУВАШСКАЯ РЕСПУБЛИКА - ЧУВАШИЯ, Г ЧЕБОКСАРЫ, УЛ АХАЗОВА, Д.1</t>
  </si>
  <si>
    <t>ИП ЕФИМОВ РОМАН АНАТОЛЬЕВИЧ</t>
  </si>
  <si>
    <t>ИП БОРИСОВ ГЛЕБ ВИКТОРОВИЧ</t>
  </si>
  <si>
    <t>ИП Захарова Софья Валерьевна</t>
  </si>
  <si>
    <t>ИП КРЫЛОВА КРИСТИНА КОНСТАНТИНОВНА</t>
  </si>
  <si>
    <t>ООО ЭЛЕКТРОСИЛА ПОВОЛЖЬЕ</t>
  </si>
  <si>
    <t>428020, ЧУВАШСКАЯ РЕСПУБЛИКА - ЧУВАШИЯ, Г ЧЕБОКСАРЫ, ПР-Д БАЗОВЫЙ, Д.8 Б</t>
  </si>
  <si>
    <t>ООО НПП ПРОМТЕХНОСВАР-Ч</t>
  </si>
  <si>
    <t>428022, ЧУВАШСКАЯ РЕСПУБЛИКА - ЧУВАШИЯ, Г ЧЕБОКСАРЫ, ПР-Д МАШИНОСТРОИТЕЛЕЙ, Д. 1 У, ПОМЕЩ. 3</t>
  </si>
  <si>
    <t>ООО МИРЭН</t>
  </si>
  <si>
    <t>428034, ЧУВАШСКАЯ РЕСПУБЛИКА - ЧУВАШИЯ, Г ЧЕБОКСАРЫ, УЛ ГУЗОВСКОГО, Д. 9, КВ. 43</t>
  </si>
  <si>
    <t>ООО ЦЕНТР-М</t>
  </si>
  <si>
    <t>428003, ЧУВАШСКАЯ РЕСПУБЛИКА - ЧУВАШИЯ, Г ЧЕБОКСАРЫ, УЛ ЛЕСНАЯ, Д. 7</t>
  </si>
  <si>
    <t>ООО МАСЛО ПЛЮС</t>
  </si>
  <si>
    <t>428037, РОССИЯ, ЧУВАШСКАЯ РЕСПУБЛИКА - ЧУВАШИЯ, Г.О. ГОРОД ЧЕБОКСАРЫ, Г ЧЕБОКСАРЫ, УЛ ЛЕНИНСКОГО КОМСОМОЛА, Д. 29, ПОМЕЩ. 5, ОФИС 16</t>
  </si>
  <si>
    <t>ООО ТТП ОСТРОЕ ЖАЛО</t>
  </si>
  <si>
    <t>429430, РОССИЯ, ЧУВАШСКАЯ РЕСПУБЛИКА - ЧУВАШИЯ, М.О. КОЗЛОВСКИЙ, Г КОЗЛОВКА, УЛ ЗЕЛЕНАЯ, ДВЛД. 6</t>
  </si>
  <si>
    <t>ИП ВАСИЛЬЕВА МАРИНА ВИТАЛЬЕВНА</t>
  </si>
  <si>
    <t>ООО АВТОЦЕНТР21</t>
  </si>
  <si>
    <t>429500, РОССИЯ, ЧУВАШСКАЯ РЕСПУБЛИКА - ЧУВАШИЯ, М.О. ЧЕБОКСАРСКИЙ, П КУГЕСИ, УЛ МЕХАНИЗАТОРОВ, Д. 13</t>
  </si>
  <si>
    <t>ИП МОКШИН АЛЕКСЕЙ ИВАНОВИЧ</t>
  </si>
  <si>
    <t>ИП ТИМОФЕЕВ ГЕОРГИЙ ВАЛЕРИЕВИЧ</t>
  </si>
  <si>
    <t>ООО ТОРГОВЫЙ ЦЕНТР</t>
  </si>
  <si>
    <t>429530, ЧУВАШСКАЯ РЕСПУБЛИКА - ЧУВАШИЯ, Р-Н МОРГАУШСКИЙ, С МОРГАУШИ, УЛ 50 ЛЕТ ОКТЯБРЯ, Д. 6, ОФИС 49</t>
  </si>
  <si>
    <t>ИП МАКОЛКИНА ВАЛЕНТИНА АЛЕКСАНДРОВНА</t>
  </si>
  <si>
    <t>ИП ПЕТРОВ НИКОЛАЙ ПЕТРОВИЧ</t>
  </si>
  <si>
    <t>ООО ИШАКСКИЙ БАЗАР</t>
  </si>
  <si>
    <t>429521, ЧУВАШСКАЯ РЕСПУБЛИКА - ЧУВАШИЯ, Р-Н ЧЕБОКСАРСКИЙ, С ИШАКИ, УЛ БАЗАРНАЯ, Д.2</t>
  </si>
  <si>
    <t>ООО АЛЬЯНС-АВТОМАРКЕТ</t>
  </si>
  <si>
    <t>428030, РОССИЯ, ЧУВАШСКАЯ РЕСПУБЛИКА - ЧУВАШИЯ, М.О. ЧЕБОКСАРСКИЙ, Д ПИХТУЛИНО, УЛ АВТОМОБИЛИСТОВ, ЗД. 1, ПОМЕЩ. 6</t>
  </si>
  <si>
    <t>ИП БОРОДАВИН МАКСИМ АЛЕКСАНДРОВИЧ</t>
  </si>
  <si>
    <t>ООО ДЕЛЬТА-ТРАНС</t>
  </si>
  <si>
    <t>429500, ЧУВАШСКАЯ РЕСПУБЛИКА - ЧУВАШИЯ, Р-Н ЧЕБОКСАРСКИЙ, П КУГЕСИ, УЛ ШОССЕЙНАЯ, ВЛД. 27А</t>
  </si>
  <si>
    <t>ИП АБАКУМОВ ЕВГЕНИЙ БОРИСОВИЧ</t>
  </si>
  <si>
    <t>ООО ЯДРИНСКИЙ КООПТОРГ</t>
  </si>
  <si>
    <t>ИП ИВАНОВ ЕВГЕНИЙ ОЛЕГОВИЧ</t>
  </si>
  <si>
    <t>ИП Власов Валерий Вячеславович</t>
  </si>
  <si>
    <t>ИП ИЛЬИНА ДИНА ИВАНОВНА</t>
  </si>
  <si>
    <t>ИП ГУБАНОВ ВЛАДИМИР АНАТОЛЬЕВИЧ</t>
  </si>
  <si>
    <t>ИП Павлов Николай Иванович</t>
  </si>
  <si>
    <t>ИП ЧАМЖАЕВ ЮРИЙ ВИКТОРОВИЧ</t>
  </si>
  <si>
    <t>ООО ВИК-ЯХТС</t>
  </si>
  <si>
    <t>428003, ЧУВАШСКАЯ РЕСПУБЛИКА - ЧУВАШИЯ, Г ЧЕБОКСАРЫ, УЛ КОНСТАНТИНА ИВАНОВА, Д. 73, ПОМ/ОФИС 7/8</t>
  </si>
  <si>
    <t>ИП РУССАКОВ ДИОМИД АРКАДЬЕВИЧ</t>
  </si>
  <si>
    <t>ФБУЗ ЦЕНТР ГИГИЕНЫ И ЭПИДЕМИОЛОГИИ В ЧУВАШСКОЙ РЕСПУБЛИКЕ - ЧУВАШИИ</t>
  </si>
  <si>
    <t>428020, ЧУВАШСКАЯ РЕСПУБЛИКА - ЧУВАШИЯ, Г ЧЕБОКСАРЫ, УЛ ФЕДОРА ГЛАДКОВА, Д.17</t>
  </si>
  <si>
    <t>ИП ПЕРШИН СЕРГЕЙ КОНСТАНТИНОВИЧ</t>
  </si>
  <si>
    <t>ИП Филиппов Игорь Николаевич</t>
  </si>
  <si>
    <t>ИП Кривошеин Дмитрий Николаевич</t>
  </si>
  <si>
    <t>ИП БОГДАНОВА ИРИНА КЛИМОВНА</t>
  </si>
  <si>
    <t>ИП ШУСТОВ АЛЕКСАНДР ЮРЬЕВИЧ</t>
  </si>
  <si>
    <t>ИП МУШТАКОВ АЛЕКСАНДР ИВАНОВИЧ</t>
  </si>
  <si>
    <t>ООО ТРАНСТЕХСЕРВИС-21</t>
  </si>
  <si>
    <t>428022, ЧУВАШСКАЯ РЕСПУБЛИКА - ЧУВАШИЯ, Г ЧЕБОКСАРЫ, Ш МАРПОСАДСКОЕ, Д.19</t>
  </si>
  <si>
    <t>ООО ЭСИС</t>
  </si>
  <si>
    <t>428032, ЧУВАШСКАЯ РЕСПУБЛИКА - ЧУВАШИЯ, Г ЧЕБОКСАРЫ, УЛ ЛЕНИНГРАДСКАЯ, Д.27, 5</t>
  </si>
  <si>
    <t>ИП МИХАЙЛОВА СЕРАФИМА ИГОРЕВНА</t>
  </si>
  <si>
    <t>ООО ПОПУТЧИК - ГРУПП</t>
  </si>
  <si>
    <t>428003, ЧУВАШСКАЯ РЕСПУБЛИКА - ЧУВАШИЯ, Г ЧЕБОКСАРЫ, ПР-Д БАЗОВЫЙ, ЗД. 4, ПОМЕЩ. 2</t>
  </si>
  <si>
    <t>ИП Костерин Сергей Алексеевич</t>
  </si>
  <si>
    <t>ООО АТЛ</t>
  </si>
  <si>
    <t>428001, РОССИЯ, ЧУВАШСКАЯ РЕСПУБЛИКА - ЧУВАШИЯ, Г.О. ГОРОД ЧЕБОКСАРЫ, Г ЧЕБОКСАРЫ, УЛ ПЕТРА ЕРМОЛАЕВА, Д. 3, ОФИС 4, ПОМЕЩ. 3</t>
  </si>
  <si>
    <t>ИП ГРИГОРЬЕВ АЛЕКСАНДР ГЕННАДЬЕВИЧ</t>
  </si>
  <si>
    <t>ООО ЛАЙФ АВТО</t>
  </si>
  <si>
    <t>428030, РОССИЯ, ЧУВАШСКАЯ РЕСПУБЛИКА - ЧУВАШИЯ, М.О. ЧЕБОКСАРСКИЙ, Д ПИХТУЛИНО, УЛ АВТОМОБИЛИСТОВ, ДВЛД. 2, ПОМЕЩ. 20</t>
  </si>
  <si>
    <t>ИП ШАШКИНА АННА ВЯЧЕСЛАВНА</t>
  </si>
  <si>
    <t>ИП Удюрминов Николай Анатольевич</t>
  </si>
  <si>
    <t>ИП ТИХОНОВ АЛЕКСАНДР ВАЛЕРЬЕВИЧ</t>
  </si>
  <si>
    <t>ООО АЛЬЯНС-МОТОРС</t>
  </si>
  <si>
    <t>428022, ЧУВАШСКАЯ РЕСПУБЛИКА - ЧУВАШИЯ, Г ЧЕБОКСАРЫ, Ш МАРПОСАДСКОЕ, Д.3, А</t>
  </si>
  <si>
    <t>ИП КУЗНЕЦОВ ОЛЕГ ВЯЧЕСЛАВОВИЧ</t>
  </si>
  <si>
    <t>ООО МБ-МЕДИА</t>
  </si>
  <si>
    <t>429960, РОССИЯ, ЧУВАШСКАЯ РЕСПУБЛИКА - ЧУВАШИЯ, Г.О. ГОРОД НОВОЧЕБОКСАРСК, Г НОВОЧЕБОКСАРСК, УЛ ЮЖНАЯ, Д. 8, КВ. 23</t>
  </si>
  <si>
    <t>ООО АРКОМ</t>
  </si>
  <si>
    <t>428031, ЧУВАШСКАЯ РЕСПУБЛИКА - ЧУВАШИЯ, Г ЧЕБОКСАРЫ, УЛ 324 СТРЕЛКОВОЙ ДИВИЗИИ, Д.21, 56</t>
  </si>
  <si>
    <t>ООО ПРОМХИМЭКСПОРТ</t>
  </si>
  <si>
    <t>428022, ЧУВАШСКАЯ РЕСПУБЛИКА - ЧУВАШИЯ, Г ЧЕБОКСАРЫ, ПР-Д АВТОЗАПРАВОЧНЫЙ, Д. 24 А</t>
  </si>
  <si>
    <t>ИП МИХАЙЛОВА СВЕТЛАНА ЛЕОНИДОВНА</t>
  </si>
  <si>
    <t>КРАСНОЧЕТАЙСКОЕ РАЙПО</t>
  </si>
  <si>
    <t>429040, ЧУВАШСКАЯ РЕСПУБЛИКА - ЧУВАШИЯ, Р-Н КРАСНОЧЕТАЙСКИЙ, С КРАСНЫЕ ЧЕТАИ, УЛ НОВАЯ, Д.6</t>
  </si>
  <si>
    <t>ООО СТРОЙТОРГ</t>
  </si>
  <si>
    <t>429530, ЧУВАШСКАЯ РЕСПУБЛИКА - ЧУВАШИЯ, Р-Н МОРГАУШСКИЙ, С МОРГАУШИ, УЛ МИРА, Д. 23</t>
  </si>
  <si>
    <t>ООО ГИПОР-М</t>
  </si>
  <si>
    <t>429020, ЧУВАШСКАЯ РЕСПУБЛИКА - ЧУВАШИЯ, Р-Н ПОРЕЦКИЙ, С ПОРЕЦКОЕ, КМ АВТОДОРОГА ПОРЕЦКОЕ-БАХМУТОВО 2, Д.1</t>
  </si>
  <si>
    <t>ИП СЕРГЕЕВ СЕРГЕЙ ВАСИЛЬЕВИЧ</t>
  </si>
  <si>
    <t>ИП МАРТЫНЕНКО ДЕНИС ДМИТРИЕВИЧ</t>
  </si>
  <si>
    <t>ООО ПОПУТЧИК ТРАК СЕРВИС</t>
  </si>
  <si>
    <t>429500, ЧУВАШСКАЯ РЕСПУБЛИКА - ЧУВАШИЯ, Р-Н ЧЕБОКСАРСКИЙ, П КУГЕСИ, УЛ ТЕПЛИЧНАЯ, Д. 12, ПОМЕЩ. 1</t>
  </si>
  <si>
    <t>ИП Ларионов Александр Гаврилович</t>
  </si>
  <si>
    <t>ООО СУРА</t>
  </si>
  <si>
    <t>429060, ЧУВАШСКАЯ РЕСПУБЛИКА - ЧУВАШИЯ, Р-Н ЯДРИНСКИЙ, Г ЯДРИН, УЛ КОМСОМОЛЬСКАЯ, Д. 6, К. А</t>
  </si>
  <si>
    <t>ООО КУЛИНАР</t>
  </si>
  <si>
    <t>429060, ЧУВАШСКАЯ РЕСПУБЛИКА - ЧУВАШИЯ, Р-Н ЯДРИНСКИЙ, Г ЯДРИН, УЛ ЛЕНИНА, ЗД. 2А</t>
  </si>
  <si>
    <t>ИП АБАКУМОВА СВЕТЛАНА КЕРАЕВНА</t>
  </si>
  <si>
    <t>ИП ПЕТРОВ ЛЕОНИД СЕРГЕЕВИЧ</t>
  </si>
  <si>
    <t>ИП Колотова Ольга Сергеевна</t>
  </si>
  <si>
    <t>ИП СКВОРЦОВ АЛЕКСЕЙ ПЕТРОВИЧ</t>
  </si>
  <si>
    <t>ИП САЛИХОВА ДИНАРА РАВИЛЕВНА</t>
  </si>
  <si>
    <t>ИП ПУШКИН ВЛАДИМИР ЕВГЕНЬЕВИЧ</t>
  </si>
  <si>
    <t>ООО ЭЛИН</t>
  </si>
  <si>
    <t>429960, ЧУВАШСКАЯ РЕСПУБЛИКА - ЧУВАШИЯ, Г НОВОЧЕБОКСАРСК, УЛ 10 ПЯТИЛЕТКИ, Д. 23, ПОМЕЩ. 16</t>
  </si>
  <si>
    <t>ИП ЛИТВИНЧУК ЕКАТЕРИНА НИКОЛАЕВНА</t>
  </si>
  <si>
    <t>ИП КОРОТКОВ АЛЕКСАНДР ИВАНОВИЧ</t>
  </si>
  <si>
    <t>ИП ВИКТОРОВА НАДЕЖДА МИХАЙЛОВНА</t>
  </si>
  <si>
    <t>ИП КЛЕМЕНТЬЕВ ВЛАДИМИР МИХАЙЛОВИЧ</t>
  </si>
  <si>
    <t>ИП МИХАЙЛОВ АНДРЕЙ ГЕННАДЬЕВИЧ</t>
  </si>
  <si>
    <t>ООО ДИАЛ - АВТО</t>
  </si>
  <si>
    <t>428022, ЧУВАШСКАЯ РЕСПУБЛИКА - ЧУВАШИЯ, Г ЧЕБОКСАРЫ, Ш МАРПОСАДСКОЕ, Д.3, К.А</t>
  </si>
  <si>
    <t>ИП ВОРОБЬЕВА СВЕТЛАНА ГЕРМАНОВНА</t>
  </si>
  <si>
    <t>ИП НИКОЛАЕВ АЛЕКСАНДР ГЕОРГИЕВИЧ</t>
  </si>
  <si>
    <t>ИП БОГДАНОВ СЕРГЕЙ НИКОЛАЕВИЧ</t>
  </si>
  <si>
    <t>ИП КУЗЬМИН ИГОРЬ ВЛАДИМИРОВИЧ</t>
  </si>
  <si>
    <t>ИП Коткова Анастасия Николаевна</t>
  </si>
  <si>
    <t>ООО СТИ</t>
  </si>
  <si>
    <t>428023, ЧУВАШСКАЯ РЕСПУБЛИКА - ЧУВАШИЯ, Г.О. ГОРОД ЧЕБОКСАРЫ, Г ЧЕБОКСАРЫ, УЛ ЛОМОНОСОВА, ЗД. 2, ПОМЕЩ. 1, КОМ. 12</t>
  </si>
  <si>
    <t>ООО МЕГА-ОЙЛ ЧЕБОКСАРЫ</t>
  </si>
  <si>
    <t>428903, ЧУВАШСКАЯ РЕСПУБЛИКА - ЧУВАШИЯ, Г ЧЕБОКСАРЫ, ПР-Д БЕРЕЗОВЫЙ, Д. 3, ПОМЕЩ. 8</t>
  </si>
  <si>
    <t>ООО ЛОВЧИЙ</t>
  </si>
  <si>
    <t>428018, ЧУВАШСКАЯ РЕСПУБЛИКА - ЧУВАШИЯ, Г ЧЕБОКСАРЫ, УЛ ВОДОПРОВОДНАЯ, Д.22, К.1</t>
  </si>
  <si>
    <t>ООО АВТОН</t>
  </si>
  <si>
    <t>ИП ЗУЙКОВ ВИКТОР МИХАЙЛОВИЧ</t>
  </si>
  <si>
    <t>ООО ЦСТ</t>
  </si>
  <si>
    <t>428003, ЧУВАШСКАЯ РЕСПУБЛИКА - ЧУВАШИЯ, Г.О. ГОРОД ЧЕБОКСАРЫ, Г ЧЕБОКСАРЫ, УЛ ПРИСТАНЦИОННАЯ, ЗД. 1Д</t>
  </si>
  <si>
    <t>ООО ЭНЕРГО</t>
  </si>
  <si>
    <t>428000, ЧУВАШСКАЯ РЕСПУБЛИКА - ЧУВАШИЯ, Г ЧЕБОКСАРЫ, УЛ ТЕКСТИЛЬЩИКОВ, ЗД. 8, ПОМЕЩ. 306</t>
  </si>
  <si>
    <t>ООО РЕЙН МОТОРС</t>
  </si>
  <si>
    <t>ООО СНАБТЕХЗАПЧАСТЬ</t>
  </si>
  <si>
    <t>428031, ЧУВАШСКАЯ РЕСПУБЛИКА - ЧУВАШИЯ, Г ЧЕБОКСАРЫ, УЛ 324 СТРЕЛКОВОЙ ДИВИЗИИ, Д. 5, КВ. 71</t>
  </si>
  <si>
    <t>ООО ЧЕБТРЕЙД</t>
  </si>
  <si>
    <t>428033, ЧУВАШСКАЯ РЕСПУБЛИКА - ЧУВАШИЯ, Г ЧЕБОКСАРЫ, УЛ ПИРОГОВА, Д. 4, ПОМЕЩЕНИЕ/ОФИС 3/1</t>
  </si>
  <si>
    <t>ИП КРЫЛОВА ОКСАНА ГЕННАДЬЕВНА</t>
  </si>
  <si>
    <t>ООО АВТОРЕГИОН</t>
  </si>
  <si>
    <t>428903, ЧУВАШСКАЯ РЕСПУБЛИКА - ЧУВАШИЯ, Г ЧЕБОКСАРЫ, Ш КАНАШСКОЕ, Д. 7, ПОМЕЩ. 4</t>
  </si>
  <si>
    <t>ИП НАУМОВА ТАМАРА ИЛЬИНИЧНА</t>
  </si>
  <si>
    <t>ИП МУХАМЕДОВ СОБИР ДЖОНОВИЧ</t>
  </si>
  <si>
    <t>ИП МАКСИМОВ АЛЬБЕРТ ИВАНОВИЧ</t>
  </si>
  <si>
    <t>ИП МУХИНА СВЕТЛАНА НИКОЛАЕВНА</t>
  </si>
  <si>
    <t>Алтайский край</t>
  </si>
  <si>
    <t>ООО РТК</t>
  </si>
  <si>
    <t>658083, АЛТАЙСКИЙ КРАЙ, Г НОВОАЛТАЙСК, УЛ ДОРОЖНАЯ, ЗД. 74/15</t>
  </si>
  <si>
    <t>ООО ПРОМЭЛЕМЕНТ</t>
  </si>
  <si>
    <t>656067, АЛТАЙСКИЙ КРАЙ, Г БАРНАУЛ, УЛ СЕРГЕЯ УСКОВА, Д. 23, КВ. 313</t>
  </si>
  <si>
    <t>ИП ТИБЕЙКИН МАКСИМ АНДРЕЕВИЧ</t>
  </si>
  <si>
    <t>ООО СТРОЙ-ГРАД</t>
  </si>
  <si>
    <t>658208, АЛТАЙСКИЙ КРАЙ, Г РУБЦОВСК, УЛ РИХАРДА ЗОРГЕ, Д. 161, К. 1 ЭТАЖ, ПОМЕЩ. 1 КОМНАТА 2</t>
  </si>
  <si>
    <t>ООО САНАТОРИЙ РОДНИК АЛТАЯ</t>
  </si>
  <si>
    <t>659900, АЛТАЙСКИЙ КРАЙ, Г БЕЛОКУРИХА, УЛ БРАТЬЕВ ЖДАНОВЫХ, ЗД. 2, СТР. 1</t>
  </si>
  <si>
    <t>ИП МАРФЕНКО ТАТЬЯНА АЛЕКСАНДРОВНА</t>
  </si>
  <si>
    <t>ИП ЗУБКОВ ВАЛЕРИЙ ВЛАДИМИРОВИЧ</t>
  </si>
  <si>
    <t>ИП ГАБОВ ЕВГЕНИЙ ВЛАДИМИРОВИЧ</t>
  </si>
  <si>
    <t>659314, АЛТАЙСКИЙ КРАЙ, Г БИЙСК, УЛ ЕФИМА МАМОНТОВА, Д. 1, ОФИС 2</t>
  </si>
  <si>
    <t>659330, АЛТАЙСКИЙ КРАЙ, Г БИЙСК, УЛ ДАЛЬНЯЯ, Д.53</t>
  </si>
  <si>
    <t>ООО АГРОПАРТНЕР</t>
  </si>
  <si>
    <t>659314, АЛТАЙСКИЙ КРАЙ, Г БИЙСК, УЛ ЕФИМА МАМОНТОВА, ВЛД. 30</t>
  </si>
  <si>
    <t>ИП ЧЕРНЫХ ДМИТРИЙ ВИКТОРОВИЧ</t>
  </si>
  <si>
    <t>ИП АКСЕНОВ КИРИЛЛ НИКОЛАЕВИЧ</t>
  </si>
  <si>
    <t>ИП ЗЛЫГОСТЕВ НИКОЛАЙ ВИКТОРОВИЧ</t>
  </si>
  <si>
    <t>ИП ПРАВДИНА СВЕТЛАНА АНАТОЛЬЕВНА</t>
  </si>
  <si>
    <t>ИП НИКОЛАЕНКО АНТОН СЕРГЕЕВИЧ</t>
  </si>
  <si>
    <t>ИП ЧАЛЫК НАТАЛЬЯ ВИКТОРОВНА</t>
  </si>
  <si>
    <t>ИП КОЛПАКОВ АНАТОЛИЙ ИВАНОВИЧ</t>
  </si>
  <si>
    <t>ИП Сундеев Игорь Юрьевич</t>
  </si>
  <si>
    <t>ИП ДИКАРЕВА НАТАЛЬЯ ВИТАЛЬЕВНА</t>
  </si>
  <si>
    <t>ИП БЕЛОГЛАЗОВА ТАТЬЯНА ВАЛЕРИЕВНА</t>
  </si>
  <si>
    <t>ИП НЕМЧЕНКО АЛЕКСАНДР СЕРГЕЕВИЧ</t>
  </si>
  <si>
    <t>ООО АРИДААВТО</t>
  </si>
  <si>
    <t>658083, РОССИЯ, АЛТАЙСКИЙ КРАЙ, Г.О. ГОРОД НОВОАЛТАЙСК, Г НОВОАЛТАЙСК, УЛ П.КОРЧАГИНА, ЗД. 1/2, К. 1</t>
  </si>
  <si>
    <t>ИП ПОЛЮХ АНТОН ВЛАДИМИРОВИЧ</t>
  </si>
  <si>
    <t>ИП ОВЕРКО ОЛЬГА ГЕННАДЬЕВНА</t>
  </si>
  <si>
    <t>ООО БАКОР</t>
  </si>
  <si>
    <t>658200, АЛТАЙСКИЙ КРАЙ, Г РУБЦОВСК, УЛ КОМСОМОЛЬСКАЯ, Д. 267</t>
  </si>
  <si>
    <t>ИП БРУНЕВ ИВАН ДМИТРИЕВИЧ</t>
  </si>
  <si>
    <t>ООО ВИКА ПЛЮС</t>
  </si>
  <si>
    <t>658200, АЛТАЙСКИЙ КРАЙ, Г.О. ГОРОД РУБЦОВСК, Г РУБЦОВСК, УЛ КОМСОМОЛЬСКАЯ, Д. 279</t>
  </si>
  <si>
    <t>ИП КОРОТАЕВ АНТОН СЕРГЕЕВИЧ</t>
  </si>
  <si>
    <t>ИП ЦИМЕРМАН РУСЛАН АЛЕКСЕЕВИЧ</t>
  </si>
  <si>
    <t>ООО РИМ</t>
  </si>
  <si>
    <t>658820, АЛТАЙСКИЙ КРАЙ, Г СЛАВГОРОД, УЛ ЛЕНИНА, ВЛД. 193</t>
  </si>
  <si>
    <t>ИП КЛАССЕН ЛИАНА АНДРЕЕВНА</t>
  </si>
  <si>
    <t>ИП ШЕВКУНОВА НАТАЛЬЯ АЛЕКСАНДРОВНА</t>
  </si>
  <si>
    <t>ИП МАСЛОВА ОЛЬГА МИХАЙЛОВНА</t>
  </si>
  <si>
    <t>ИП ФЕДОТКИН МАКСИМ ВЛАДИМИРОВИЧ</t>
  </si>
  <si>
    <t>ИП Фатеев Алексей Павлович</t>
  </si>
  <si>
    <t>ООО АВТОМОТИВ БАРНАУЛ</t>
  </si>
  <si>
    <t>656039, АЛТАЙСКИЙ КРАЙ, Г.О. ГОРОД БАРНАУЛ, Г БАРНАУЛ, УЛ СОВЕТСКОЙ АРМИИ, Д. 38, ПОМЕЩ. 2</t>
  </si>
  <si>
    <t>ООО ОПТИМА</t>
  </si>
  <si>
    <t>656031, АЛТАЙСКИЙ КРАЙ, Г БАРНАУЛ, ПР-КТ СТРОИТЕЛЕЙ, Д. 31, КВ. 12</t>
  </si>
  <si>
    <t>ООО БАРИК-ОЙЛ</t>
  </si>
  <si>
    <t>656052, РОССИЯ, АЛТАЙСКИЙ КРАЙ, Г.О. ГОРОД БАРНАУЛ, Г БАРНАУЛ, УЛ ВОСТОЧНАЯ, Д. 89</t>
  </si>
  <si>
    <t>ИП ПИНЕВИЧ АНДРЕЙ АНАТОЛЬЕВИЧ</t>
  </si>
  <si>
    <t>ИП БАРСУКОВА ТАТЬЯНА ВИКТОРОВНА</t>
  </si>
  <si>
    <t>ИП НОВИКОВ АНТОН СЕРГЕЕВИЧ</t>
  </si>
  <si>
    <t>ООО ТОРГОВАЯ КОМПАНИЯ ЕВРОПА</t>
  </si>
  <si>
    <t>656070, АЛТАЙСКИЙ КРАЙ, Г БАРНАУЛ, УЛ ВЛАСИХИНСКАЯ, Д. 192</t>
  </si>
  <si>
    <t>ООО НОВЭКС</t>
  </si>
  <si>
    <t>656905, РОССИЯ, АЛТАЙСКИЙ КРАЙ, Г.О. ГОРОД БАРНАУЛ, Г БАРНАУЛ, ПРОЕЗД ЮЖНЫЙ, ЗД. 27</t>
  </si>
  <si>
    <t>ИП ЕРШОВ АЛЕКСЕЙ ЮРЬЕВИЧ</t>
  </si>
  <si>
    <t>ИП НИКОНОВА АННА АЛЕКСАНДРОВНА</t>
  </si>
  <si>
    <t>ИП ИВАНОВ НИКИТА АНАТОЛЬЕВИЧ</t>
  </si>
  <si>
    <t>ООО ССС ДАЛЬНОБОЙЩИК</t>
  </si>
  <si>
    <t>656070, АЛТАЙСКИЙ КРАЙ, Г БАРНАУЛ, УЛ ВЛАСИХИНСКАЯ, Д. 196</t>
  </si>
  <si>
    <t>ООО АЛЬЯНСАВТО</t>
  </si>
  <si>
    <t>656067, АЛТАЙСКИЙ КРАЙ, Г БАРНАУЛ, УЛ БАЛТИЙСКАЯ, Д. 82, БОКС 23</t>
  </si>
  <si>
    <t>ООО АЕМ</t>
  </si>
  <si>
    <t>656065, АЛТАЙСКИЙ КРАЙ, Г БАРНАУЛ, ТРАКТ ПАВЛОВСКИЙ, ЗД. 164А</t>
  </si>
  <si>
    <t>ИП ПРОНИН ВАЛЕРИЙ ВЛАДИМИРОВИЧ</t>
  </si>
  <si>
    <t>ИП БЕЛОБОРОДОВ ВЛАДИМИР НИКОЛАЕВИЧ</t>
  </si>
  <si>
    <t>ИП ОСТАПЕНКО ЕВГЕНИЙ НИКОЛАЕВИЧ</t>
  </si>
  <si>
    <t>ИП РЫБАЧУК ДЕНИС АЛЕКСАНДРОВИЧ</t>
  </si>
  <si>
    <t>ООО МАГИК</t>
  </si>
  <si>
    <t>656006, АЛТАЙСКИЙ КРАЙ, Г БАРНАУЛ, УЛ МАЛАХОВА, Д.157, К.А</t>
  </si>
  <si>
    <t>ООО  АКЦЕНТ-АВТО</t>
  </si>
  <si>
    <t>656056, АЛТАЙСКИЙ КРАЙ, Г БАРНАУЛ, УЛ ГОГОЛЯ, Д.44А</t>
  </si>
  <si>
    <t>ИП СЛИВИН ДМИТРИЙ ВИКТОРОВИЧ</t>
  </si>
  <si>
    <t>ИП БОГАЧЕВ ЕГОР АЛЕКСАНДРОВИЧ</t>
  </si>
  <si>
    <t>ИП АФАНАСЬЕВ ЕВГЕНИЙ ВЛАДИМИРОВИЧ</t>
  </si>
  <si>
    <t>ИП СТАРОДУБОВ ЛЕВ СЕРГЕЕВИЧ</t>
  </si>
  <si>
    <t>ИП КАПУСТИН АЛЕКСАНДР ВЛАДИМИРОВИЧ</t>
  </si>
  <si>
    <t>ООО СИБ ОЙЛ</t>
  </si>
  <si>
    <t>656008, РОССИЯ, АЛТАЙСКИЙ КРАЙ, Г.О. ГОРОД БАРНАУЛ, Г БАРНАУЛ, УЛ ПАРТИЗАНСКАЯ, ЗД. 266Б</t>
  </si>
  <si>
    <t>ИП БУРЦЕВА ЮЛИЯ ВЛАДИМИРОВНА</t>
  </si>
  <si>
    <t>ИП ВАСИЛЬЕВ АЛЕКСАНДР АНДРЕЕВИЧ</t>
  </si>
  <si>
    <t>ООО Н-ТЕРМИНАЛ</t>
  </si>
  <si>
    <t>656002, РОССИЯ, АЛТАЙСКИЙ КРАЙ, Г.О. ГОРОД БАРНАУЛ, Г БАРНАУЛ, УЛ СОВЕТСКАЯ, Д. 6, КВ. 20</t>
  </si>
  <si>
    <t>ИП ГУСЕВ АЛЕКСАНДР ЮРЬЕВИЧ</t>
  </si>
  <si>
    <t>ПАО НК РОСНЕФТЬ-АЛТАЙНЕФТЕПРОДУКТ</t>
  </si>
  <si>
    <t>656056, РОССИЯ, АЛТАЙСКИЙ КРАЙ, Г.О. ГОРОД БАРНАУЛ, Г БАРНАУЛ, УЛ ПОЛЗУНОВА, Д. 22</t>
  </si>
  <si>
    <t>ИП КУЗЬМИНА АННА СЕРГЕЕВНА</t>
  </si>
  <si>
    <t>ИП ВЯТКИН ИГОРЬ АРИСТИОНОВИЧ</t>
  </si>
  <si>
    <t>ООО РУСНЕФТЕПРОДУКТ</t>
  </si>
  <si>
    <t>659342, АЛТАЙСКИЙ КРАЙ, Г БИЙСК, П НАГОРНЫЙ, УЛ КАХОВСКАЯ, Д.136</t>
  </si>
  <si>
    <t>ИП НИКОЛЕНКО НАДЕЖДА НИКОЛАЕВНА</t>
  </si>
  <si>
    <t>ИП СЕЛИЩЕВ ПАВЕЛ АЛЕКСАНДРОВИЧ</t>
  </si>
  <si>
    <t>ООО АЛЬЯНС-22</t>
  </si>
  <si>
    <t>658709, АЛТАЙСКИЙ КРАЙ, М.Р-Н КАМЕНСКИЙ, Г. КАМЕНЬ-НА-ОБИ, Г.П. Г КАМЕНЬ-НА-ОБИ, ПЕР КУЗНЕЦОВА, Д. 3, КВ. 9</t>
  </si>
  <si>
    <t>ООО АЛЬТЕРРА</t>
  </si>
  <si>
    <t>656048, АЛТАЙСКИЙ КРАЙ, Г БАРНАУЛ, ТРАКТ ПАВЛОВСКИЙ, Д. 206Б</t>
  </si>
  <si>
    <t>ИП ПАХОМОВА ЮЛИЯ АЛЕКСАНДРОВНА</t>
  </si>
  <si>
    <t>ИП ТАНАНУШКО ДИАНА НИКОЛАЕВНА</t>
  </si>
  <si>
    <t>ООО АГРОПРОМСНАБ</t>
  </si>
  <si>
    <t>656063, АЛТАЙСКИЙ КРАЙ, Г БАРНАУЛ, УЛ ПОПОВА, Д. 3, КАБИНЕТ 4</t>
  </si>
  <si>
    <t>ООО АЛТАЙ-ОЙЛ</t>
  </si>
  <si>
    <t>ООО АВТОКОМПАС 122</t>
  </si>
  <si>
    <t>656064, РОССИЯ, АЛТАЙСКИЙ КРАЙ, Г.О. ГОРОД БАРНАУЛ, Г БАРНАУЛ, ТРАКТ ПАВЛОВСКИЙ, Д. 76А, КВ. 198</t>
  </si>
  <si>
    <t>ООО АВТОМЕХАНИКА</t>
  </si>
  <si>
    <t>656910, АЛТАЙСКИЙ КРАЙ, Г БАРНАУЛ, П НАУЧНЫЙ ГОРОДОК, Д. 9, ПОМЕЩЕНИЕ Н4</t>
  </si>
  <si>
    <t>ИП ГУСЕВА ГАЛИНА МИХАЙЛОВНА</t>
  </si>
  <si>
    <t>ИП ОВСЯННИКОВ АЛЕКСАНДР АЛЕКСАНДРОВИЧ</t>
  </si>
  <si>
    <t>ООО СТРОЙФАКТОР</t>
  </si>
  <si>
    <t>656011, АЛТАЙСКИЙ КРАЙ, Г БАРНАУЛ, ПР-КТ ЛЕНИНА, Д. 110А</t>
  </si>
  <si>
    <t>ООО СПИКА22</t>
  </si>
  <si>
    <t>656049, РОССИЯ, АЛТАЙСКИЙ КРАЙ, Г.О. ГОРОД БАРНАУЛ, Г БАРНАУЛ, ПЕР ПРУДСКОЙ, Д. 67, ПОМЕЩ. Н6</t>
  </si>
  <si>
    <t>ИП ПОМАНСКИЙ ДМИТРИЙ ГЕННАДЬЕВИЧ</t>
  </si>
  <si>
    <t>ШЕБАЛИНСКОЕ СПО</t>
  </si>
  <si>
    <t>659361, АЛТАЙСКИЙ КРАЙ, Р-Н БИЙСКИЙ, С ШЕБАЛИНО, УЛ СОВЕТСКАЯ, Д.9</t>
  </si>
  <si>
    <t>ИП ПАНЧЕНКО МАКСИМ НИКОЛАЕВИЧ</t>
  </si>
  <si>
    <t>ИП НАУМЕНКО РОМАН АНАТОЛЬЕВИЧ</t>
  </si>
  <si>
    <t>658560, АЛТАЙСКИЙ КРАЙ, Р-Н МАМОНТОВСКИЙ, С МАМОНТОВО, УЛ МАГИСТРАЛЬНАЯ, Д. 64</t>
  </si>
  <si>
    <t>ИП ГОРЯКИН ПАВЕЛ НИКОЛАЕВИЧ</t>
  </si>
  <si>
    <t>ООО ТАНДЕМ</t>
  </si>
  <si>
    <t>658135, АЛТАЙСКИЙ КРАЙ, Г АЛЕЙСК, ПЛ-КА РЕМЗАВОДА, Д.14, К.А</t>
  </si>
  <si>
    <t>ИП ЧУВАХИНА ТАТЬЯНА МИХАЙЛОВНА</t>
  </si>
  <si>
    <t>ИП ЧЕРНЫХ ЮЛИЯ АЛЕКСАНДРОВНА</t>
  </si>
  <si>
    <t>659342, АЛТАЙСКИЙ КРАЙ, Г БИЙСК, П НАГОРНЫЙ, УЛ ВОЛОЧАЕВСКАЯ, Д.3</t>
  </si>
  <si>
    <t>ООО АЛМУР</t>
  </si>
  <si>
    <t>659332, АЛТАЙСКИЙ КРАЙ, Г.О. ГОРОД БИЙСК, Г БИЙСК, УЛ ИРТЫШСКАЯ, Д. 45</t>
  </si>
  <si>
    <t>ООО Т-МОТО</t>
  </si>
  <si>
    <t>659342, АЛТАЙСКИЙ КРАЙ, Г БИЙСК, П НАГОРНЫЙ, ПЕР СТРОИТЕЛЬНЫЙ, Д.36</t>
  </si>
  <si>
    <t>ООО АВТО-ЗАПЧАСТИ</t>
  </si>
  <si>
    <t>659300, АЛТАЙСКИЙ КРАЙ, БИЙСК Г, НИКОЛАЯ ГОГОЛЯ УЛ, ДОМ 216, КВ 88</t>
  </si>
  <si>
    <t>ИП МЕДВЕДЕВА СВЕТЛАНА НИКОЛАЕВНА</t>
  </si>
  <si>
    <t>ООО ИНОМАРКЕТ</t>
  </si>
  <si>
    <t>659303, АЛТАЙСКИЙ КРАЙ, Г БИЙСК, УЛ ПРОМЫШЛЕННАЯ, Д. 31В</t>
  </si>
  <si>
    <t>ООО РЕГИОНАЛЬНЫЕ ПРОДАЖИ</t>
  </si>
  <si>
    <t>659308, АЛТАЙСКИЙ КРАЙ, Г БИЙСК, УЛ ПРИГОРОДНАЯ, Д. 28</t>
  </si>
  <si>
    <t>ООО АЛТАЙ ПЭЛАС КАПИТАЛ</t>
  </si>
  <si>
    <t>659308, АЛТАЙСКИЙ КРАЙ, Г БИЙСК, УЛ ПРИГОРОДНАЯ, Д. 1/4, ОФИС 6</t>
  </si>
  <si>
    <t>ООО АВТОЗНАК</t>
  </si>
  <si>
    <t>659321, АЛТАЙСКИЙ КРАЙ, Г БИЙСК, УЛ СОВЕТСКАЯ, Д. 206/1, КВ. 2</t>
  </si>
  <si>
    <t>ИП АРАВЕНКОВ ВЛАДИСЛАВ СЕРГЕЕВИЧ</t>
  </si>
  <si>
    <t>ИП МАКОВЦЕВА ИРИНА ВЛАДИМИРОВНА</t>
  </si>
  <si>
    <t>ИП ПЛОТНИКОВ МАКСИМ АЛЕКСАНДРОВИЧ</t>
  </si>
  <si>
    <t>ИП ПИЧУГИН ДМИТРИЙ НИКОЛАЕВИЧ</t>
  </si>
  <si>
    <t>ИП АПАНАСЕНКО СЕРГЕЙ АНАТОЛЬЕВИЧ</t>
  </si>
  <si>
    <t>ИП МАНЖАЕВА ОЛЬГА ЕВГЕНЬЕВНА</t>
  </si>
  <si>
    <t>ООО АВТОКОЛОННА-22</t>
  </si>
  <si>
    <t>656043, РОССИЯ, АЛТАЙСКИЙ КРАЙ, Г.О. ГОРОД БАРНАУЛ, Г БАРНАУЛ, ТРАКТ ПРАВОБЕРЕЖНЫЙ, Д. 32А</t>
  </si>
  <si>
    <t>ООО АВТОРОСТ</t>
  </si>
  <si>
    <t>658087, РОССИЯ, АЛТАЙСКИЙ КРАЙ, Г.О. ГОРОД НОВОАЛТАЙСК, Г НОВОАЛТАЙСК, УЛ ОКТЯБРЕНОК, ЗД. 76, ОФИС 1</t>
  </si>
  <si>
    <t>ИП ОЛЕЙНИК ВАСИЛИЙ МИХАЙЛОВИЧ</t>
  </si>
  <si>
    <t>ИП ГРИНЕМАЕР ЯКОВ ЯКОВЛЕВИЧ</t>
  </si>
  <si>
    <t>ООО ПОРШЕНЬ</t>
  </si>
  <si>
    <t>658823, АЛТАЙСКИЙ КРАЙ, Г СЛАВГОРОД, УЛ ТИТОВА, Д. 143</t>
  </si>
  <si>
    <t>ИП МИРОШНИЧЕНКО ВИКТОР ИВАНОВИЧ</t>
  </si>
  <si>
    <t>ИП ТОЛКУНОВА КРИСТИНА АЛЕКСАНДРОВНА</t>
  </si>
  <si>
    <t>ООО СОЛИТОН</t>
  </si>
  <si>
    <t>658839, АЛТАЙСКИЙ КРАЙ, Г ЯРОВОЕ, МКР ПРОМЗОНА, СТРОЕНИЕ 1</t>
  </si>
  <si>
    <t>ИП КУШНЕРЕВ ВЯЧЕСЛАВ ВЛАДИМИРОВИЧ</t>
  </si>
  <si>
    <t>ИП РУСИН АНДРЕЙ СЕРГЕЕВИЧ</t>
  </si>
  <si>
    <t>ИП ЧУБЫКИН АНАТОЛИЙ АНАТОЛЬЕВИЧ</t>
  </si>
  <si>
    <t>ООО  ЭКИПАЖ</t>
  </si>
  <si>
    <t>656015, АЛТАЙСКИЙ КРАЙ, Г БАРНАУЛ, ПЛ ПОБЕДЫ, Д.12</t>
  </si>
  <si>
    <t>ООО СВК</t>
  </si>
  <si>
    <t>656064, АЛТАЙСКИЙ КРАЙ, Г БАРНАУЛ, ТРАКТ ПАВЛОВСКИЙ, Д.52</t>
  </si>
  <si>
    <t>ООО ВИАДУГ</t>
  </si>
  <si>
    <t>656064, АЛТАЙСКИЙ КРАЙ, Г БАРНАУЛ, УЛ ЦЕЛИННАЯ, Д.2Б</t>
  </si>
  <si>
    <t>ООО РЕГИОНСНАБ22</t>
  </si>
  <si>
    <t>656064, АЛТАЙСКИЙ КРАЙ, Г БАРНАУЛ, УЛ ЗАРИНСКАЯ, Д. 14, ЛИТЕР А1</t>
  </si>
  <si>
    <t>ИП СТАНКЕВИЧ ЕЛЕНА ИВАНОВНА</t>
  </si>
  <si>
    <t>ИП ГОЛУБЬ МИХАИЛ ВАСИЛЬЕВИЧ</t>
  </si>
  <si>
    <t>ООО ТД  АВТООПТ</t>
  </si>
  <si>
    <t>ООО АЛТАЙЗАПЧАСТЬ</t>
  </si>
  <si>
    <t>656067, АЛТАЙСКИЙ КРАЙ, Г БАРНАУЛ, УЛ ПОПОВА, Д.202</t>
  </si>
  <si>
    <t>ООО ТОРГШИНА</t>
  </si>
  <si>
    <t>656922, АЛТАЙСКИЙ КРАЙ, Г БАРНАУЛ, ПР-Д ЮЖНЫЙ, Д. 10</t>
  </si>
  <si>
    <t>ООО АВТООЙЛ</t>
  </si>
  <si>
    <t>656922, АЛТАЙСКИЙ КРАЙ, Г БАРНАУЛ, УЛ ПОПОВА, Д. 254/3</t>
  </si>
  <si>
    <t>ООО АЕМ-ПРЕМИУМ</t>
  </si>
  <si>
    <t>ООО СТАТУС</t>
  </si>
  <si>
    <t>656023, АЛТАЙСКИЙ КРАЙ, Г.О. ГОРОД БАРНАУЛ, Г БАРНАУЛ, УЛ ТИМУРОВСКАЯ, Д. 76, ПОМЕЩ. Н1</t>
  </si>
  <si>
    <t>ООО МИР ЗАПЧАСТЕЙ</t>
  </si>
  <si>
    <t>656064, РОССИЯ, АЛТАЙСКИЙ КРАЙ, Г.О. ГОРОД БАРНАУЛ, Г БАРНАУЛ, УЛ АВТОТРАНСПОРТНАЯ, ВЛД. 49, КАБ. 124</t>
  </si>
  <si>
    <t>ООО САМУРАЙ</t>
  </si>
  <si>
    <t>656066, РОССИЯ, АЛТАЙСКИЙ КРАЙ, Г.О. ГОРОД БАРНАУЛ, Г БАРНАУЛ, ПРОЕЗД СТАНКОСТРОИТЕЛЬНЫЙ 3-Й, Д. 9</t>
  </si>
  <si>
    <t>656064, РОССИЯ, АЛТАЙСКИЙ КРАЙ, Г.О. ГОРОД БАРНАУЛ, Г БАРНАУЛ, УЛ ЗАРИНСКАЯ, ЗД. 20</t>
  </si>
  <si>
    <t>ИП ЕРЕМЕЕВ АЛЕКСАНДР ВАЛЕРЬЕВИЧ</t>
  </si>
  <si>
    <t>ИП МАМАТОВ АЛЕКСАНДР ВЛАДИМИРОВИЧ</t>
  </si>
  <si>
    <t>ООО СМАК+</t>
  </si>
  <si>
    <t>656043, АЛТАЙСКИЙ КРАЙ, Г.О. ГОРОД БАРНАУЛ, Г БАРНАУЛ, УЛ ИНТЕРНАЦИОНАЛЬНАЯ, Д. 106</t>
  </si>
  <si>
    <t>ООО АВТОМАСЛА</t>
  </si>
  <si>
    <t>656050, АЛТАЙСКИЙ КРАЙ, Г БАРНАУЛ, УЛ АНТОНА ПЕТРОВА, Д.158, 108</t>
  </si>
  <si>
    <t>ООО АВТОКОМПОНЕНТ</t>
  </si>
  <si>
    <t>656060, АЛТАЙСКИЙ КРАЙ, Г БАРНАУЛ, УЛ СОЛНЕЧНАЯ ПОЛЯНА, Д. 26Д, ОФИС 3</t>
  </si>
  <si>
    <t>ИП АЛЕШИН СТАНИСЛАВ ВЛАДИМИРОВИЧ</t>
  </si>
  <si>
    <t>ООО ОФИС 21</t>
  </si>
  <si>
    <t>656031, АЛТАЙСКИЙ КРАЙ, Г.О. ГОРОД БАРНАУЛ, Г БАРНАУЛ, УЛ МОЛОДЕЖНАЯ, Д. 68А, ОФИС 209</t>
  </si>
  <si>
    <t>ООО АСТИ</t>
  </si>
  <si>
    <t>656006, АЛТАЙСКИЙ КРАЙ, Г.О. ГОРОД БАРНАУЛ, Г БАРНАУЛ, УЛ ВЛАСИХИНСКАЯ, Д. 148А</t>
  </si>
  <si>
    <t>ООО РЕГИОНСТРОЙГРУПП</t>
  </si>
  <si>
    <t>656045, АЛТАЙСКИЙ КРАЙ, Г БАРНАУЛ, УЛ ЛЕНИНОГОРСКАЯ, Д.53Б</t>
  </si>
  <si>
    <t>ИП ГУСЕВ АНТОН АЛЕКСАНДРОВИЧ</t>
  </si>
  <si>
    <t>ООО ИННОВАЦИЯ</t>
  </si>
  <si>
    <t>656038, АЛТАЙСКИЙ КРАЙ, Г БАРНАУЛ, УЛ ДИМИТРОВА, Д.67</t>
  </si>
  <si>
    <t>ООО АВТОКОМПЛЕКТ</t>
  </si>
  <si>
    <t>656056, АЛТАЙСКИЙ КРАЙ, Г.О. ГОРОД БАРНАУЛ, Г БАРНАУЛ, УЛ КОРОЛЕНКО, Д. 40</t>
  </si>
  <si>
    <t>ООО БОКС 313</t>
  </si>
  <si>
    <t>656906, АЛТАЙСКИЙ КРАЙ, Г.О. ГОРОД БАРНАУЛ, РП ЮЖНЫЙ, УЛ МУСОРГСКОГО, Д. 21, КВ. 31</t>
  </si>
  <si>
    <t>ООО ОРИГИНАЛ</t>
  </si>
  <si>
    <t>656049, РОССИЯ, АЛТАЙСКИЙ КРАЙ, Г.О. ГОРОД БАРНАУЛ, Г БАРНАУЛ, ПЕР ПРУДСКОЙ, ЗД. 69А, ПОМЕЩ.ОФИС Н18/1</t>
  </si>
  <si>
    <t>АО БИЙСКОЕ</t>
  </si>
  <si>
    <t>659363, РОССИЯ, АЛТАЙСКИЙ КРАЙ, М.Р-Н БИЙСКИЙ, С ПЕРВОМАЙСКОЕ, С.П. ПЕРВОМАЙСКИЙ СЕЛЬСОВЕТ, УЛ ЦЕЛИННАЯ, ДВЛД. 17</t>
  </si>
  <si>
    <t>ИП ГАМАЮНОВ ЕВГЕНИЙ ВЛАДИМИРОВИЧ</t>
  </si>
  <si>
    <t>ООО АЛЕНКА</t>
  </si>
  <si>
    <t>658672, АЛТАЙСКИЙ КРАЙ, Р-Н БЛАГОВЕЩЕНСКИЙ, РП БЛАГОВЕЩЕНКА, УЛ КЛУБНАЯ, Д. 1Б</t>
  </si>
  <si>
    <t>ИП ДЫМЧЕНКО ОЛЬГА АЛЕКСЕЕВНА</t>
  </si>
  <si>
    <t>ИП АСАДОВ САБУХИ БАХТИЯР ОГЛЫ</t>
  </si>
  <si>
    <t>ИП Гопанько Ирина Михайловна</t>
  </si>
  <si>
    <t>ИП ГОНЧАРЕНКО ИЛЬЯ СЕРГЕЕВИЧ</t>
  </si>
  <si>
    <t>ИП ШАНДЕР НЕЛЯ МИХАЙЛОВНА</t>
  </si>
  <si>
    <t>ИП ГРЕБЕННИКОВА НАТАЛЬЯ НИКОЛАЕВНА</t>
  </si>
  <si>
    <t>ИП ЗАДВОРСКИЙ ОЛЕГ СЕРГЕЕВИЧ</t>
  </si>
  <si>
    <t>ИП ГРАМОТИН КОНСТАНТИН ВИКТОРОВИЧ</t>
  </si>
  <si>
    <t>ИП СОКОЛОВ ГРИГОРИЙ ВЛАДИМИРОВИЧ</t>
  </si>
  <si>
    <t>ООО ЭЛЕГИЯ</t>
  </si>
  <si>
    <t>658561, АЛТАЙСКИЙ КРАЙ, Р-Н МАМОНТОВСКИЙ, С МАМОНТОВО, УЛ КОМСОМОЛЬСКАЯ, Д.7</t>
  </si>
  <si>
    <t>ИП АБРОСИМОВ ВИКТОР НИКОЛАЕВИЧ</t>
  </si>
  <si>
    <t>ИП ГИБЕЛЬГАУС АННА ВЛАДИМИРОВНА</t>
  </si>
  <si>
    <t>ИП ФЕДОРЕНКО ТАТЬЯНА ВАЛЕРЬЕВНА</t>
  </si>
  <si>
    <t>ИП ЦИВИНА ЕВГЕНИЯ ВИКТОРОВНА</t>
  </si>
  <si>
    <t>ИП ГЛАДЫШЕВ МАКСИМ НИКОЛАЕВИЧ</t>
  </si>
  <si>
    <t>ИП Пятков Евгений Владимирович</t>
  </si>
  <si>
    <t>ООО БЕРЁЗКА ПЛЮС</t>
  </si>
  <si>
    <t>659600, АЛТАЙСКИЙ КРАЙ, М.Р-Н СМОЛЕНСКИЙ, С СМОЛЕНСКОЕ, С.П. СМОЛЕНСКИЙ СЕЛЬСОВЕТ, УЛ ГОРНАЯ, ЗД. 2А</t>
  </si>
  <si>
    <t>ИП РОМАНЬКОВА АРИНА СЕРГЕЕВНА</t>
  </si>
  <si>
    <t>ИП КУЛИК СВЕТЛАНА ГЕННАДЬЕВНА</t>
  </si>
  <si>
    <t>ИП ЧУПРИНИНА МАРИНА ГЕННАДЬЕВНА</t>
  </si>
  <si>
    <t>ИП ГОРДЫМАН ЛЮДМИЛА ЮРЬЕВНА</t>
  </si>
  <si>
    <t>ИП БЕГАЕВ ДМИТРИЙ ИВАНОВИЧ</t>
  </si>
  <si>
    <t>ИП ГОРЯЕВ ДМИТРИЙ АНАТОЛЬЕВИЧ</t>
  </si>
  <si>
    <t>ИП КЛОЧКОВ МАКСИМ СТАНИСЛАВИЧ</t>
  </si>
  <si>
    <t>ИП ВИШНЯКОВ ВИКТОР АЛЕКСАНДРОВИЧ</t>
  </si>
  <si>
    <t>ИП ДОЦЕНКО ОЛЬГА АЛЕКСАНДРОВНА</t>
  </si>
  <si>
    <t>ООО ОКТЯБРЬ</t>
  </si>
  <si>
    <t>658480, РОССИЯ, АЛТАЙСКИЙ КРАЙ, М.О. ЗМЕИНОГОРСКИЙ, Г ЗМЕИНОГОРСК, УЛ СЕМИПАЛАТИНСКАЯ, Д. 4</t>
  </si>
  <si>
    <t>ИП ПАХОМОВ СЕРГЕЙ НИКОЛАЕВИЧ</t>
  </si>
  <si>
    <t>ИП МИШЕНИН АЛЕКСАНДР АЛЕКСЕЕВИЧ</t>
  </si>
  <si>
    <t>ИП ЧЕРКАСОВ ВИТАЛИЙ АЛЕКСАНДРОВИЧ</t>
  </si>
  <si>
    <t>ИП ПОЛЯНИН АЛЕКСАНДР АЛЕКСАНДРОВИЧ</t>
  </si>
  <si>
    <t>ИП ЩЕТИНИНА ВИКТОРИЯ ВИКТОРОВНА</t>
  </si>
  <si>
    <t>ИП КУЗЬМИН АРТЕМ ОЛЕГОВИЧ</t>
  </si>
  <si>
    <t>ИП СЫРЦОВ ВИКТОР ЮРЬЕВИЧ</t>
  </si>
  <si>
    <t>ИП ВЕБЕР ВЛАДИМИР ИВАНОВИЧ</t>
  </si>
  <si>
    <t>ИП МИШЕНИНА ОЛЬГА ИВАНОВНА</t>
  </si>
  <si>
    <t>ИП АНОХИН АЛЕКСАНДР СЕРГЕЕВИЧ</t>
  </si>
  <si>
    <t>ИП БУЧНЕВА ЕЛЕНА АЛЕКСАНДРОВНА</t>
  </si>
  <si>
    <t>ИП ЧИСТЯКОВ АРТЕМ ВЯЧЕСЛАВОВИЧ</t>
  </si>
  <si>
    <t>ИП ГАММ ПЕТР ПЕТРОВИЧ</t>
  </si>
  <si>
    <t>ИП КАЗАНЦЕВ ПАВЕЛ ВЛАДИМИРОВИЧ</t>
  </si>
  <si>
    <t>ИП ТИХОВСКОЙ НИКОЛАЙ НИКОЛАЕВИЧ</t>
  </si>
  <si>
    <t>ИП СТАЦЕНКО АЛЕКСАНДР ВЛАДИМИРОВИЧ</t>
  </si>
  <si>
    <t>ИП ШЕВКУНОВ ЛЕВ ГЕННАДЬЕВИЧ</t>
  </si>
  <si>
    <t>ИП КАПУСТИН КОНСТАНТИН НИКОЛАЕВИЧ</t>
  </si>
  <si>
    <t>ИП АГРАНОВСКИЙ АЛЕКСЕЙ БОРИСОВИЧ</t>
  </si>
  <si>
    <t>ИП ФАТЕЕВ ПАВЕЛ ВИКТОРОВИЧ</t>
  </si>
  <si>
    <t>ООО АЛТАЙАВТОЦЕНТР</t>
  </si>
  <si>
    <t>656006, АЛТАЙСКИЙ КРАЙ, Г БАРНАУЛ, ТРАКТ ПАВЛОВСКИЙ, Д.249</t>
  </si>
  <si>
    <t>ИП СТУКОВ СЕРГЕЙ АЛЕКСАНДРОВИЧ</t>
  </si>
  <si>
    <t>ИП ДЕРИНГ ТАТЬЯНА ВИКТОРОВНА</t>
  </si>
  <si>
    <t>ООО АЛЬБИОН-МОТОРС</t>
  </si>
  <si>
    <t>656011, АЛТАЙСКИЙ КРАЙ, Г БАРНАУЛ, ПР-КТ КАЛИНИНА, Д.15, К.Е</t>
  </si>
  <si>
    <t>ООО СЕРВИСМАСТЕР</t>
  </si>
  <si>
    <t>656006, АЛТАЙСКИЙ КРАЙ, Г БАРНАУЛ, УЛ ВЛАСИХИНСКАЯ, Д. 97, КВ. 168</t>
  </si>
  <si>
    <t>ООО БАРНАУЛЬСКИЙ АВТОЦЕНТР КАМАЗ</t>
  </si>
  <si>
    <t>656003, АЛТАЙСКИЙ КРАЙ, Г БАРНАУЛ, УЛ МАМОНТОВА, Д.301А</t>
  </si>
  <si>
    <t>ООО МУСТАНГ-СИБИРЬ</t>
  </si>
  <si>
    <t>656922, АЛТАЙСКИЙ КРАЙ, Г БАРНАУЛ, УЛ ПОПОВА, Д. 256Д</t>
  </si>
  <si>
    <t>ИП ЖДАНОВ ДМИТРИЙ ВАСИЛЬЕВИЧ</t>
  </si>
  <si>
    <t>ООО АЕМ-АВТО</t>
  </si>
  <si>
    <t>656065, АЛТАЙСКИЙ КРАЙ, Г БАРНАУЛ, ТРАКТ ПАВЛОВСКИЙ, Д. 164</t>
  </si>
  <si>
    <t>ИП ТЮНИН МАКСИМ ВЛАДИМИРОВИЧ</t>
  </si>
  <si>
    <t>ООО ИКСЭС</t>
  </si>
  <si>
    <t>656057, АЛТАЙСКИЙ КРАЙ, Г БАРНАУЛ, УЛ ГЕОРГИЕВА, Д.20, 100</t>
  </si>
  <si>
    <t>ООО АЛТАЙ-ТС</t>
  </si>
  <si>
    <t>656922, АЛТАЙСКИЙ КРАЙ, Г БАРНАУЛ, ПР-КТ ЭНЕРГЕТИКОВ, Д. 36А</t>
  </si>
  <si>
    <t>ООО СК ПРОГРЕСС</t>
  </si>
  <si>
    <t>656002, РОССИЯ, АЛТАЙСКИЙ КРАЙ, Г.О. ГОРОД БАРНАУЛ, Г БАРНАУЛ, УЛ ПИОНЕРОВ, Д. 1, КАБИНЕТ 217</t>
  </si>
  <si>
    <t>656067, АЛТАЙСКИЙ КРАЙ, Г БАРНАУЛ, ПР-Д СЕВЕРНЫЙ ВЛАСИХИНСКИЙ, Д. 65</t>
  </si>
  <si>
    <t>ООО ГЛАВМАСЛО</t>
  </si>
  <si>
    <t>656067, АЛТАЙСКИЙ КРАЙ, Г.О. ГОРОД БАРНАУЛ, Г БАРНАУЛ, УЛ БАЛТИЙСКАЯ, Д. 85</t>
  </si>
  <si>
    <t>ООО ДЕЛЬТАТРАК</t>
  </si>
  <si>
    <t>ООО ЭЛИТАВТО БАРНАУЛ</t>
  </si>
  <si>
    <t>656067, РОССИЯ, АЛТАЙСКИЙ КРАЙ, Г.О. ГОРОД БАРНАУЛ, Г БАРНАУЛ, УЛ БАЛТИЙСКАЯ, Д. 81, ПОМЕЩ. 1</t>
  </si>
  <si>
    <t>ООО ЛОФТ-АВТО</t>
  </si>
  <si>
    <t>656010, РОССИЯ, АЛТАЙСКИЙ КРАЙ, Г.О. ГОРОД БАРНАУЛ, Г БАРНАУЛ, УЛ ГЛУШКОВА, Д. 6, КВ. 82</t>
  </si>
  <si>
    <t>ИП ПАСИЧНЯК ИГОРЬ РОМАНОВИЧ</t>
  </si>
  <si>
    <t>ИП КОРОСТЕЛЕВ АЛЕКСАНДР АНАТОЛЬЕВИЧ</t>
  </si>
  <si>
    <t>ИП ТЮКИН ЕГОР ВЛАДИМИРОВИЧ</t>
  </si>
  <si>
    <t>ИП БЕЗЗУБЦЕВА МАРИАННА НИКОЛАЕВНА</t>
  </si>
  <si>
    <t>ООО ЭЛЛАДА</t>
  </si>
  <si>
    <t>656050, АЛТАЙСКИЙ КРАЙ, Г.О. ГОРОД БАРНАУЛ, Г БАРНАУЛ, УЛ ПОКРОВСКАЯ, Д. 19, ПОМЕЩ./КАБИНЕТ Н8/6</t>
  </si>
  <si>
    <t>ООО ТД ЕВРОСНАБ-СИБИРЬ</t>
  </si>
  <si>
    <t>656054, РОССИЯ, АЛТАЙСКИЙ КРАЙ, Г.О. ГОРОД БАРНАУЛ, Г БАРНАУЛ, УЛ АНТОНА ПЕТРОВА, Д. 230, КВ. 81</t>
  </si>
  <si>
    <t>ООО МЕТАЛЛИНВЕСТ</t>
  </si>
  <si>
    <t>656055, АЛТАЙСКИЙ КРАЙ, Г БАРНАУЛ, УЛ МАЛАХОВА, Д. 44, КВ. 20</t>
  </si>
  <si>
    <t>ООО  АГАТ</t>
  </si>
  <si>
    <t>656070, АЛТАЙСКИЙ КРАЙ, Г.О. ГОРОД БАРНАУЛ, Г БАРНАУЛ, ТРАКТ ПАВЛОВСКИЙ, Д. 313К, ОФИС 1</t>
  </si>
  <si>
    <t>ООО ТЕХНО-ПРОФИ</t>
  </si>
  <si>
    <t>656922, АЛТАЙСКИЙ КРАЙ, Г БАРНАУЛ, ТРАКТ ПАВЛОВСКИЙ, Д. 325Б</t>
  </si>
  <si>
    <t>ООО СПЕЦЦЕНТР</t>
  </si>
  <si>
    <t>656012, АЛТАЙСКИЙ КРАЙ, Г.О. ГОРОД БАРНАУЛ, Г БАРНАУЛ, УЛ ТКАЦКАЯ, Д. 77, ОФИС 8</t>
  </si>
  <si>
    <t>ИП ТАРХОВ ЕВГЕНИЙ ЮРЬЕВИЧ</t>
  </si>
  <si>
    <t>ИП ЧЕБОТАРЕВА ЛЮДМИЛА АЛЕКСЕЕВНА</t>
  </si>
  <si>
    <t>ООО СВ ЛИЗИНГ</t>
  </si>
  <si>
    <t>ООО АВТОЦЕНТР ЮГ</t>
  </si>
  <si>
    <t>656906, АЛТАЙСКИЙ КРАЙ, Г БАРНАУЛ, ТРАКТ ЗМЕИНОГОРСКИЙ, Д.118, К.Б</t>
  </si>
  <si>
    <t>ООО АТОН</t>
  </si>
  <si>
    <t>656008, АЛТАЙСКИЙ КРАЙ, Г БАРНАУЛ, УЛ ПАРТИЗАНСКАЯ, ЗД. 266Б</t>
  </si>
  <si>
    <t>656907, АЛТАЙСКИЙ КРАЙ, Г БАРНАУЛ, П ЦЕНТРАЛЬНЫЙ, УЛ НИКОЛАЕВСКАЯ, Д. 8</t>
  </si>
  <si>
    <t>ООО КВАТРО СИЛА</t>
  </si>
  <si>
    <t>656049, РОССИЯ, АЛТАЙСКИЙ КРАЙ, Г.О. ГОРОД БАРНАУЛ, Г БАРНАУЛ, ПР-КТ СОЦИАЛИСТИЧЕСКИЙ, Д. 69, КВ. 49</t>
  </si>
  <si>
    <t>ИП КАЙЗЕР АНДРЕЙ ВЛАДИМИРОВИЧ</t>
  </si>
  <si>
    <t>ООО АГРОФИРМА ПТИЦЕФАБРИКА ЕНИСЕЙСКАЯ</t>
  </si>
  <si>
    <t>659370, АЛТАЙСКИЙ КРАЙ, Р-Н БИЙСКИЙ, С МАЛОЕНИСЕЙСКОЕ, УЛ СОВЕТСКАЯ, Д.102</t>
  </si>
  <si>
    <t>ИП НАЗАРОВА ГАЛИНА НИКОНОВНА</t>
  </si>
  <si>
    <t>ИП МАЛОЛЕТКОВ АЛЕКСАНДР ВИКТОРОВИЧ</t>
  </si>
  <si>
    <t>ИП ВЕЛИЧКО ВИТАЛИЙ СЕРГЕЕВИЧ</t>
  </si>
  <si>
    <t>ИП БАУМТРОК ИГОРЬ АЛЕКСАНДРОВИЧ</t>
  </si>
  <si>
    <t>ИП ГРИДУНОВ ЕВГЕНИЙ ВИКТОРОВИЧ</t>
  </si>
  <si>
    <t>ИП ЛЁВИН АЛЕКСАНДР ВИКТОРОВИЧ</t>
  </si>
  <si>
    <t>659100, АЛТАЙСКИЙ КРАЙ, Г ЗАРИНСК, УЛ СОЮЗА РЕСПУБЛИК, Д.24</t>
  </si>
  <si>
    <t>ИП СТАРИКОВА ВИКТОРИЯ СЕРГЕЕВНА</t>
  </si>
  <si>
    <t>ИП ШМИДТ ВЛАДИМИР ВЛАДИМИРОВИЧ</t>
  </si>
  <si>
    <t>ИП БЕЛОЗЕРОВ ВИТАЛИЙ ВИКТОРОВИЧ</t>
  </si>
  <si>
    <t>ИП ОВЧАРОВ СЕРГЕЙ ИГОРЕВИЧ</t>
  </si>
  <si>
    <t>ООО ЭВЕРГРИН</t>
  </si>
  <si>
    <t>658400, РОССИЯ, АЛТАЙСКИЙ КРАЙ, М.Р-Н ЛОКТЕВСКИЙ, П РЕМОВСКИЙ, С.П. РЕМОВСКИЙ СЕЛЬСОВЕТ, УЛ КОМАРОВА, Д. 1, КВ. 1</t>
  </si>
  <si>
    <t>ИП ГЕРР ВАЛЕНТИНА АНАТОЛЬЕВНА</t>
  </si>
  <si>
    <t>ИП СИНЯКОВ ВАДИМ ВАДИМОВИЧ</t>
  </si>
  <si>
    <t>ИП Гладышева Светлана Викторовна</t>
  </si>
  <si>
    <t>ИП МИХЕЛЬ НАТАЛЬЯ ВЛАДИМИРОВНА</t>
  </si>
  <si>
    <t>ИП НАУМОВ СЕРГЕЙ БОРИСОВИЧ</t>
  </si>
  <si>
    <t>ИП ВИНЕВИКИНА АРИНА СЕРГЕЕВНА</t>
  </si>
  <si>
    <t>ИП КОЛПАКОВ АЛЕКСАНДР АЛЕКСАНДРОВИЧ</t>
  </si>
  <si>
    <t>ИП Харитонов Виктор Петрович</t>
  </si>
  <si>
    <t>ИП КУРГАН ИРИНА ВЛАДИМИРОВНА</t>
  </si>
  <si>
    <t>ИП ЗАГОРОДНИКОВ СЕРГЕЙ ВЛАДИМИРОВИЧ</t>
  </si>
  <si>
    <t>ИП ПАНЬКИНА НАТАЛИЯ ВИКТОРОВНА</t>
  </si>
  <si>
    <t>ООО ТРАНСОЙЛ</t>
  </si>
  <si>
    <t>659050, АЛТАЙСКИЙ КРАЙ, Р-Н ШЕЛАБОЛИХИНСКИЙ, С ШЕЛАБОЛИХА, УЛ ЛЕРМОНТОВА, Д. 18</t>
  </si>
  <si>
    <t>КГБУ ДО СШОР ГОРНЫЕ ЛЫЖИ</t>
  </si>
  <si>
    <t>656045, АЛТАЙСКИЙ КРАЙ, Г БАРНАУЛ, УЛ АБАКАНСКАЯ, Д.3Г</t>
  </si>
  <si>
    <t>ООО МЕРКУРИЙ АВТО</t>
  </si>
  <si>
    <t>656049, АЛТАЙСКИЙ КРАЙ, Г БАРНАУЛ, УЛ ДИМИТРОВА, Д. 85А, КВ. 5</t>
  </si>
  <si>
    <t>ООО ПАНЕ</t>
  </si>
  <si>
    <t>656056, РОССИЯ, АЛТАЙСКИЙ КРАЙ, Г.О. ГОРОД БАРНАУЛ, Г БАРНАУЛ, УЛ ПРОМЫШЛЕННАЯ, ЗД. 13Г, ОФИС 3</t>
  </si>
  <si>
    <t>ИП КЛЯЕН АЛЕКСАНДР ПЕТРОВИЧ</t>
  </si>
  <si>
    <t>КГБСУСО ЕГОРЬЕВСКИЙ ДОМ-ИНТЕРНАТ МАЛОЙ ВМЕСТИМОСТИ ДЛЯ ПРЕСТАРЕЛЫХ И ИНВАЛИДОВ</t>
  </si>
  <si>
    <t>658280, АЛТАЙСКИЙ КРАЙ, Р-Н ЕГОРЬЕВСКИЙ, С НОВОЕГОРЬЕВСКОЕ, УЛ МОЛОДЕЖНАЯ, Д.1</t>
  </si>
  <si>
    <t>ИП ПЕТРАШ ОКСАНА ЛЕОНИДОВНА</t>
  </si>
  <si>
    <t>ИП СОЛОМАТОВА ОЛЬГА МИХАЙЛОВНА</t>
  </si>
  <si>
    <t>ЗМЕИНОГОРСКОЕ РАЙПО</t>
  </si>
  <si>
    <t>658467, АЛТАЙСКИЙ КРАЙ, Р-Н ЗМЕИНОГОРСКИЙ, С КАРАМЫШЕВО, УЛ КИРОВА, Д.32</t>
  </si>
  <si>
    <t>ООО КООПЕРАТОР-1</t>
  </si>
  <si>
    <t>659032, АЛТАЙСКИЙ КРАЙ, Р-Н КАЛМАНСКИЙ, С БУРАНОВО, УЛ НОВАЯ, ЗД. 104А</t>
  </si>
  <si>
    <t>ИП ДЫМОВ ЕВГЕНИЙ МИХАЙЛОВИЧ</t>
  </si>
  <si>
    <t>ООО КЫТМАНОВСКИЙ АГРОСНАБСЕРВИС</t>
  </si>
  <si>
    <t>659240, АЛТАЙСКИЙ КРАЙ, Р-Н КЫТМАНОВСКИЙ, С КЫТМАНОВО, УЛ ГЕРМАНА ТИТОВА, Д.25</t>
  </si>
  <si>
    <t>ИП АБРАМОВА НАДЕЖДА ПЕТРОВНА</t>
  </si>
  <si>
    <t>ИП ВОЛОШИН АЛЕКСЕЙ НИКОЛАЕВИЧ</t>
  </si>
  <si>
    <t>ИП АБИШЕВ ИЛЬЯС ТЕМЕРБУЛАТОВИЧ</t>
  </si>
  <si>
    <t>ООО БРЮККЕ</t>
  </si>
  <si>
    <t>658870, АЛТАЙСКИЙ КРАЙ, Р-Н НЕМЕЦКИЙ НАЦИОНАЛЬНЫЙ, С ГАЛЬБШТАДТ, УЛ ПЕРВОМАЙСКАЯ, ВЛД. 28</t>
  </si>
  <si>
    <t>ИП ВОРОСЦОВА ЛИДИЯ ВИКТОРОВНА</t>
  </si>
  <si>
    <t>ИП ФИСАК ЛЮБОВЬ СЕРГЕЕВНА</t>
  </si>
  <si>
    <t>ИП ШЕРСТОБИТОВ АЛЕКСЕЙ ПЕТРОВИЧ</t>
  </si>
  <si>
    <t>ИП ДУРЕЕВ ВАЛЕРИЙ АНАТОЛЬЕВИЧ</t>
  </si>
  <si>
    <t>ООО ФЕРМЕР22</t>
  </si>
  <si>
    <t>658540, АЛТАЙСКИЙ КРАЙ, Р-Н РЕБРИХИНСКИЙ, С РЕБРИХА, УЛ ПАРТИЗАНСКАЯ, Д. 72Б/1, КАБИНЕТ 1</t>
  </si>
  <si>
    <t>ИП ШИТЦ НАТАЛЬЯ ВЛАДИМИРОВНА</t>
  </si>
  <si>
    <t>ИП КАТКОВ ДЕНИС НИКОЛАЕВИЧ</t>
  </si>
  <si>
    <t>ИП ЗАКАТОВ ГЕННАДИЙ КОНСТАНТИНОВИЧ</t>
  </si>
  <si>
    <t>ИП ФЕДОРЧЕНКО СЕРГЕЙ СЕРГЕЕВИЧ</t>
  </si>
  <si>
    <t>ИП ПОПОВ ПАВЕЛ ВАЛЕРЬЕВИЧ</t>
  </si>
  <si>
    <t>ИП РИБЗАМ ЮРИЙ ВИКТОРОВИЧ</t>
  </si>
  <si>
    <t>ИП ЛЕВИН АЛЕКСЕЙ ДМИТРИЕВИЧ</t>
  </si>
  <si>
    <t>КАБАНОВСКОЕ СЕЛЬПО</t>
  </si>
  <si>
    <t>658165, АЛТАЙСКИЙ КРАЙ, Р-Н УСТЬ-КАЛМАНСКИЙ, С КАБАНОВО, УЛ ПОЛЗУНОВА, Д. 7</t>
  </si>
  <si>
    <t>КРАСНОЯРСКОЕ СЕЛЬПО</t>
  </si>
  <si>
    <t>659592, АЛТАЙСКИЙ КРАЙ, Р-Н УСТЬ-ПРИСТАНСКИЙ, С КРАСНОЯРКА, УЛ ЛЕНИНА, Д.15, -, -</t>
  </si>
  <si>
    <t>ИП Кудриков Сергей Владимирович</t>
  </si>
  <si>
    <t>ИП БОКСЛЕР ИГОРЬ ВИКТОРОВИЧ</t>
  </si>
  <si>
    <t>ИП НОВИКОВ ФЁДОР МАКСИМОВИЧ</t>
  </si>
  <si>
    <t>ИП ЩЕРБИНА ЕВГЕНИЙ КОНСТАНТИНОВИЧ</t>
  </si>
  <si>
    <t>ИП ЛОБАНОВ ЕВГЕНИЙ ВАСИЛЬЕВИЧ</t>
  </si>
  <si>
    <t>ООО СТРОЙКАПИТАЛИНВЕСТ</t>
  </si>
  <si>
    <t>658208, АЛТАЙСКИЙ КРАЙ, Г РУБЦОВСК, УЛ РИХАРДА ЗОРГЕ, Д. 161, 2 ЭТАЖ ПОМ. 2 КОМ. 2</t>
  </si>
  <si>
    <t>ИП СЕМЕНОВА АННА АЛЕКСАНДРОВНА</t>
  </si>
  <si>
    <t>ИП ЩЕПИНА МАРИНА НИКОЛАЕВНА</t>
  </si>
  <si>
    <t>Краснодарский край</t>
  </si>
  <si>
    <t>ИП РАИМОВ АЛЕКСЕЙ СЕРГЕЕВИЧ</t>
  </si>
  <si>
    <t>ИП КОНОВАЛОВА ИННА ВЛАДИМИРОВНА</t>
  </si>
  <si>
    <t>ИП ОБУХОВА МАРИНА СЕРГЕЕВНА</t>
  </si>
  <si>
    <t>ИП КУЗНЕЦОВ ДМИТРИЙ ГЕОРГИЕВИЧ</t>
  </si>
  <si>
    <t>ИП БАЛАНЦЕВА НАТАЛЬЯ ЮРЬЕВНА</t>
  </si>
  <si>
    <t>ИП ТРОШКИНА АЛИНА БОРИСОВНА</t>
  </si>
  <si>
    <t>ИП НИКИФОРОВ ВИТАЛИЙ ВЛАДИМИРОВИЧ</t>
  </si>
  <si>
    <t>ИП КОЗЛОВЦЕВ АНДРЕЙ ВАЛЕНТИНОВИЧ</t>
  </si>
  <si>
    <t>ИП ШУШАРИН АЛЕКСАНДР АЛЕКСАНДРОВИЧ</t>
  </si>
  <si>
    <t>ИП ХАЛЕЦКИЙ АЛЕКСЕЙ АЛЕКСАНДРОВИЧ</t>
  </si>
  <si>
    <t>ИП БЕЛОУСОВ ПАВЕЛ ВИКТОРОВИЧ</t>
  </si>
  <si>
    <t>ИП САЛИЙ РОМАН АНАТОЛЬЕВИЧ</t>
  </si>
  <si>
    <t>ООО ХИДРОМЕК РУС</t>
  </si>
  <si>
    <t>350032, КРАСНОДАРСКИЙ КРАЙ, Г КРАСНОДАР, Х ОКТЯБРЬСКИЙ, УЛ ЖИВОПИСНАЯ, Д. 72</t>
  </si>
  <si>
    <t>ИП РЕШЕТНЯК СЕРГЕЙ НИКОЛАЕВИЧ</t>
  </si>
  <si>
    <t>ИП ВИСТ ОТТО КАРЛОВИЧ</t>
  </si>
  <si>
    <t>ООО ЕВРОАГРОТЕК</t>
  </si>
  <si>
    <t>350004, КРАСНОДАРСКИЙ КРАЙ, Г КРАСНОДАР, УЛ МИНСКАЯ, Д. 122/7, КВ. 31</t>
  </si>
  <si>
    <t>ИП КАСИН АЛЕКСАНДР ВЛАДИМИРОВИЧ</t>
  </si>
  <si>
    <t>ИП Сухичева Татьяна Павловна</t>
  </si>
  <si>
    <t>ИП ГУЩИН ВЛАДИМИР АЛЕКСАНДРОВИЧ</t>
  </si>
  <si>
    <t>ИП ФИЛИМОНЦЕВ АНДРЕЙ ВАЛЕНТИНОВИЧ</t>
  </si>
  <si>
    <t>ООО АЛЬФА ХИМ ГРУПП</t>
  </si>
  <si>
    <t>352916, КРАСНОДАРСКИЙ КРАЙ, Г АРМАВИР, УЛ ЛИНЕЙНАЯ, Д. 21</t>
  </si>
  <si>
    <t>ИП ЖУК ОКСАНА ВЛАДИМИРОВНА</t>
  </si>
  <si>
    <t>ИП ШЕМЕТОВ ДМИТРИЙ ВИКТОРОВИЧ</t>
  </si>
  <si>
    <t>ИП КОЗЫРЕВ СЕРГЕЙ АЛЕКСАНДРОВИЧ</t>
  </si>
  <si>
    <t>ИП ИЗЮМОВ АЛЕКСЕЙ ПАВЛОВИЧ</t>
  </si>
  <si>
    <t>ИП СКОРИКОВ СЕРГЕЙ СТАНИСЛАВОВИЧ</t>
  </si>
  <si>
    <t>ИП ТАРАБАНОВСКИЙ АНДРЕЙ АЛЕКСАНДРОВИЧ</t>
  </si>
  <si>
    <t>ИП ИГНАТЕНКО АНДРЕЙ ДМИТРИЕВИЧ</t>
  </si>
  <si>
    <t>ООО ГОРНЫЙ ОТДЫХ</t>
  </si>
  <si>
    <t>354392, КРАСНОДАРСКИЙ КРАЙ, Г СОЧИ, С ЭСТОСАДОК, УЛ ДУБРАВНАЯ, Д. 70, ОФИС 210</t>
  </si>
  <si>
    <t>ИП ВИНОКУРОВА МАРИЯ АНДРЕЕВНА</t>
  </si>
  <si>
    <t>ООО СОЮЗТЭК</t>
  </si>
  <si>
    <t>353960, КРАСНОДАРСКИЙ КРАЙ, Г НОВОРОССИЙСК, УЛ ЛЕНИНА (ЦЕМДОЛИНА ТЕР.), Д. 8Б, ОФИС 1</t>
  </si>
  <si>
    <t>ИП БЛАГОДАРОВ ДМИТРИЙ АНДРЕЕВИЧ</t>
  </si>
  <si>
    <t>ИП ГРУБОВА ЕКАТЕРИНА АЛЕКСЕЕВНА</t>
  </si>
  <si>
    <t>ИП АНТОНОВ ПАВЕЛ ВИКТОРОВИЧ</t>
  </si>
  <si>
    <t>ООО П-СЕРВИС +</t>
  </si>
  <si>
    <t>350059, КРАСНОДАРСКИЙ КРАЙ, Г КРАСНОДАР, УЛ НОВОРОССИЙСКАЯ, Д. 236/1, ЛИТЕР А, ОФИС 2004</t>
  </si>
  <si>
    <t>ИП МЕДВЕДЕВ ВЯЧЕСЛАВ ОЛЕГОВИЧ</t>
  </si>
  <si>
    <t>ИП ШУТОВ ИГОРЬ ВЛАДИМИРОВИЧ</t>
  </si>
  <si>
    <t>ООО ИМПЭКССНАБ</t>
  </si>
  <si>
    <t>353225, РОССИЯ, КРАСНОДАРСКИЙ КРАЙ, М.Р-Н ДИНСКОЙ, СТ-ЦА ВАСЮРИНСКАЯ, С.П. ВАСЮРИНСКОЕ, ТЕР. ВОСТОЧНАЯ, Д. 1, К. 7</t>
  </si>
  <si>
    <t>ИП ГОМЗЯКОВ ЛЕОНИД ВАСИЛЬЕВИЧ</t>
  </si>
  <si>
    <t>ИП КАМИНСКИЙ АНДРЕЙ СЕРГЕЕВИЧ</t>
  </si>
  <si>
    <t>ИП ЗАЙЦЕВ ВАЛЕРИЙ АНДРЕЕВИЧ</t>
  </si>
  <si>
    <t>ИП КИРИЛОВСКИЙ ОЛЕГ ЛЕКАНДРОВИЧ</t>
  </si>
  <si>
    <t>ИП ГОРЧИНСКИЙ ВЛАДИМИР АНДРЕЕВИЧ</t>
  </si>
  <si>
    <t>ИП Мясников Алексей Юрьевич</t>
  </si>
  <si>
    <t>ИП ОГАНИСЯН ЕЛЕНА АРШАКОВНА</t>
  </si>
  <si>
    <t>ИП АЛФУТОВ АЛЕКСАНДР ВИКТОРОВИЧ</t>
  </si>
  <si>
    <t>ИП БАДАЛЯН СЕРГЕЙ РОБЕРТОВИЧ</t>
  </si>
  <si>
    <t>ИП ГАРМАШ ТАРАС ВЛАДИМИРОВИЧ</t>
  </si>
  <si>
    <t>ИП Зверков Владимир Викторович</t>
  </si>
  <si>
    <t>ИП ЖИЛЕНКО АЛЕКСЕЙ СЕРГЕЕВИЧ</t>
  </si>
  <si>
    <t>ИП КУЩЕВА ТАТЬЯНА АНАТОЛЬЕВНА</t>
  </si>
  <si>
    <t>ИП Фальков Геннадий Евгеньевич</t>
  </si>
  <si>
    <t>ООО СБСВ-КЛЮЧАВТО АЗОВ</t>
  </si>
  <si>
    <t>353290, КРАСНОДАРСКИЙ КРАЙ, Г ГОРЯЧИЙ КЛЮЧ, УЛ РЕВОЛЮЦИИ, Д. 4, ОФИС 12</t>
  </si>
  <si>
    <t>ООО НОВАЯ ЛОГИСТИКА</t>
  </si>
  <si>
    <t>353290, КРАСНОДАРСКИЙ КРАЙ, Г ГОРЯЧИЙ КЛЮЧ, УЛ РЕВОЛЮЦИИ, Д. 4, ОФИС 14</t>
  </si>
  <si>
    <t>ИП ПОТУРИДИ КОНСТАНТИН ЮРЬЕВИЧ</t>
  </si>
  <si>
    <t>ИП ВОЛКОВА СВЕТЛАНА БОРИСОВНА</t>
  </si>
  <si>
    <t>ИП ЛОМАКО МАКСИМ ВИТАЛЬЕВИЧ</t>
  </si>
  <si>
    <t>ИП БАЙМУХАМЕДОВ ИГОРЬ СЕРГЕЕВИЧ</t>
  </si>
  <si>
    <t>ООО АВГУСТ</t>
  </si>
  <si>
    <t>350051, КРАСНОДАРСКИЙ КРАЙ, Г КРАСНОДАР, УЛ ДАЛЬНЯЯ, Д. 27, ПОМЕЩ. 211</t>
  </si>
  <si>
    <t>ООО ЭКСПРЕСС - АВТО</t>
  </si>
  <si>
    <t>350001, КРАСНОДАРСКИЙ КРАЙ, Г.О. ГОРОД КРАСНОДАР, Г КРАСНОДАР, УЛ ИМ. БОЛОТНИКОВА, Д. 24/3, ПОМЕЩ. 18</t>
  </si>
  <si>
    <t>АО ТАНДЕР</t>
  </si>
  <si>
    <t>350002, КРАСНОДАРСКИЙ КРАЙ, Г КРАСНОДАР, УЛ ИМ. ЛЕВАНЕВСКОГО, Д. 185</t>
  </si>
  <si>
    <t>ООО ФИРМАДАКО</t>
  </si>
  <si>
    <t>350005, КРАСНОДАРСКИЙ КРАЙ, Г КРАСНОДАР, УЛ ИМ. ЛАЗАРЕВА, Д. 1, К. 1</t>
  </si>
  <si>
    <t>ООО ПВ-ЮГ</t>
  </si>
  <si>
    <t>350000, КРАСНОДАРСКИЙ КРАЙ, Г КРАСНОДАР, УЛ КАРАСУНСКАЯ, Д. 60, ОФИС 83</t>
  </si>
  <si>
    <t>ООО КЛИФТОН</t>
  </si>
  <si>
    <t>350901, КРАСНОДАРСКИЙ КРАЙ, Г КРАСНОДАР, УЛ ВОСТОЧНО-КРУГЛИКОВСКАЯ, Д. 28, КВ. 524</t>
  </si>
  <si>
    <t>ООО КОЛЕАН ТРЕЙД</t>
  </si>
  <si>
    <t>350900, РОССИЯ, КРАСНОДАРСКИЙ КРАЙ, Г.О. ГОРОД КРАСНОДАР, Г КРАСНОДАР, ПРОЕЗД 1-Й ЛУЧИСТЫЙ, Д. 7, ОФИС 36</t>
  </si>
  <si>
    <t>ООО СТО СЕВЕРНЫЙ</t>
  </si>
  <si>
    <t>353477, КРАСНОДАРСКИЙ КРАЙ, Г ГЕЛЕНДЖИК, МКР СЕВЕРНЫЙ, Д.50</t>
  </si>
  <si>
    <t>ООО ПРОМСЕРВИС-ЮГ</t>
  </si>
  <si>
    <t>350080, КРАСНОДАРСКИЙ КРАЙ, Г КРАСНОДАР, УЛ ЗАВОДСКАЯ, Д. 32, ЭТАЖ 2, КАБИНЕТ 23</t>
  </si>
  <si>
    <t>ООО ТОРГОВЫЙ ДОМ ПРОФИТ</t>
  </si>
  <si>
    <t>350080, КРАСНОДАРСКИЙ КРАЙ, Г КРАСНОДАР, УЛ БОРОДИНСКАЯ, Д. 150/11, ЛИТЕР Л</t>
  </si>
  <si>
    <t>ООО МАШИНИСТ</t>
  </si>
  <si>
    <t>350049, КРАСНОДАРСКИЙ КРАЙ, Г КРАСНОДАР, УЛ КРАСНЫХ ПАРТИЗАН, Д. 200, ОФИС 211</t>
  </si>
  <si>
    <t>ООО ВОЗРОЖДЕНИЕ</t>
  </si>
  <si>
    <t>350910, РОССИЯ, КРАСНОДАРСКИЙ КРАЙ, Г.О. ГОРОД КРАСНОДАР, Г КРАСНОДАР, ТЕР. ПАШКОВСКИЙ ЖИЛОЙ МАССИВ, УЛ ГОРЯЧЕКЛЮЧЕВСКАЯ, Д. 5, ЭТАЖ 2, ПОМЕЩ. 52</t>
  </si>
  <si>
    <t>ИП МАЛЬЦЕВ ОЛЕГ ВИКТОРОВИЧ</t>
  </si>
  <si>
    <t>ИП ПОКЛОНСКАЯ ИВАННА ВАЛЕНТИНОВНА</t>
  </si>
  <si>
    <t>ИП КОЛТЫШЕВА ЛОЛА ЕВГЕНЬЕВНА</t>
  </si>
  <si>
    <t>ИП МОГИЛЯС СЕРГЕЙ АЛЕКСАНДРОВИЧ</t>
  </si>
  <si>
    <t>ООО ЭМ СИ ТРЕЙД</t>
  </si>
  <si>
    <t>353960, КРАСНОДАРСКИЙ КРАЙ, Г НОВОРОССИЙСК, УЛ ЯСНАЯ (ЦЕМДОЛИНА ТЕР.), Д. 1А</t>
  </si>
  <si>
    <t>ООО СТАНДАРТ ОЙЛ</t>
  </si>
  <si>
    <t>353924, РОССИЯ, КРАСНОДАРСКИЙ КРАЙ, Г.О. ГОРОД НОВОРОССИЙСК, Г НОВОРОССИЙСК, Б-Р ИМЕНИ ДМИТРИЯ ШОСТАКОВИЧА, Д. 10, КВ. 456</t>
  </si>
  <si>
    <t>ИП МАГДИЧ ДАНИЭЛЬ ДРАГОВИЧ</t>
  </si>
  <si>
    <t>ИП КОЗЛИКИН ГЕННАДИЙ ВАЛЕРЬЕВИЧ</t>
  </si>
  <si>
    <t>ООО СОЛАР МАШИНЕРИ</t>
  </si>
  <si>
    <t>354000, КРАСНОДАРСКИЙ КРАЙ, Г.О. ГОРОД-КУРОРТ СОЧИ, Г СОЧИ, УЛ ГОРЬКОГО, Д. 75, ПОМЕЩ. 10 Б</t>
  </si>
  <si>
    <t>ООО ЧЕРНОМОРСКИЕ КРУИЗЫ</t>
  </si>
  <si>
    <t>353900, РОССИЯ, КРАСНОДАРСКИЙ КРАЙ, Г.О. ГОРОД НОВОРОССИЙСК, Г НОВОРОССИЙСК, УЛ МИРА, Д. 16, ПОМЕЩ. 1</t>
  </si>
  <si>
    <t>ИП ПЕРМЯКОВ ОЛЕГ АЛЕКСАНДРОВИЧ</t>
  </si>
  <si>
    <t>ИП Иушина Людмила Викторовна</t>
  </si>
  <si>
    <t>ИП ТОЛОКНОВ АЛЕКСАНДР АЛЕКСАНДРОВИЧ</t>
  </si>
  <si>
    <t>ИП КАДОЧНИКОВА ЗАРИНА РАШИТОВНА</t>
  </si>
  <si>
    <t>ИП АКОПЯН ЯНИНА ЮРЬЕВНА</t>
  </si>
  <si>
    <t>ИП ТКАЧЕВА НАДЕЖДА ВИКТОРОВНА</t>
  </si>
  <si>
    <t>ИП ГРИЦАЕНКО ЕЛЕНА АЛЕКСАНДРОВНА</t>
  </si>
  <si>
    <t>ИП ТАРАН ИГОРЬ ВЛАДИМИРОВИЧ</t>
  </si>
  <si>
    <t>ИП Долгов Александр Юрьевич</t>
  </si>
  <si>
    <t>ИП ВЕРХОТУРОВ АЛЕКСАНДР ЮРЬЕВИЧ</t>
  </si>
  <si>
    <t>ИП МАКСИМОВА МАРИНА ЕВГЕНЬЕВНА</t>
  </si>
  <si>
    <t>ИП БЕРЕЖНОВ ВАДИМ НИКОЛАЕВИЧ</t>
  </si>
  <si>
    <t>ИП МАЛЫГИН АРТЕМ АНДРЕЕВИЧ</t>
  </si>
  <si>
    <t>ИП Тудигешева Татьяна Анатольевна</t>
  </si>
  <si>
    <t>ИП ГОРНОСТАЕВ АНДРЕЙ СЕРГЕЕВИЧ</t>
  </si>
  <si>
    <t>ИП АД-АБЗАТОВ РАМИС ЭЛЬВИСОВИЧ</t>
  </si>
  <si>
    <t>ИП ВАНЮХОВ ГЕННАДИЙ СЕРГЕЕВИЧ</t>
  </si>
  <si>
    <t>ИП ШАРОВ АЛЕКСЕЙ АЛЕКСЕЕВИЧ</t>
  </si>
  <si>
    <t>ООО АРМАВИРСКИЙ АВТОЦЕНТР ПЛЮС</t>
  </si>
  <si>
    <t>352932, КРАСНОДАРСКИЙ КРАЙ, Г АРМАВИР, УЛ ЕФРЕМОВА, Д.250</t>
  </si>
  <si>
    <t>ООО СК-АВТО</t>
  </si>
  <si>
    <t>352900, КРАСНОДАРСКИЙ КРАЙ, Г.О. ГОРОД АРМАВИР, Г АРМАВИР, СНТ ДРУЖБА ОТДЕЛЕНИЕ 2, УЛ ЕФРЕМОВА, Д. 329</t>
  </si>
  <si>
    <t>ИП НАРОЯН ЕЛЕНА АЛЕКСАНДРОВНА</t>
  </si>
  <si>
    <t>ИП ШЕВЧЕНКО СЕРГЕЙ ВЛАДИМИРОВИЧ</t>
  </si>
  <si>
    <t>ИП СУХИНОВА ВАЛЕНТИНА ВАЛЕРЬЕВНА</t>
  </si>
  <si>
    <t>ИП Никогосян Михаил Самсонович</t>
  </si>
  <si>
    <t>ИП БЕКИРОВА МУМИНА НУРИЕВНА</t>
  </si>
  <si>
    <t>ИП НЕКС НЕЛЛИ АЛЕКСАНДРОВНА</t>
  </si>
  <si>
    <t>ИП БУКРЕЕВ АНДРЕЙ НИКОЛАЕВИЧ</t>
  </si>
  <si>
    <t>ООО СБСВ- КЛЮЧАВТО СЕВЕР</t>
  </si>
  <si>
    <t>353290, КРАСНОДАРСКИЙ КРАЙ, Г ГОРЯЧИЙ КЛЮЧ, УЛ РЕВОЛЮЦИИ, Д. 4, ОФИС 4</t>
  </si>
  <si>
    <t>ООО СБСВ-КЛЮЧАВТО ЖУКОВКА-Л</t>
  </si>
  <si>
    <t>353290, КРАСНОДАРСКИЙ КРАЙ, Г ГОРЯЧИЙ КЛЮЧ, УЛ РЕВОЛЮЦИИ, Д. 4, ОФИС 10</t>
  </si>
  <si>
    <t>ИП КРАВЧЕНКО МИХАИЛ АНАТОЛЬЕВИЧ</t>
  </si>
  <si>
    <t>ГКУ СО КК ЕЙСКИЙ СРЦН</t>
  </si>
  <si>
    <t>353684, КРАСНОДАРСКИЙ КРАЙ, М.Р-Н ЕЙСКИЙ, Г ЕЙСК, Г.П. ЕЙСКОЕ, УЛ К.ЛИБКНЕХТА, Д. 265А</t>
  </si>
  <si>
    <t>ИП КУЗНЕЦОВА СВЕТЛАНА ФЕДОРОВНА</t>
  </si>
  <si>
    <t>ИП СТОЛЯРЕНКО АЛЕКСАНДР ИВАНОВИЧ</t>
  </si>
  <si>
    <t>ИП ОВЧИННИКОВА ЮЛИЯ АЛЕКСАНДРОВНА</t>
  </si>
  <si>
    <t>ООО ПРИЧАЛ</t>
  </si>
  <si>
    <t>350063, РОССИЯ, КРАСНОДАРСКИЙ КРАЙ, Г.О. ГОРОД КРАСНОДАР, Г КРАСНОДАР, УЛ КУБАНСКАЯ НАБЕРЕЖНАЯ, Д. 39, ПОМЕЩ. 14447/6</t>
  </si>
  <si>
    <t>ООО ВОСТОРГ 61</t>
  </si>
  <si>
    <t>350072, РОССИЯ, КРАСНОДАРСКИЙ КРАЙ, Г.О. ГОРОД КРАСНОДАР, Г КРАСНОДАР, УЛ МОСКОВСКАЯ, Д. 69</t>
  </si>
  <si>
    <t>ИП ТУТОЯН ПОГОС АРАМАИСОВИЧ</t>
  </si>
  <si>
    <t>ГБПОУ КК КАТ</t>
  </si>
  <si>
    <t>353177, КРАСНОДАРСКИЙ КРАЙ, Р-Н КОРЕНОВСКИЙ, СТ-ЦА ПЛАТНИРОВСКАЯ, УЛ КРАСНАЯ, Д.30</t>
  </si>
  <si>
    <t>ИП БАБИЯН ИРИНА ВИКТОРОВНА</t>
  </si>
  <si>
    <t>ИП СУСКИХ ЕКАТЕРИНА МИХАЙЛОВНА</t>
  </si>
  <si>
    <t>ИП ЕРМОЛЕНКО ИРИНА НИКОЛАЕВНА</t>
  </si>
  <si>
    <t>ИП СИРЯЦКАЯ ЕКАТЕРИНА ВИТАЛЬЕВНА</t>
  </si>
  <si>
    <t>ИП ПОЛЯКОВ ВИТАЛИЙ НИКОЛАЕВИЧ</t>
  </si>
  <si>
    <t>ИП ФИЛИМОНОВА ГАЛИНА ВИКТОРОВНА</t>
  </si>
  <si>
    <t>ИП ЛИТВИНЕНКО ИГОРЬ АНАТОЛЬЕВИЧ</t>
  </si>
  <si>
    <t>ИП КУЗЬМЕНКО НИКОЛАЙ ФЕДОРОВИЧ</t>
  </si>
  <si>
    <t>ИП ТАРАНЕНКО ЕКАТЕРИНА НИКОЛАЕВНА</t>
  </si>
  <si>
    <t>ИП ДРОФА МИХАИЛ АНАТОЛЬЕВИЧ</t>
  </si>
  <si>
    <t>ООО БОУТС ГРУПП</t>
  </si>
  <si>
    <t>354000, РОССИЯ, КРАСНОДАРСКИЙ КРАЙ, Г.О. ГОРОД-КУРОРТ СОЧИ, Г СОЧИ, УЛ ГОРЬКОГО, Д. 42/2, ПОМЕЩ. 3</t>
  </si>
  <si>
    <t>ИП УГРЮМОВ ТИМОФЕЙ ВЛАДИМИРОВИЧ</t>
  </si>
  <si>
    <t>ИП БАЛАБА ВИКТОРИЯ МАКСИМОВНА</t>
  </si>
  <si>
    <t>ИП БОНДАРЕВ КИРИЛЛ СЕРГЕЕВИЧ</t>
  </si>
  <si>
    <t>ИП ПАНЧЕНКО СВЕТЛАНА ПЕТРОВНА</t>
  </si>
  <si>
    <t>ИП ГРАЧЕВ ДМИТРИЙ ГРИГОРЬЕВИЧ</t>
  </si>
  <si>
    <t>ИП Монастырская Юлия Евгеньевна</t>
  </si>
  <si>
    <t>ООО АКЗ</t>
  </si>
  <si>
    <t>352916, КРАСНОДАРСКИЙ КРАЙ, Г.О. ГОРОД АРМАВИР, Г АРМАВИР, ТЕР СЕВЕРНАЯ ПРОМЗОНА, Д. 252, ПОМЕЩ. 8</t>
  </si>
  <si>
    <t>ООО  СМАРТ АВТО</t>
  </si>
  <si>
    <t>353451, КРАСНОДАРСКИЙ КРАЙ, М.О. ГОРОД-КУРОРТ АНАПА, Г АНАПА, УЛ МИРНАЯ, Д. 6</t>
  </si>
  <si>
    <t>ИП ЛОГОША ВИКТОРИЯ КОНСТАНТИНОВНА</t>
  </si>
  <si>
    <t>ИП БАРБАШ СЕРГЕЙ ЯКОВЛЕВИЧ</t>
  </si>
  <si>
    <t>ИП КУРГИНЯН ЛАРИСА СЕЙРАНОВНА</t>
  </si>
  <si>
    <t>ИП БОГДАНОВ ДЕНИС ВАСИЛЬЕВИЧ</t>
  </si>
  <si>
    <t>ИП Елефтерова Наталья Анатольевна</t>
  </si>
  <si>
    <t>ИП Солопов Олег Анатольевич</t>
  </si>
  <si>
    <t>ИП МАТЮНИН ЮРИЙ ГРИГОРИЕВИЧ</t>
  </si>
  <si>
    <t>ООО ГК СБСВ-КЛЮЧАВТО</t>
  </si>
  <si>
    <t>353290, КРАСНОДАРСКИЙ КРАЙ, Г ГОРЯЧИЙ КЛЮЧ, УЛ РЕВОЛЮЦИИ, Д. 4, ОФИС 1</t>
  </si>
  <si>
    <t>ИП АВРИТОВА ЛЮДМИЛА ВЛАДИМИРОВНА</t>
  </si>
  <si>
    <t>ИП ПЕТРЕНКО ЕЛЕНА ВИТАЛЬЕВНА</t>
  </si>
  <si>
    <t>ИП ДРЕМИН ВЛАДИМИР ПЕТРОВИЧ</t>
  </si>
  <si>
    <t>ИП ВОРОШИЛОВ АЛЕКСАНДР АЛИМОВИЧ</t>
  </si>
  <si>
    <t>ИП ЛЕПЕШКИН ПАВЕЛ ВИКТОРОВИЧ</t>
  </si>
  <si>
    <t>ИП ГОНЕЖУК ЭДУАРД ЗАУРБИЕВИЧ</t>
  </si>
  <si>
    <t>ИП ФИЛИППСКИЙ ИГОРЬ ВИКТОРОВИЧ</t>
  </si>
  <si>
    <t>ООО ФИРМА ПАНДА</t>
  </si>
  <si>
    <t>350063, КРАСНОДАРСКИЙ КРАЙ, Г КРАСНОДАР, УЛ КУБАНСКАЯ НАБЕРЕЖНАЯ, Д. 45, ЭТАЖ 7</t>
  </si>
  <si>
    <t>ИП КОНДРАШОВ СЕРГЕЙ АЛЕКСАНДРОВИЧ</t>
  </si>
  <si>
    <t>ИП ПРИСЯЖНЮК АЛЕКСАНДР НИКОЛАЕВИЧ</t>
  </si>
  <si>
    <t>ООО ИСПАНЬОЛ</t>
  </si>
  <si>
    <t>350000, КРАСНОДАРСКИЙ КРАЙ, Г КРАСНОДАР, УЛ ИМ. МАКСИМА ГОРЬКОГО, Д.64</t>
  </si>
  <si>
    <t>ИП ПАТЕЮК АЛЕКСАНДР АЛЕКСАНДРОВИЧ</t>
  </si>
  <si>
    <t>ИП МЕРХАЛЕВ ЛЕОНИД ОЛЕГОВИЧ</t>
  </si>
  <si>
    <t>ООО ИНТРА</t>
  </si>
  <si>
    <t>350004, КРАСНОДАРСКИЙ КРАЙ, Г КРАСНОДАР, УЛ МИНСКАЯ, Д. 122, К. 12, КВ. 11</t>
  </si>
  <si>
    <t>ООО ПВ-ЮГ 2</t>
  </si>
  <si>
    <t>350000, РОССИЯ, КРАСНОДАРСКИЙ КРАЙ, Г.О. ГОРОД КРАСНОДАР, Г КРАСНОДАР, УЛ КАРАСУНСКАЯ, Д. 60, ОФИС 84</t>
  </si>
  <si>
    <t>ИП ЯРЫШКА ПАВЕЛ ИВАНОВИЧ</t>
  </si>
  <si>
    <t>ИП РУДЕНКО АЛЕКСЕЙ ВЛАДИМИРОВИЧ</t>
  </si>
  <si>
    <t>АО НК РОСНЕФТЬ - КУБАНЬНЕФТЕПРОДУКТ</t>
  </si>
  <si>
    <t>350063, КРАСНОДАРСКИЙ КРАЙ, Г КРАСНОДАР, УЛ КОММУНАРОВ, Д.4</t>
  </si>
  <si>
    <t>ИП ГАВРИЛЕНКО ЮРИЙ ИГОРЕВИЧ</t>
  </si>
  <si>
    <t>ОООРОСТВЕРК</t>
  </si>
  <si>
    <t>350912, КРАСНОДАРСКИЙ КРАЙ, Г КРАСНОДАР, УЛ ИМ. КРУПСКОЙ (ПАШКОВСКИЙ ЖИЛОЙ МАССИВ ТЕ, Д.172</t>
  </si>
  <si>
    <t>ИП Литовкин Сергей Васильевич</t>
  </si>
  <si>
    <t>ИП МАРЧИНСКИЙ АЛЕКСАНДР СЕРГЕЕВИЧ</t>
  </si>
  <si>
    <t>АО ТЕХНОМИР</t>
  </si>
  <si>
    <t>350080, КРАСНОДАРСКИЙ КРАЙ, Г КРАСНОДАР, УЛ БОРОДИНСКАЯ, Д.160/2</t>
  </si>
  <si>
    <t>ИП ТУЛИНОВА ВИТАЛИЯ МИХАЙЛОВНА</t>
  </si>
  <si>
    <t>ООО МСК-КУБАНЬ</t>
  </si>
  <si>
    <t>350001, КРАСНОДАРСКИЙ КРАЙ, Г.О. ГОРОД КРАСНОДАР, Г КРАСНОДАР, УЛ ИМ. ВИШНЯКОВОЙ, Д. 3, ПОМЕЩ. 3</t>
  </si>
  <si>
    <t>ИП ДАВИДЕНКО АНТОН ИВАНОВИЧ</t>
  </si>
  <si>
    <t>ИП КАРПОВ СЕРГЕЙ НИКОЛАЕВИЧ</t>
  </si>
  <si>
    <t>ООО ЦЕНТР-МОТОРС</t>
  </si>
  <si>
    <t>350020, КРАСНОДАРСКИЙ КРАЙ, Г КРАСНОДАР, УЛ ОДЕССКАЯ, Д. 41, ЛИТЕР А, ПОМЕЩ. 38</t>
  </si>
  <si>
    <t>ООО КОМПЛЕКТСНАБ</t>
  </si>
  <si>
    <t>350072, КРАСНОДАРСКИЙ КРАЙ, Г.О. ГОРОД КРАСНОДАР, Г КРАСНОДАР, УЛ МОСКОВСКАЯ, Д. 69/16, ПОМЕЩ. 22</t>
  </si>
  <si>
    <t>ИП СОРОКОВОЙ ДМИТРИЙ НИКОЛАЕВИЧ</t>
  </si>
  <si>
    <t>ИП АВЕРЬЯНОВ ВЛАДИМИР ВАЛЕНТИНОВИЧ</t>
  </si>
  <si>
    <t>ООО СМАЗ-ОЙЛ</t>
  </si>
  <si>
    <t>350072, КРАСНОДАРСКИЙ КРАЙ, Г КРАСНОДАР, УЛ РОСТОВСКОЕ ШОССЕ, Д. 22/1, ПОМЕЩ. 3</t>
  </si>
  <si>
    <t>ООО АВТОЦЕНТР ЮГ-АВТО КРАСНОДАР</t>
  </si>
  <si>
    <t>350005, КРАСНОДАРСКИЙ КРАЙ, Г КРАСНОДАР, УЛ ИМ. ДЗЕРЖИНСКОГО, ДОМ 229/1</t>
  </si>
  <si>
    <t>ООО ПРАДО</t>
  </si>
  <si>
    <t>350032, КРАСНОДАРСКИЙ КРАЙ, Г КРАСНОДАР, Х ОКТЯБРЬСКИЙ, УЛ ЖИВОПИСНАЯ, Д. 72, СТР. 3, КАБИНЕТ 205</t>
  </si>
  <si>
    <t>ООО БИЗНЕС КОНКОРД</t>
  </si>
  <si>
    <t>350073, КРАСНОДАРСКИЙ КРАЙ, Г КРАСНОДАР, УЛ СЕРГИЕВСКАЯ, ДОМ 75</t>
  </si>
  <si>
    <t>ООО ОРГТЕХНИКА-СЕРВИС</t>
  </si>
  <si>
    <t>350901, КРАСНОДАРСКИЙ КРАЙ, Г КРАСНОДАР, УЛ ИМ. 40-ЛЕТИЯ ПОБЕДЫ, ДОМ 99</t>
  </si>
  <si>
    <t>ООО ТОРГСЕРВИС 23</t>
  </si>
  <si>
    <t>350072, КРАСНОДАРСКИЙ КРАЙ, Г КРАСНОДАР, УЛ ТОПОЛИНАЯ АЛЛЕЯ, Д. 2/1, ОФИС 4</t>
  </si>
  <si>
    <t>ИП Ткач Евгений Владимирович</t>
  </si>
  <si>
    <t>ООО МУСТАНГ</t>
  </si>
  <si>
    <t>350901, КРАСНОДАРСКИЙ КРАЙ, Г КРАСНОДАР, УЛ РОССИЙСКАЯ, Д. 7</t>
  </si>
  <si>
    <t>ООО ТД РЭД</t>
  </si>
  <si>
    <t>350039, КРАСНОДАРСКИЙ КРАЙ, Г КРАСНОДАР, ПР-Д МАЙСКИЙ, Д. 20, ОФИС 1</t>
  </si>
  <si>
    <t>ООО ПСМТ</t>
  </si>
  <si>
    <t>350062, КРАСНОДАРСКИЙ КРАЙ, Г КРАСНОДАР, УЛ СОВХОЗНАЯ, Д. 18, ЛИТЕР ПОД/А, ОФИС 81</t>
  </si>
  <si>
    <t>ООО АКАТ-СЕРВИС</t>
  </si>
  <si>
    <t>350087, КРАСНОДАРСКИЙ КРАЙ, Г.О. ГОРОД КРАСНОДАР, Г КРАСНОДАР, УЛ РОССИЙСКАЯ, Д. 341/1, ПОМЕЩ. 6,7,8</t>
  </si>
  <si>
    <t>ООО ПРОСТОСЕРВИС</t>
  </si>
  <si>
    <t>350055, КРАСНОДАРСКИЙ КРАЙ, Г КРАСНОДАР, УЛ ИМ. ПЕТРА МЕТАЛЬНИКОВА, Д. 16</t>
  </si>
  <si>
    <t>ИП ЛЕВИЦКИЙ ЛИЛИЯ БОРИСОВНА</t>
  </si>
  <si>
    <t>ООО АВТОСНАБГРУПП</t>
  </si>
  <si>
    <t>350015, РОССИЯ, КРАСНОДАРСКИЙ КРАЙ, Г.О. ГОРОД КРАСНОДАР, Г КРАСНОДАР, УЛ КОММУНАРОВ, Д. 151, КВ. 6</t>
  </si>
  <si>
    <t>ООО СИНЕРГИЯ</t>
  </si>
  <si>
    <t>350010, РОССИЯ, КРАСНОДАРСКИЙ КРАЙ, Г.О. ГОРОД КРАСНОДАР, Г КРАСНОДАР, УЛ РОСТОВСКОЕ ШОССЕ, Д. 14, ЭТАЖ 2, ПОМЕЩ. 23</t>
  </si>
  <si>
    <t>ООО ТРЕЙД ГРУПП</t>
  </si>
  <si>
    <t>350062, РОССИЯ, КРАСНОДАРСКИЙ КРАЙ, Г.О. ГОРОД КРАСНОДАР, Г КРАСНОДАР, УЛ СОВХОЗНАЯ, Д. 18, КВ. 264</t>
  </si>
  <si>
    <t>ИП КУЗЬМЕНКО ВИТАЛИЙ АЛЕКСАНДРОВИЧ</t>
  </si>
  <si>
    <t>ООО БИВХИМ</t>
  </si>
  <si>
    <t>350053, РОССИЯ, КРАСНОДАРСКИЙ КРАЙ, Г.О. ГОРОД КРАСНОДАР, Г КРАСНОДАР, УЛ ЗАПАДНЫЙ ОБХОД, Д. 42/3, К. 2, КВ. 119</t>
  </si>
  <si>
    <t>ООО КРАФТСОЛ</t>
  </si>
  <si>
    <t>350072, РОССИЯ, КРАСНОДАРСКИЙ КРАЙ, Г.О. ГОРОД КРАСНОДАР, Г КРАСНОДАР, УЛ ТОПОЛИНАЯ, Д. 14, КАБИНЕТ 3-4</t>
  </si>
  <si>
    <t>ООО ТОП СЕРВИС</t>
  </si>
  <si>
    <t>350031, РОССИЯ, КРАСНОДАРСКИЙ КРАЙ, Г.О. ГОРОД КРАСНОДАР, П БЕРЕЗОВЫЙ, УЛ ИМ. СКУЛЬПТОРА КОЛОМОЙЦЕВА, Д. 71, СТР. И</t>
  </si>
  <si>
    <t>ИП СМОТРИКОВА ИННА ИГОРЕВНА</t>
  </si>
  <si>
    <t>ИП ГРИГОРЯН НАДЕЖДА ВЛАДИМИРОВНА</t>
  </si>
  <si>
    <t>ИП ОЛЕЙНИКОВ ВЯЧЕСЛАВ ПАВЛОВИЧ</t>
  </si>
  <si>
    <t>ИП МАСЕКИН ДМИТРИЙ ВЯЧЕСЛАВОВИЧ</t>
  </si>
  <si>
    <t>ООО ГАСПАР</t>
  </si>
  <si>
    <t>350088, КРАСНОДАРСКИЙ КРАЙ, Г КРАСНОДАР, УЛ УРАЛЬСКАЯ, Д.198/2</t>
  </si>
  <si>
    <t>ООО ТТК РИВЬЕРА</t>
  </si>
  <si>
    <t>350011, КРАСНОДАРСКИЙ КРАЙ, Г КРАСНОДАР, УЛ ОБРЫВНАЯ, Д. 131/1, ЛИТЕР З, ПОМЕЩ. 34</t>
  </si>
  <si>
    <t>ИП ПАВЕЛКОВ ВИТАЛИЙ ВИТАЛЬЕВИЧ</t>
  </si>
  <si>
    <t>ООО АВТОДИЗЕЛЬ</t>
  </si>
  <si>
    <t>350080, КРАСНОДАРСКИЙ КРАЙ, Г.О. ГОРОД КРАСНОДАР, Г КРАСНОДАР, УЛ ИМ. ДЕМУСА М.Н., Д. 9/5, ОФИС 1</t>
  </si>
  <si>
    <t>ИП КОВАЛЕВА НАТАЛЬЯ АЛЕКСАНДРОВНА</t>
  </si>
  <si>
    <t>ИП ТИШКИНА ОЛЕСЯ ВАЛЕРЬЕВНА</t>
  </si>
  <si>
    <t>ИП Григорян Самвел Муханович</t>
  </si>
  <si>
    <t>ИП БОБРОВСКИХ МИХАИЛ ВЛАДИМИРОВИЧ</t>
  </si>
  <si>
    <t>ИП КОВЯЗИН ДМИТРИЙ ВЛАДИМИРОВИЧ</t>
  </si>
  <si>
    <t>ООО ПАРТНЕР</t>
  </si>
  <si>
    <t>353430, КРАСНОДАРСКИЙ КРАЙ, Р-Н АНАПСКИЙ, СТ-ЦА АНАПСКАЯ, УЛ ЛЕНИНГРАДСКАЯ, Д. 24</t>
  </si>
  <si>
    <t>ИП Сотников Владимир Владимирович</t>
  </si>
  <si>
    <t>ООО ТОП МОТОРС</t>
  </si>
  <si>
    <t>353451, РОССИЯ, КРАСНОДАРСКИЙ КРАЙ, М.О. ГОРОД-КУРОРТ АНАПА, Г АНАПА, Ш СУПСЕХСКОЕ, Д. 10</t>
  </si>
  <si>
    <t>ООО АМУЛЕТ ЮГ</t>
  </si>
  <si>
    <t>353440, РОССИЯ, КРАСНОДАРСКИЙ КРАЙ, М.О. ГОРОД-КУРОРТ АНАПА, Г АНАПА, УЛ ЗАВОДСКАЯ, Д. 28Б</t>
  </si>
  <si>
    <t>ИП МУЖДАБАЕВ ДМИТРИЙ НАРИМАНОВИЧ</t>
  </si>
  <si>
    <t>ИП КАТАШЕВСКАЯ АННА ВИКТОРОВНА</t>
  </si>
  <si>
    <t>ИП ГОЛОВАНОВА ОЛЬГА ЮРЬЕВНА</t>
  </si>
  <si>
    <t>ООО НК-ОИЛ</t>
  </si>
  <si>
    <t>352916, КРАСНОДАРСКИЙ КРАЙ, Г АРМАВИР, ТЕР СЕВЕРНАЯ ПРОМЗОНА, Д. 202, ОФИС 43</t>
  </si>
  <si>
    <t>ИП АБРАМОВ ГАЙК ФЕЛИКСОВИЧ</t>
  </si>
  <si>
    <t>ИП ЯНАКОВА ОЛЬГА АЛЕКСАНДРОВНА</t>
  </si>
  <si>
    <t>ИП ТАРАНЕЦ НАТАЛЬЯ НИКОЛАЕВНА</t>
  </si>
  <si>
    <t>ИП ГОПАНЬКО ТАТЬЯНА ВЛАДИМИРОВНА</t>
  </si>
  <si>
    <t>ИП Кладченко Татьяна Петровна</t>
  </si>
  <si>
    <t>ИП ПОКУСАЕВА ИРИНА АНАТОЛЬЕВНА</t>
  </si>
  <si>
    <t>ИП ГОРЕГЛЯД ИЛЬЯ МИХАЙЛОВИЧ</t>
  </si>
  <si>
    <t>353467, КРАСНОДАРСКИЙ КРАЙ, Г ГЕЛЕНДЖИК, ПР-Д ПОГРАНИЧНЫЙ, Д.12</t>
  </si>
  <si>
    <t>ИП НЕДОГОНОВ АНДРЕЙ ПАВЛОВИЧ</t>
  </si>
  <si>
    <t>ООО СБСВ-КЛЮЧАВТО ВОСТОК</t>
  </si>
  <si>
    <t>ООО СБСВ-КЛЮЧАВТО ПРЕМИУМ</t>
  </si>
  <si>
    <t>353290, КРАСНОДАРСКИЙ КРАЙ, Г ГОРЯЧИЙ КЛЮЧ, УЛ РЕВОЛЮЦИИ, Д. 4, ОФИС 11</t>
  </si>
  <si>
    <t>ИП КАРПИЛЯНСКИЙ РОМАН ВАЛЕРЬЕВИЧ</t>
  </si>
  <si>
    <t>ИП ЧУФИСТОВ АЛЕКСАНДР АНДРЕЕВИЧ</t>
  </si>
  <si>
    <t>ИП РАЦ ЭЛЛА АЛЕКСАНДРОВНА</t>
  </si>
  <si>
    <t>ИП РУСИН ИННА ВИКТОРОВНА</t>
  </si>
  <si>
    <t>ИП ПИТАТЕЛЕВ АНДРЕЙ ИГОРЕВИЧ</t>
  </si>
  <si>
    <t>ИП ОГАННЕСЯН СЕРГО ГАРЕГИНОВИЧ</t>
  </si>
  <si>
    <t>ИП БУРЯЧЕНКО АНДРЕЙ АНДРЕЕВИЧ</t>
  </si>
  <si>
    <t>ИП БРЮШИНИН ВАСИЛИЙ ЕГОРОВИЧ</t>
  </si>
  <si>
    <t>ИП ЧЕРНОШТАНОВ ИГОРЬ ЛЕОНИДОВИЧ</t>
  </si>
  <si>
    <t>ИП СИРЕНКО МАКСИМ НИКОЛАЕВИЧ</t>
  </si>
  <si>
    <t>ИП СИМОНЯН ЛЕВОН БАКРАТОВИЧ</t>
  </si>
  <si>
    <t>ИП ЕРДЕНКО КОНСТАНТИН ДМИТРИЕВИЧ</t>
  </si>
  <si>
    <t>ООО АРТ ГАРАЖ</t>
  </si>
  <si>
    <t>350000, КРАСНОДАРСКИЙ КРАЙ, Г КРАСНОДАР, УЛ ИМ. БРАТЬЕВ ИГНАТОВЫХ, Д. 17</t>
  </si>
  <si>
    <t>ООО АВТО-ЭНЕРДЖИ</t>
  </si>
  <si>
    <t>350011, КРАСНОДАРСКИЙ КРАЙ, Г КРАСНОДАР, УЛ ВОРОНЕЖСКАЯ, Д. 116, К. 1, КВ. 1</t>
  </si>
  <si>
    <t>ИП ГАВРИКОВ МАКСИМ ИГОРЕВИЧ</t>
  </si>
  <si>
    <t>350000, КРАСНОДАРСКИЙ КРАЙ, Г КРАСНОДАР, УЛ СЕВЕРНАЯ, Д. 320/1, ПОМЕЩ. 16/1</t>
  </si>
  <si>
    <t>ООО МОТОКЛАССИК</t>
  </si>
  <si>
    <t>350020, КРАСНОДАРСКИЙ КРАЙ, Г КРАСНОДАР, УЛ ИМ. ДЗЕРЖИНСКОГО, Д. 14, ОФИС 304</t>
  </si>
  <si>
    <t>ИП РУДЕНКО СЕРГЕЙ ВАЛЕРЬЕВИЧ</t>
  </si>
  <si>
    <t>ООО ХОММАЛ</t>
  </si>
  <si>
    <t>350059, КРАСНОДАРСКИЙ КРАЙ, Г КРАСНОДАР, УЛ УРАЛЬСКАЯ, Д. 134, ЛИТЕР В, ПОМЕЩ. 8</t>
  </si>
  <si>
    <t>ИП ГОЛОВЧЕНКО СЕРГЕЙ АЛЕКСАНДРОВИЧ</t>
  </si>
  <si>
    <t>ИП ГЕНЕРОЗОВ СЕРГЕЙ ВЛАДИМИРОВИЧ</t>
  </si>
  <si>
    <t>ООО ЮГТЕХМАС</t>
  </si>
  <si>
    <t>350015, РОССИЯ, КРАСНОДАРСКИЙ КРАЙ, Г.О. ГОРОД КРАСНОДАР, Г КРАСНОДАР, УЛ ПУТЕВАЯ, Д. 5Д</t>
  </si>
  <si>
    <t>ИП КОЛЬНИЧКОВ АЛЕКСАНДР ЮРИЕВИЧ</t>
  </si>
  <si>
    <t>ОООЭЛИТ ОЙЛ</t>
  </si>
  <si>
    <t>350087, КРАСНОДАРСКИЙ КРАЙ, Г КРАСНОДАР, УЛ РОССИЙСКАЯ, Д. 303, ОФИС 1</t>
  </si>
  <si>
    <t>ООО ПРЕМИУМ КАР</t>
  </si>
  <si>
    <t>350000, КРАСНОДАРСКИЙ КРАЙ, Г КРАСНОДАР, УЛ ИМ. БРАТЬЕВ ИГНАТОВЫХ, Д.17</t>
  </si>
  <si>
    <t>ООО АВАНГАРД ПЛЮС</t>
  </si>
  <si>
    <t>350000, КРАСНОДАРСКИЙ КРАЙ, Г КРАСНОДАР, УЛ КАРАСУНСКАЯ, Д.96, А, 6</t>
  </si>
  <si>
    <t>ООО КСТ</t>
  </si>
  <si>
    <t>350000, КРАСНОДАРСКИЙ КРАЙ, Г КРАСНОДАР, УЛ МИРА, Д. 59</t>
  </si>
  <si>
    <t>ООО КТС</t>
  </si>
  <si>
    <t>350072, РОССИЯ, КРАСНОДАРСКИЙ КРАЙ, Г.О. ГОРОД КРАСНОДАР, Г КРАСНОДАР, УЛ ТОПОЛИНАЯ, Д. 4, ПОМЕЩ. 18</t>
  </si>
  <si>
    <t>ООО КГС-АВТОЦЕНТР</t>
  </si>
  <si>
    <t>350059, КРАСНОДАРСКИЙ КРАЙ, Г КРАСНОДАР, УЛ ТИХОРЕЦКАЯ, Д. 24/1, К. -, ОФИС -</t>
  </si>
  <si>
    <t>ООО СЕРВИС-ЮГ</t>
  </si>
  <si>
    <t>350038, КРАСНОДАРСКИЙ КРАЙ, Г КРАСНОДАР, УЛ ИМ. ЩОРСА, Д. 1, КВ. 15</t>
  </si>
  <si>
    <t>ООО ФЛ-ЮГ</t>
  </si>
  <si>
    <t>ООО ПРЕМИУМ КАР ВОСТОК</t>
  </si>
  <si>
    <t>350015, РОССИЯ, КРАСНОДАРСКИЙ КРАЙ, Г.О. ГОРОД КРАСНОДАР, Г КРАСНОДАР, УЛ НОВОКУЗНЕЧНАЯ, Д. 34/1</t>
  </si>
  <si>
    <t>ИП ЖИРОВ СЕРГЕЙ АЛЕКСАНДРОВИЧ</t>
  </si>
  <si>
    <t>ИП СЕМЕНОВ СЕРГЕЙ ИГОРЕВИЧ</t>
  </si>
  <si>
    <t>ООО ЮГ-ОЙЛ-СЕРВИС</t>
  </si>
  <si>
    <t>350012, КРАСНОДАРСКИЙ КРАЙ, Г КРАСНОДАР, УЛ КРАСНЫХ ПАРТИЗАН, Д. 67</t>
  </si>
  <si>
    <t>ООО ЮРТО-ТРАКЦЕНТР</t>
  </si>
  <si>
    <t>350072, КРАСНОДАРСКИЙ КРАЙ, Г КРАСНОДАР, УЛ РОСТОВСКОЕ ШОССЕ, Д. 47, ЛИТЕР Ж, ПОМЕЩ. 8</t>
  </si>
  <si>
    <t>ООО ДЦ ЮГ-АВТО</t>
  </si>
  <si>
    <t>350005, КРАСНОДАРСКИЙ КРАЙ, Г КРАСНОДАР, УЛ ИМ. ДЗЕРЖИНСКОГО, Д.102</t>
  </si>
  <si>
    <t>ООО ЭСДИЭН-ГРУПП</t>
  </si>
  <si>
    <t>350012, РОССИЯ, КРАСНОДАРСКИЙ КРАЙ, Г.О. ГОРОД КРАСНОДАР, Г КРАСНОДАР, УЛ КРУГОВАЯ, Д. 44, ОФИС 4/304</t>
  </si>
  <si>
    <t>ООО КРАСНОДАРЭЛЕКТРО</t>
  </si>
  <si>
    <t>350001, РОССИЯ, КРАСНОДАРСКИЙ КРАЙ, Г.О. ГОРОД КРАСНОДАР, Г КРАСНОДАР, УЛ ИМ. БОЛОТНИКОВА, Д. 24/2, ОФИС 208</t>
  </si>
  <si>
    <t>ООО АРСЕНАЛЭЛЕКТРО</t>
  </si>
  <si>
    <t>350012, КРАСНОДАРСКИЙ КРАЙ, Г КРАСНОДАР, ТЕР ОТДЕЛЕНИЕ №2 АФ СОЛНЕЧНАЯ, Д. 9/5</t>
  </si>
  <si>
    <t>ИП ГОРБАЧЕВ АЛЕКСАНДР СЕРГЕЕВИЧ</t>
  </si>
  <si>
    <t>ИП ДОКУЧАЕВ ВИКТОР АЛЕКСАНДРОВИЧ</t>
  </si>
  <si>
    <t>ИП БЕЛГОВА ЕКАТЕРИНА ВИКТОРОВНА</t>
  </si>
  <si>
    <t>ООО ТД АНЛИМ</t>
  </si>
  <si>
    <t>350005, КРАСНОДАРСКИЙ КРАЙ, Г КРАСНОДАР, УЛ КОНЕЧНАЯ, Д. 2, ОФИС 3</t>
  </si>
  <si>
    <t>ООО АСПЕКТ</t>
  </si>
  <si>
    <t>350072, КРАСНОДАРСКИЙ КРАЙ, Г.О. ГОРОД КРАСНОДАР, Г КРАСНОДАР, УЛ ТОПОЛИНАЯ, Д. 14, ПОМЕЩ. 2</t>
  </si>
  <si>
    <t>ООО АВКОР</t>
  </si>
  <si>
    <t>350012, КРАСНОДАРСКИЙ КРАЙ, Г КРАСНОДАР, УЛ КРАСНЫХ ПАРТИЗАН, Д. 2, К. 4, ОФИС 1</t>
  </si>
  <si>
    <t>ООО ЗЕНИТ</t>
  </si>
  <si>
    <t>350028, РОССИЯ, КРАСНОДАРСКИЙ КРАЙ, Г.О. ГОРОД КРАСНОДАР, Г КРАСНОДАР, УЛ ВОСТОЧНО-КРУГЛИКОВСКАЯ, Д. 42/3, К. 2</t>
  </si>
  <si>
    <t>ООО РИОМЕД</t>
  </si>
  <si>
    <t>350072, КРАСНОДАРСКИЙ КРАЙ, Г КРАСНОДАР, УЛ РОСТОВСКОЕ ШОССЕ, Д. 30/В, К. 2, КВ. 70</t>
  </si>
  <si>
    <t>ООО ШТУЦЕНЮГ</t>
  </si>
  <si>
    <t>350016, КРАСНОДАРСКИЙ КРАЙ, Г.О. ГОРОД КРАСНОДАР, Г КРАСНОДАР, УЛ РОССИЙСКАЯ, Д. 251, ПОМЕЩ. 4</t>
  </si>
  <si>
    <t>ООО КАПИТАЛ ГРУПП</t>
  </si>
  <si>
    <t>350072, КРАСНОДАРСКИЙ КРАЙ, Г КРАСНОДАР, УЛ ТОПОЛИНАЯ, Д. 14/1, ОФИС 5</t>
  </si>
  <si>
    <t>ИП ХАЧАТУРЯН АЛЕКСАНДР МИХАЙЛОВИЧ</t>
  </si>
  <si>
    <t>ИП ДЕМЕШКО ИВАН ВАЛЕРЬЕВИЧ</t>
  </si>
  <si>
    <t>ООО РУСТРАНС-ЛОГИСТИК</t>
  </si>
  <si>
    <t>350005, РОССИЯ, КРАСНОДАРСКИЙ КРАЙ, Г.О. ГОРОД КРАСНОДАР, Г КРАСНОДАР, УЛ ИМ. ДЗЕРЖИНСКОГО, Д. 80/1</t>
  </si>
  <si>
    <t>ИП ДАНИЕЛЯН АРСЕН ОГАНЕСОВИЧ</t>
  </si>
  <si>
    <t>ООО ДЕРЖИ</t>
  </si>
  <si>
    <t>350012, РОССИЯ, КРАСНОДАРСКИЙ КРАЙ, Г.О. ГОРОД КРАСНОДАР, Г КРАСНОДАР, ТЕР ОТДЕЛЕНИЕ №2 АФ СОЛНЕЧНАЯ, Д. 9/5</t>
  </si>
  <si>
    <t>ООО С-ФОРБ ИМПОРТ</t>
  </si>
  <si>
    <t>350005, РОССИЯ, КРАСНОДАРСКИЙ КРАЙ, Г.О. ГОРОД КРАСНОДАР, Г КРАСНОДАР, УЛ ПИТЕРСКАЯ, Д. 40, ПОМЕЩ. 1252</t>
  </si>
  <si>
    <t>ИП МЕДВЕДЕВ АЛЕКСАНДР СЕРГЕЕВИЧ</t>
  </si>
  <si>
    <t>ИП БОНДАРЕНКО АЛЕКСАНДР ВАСИЛЬЕВИЧ</t>
  </si>
  <si>
    <t>ООО  ДАРУС</t>
  </si>
  <si>
    <t>КРАСНОДАРСКИЙ КРАЙ, Г.О. ГОРОД КРАСНОДАР, ТЕР. АВТОДОРОГА А-289 КРАСНОДАР - СЛАВЯНСК-НА-КУБАНИ - ТЕМРЮК - АВТОМОБИЛЬНАЯ ДОРОГА А-290 НОВОРОССИЙСК - КЕРЧЬ, КМ 5-Й, Д. 5, СТР. А</t>
  </si>
  <si>
    <t>ООО МИРТЕХ-КУБАНЬ</t>
  </si>
  <si>
    <t>350059, КРАСНОДАРСКИЙ КРАЙ, Г КРАСНОДАР, УЛ УРАЛЬСКАЯ, Д.134</t>
  </si>
  <si>
    <t>ООО СЕРВИС АВТОМОБИЛЕЙ ГЕРМАНИИ</t>
  </si>
  <si>
    <t>350910, КРАСНОДАРСКИЙ КРАЙ, Г КРАСНОДАР, УЛ ИМ. КРУПСКОЙ (ПАШКОВСКИЙ ЖИЛОЙ МАССИВ ТЕР.), Д. 8/4</t>
  </si>
  <si>
    <t>ООО АТЕРА</t>
  </si>
  <si>
    <t>350059, КРАСНОДАРСКИЙ КРАЙ, Г КРАСНОДАР, УЛ НОВОРОССИЙСКАЯ, Д. 210, ЛИТЕР Н/Я МАНСАРДА, КОМ. 4</t>
  </si>
  <si>
    <t>ИП ГАНЕНКО АЛЕКСАНДР ВАЛЕРЬЕВИЧ</t>
  </si>
  <si>
    <t>ООО ТЕХНО-ТЕМП</t>
  </si>
  <si>
    <t>350080, КРАСНОДАРСКИЙ КРАЙ, Г КРАСНОДАР, УЛ БОРОДИНСКАЯ, Д. 160/3</t>
  </si>
  <si>
    <t>ИП ПОРОХНЯ ЕВГЕНИЙ ГРИГОРЬЕВИЧ</t>
  </si>
  <si>
    <t>ООО АВТО ДЛЯ ВАС</t>
  </si>
  <si>
    <t>350080, КРАСНОДАРСКИЙ КРАЙ, Г КРАСНОДАР, УЛ ГОРЯЧЕКЛЮЧЕВСКАЯ (ПАШКОВСКИЙ ЖИЛОЙ МАССИВ ТЕР.), Д. 2</t>
  </si>
  <si>
    <t>ООО ДИЗЕЛЬ-СЕРВИС</t>
  </si>
  <si>
    <t>350080, КРАСНОДАРСКИЙ КРАЙ, Г КРАСНОДАР, УЛ ИМ. ДЕМУСА М.Н., Д. 9/5</t>
  </si>
  <si>
    <t>ООО ЭМЕКС</t>
  </si>
  <si>
    <t>350080, КРАСНОДАРСКИЙ КРАЙ, Г КРАСНОДАР, УЛ УРАЛЬСКАЯ, Д. 170, К. 6, ПОМЕЩ. 1</t>
  </si>
  <si>
    <t>ООО МАСЛА И СМАЗКИ</t>
  </si>
  <si>
    <t>350912, КРАСНОДАРСКИЙ КРАЙ, Г КРАСНОДАР, УЛ ИМ. ЕВДОКИИ БЕРШАНСКОЙ (ПАШКОВСКИЙ ЖИЛОЙ МАССИВ ТЕР.), Д. 345/11</t>
  </si>
  <si>
    <t>ИП СТАДНИКОВА ЕЛЕНА ГЕННАДЬЕВНА</t>
  </si>
  <si>
    <t>ООО ДИЛЕРСКИЙ ЦЕНТР ЮГ</t>
  </si>
  <si>
    <t>350065, КРАСНОДАРСКИЙ КРАЙ, Г КРАСНОДАР, УЛ КРУЖЕВНАЯ, Д. 5, ОФИС 20</t>
  </si>
  <si>
    <t>ООО АВЭКС</t>
  </si>
  <si>
    <t>350059, КРАСНОДАРСКИЙ КРАЙ, Г КРАСНОДАР, УЛ НОВОРОССИЙСКАЯ, Д.154</t>
  </si>
  <si>
    <t>ИП ЧУБИТ РУСЛАН АДАМОВИЧ</t>
  </si>
  <si>
    <t>ООО АГРО-ПРАЙМ</t>
  </si>
  <si>
    <t>350059, КРАСНОДАРСКИЙ КРАЙ, Г КРАСНОДАР, УЛ УРАЛЬСКАЯ, Д. 134</t>
  </si>
  <si>
    <t>ООО АВТОРЕМЦЕНТР</t>
  </si>
  <si>
    <t>ООО КГС</t>
  </si>
  <si>
    <t>350059, КРАСНОДАРСКИЙ КРАЙ, Г КРАСНОДАР, УЛ ТИХОРЕЦКАЯ, Д. 24/1</t>
  </si>
  <si>
    <t>ООО ЛТ</t>
  </si>
  <si>
    <t>350059, КРАСНОДАРСКИЙ КРАЙ, Г КРАСНОДАР, УЛ ТИХОРЕЦКАЯ, Д. 26А, ОФИС 213</t>
  </si>
  <si>
    <t>ООО НИМКАР</t>
  </si>
  <si>
    <t>350060, КРАСНОДАРСКИЙ КРАЙ, Г КРАСНОДАР, П ЗЕЛЕНОПОЛЬСКИЙ, УЛ ЮЖНАЯ, Д. 1/1, ОФИС 1</t>
  </si>
  <si>
    <t>ООО ЮСТ</t>
  </si>
  <si>
    <t>350059, РОССИЯ, КРАСНОДАРСКИЙ КРАЙ, Г.О. ГОРОД КРАСНОДАР, Г КРАСНОДАР, УЛ ТЕКСТИЛЬНАЯ, Д. 9/2, ПОМЕЩ. 8</t>
  </si>
  <si>
    <t>АО РОСТВЕРК</t>
  </si>
  <si>
    <t>350065, РОССИЯ, КРАСНОДАРСКИЙ КРАЙ, Г.О. ГОРОД КРАСНОДАР, Г КРАСНОДАР, ТЕР. СНТ ИЗЛУЧИНА-КУБАНЬ, УЛ БЕРЕЗОВАЯ, Д. 8</t>
  </si>
  <si>
    <t>ООО ГОСТ-ДИЗЕЛЬ</t>
  </si>
  <si>
    <t>350912, РОССИЯ, КРАСНОДАРСКИЙ КРАЙ, Г.О. ГОРОД КРАСНОДАР, Г КРАСНОДАР, ТЕР. ПАШКОВСКИЙ ЖИЛОЙ МАССИВ, УЛ ИМ. ЕВДОКИИ БЕРШАНСКОЙ, Д. 353/5, ПОМЕЩ. 1</t>
  </si>
  <si>
    <t>ООО АВТО ПАПА</t>
  </si>
  <si>
    <t>350059, РОССИЯ, КРАСНОДАРСКИЙ КРАЙ, Г.О. ГОРОД КРАСНОДАР, Г КРАСНОДАР, УЛ УРАЛЬСКАЯ, Д. 98/11, ПОМЕЩ. 11250</t>
  </si>
  <si>
    <t>ИП ЛАВРИНЕНКО ТАТЬЯНА ИВАНОВНА</t>
  </si>
  <si>
    <t>ИП ДУБИНИН ИГОРЬ ВЛАДИМИРОВИЧ</t>
  </si>
  <si>
    <t>ИП КОРЯКИНА ЛИНА ВАЛЕРЬЕВНА</t>
  </si>
  <si>
    <t>ИП ДОРОХОВ ВЯЧЕСЛАВ ИГОРЕВИЧ</t>
  </si>
  <si>
    <t>ИП Волкова Ольга Геннадиевна</t>
  </si>
  <si>
    <t>ИП КОШАДЗЕ РОБЕРТ ГЕРОНТЬЕВИЧ</t>
  </si>
  <si>
    <t>ИП ИЗРАИЛОВА АНАСТАСИЯ АЛЕКСАНДРОВНА</t>
  </si>
  <si>
    <t>ИП БРОДОВСКИЙ ПЕТР ВЛАДИМИРОВИЧ</t>
  </si>
  <si>
    <t>ИП СНИСАРЕНКО АЛЕКСАНДР ТИМОФЕЕВИЧ</t>
  </si>
  <si>
    <t>ООО  СВ-ДИЗЕЛЬКОМ</t>
  </si>
  <si>
    <t>352502, КРАСНОДАРСКИЙ КРАЙ, Р-Н ЛАБИНСКИЙ, Г ЛАБИНСК, УЛ ЖУКОВСКОГО, Д.20</t>
  </si>
  <si>
    <t>ИП ОВЧАРЕНКО ИРИНА ИОСИФОВНА</t>
  </si>
  <si>
    <t>ИП БУТЕНКО НАТАЛЬЯ ВАЛЕРЬЕВНА</t>
  </si>
  <si>
    <t>ИП ДОНЕЦ ВЛАДИМИР АНАТОЛЬЕВИЧ</t>
  </si>
  <si>
    <t>ИП МОВЧАН СЕРГЕЙ МИХАЙЛОВИЧ</t>
  </si>
  <si>
    <t>ООО ГРУЗОВЫЕ ЗАПЧАСТИ НОВОРОССИЙСК</t>
  </si>
  <si>
    <t>353902, КРАСНОДАРСКИЙ КРАЙ, Г НОВОРОССИЙСК, Ш СУХУМСКОЕ, Д.98 А</t>
  </si>
  <si>
    <t>ООО ПАНОЙЛ</t>
  </si>
  <si>
    <t>353907, КРАСНОДАРСКИЙ КРАЙ, Г.О. ГОРОД НОВОРОССИЙСК, Г НОВОРОССИЙСК, УЛ ЛУНАЧАРСКОГО, Д. 27, ПОМЕЩ. 4</t>
  </si>
  <si>
    <t>ООО НОВОКАР</t>
  </si>
  <si>
    <t>353919, КРАСНОДАРСКИЙ КРАЙ, Г НОВОРОССИЙСК, Ш МЫСХАКСКОЕ, Д.48</t>
  </si>
  <si>
    <t>ИП ИВАНОВ ВЛАДИСЛАВ ПАВЛОВИЧ</t>
  </si>
  <si>
    <t>ИП ЛЕВИТОВ ВАДИМ АЛЕКСЕЕВИЧ</t>
  </si>
  <si>
    <t>ООО Р-МОТОРС</t>
  </si>
  <si>
    <t>353960, КРАСНОДАРСКИЙ КРАЙ, Г.О. ГОРОД НОВОРОССИЙСК, Г НОВОРОССИЙСК, ТЕР. ЦЕМДОЛИНА, УЛ ЛЕНИНА, Д. 7И</t>
  </si>
  <si>
    <t>ООО ЮГТЕХСНАБ</t>
  </si>
  <si>
    <t>353960, КРАСНОДАРСКИЙ КРАЙ, Г НОВОРОССИЙСК, С КИРИЛЛОВКА, УЛ ПОБЕДЫ, Д.10</t>
  </si>
  <si>
    <t>ИП Межов Евгений Александрович</t>
  </si>
  <si>
    <t>ООО МСИТ-ЮГ</t>
  </si>
  <si>
    <t>353917, КРАСНОДАРСКИЙ КРАЙ, Г НОВОРОССИЙСК, УЛ КУТУЗОВСКАЯ, Д.53</t>
  </si>
  <si>
    <t>ООО НОВОРОСТРАКАВТО</t>
  </si>
  <si>
    <t>353960, КРАСНОДАРСКИЙ КРАЙ, Г НОВОРОССИЙСК, С БОРИСОВКА, УЛ СУВОРОВА, Д. 71</t>
  </si>
  <si>
    <t>ООО ГЛОБАЛ СИ ИМПОРТ</t>
  </si>
  <si>
    <t>353900, КРАСНОДАРСКИЙ КРАЙ, Г НОВОРОССИЙСК, УЛ КАРЛА МАРКСА, Д. 2, КВ. 56</t>
  </si>
  <si>
    <t>ИП Дидик Грикор Ашотович</t>
  </si>
  <si>
    <t>ООО АБС ТРЕВЕЛ</t>
  </si>
  <si>
    <t>354340, КРАСНОДАРСКИЙ КРАЙ, Г СОЧИ, УЛ ЛЕНИНА (АДЛЕРСКИЙ Р-Н), Д. 286Ж</t>
  </si>
  <si>
    <t>ИП КОЧКОНЯН АНДРЕЙ РАФИКОВИЧ</t>
  </si>
  <si>
    <t>ИП ПОСТАВНИН ГРИГОРИЙ ГРИГОРЬЕВИЧ</t>
  </si>
  <si>
    <t>ИП УЗУНЯН ВИТАЛИЙ ВИЛЬГЕНОВИЧ</t>
  </si>
  <si>
    <t>ИП ТИЩЕНКО ИГОРЬ ВАСИЛЬЕВИЧ</t>
  </si>
  <si>
    <t>ИП ФАЕРТАГ АЛЕКСЕЙ ЮРЬЕВИЧ</t>
  </si>
  <si>
    <t>ИП ШУГАЕВ АЛЕКСАНДР ЛЕОНИДОВИЧ</t>
  </si>
  <si>
    <t>ИП Демидова Лариса Владимировна</t>
  </si>
  <si>
    <t>ИП АНТРОПОВ АЛЕКСАНДР ВИКТОРОВИЧ</t>
  </si>
  <si>
    <t>ИП ЛОГВИНЕНКО НИКИТА АНДРЕЕВИЧ</t>
  </si>
  <si>
    <t>ИП ОСИПЯН ВИКТОР НАВАСАРТОВИЧ</t>
  </si>
  <si>
    <t>ИП ТРОФИМОВ МИХАИЛ РОМАНОВИЧ</t>
  </si>
  <si>
    <t>ИП ГУДЫМ АЛЕКСАНДР АЛЕКСАНДРОВИЧ</t>
  </si>
  <si>
    <t>ИП РИДЬКО ОЛЕГ НИКОЛАЕВИЧ</t>
  </si>
  <si>
    <t>ИП ЛУКАС ВИКТОРИЯ СЕМЕНОВНА</t>
  </si>
  <si>
    <t>ООО ЭНЕРГИЯ</t>
  </si>
  <si>
    <t>350005, КРАСНОДАРСКИЙ КРАЙ, Г КРАСНОДАР, УЛ ВОЛГОГРАДСКАЯ, Д. 139/1, ОФИС 301</t>
  </si>
  <si>
    <t>ООО ИН-АВТО</t>
  </si>
  <si>
    <t>350059, КРАСНОДАРСКИЙ КРАЙ, Г.О. ГОРОД КРАСНОДАР, Г КРАСНОДАР, УЛ ТЕКСТИЛЬНАЯ, Д. 9Б</t>
  </si>
  <si>
    <t>ООО ТЭК</t>
  </si>
  <si>
    <t>350033, КРАСНОДАРСКИЙ КРАЙ, Г.О. ГОРОД КРАСНОДАР, Г КРАСНОДАР, УЛ ДМИТРИЕВСКАЯ ДАМБА, Д. 10, КВ. 71</t>
  </si>
  <si>
    <t>ООО ТКМ</t>
  </si>
  <si>
    <t>350063, РОССИЯ, КРАСНОДАРСКИЙ КРАЙ, Г.О. ГОРОД КРАСНОДАР, Г КРАСНОДАР, УЛ КУБАНСКАЯ НАБЕРЕЖНАЯ, Д. 33, ОФИС 901</t>
  </si>
  <si>
    <t>ООО ДОРОГА 23</t>
  </si>
  <si>
    <t>350089, РОССИЯ, КРАСНОДАРСКИЙ КРАЙ, Г.О. ГОРОД КРАСНОДАР, Г КРАСНОДАР, УЛ РОЖДЕСТВЕНСКАЯ НАБЕРЕЖНАЯ, Д. 3, КВ. 172</t>
  </si>
  <si>
    <t>ИП КАСАТКИНА НАТАЛЬЯ ВИКТОРОВНА</t>
  </si>
  <si>
    <t>ООО ЛУКОЙЛ-ЮГНЕФТЕПРОДУКТ</t>
  </si>
  <si>
    <t>350033, КРАСНОДАРСКИЙ КРАЙ, Г КРАСНОДАР, УЛ СТАВРОПОЛЬСКАЯ, Д. 2/1</t>
  </si>
  <si>
    <t>ИП ВОРОБЬЕВА ЕКАТЕРИНА МИХАЙЛОВНА</t>
  </si>
  <si>
    <t>ИП КУТЬКО АЛЕКСЕЙ ЮРЬЕВИЧ</t>
  </si>
  <si>
    <t>ИП ЯРЫШКА ФЕДОР ПАВЛОВИЧ</t>
  </si>
  <si>
    <t>ООО ВЕРШИНА</t>
  </si>
  <si>
    <t>350001, КРАСНОДАРСКИЙ КРАЙ, Г КРАСНОДАР, УЛ ИМ. ВИШНЯКОВОЙ, Д. 2, ЛИТЕР С, ОФИС 15</t>
  </si>
  <si>
    <t>ОООЮГЭНЕРГО</t>
  </si>
  <si>
    <t>350011, КРАСНОДАРСКИЙ КРАЙ, Г КРАСНОДАР, УЛ ОБРЫВНАЯ, Д.131</t>
  </si>
  <si>
    <t>ООО ЕВРОТЕХНИКА</t>
  </si>
  <si>
    <t>350011, КРАСНОДАРСКИЙ КРАЙ, Г КРАСНОДАР, УЛ ОБРЫВНАЯ, Д. 129, К. Г26, ОФИС 6</t>
  </si>
  <si>
    <t>ООО ЕВРО ОЙЛ ГРУПП</t>
  </si>
  <si>
    <t>350001, РОССИЯ, КРАСНОДАРСКИЙ КРАЙ, Г.О. ГОРОД КРАСНОДАР, Г КРАСНОДАР, УЛ ИМ. ВИШНЯКОВОЙ, Д. 5/2, ОФИС 8/3-2</t>
  </si>
  <si>
    <t>ИП ЕРЕМЯНЦ АЛЕКСАНДР ЛЕОНТЬЕВИЧ</t>
  </si>
  <si>
    <t>ИП ОЛЕЙНИКОВ ВИТАЛИЙ ЮРЬЕВИЧ</t>
  </si>
  <si>
    <t>ИП ЛУКАШОВ ЛЕОНИД ВЛАДИМИРОВИЧ</t>
  </si>
  <si>
    <t>ООО БАКРА</t>
  </si>
  <si>
    <t>350901, КРАСНОДАРСКИЙ КРАЙ, Г.О. ГОРОД КРАСНОДАР, Г КРАСНОДАР, УЛ РОССИЙСКАЯ, Д. 354, ПОМЕЩ. 64</t>
  </si>
  <si>
    <t>ООО ГАРАНТ</t>
  </si>
  <si>
    <t>350020, РОССИЯ, КРАСНОДАРСКИЙ КРАЙ, Г.О. ГОРОД КРАСНОДАР, Г КРАСНОДАР, УЛ ИМ. ГАВРИЛОВА П.М., Д. 100, ПОМЕЩ. 33</t>
  </si>
  <si>
    <t>ООО ПРЕМИУМ КАР ЮГ</t>
  </si>
  <si>
    <t>ГБУЗ ККБ № 2</t>
  </si>
  <si>
    <t>350012, КРАСНОДАРСКИЙ КРАЙ, Г КРАСНОДАР, УЛ КРАСНЫХ ПАРТИЗАН, Д.6, К.2</t>
  </si>
  <si>
    <t>ООО ТЕМП АВТО К</t>
  </si>
  <si>
    <t>350010, КРАСНОДАРСКИЙ КРАЙ, Г КРАСНОДАР, УЛ РОСТОВСКОЕ ШОССЕ, Д.12/6</t>
  </si>
  <si>
    <t>ИП СОЛОДОВ ДЕНИС ЕВГЕНЬЕВИЧ</t>
  </si>
  <si>
    <t>ООО ЧОП ЩИТ-СВ</t>
  </si>
  <si>
    <t>350002, КРАСНОДАРСКИЙ КРАЙ, Г КРАСНОДАР, УЛ САДОВАЯ, Д. 161/2, К. 1, ПОМЕЩ. 56</t>
  </si>
  <si>
    <t>ИП ЛОШКОБАНОВ ИВАН РОМАНОВИЧ</t>
  </si>
  <si>
    <t>ИП МОРОЗОВА НАТАЛЬЯ ВИКТОРОВНА</t>
  </si>
  <si>
    <t>ООО АСТ</t>
  </si>
  <si>
    <t>350012, КРАСНОДАРСКИЙ КРАЙ, Г КРАСНОДАР, КНИИСХ ИМ. П.П.ЛУКЬЯНЕНКО ЦЕНТРАЛЬНАЯ УСАДЬБА</t>
  </si>
  <si>
    <t>ИП ЛОБКО РИММА ВЛАДИМИРОВНА</t>
  </si>
  <si>
    <t>ООО ЮРТО-ТРАК</t>
  </si>
  <si>
    <t>350072, КРАСНОДАРСКИЙ КРАЙ, Г КРАСНОДАР, УЛ РОСТОВСКОЕ ШОССЕ, Д. 47, ЛИТЕР Ж, ПОМЕЩ. 7</t>
  </si>
  <si>
    <t>ООО ЭЛЕКТРОКОМПЛЕКТ</t>
  </si>
  <si>
    <t>350042, КРАСНОДАРСКИЙ КРАЙ, Г КРАСНОДАР, УЛ ИППОДРОМНАЯ, Д. 53, К. 1, КВ. 7</t>
  </si>
  <si>
    <t>ООО ТЕМП АВТО СЕРВИС</t>
  </si>
  <si>
    <t>350080, КРАСНОДАРСКИЙ КРАЙ, Г КРАСНОДАР, УЛ БОРОДИНСКАЯ, ДОМ 160/3</t>
  </si>
  <si>
    <t>ИП ЛОШКОБАНОВ АЛЕКСАНДР РОМАНОВИЧ</t>
  </si>
  <si>
    <t>ООО САРЕЗ</t>
  </si>
  <si>
    <t>350011, КРАСНОДАРСКИЙ КРАЙ, Г КРАСНОДАР, УЛ ОБРЫВНАЯ, Д 129/4, ОФ 1</t>
  </si>
  <si>
    <t>ИП НАУМЕНКО ВАДИМ ВЯЧЕСЛАВОВИЧ</t>
  </si>
  <si>
    <t>ИП ТОНОЯН АРТУР ВИТАЛЬЕВИЧ</t>
  </si>
  <si>
    <t>ООО ТЕХНИКА ГРУПП</t>
  </si>
  <si>
    <t>350056, КРАСНОДАРСКИЙ КРАЙ, Г.О. ГОРОД КРАСНОДАР, П ИНДУСТРИАЛЬНЫЙ, ТЕР. ПЕРСПЕКТИВНАЯ, Д. 699, ПОМЕЩ. 11</t>
  </si>
  <si>
    <t>ООО КВ ПАРТ</t>
  </si>
  <si>
    <t>350032, КРАСНОДАРСКИЙ КРАЙ, Г.О. ГОРОД КРАСНОДАР, Х ОКТЯБРЬСКИЙ, ТЕР. НСТ РАДУЖНОЕ, УЛ БЕЛАЯ, Д. 34, СТР. Б</t>
  </si>
  <si>
    <t>ООО ТОРГСЕРВИС 123</t>
  </si>
  <si>
    <t>350072, КРАСНОДАРСКИЙ КРАЙ, Г КРАСНОДАР, УЛ ТОПОЛИНАЯ АЛЛЕЯ, Д. 2/1, ОФИС 2</t>
  </si>
  <si>
    <t>ООО МАГЕЛЛАН-СЕРВИС</t>
  </si>
  <si>
    <t>350056, КРАСНОДАРСКИЙ КРАЙ, Г.О. ГОРОД КРАСНОДАР, П ИНДУСТРИАЛЬНЫЙ, УЛ СОЛНЕЧНАЯ, Д. 2Ж, ПОМЕЩ. 101, 201</t>
  </si>
  <si>
    <t>ООО РЕНТЮГСТРОЙ</t>
  </si>
  <si>
    <t>ООО АВТОТРЕЙД-КРАСНОДАР</t>
  </si>
  <si>
    <t>350005, КРАСНОДАРСКИЙ КРАЙ, Г КРАСНОДАР, УЛ ИМ. ДЗЕРЖИНСКОГО, Д. 231/Б, ПОМЕЩ. 105</t>
  </si>
  <si>
    <t>ООО МЕГАПАРТС</t>
  </si>
  <si>
    <t>350022, РОССИЯ, КРАСНОДАРСКИЙ КРАЙ, Г.О. ГОРОД КРАСНОДАР, Г КРАСНОДАР, УЛ ВОЛОГОДСКАЯ, Д. 1, ПОМЕЩ. 1</t>
  </si>
  <si>
    <t>ООО АЛЬФАПАРТС</t>
  </si>
  <si>
    <t>350087, КРАСНОДАРСКИЙ КРАЙ, Г.О. ГОРОД КРАСНОДАР, Г КРАСНОДАР, УЛ РОССИЙСКАЯ, Д. 402, ПОМЕЩ. 1</t>
  </si>
  <si>
    <t>ООО КВИР</t>
  </si>
  <si>
    <t>350053, КРАСНОДАРСКИЙ КРАЙ, Г.О. ГОРОД КРАСНОДАР, Г КРАСНОДАР, УЛ БАВАРСКАЯ, Д. 23, КВ. 7</t>
  </si>
  <si>
    <t>ООО ОСКАР</t>
  </si>
  <si>
    <t>350053, РОССИЯ, КРАСНОДАРСКИЙ КРАЙ, Г.О. ГОРОД КРАСНОДАР, Г КРАСНОДАР, УЛ НАРОДНАЯ, Д. 68А, ОФИС 302</t>
  </si>
  <si>
    <t>ООО СПС СЕРВИС</t>
  </si>
  <si>
    <t>350010, РОССИЯ, КРАСНОДАРСКИЙ КРАЙ, Г.О. ГОРОД КРАСНОДАР, Г КРАСНОДАР, УЛ АВТОМОБИЛЬНАЯ, Д. 10</t>
  </si>
  <si>
    <t>ИП ДУЖЕНКОВ РОМАН ГЕОРГИЕВИЧ</t>
  </si>
  <si>
    <t>ИП СТАНИСЛАВ ЮРИЙ АНАТОЛЬЕВИЧ</t>
  </si>
  <si>
    <t>ИП КОРСУН РИММА ИВАНОВНА</t>
  </si>
  <si>
    <t>СТАРОКОРСУНСКОЕ  ПО</t>
  </si>
  <si>
    <t>350909, КРАСНОДАРСКИЙ КРАЙ, Г.О. ГОРОД КРАСНОДАР, СТ-ЦА СТАРОКОРСУНСКАЯ, УЛ ПРОЛЕТАРСКАЯ, Д. 37/2</t>
  </si>
  <si>
    <t>ИП НЕНЬКО ЗОЯ ПАВЛОВНА</t>
  </si>
  <si>
    <t>ИП ЗАРУБИНА ВАЛЕРИЯ АЛЕКСАНДРОВНА</t>
  </si>
  <si>
    <t>ИП ШЕВЕЛЬКО СЕРГЕЙ НИКОЛАЕВИЧ</t>
  </si>
  <si>
    <t>ИП ВЕРЕЩАК СЕРГЕЙ ВИКТОРОВИЧ</t>
  </si>
  <si>
    <t>ООО АВТ КУБАНЬ</t>
  </si>
  <si>
    <t>350059, КРАСНОДАРСКИЙ КРАЙ, Г КРАСНОДАР, УЛ НОВОРОССИЙСКАЯ, Д.15</t>
  </si>
  <si>
    <t>ООО ЕВРОСТАР-АГРО</t>
  </si>
  <si>
    <t>350066, КРАСНОДАРСКИЙ КРАЙ, Г КРАСНОДАР, УЛ ПРОСТОРНАЯ, Д.11, 5</t>
  </si>
  <si>
    <t>ИП КАЮДЕНКО ЕЛЕНА СЕРГЕЕВНА</t>
  </si>
  <si>
    <t>ИП МИРОНОВ ДЕНИС НИКОЛАЕВИЧ</t>
  </si>
  <si>
    <t>ИП НОВИКОВ НИКОЛАЙ ВАЛЕНТИНОВИЧ</t>
  </si>
  <si>
    <t>ИП БЕРЕЖНОЙ ДЕНИС АЛЕКСАНДРОВИЧ</t>
  </si>
  <si>
    <t>ИП ТАРАН ЕВГЕНИЙ ЕВГЕНЬЕВИЧ</t>
  </si>
  <si>
    <t>ООО ФОР ОПТ</t>
  </si>
  <si>
    <t>350001, КРАСНОДАРСКИЙ КРАЙ, Г КРАСНОДАР, УЛ ИМ. ШЕВЧЕНКО, Д. 152, К. 4, ОФИС 305-306</t>
  </si>
  <si>
    <t>ООО ДМ-АВТОПРЕМЬЕР</t>
  </si>
  <si>
    <t>350912, РОССИЯ, КРАСНОДАРСКИЙ КРАЙ, Г.О. ГОРОД КРАСНОДАР, Г КРАСНОДАР, ТЕР. ПАШКОВСКИЙ ЖИЛОЙ МАССИВ, УЛ КРАЙНЯЯ, Д. 82, ОФИС 25</t>
  </si>
  <si>
    <t>ООО АЛСФОРТ РИТЕЙЛ</t>
  </si>
  <si>
    <t>350059, РОССИЯ, КРАСНОДАРСКИЙ КРАЙ, Г.О. ГОРОД КРАСНОДАР, Г КРАСНОДАР, УЛ ТЕКСТИЛЬНАЯ, Д. 9Б, ОФИС 2</t>
  </si>
  <si>
    <t>ООО ТД МЕГАСИНТЕЗ</t>
  </si>
  <si>
    <t>350059, РОССИЯ, КРАСНОДАРСКИЙ КРАЙ, Г.О. ГОРОД КРАСНОДАР, Г КРАСНОДАР, УЛ ИМ. ЛИЗЫ ЧАЙКИНОЙ, Д. 6/9, КАБИНЕТ № 13</t>
  </si>
  <si>
    <t>ООО ВЕЛЕС</t>
  </si>
  <si>
    <t>350055, РОССИЯ, КРАСНОДАРСКИЙ КРАЙ, Г.О. ГОРОД КРАСНОДАР, П ЗНАМЕНСКИЙ, ТЕР. ДНТ ГИДРОСТРОИТЕЛЬ, УЛ ОРЕХОВАЯ, Д. 157</t>
  </si>
  <si>
    <t>ИП ДРОГАЛЕВ ЮРИЙ ВИКТОРОВИЧ</t>
  </si>
  <si>
    <t>ИП ЛАРИОНОВА ЕЛЕНА ИВАНОВНА</t>
  </si>
  <si>
    <t>ИП МОРГУНОВ СЕРГЕЙ ИВАНОВИЧ</t>
  </si>
  <si>
    <t>ИП ГУСЕЙНОВ РУСЛАН РАШИДОВИЧ</t>
  </si>
  <si>
    <t>ИП ВЛАСОВА АНАСТАСИЯ ФЕДОРОВНА</t>
  </si>
  <si>
    <t>ООО ГОРИЗОНТ-ПЛЮС</t>
  </si>
  <si>
    <t>353915, КРАСНОДАРСКИЙ КРАЙ, Г НОВОРОССИЙСК, УЛ УКРАИНСКАЯ, Д.17</t>
  </si>
  <si>
    <t>ИП Сакович Николай Владимирович</t>
  </si>
  <si>
    <t>ИП Пачкория Николай Шалвович</t>
  </si>
  <si>
    <t>ООО НАТ</t>
  </si>
  <si>
    <t>353998, КРАСНОДАРСКИЙ КРАЙ, Г.О. ГОРОД НОВОРОССИЙСК, С ВЛАДИМИРОВКА, ТЕР. АВТОДОРОГА НОВОРОССИЙСК-КЕРЧЕНСКИЙ ПРОЛИВ, КМ 10-Й, Д. 7</t>
  </si>
  <si>
    <t>ИП ШАРАЕВ ПАВЕЛ НИКОЛАЕВИЧ</t>
  </si>
  <si>
    <t>ИП НИКОЛАЕВА ОЛЬГА АЛЕКСАНДРОВНА</t>
  </si>
  <si>
    <t>ООО ДРАЙВ-АВТО-НК</t>
  </si>
  <si>
    <t>353995, РОССИЯ, КРАСНОДАРСКИЙ КРАЙ, Г.О. ГОРОД НОВОРОССИЙСК, С АБРАУ-ДЮРСО, УЛ СОСНОВЫЙ БОР, Д. 10</t>
  </si>
  <si>
    <t>ООО ПРОГРЕСС СМ</t>
  </si>
  <si>
    <t>353900, РОССИЯ, КРАСНОДАРСКИЙ КРАЙ, Г.О. ГОРОД НОВОРОССИЙСК, Г НОВОРОССИЙСК, УЛ СИПЯГИНА, Д. 5, ОФИС 4</t>
  </si>
  <si>
    <t>ООО РАЛЛИ-СПОРТ</t>
  </si>
  <si>
    <t>353925, РОССИЯ, КРАСНОДАРСКИЙ КРАЙ, Г.О. ГОРОД НОВОРОССИЙСК, Г НОВОРОССИЙСК, УЛ МОЛОДЕЖНАЯ, Д. 10, КВ. 21</t>
  </si>
  <si>
    <t>ИП ОВЧАРЕНКО ИГОРЬ МИХАЙЛОВИЧ</t>
  </si>
  <si>
    <t>ИП ИВАЩЕНКО ВИКТОР ВЛАДИМИРОВИЧ</t>
  </si>
  <si>
    <t>ИП АВЕНЯН ВАРАЗДАТ АЗАТОВИЧ</t>
  </si>
  <si>
    <t>ООО РИБИКОМ</t>
  </si>
  <si>
    <t>353900, КРАСНОДАРСКИЙ КРАЙ, Г.О. ГОРОД НОВОРОССИЙСК, Г НОВОРОССИЙСК, УЛ СОВЕТОВ, Д. 42, ОФИС 236</t>
  </si>
  <si>
    <t>ООО ЛИНК</t>
  </si>
  <si>
    <t>353924, КРАСНОДАРСКИЙ КРАЙ, Г.О. ГОРОД НОВОРОССИЙСК, Г НОВОРОССИЙСК, ПР-КТ ЛЕНИНА, Д. 95И, ПОМЕЩ. IX</t>
  </si>
  <si>
    <t>ИП МИНАСЯН СЕРГЕЙ ТИГРАНОВИЧ</t>
  </si>
  <si>
    <t>ООО  АБС-АВТО СОЧИ</t>
  </si>
  <si>
    <t>ИП СОБОЛЕВ АЛЬБЕРТ ВИКТОРОВИЧ</t>
  </si>
  <si>
    <t>ИП ТАКМАЗЬЯН ЭДУАРД РОБЕРТОВИЧ</t>
  </si>
  <si>
    <t>ООО МАРКА И К</t>
  </si>
  <si>
    <t>354238, РОССИЯ, КРАСНОДАРСКИЙ КРАЙ, Г.О. ГОРОД-КУРОРТ СОЧИ, АУЛ ТХАГАПШ, ПЕР ЦЕЛЕБНЫЙ, Д. 3</t>
  </si>
  <si>
    <t>ИП УШХО ЛЮДМИЛА РУСЛАНОВНА</t>
  </si>
  <si>
    <t>ИП УНАНЯН АСМИК ВАРУЖАНОВНА</t>
  </si>
  <si>
    <t>ИП ПОПОВА РОЗАЛИЯ РАФАЭЛЕВНА</t>
  </si>
  <si>
    <t>ИП Трач Валерия Дмитриевна</t>
  </si>
  <si>
    <t>ИП НИКОНОРОВА АНГЕЛИНА ВЛАДИМИРОВНА</t>
  </si>
  <si>
    <t>ИП САЕНКО АНДРЕЙ ГЕННАДЬЕВИЧ</t>
  </si>
  <si>
    <t>ИП ТУАЕВ ЛЕВАН ЗАУРОВИЧ</t>
  </si>
  <si>
    <t>ООО ФИРМА ФОРТУНА</t>
  </si>
  <si>
    <t>354000, КРАСНОДАРСКИЙ КРАЙ, Г СОЧИ, УЛ КОНСТИТУЦИИ СССР, Д. 44А</t>
  </si>
  <si>
    <t>ИП ДОЛДОВ МАКСИМ АНДРЕЕВИЧ</t>
  </si>
  <si>
    <t>ИП ОКИШЕВА АНАСТАСИЯ СЕРГЕЕВНА</t>
  </si>
  <si>
    <t>ООО ТК ПАПА КАРЛО</t>
  </si>
  <si>
    <t>354057, КРАСНОДАРСКИЙ КРАЙ, Г.О. ГОРОД-КУРОРТ СОЧИ, Г СОЧИ, УЛ НЕВСКАЯ, Д. 19, КВ. 99</t>
  </si>
  <si>
    <t>ИП ЯРОВОЙ НИКОЛАЙ ВАДИМОВИЧ</t>
  </si>
  <si>
    <t>ИП ХЛАМЦОВ ИГОРЬ НИКОЛАЕВИЧ</t>
  </si>
  <si>
    <t>ИП ЧУВАЛДЖЯН СЕРГЕЙ КИВОРКОВИЧ</t>
  </si>
  <si>
    <t>ИП КОРЯКОВСКИЙ МАКСИМ АЛЕКСАНДРОВИЧ</t>
  </si>
  <si>
    <t>ИП ЗОТОВ ТАРАС ЮРЬЕВИЧ</t>
  </si>
  <si>
    <t>ИП СЕМЕНОВ ДЕНИС ВАСИЛЬЕВИЧ</t>
  </si>
  <si>
    <t>ИП СИВОПЛЯСОВ ДМИТРИЙ СЕРГЕЕВИЧ</t>
  </si>
  <si>
    <t>ИП СТЕПАНЕНКО МАКСИМ АЛЕКСАНДРОВИЧ</t>
  </si>
  <si>
    <t>ИП ПАВЕЛКОВА АЛЁНА ОЛЕГОВНА</t>
  </si>
  <si>
    <t>ИП СОРУШЕВ АЛЕКСЕЙ МИХАЙЛОВИЧ</t>
  </si>
  <si>
    <t>ИП ВОЛКОВА ЕВГЕНИЯ СЕРГЕЕВНА</t>
  </si>
  <si>
    <t>ИП ИВАНЬКО ВЯЧЕСЛАВ ГРИГОРЬЕВИЧ</t>
  </si>
  <si>
    <t>ИП ГОНЧАРОВ АЛЕКСАНДР ПЕТРОВИЧ</t>
  </si>
  <si>
    <t>ИП БЕСПАЛОВА ЛЮДМИЛА ИВАНОВНА</t>
  </si>
  <si>
    <t>ИП ГОНЧАРОВ ЕВГЕНИЙ ПЕТРОВИЧ</t>
  </si>
  <si>
    <t>ИП АРУТЮНЯН ГРААТ САНДРОЕВИЧ</t>
  </si>
  <si>
    <t>ИП ПЕТРОВА ВИКТОРИЯ ВИКТОРОВНА</t>
  </si>
  <si>
    <t>ИП Стрельников Николай Николаевич</t>
  </si>
  <si>
    <t>ИП МИНАСЯН АРТЁМ ДАВИДОВИЧ</t>
  </si>
  <si>
    <t>ИП СОЛОШКО АЛЕКСЕЙ ГРИГОРЬЕВИЧ</t>
  </si>
  <si>
    <t>ИП ПОНОМАРЕВ ИГОРЬ АНАТОЛЬЕВИЧ</t>
  </si>
  <si>
    <t>ИП ПЕТРОВ ДАНИИЛ ВАЛЕРЬЕВИЧ</t>
  </si>
  <si>
    <t>ИП ВАЛЕЕВ ДАНИЛ РАЖАБОВИЧ</t>
  </si>
  <si>
    <t>ООО АЛСФОРТ</t>
  </si>
  <si>
    <t>350018, КРАСНОДАРСКИЙ КРАЙ, Г КРАСНОДАР, УЛ ТЕКСТИЛЬНАЯ, Д. 9/Б, ОФИС 8</t>
  </si>
  <si>
    <t>ООО ДМ-АВТО-СЕРВИС</t>
  </si>
  <si>
    <t>350912, КРАСНОДАРСКИЙ КРАЙ, Г КРАСНОДАР, УЛ КРАЙНЯЯ (ПАШКОВСКИЙ ЖИЛОЙ МАССИВ ТЕР.), Д. 82</t>
  </si>
  <si>
    <t>ООО СПЕКТР</t>
  </si>
  <si>
    <t>350059, КРАСНОДАРСКИЙ КРАЙ, Г КРАСНОДАР, УЛ НОВОРОССИЙСКАЯ, Д. 220, К. Е, ОФИС 10</t>
  </si>
  <si>
    <t>ООО М СЕРВИС</t>
  </si>
  <si>
    <t>350061, РОССИЯ, КРАСНОДАРСКИЙ КРАЙ, Г.О. ГОРОД КРАСНОДАР, Г КРАСНОДАР, УЛ ИМ. ДМИТРИЯ БЛАГОЕВА, Д. 2, ПОМЕЩ. 1106</t>
  </si>
  <si>
    <t>ООО ЛОЗА АВТО</t>
  </si>
  <si>
    <t>350910, КРАСНОДАРСКИЙ КРАЙ, Г КРАСНОДАР, УЛ ИМ. МАЧУГИ В.Н., Д. 6, КВ. 222</t>
  </si>
  <si>
    <t>ООО ЕТП ЛОГИСТИК</t>
  </si>
  <si>
    <t>350018, КРАСНОДАРСКИЙ КРАЙ, Г КРАСНОДАР, УЛ ТЕКСТИЛЬНАЯ, Д. 9/Б, ОФИС 4, 1 ЭТАЖ</t>
  </si>
  <si>
    <t>ООО МИР БОЛЬШИХ МАШИН</t>
  </si>
  <si>
    <t>350056, КРАСНОДАРСКИЙ КРАЙ, Г.О. ГОРОД КРАСНОДАР, П ИНДУСТРИАЛЬНЫЙ, УЛ СОЛНЕЧНАЯ, Д. 2Б</t>
  </si>
  <si>
    <t>ООО ФОРТУНА</t>
  </si>
  <si>
    <t>350059, КРАСНОДАРСКИЙ КРАЙ, Г КРАСНОДАР, УЛ НОВОРОССИЙСКАЯ, Д. 9/3</t>
  </si>
  <si>
    <t>ООО ФРЦ ЯМЗ 93</t>
  </si>
  <si>
    <t>350912, РОССИЯ, КРАСНОДАРСКИЙ КРАЙ, Г.О. ГОРОД КРАСНОДАР, Г КРАСНОДАР, ТЕР. ПАШКОВСКИЙ ЖИЛОЙ МАССИВ, УЛ ИМ. ЕВДОКИИ БЕРШАНСКОЙ, Д. 351/1, ПОМЕЩ. Е</t>
  </si>
  <si>
    <t>ООО АВТОРЕФОРМА</t>
  </si>
  <si>
    <t>350908, РОССИЯ, КРАСНОДАРСКИЙ КРАЙ, Г.О. ГОРОД КРАСНОДАР, СТ-ЦА СТАРОКОРСУНСКАЯ, УЛ ИМ. ШЕВЧЕНКО, Д. 6</t>
  </si>
  <si>
    <t>ИП ШЕЛЯГ МИХАИЛ МИХАЙЛОВИЧ</t>
  </si>
  <si>
    <t>ИП КИЧЕРМАН РОМАН АНДРЕЕВИЧ</t>
  </si>
  <si>
    <t>ИП ПЕРЕХОДОВ АНДРЕЙ СЕРГЕЕВИЧ</t>
  </si>
  <si>
    <t>ИП САРКИСЯН АЛЬБЕРТ АЛЬБЕРТОВИЧ</t>
  </si>
  <si>
    <t>ИП ЛЫСОЧЕНКО КОНСТАНТИН ЮРЬЕВИЧ</t>
  </si>
  <si>
    <t>ИП ТРОФИМЕНКО ИВАН ИВАНОВИЧ</t>
  </si>
  <si>
    <t>ИП НАРОХИН ПАВЕЛ ПЕТРОВИЧ</t>
  </si>
  <si>
    <t>ИП ОВЧАРЕНКО МИХАИЛ ИГОРЕВИЧ</t>
  </si>
  <si>
    <t>ИП СЕРДЕШНОВ СЕРГЕЙ ВЛАДИМИРОВИЧ</t>
  </si>
  <si>
    <t>ИП САФОНКИН АЛЕКСАНДР ВЛАДИМИРОВИЧ</t>
  </si>
  <si>
    <t>ИП МАРАХОВИЧ АНДРЕЙ ПЕТРОВИЧ</t>
  </si>
  <si>
    <t>ИП ПИЦЕНКО СЕРГЕЙ ВАСИЛЬЕВИЧ</t>
  </si>
  <si>
    <t>ИП БОДНИЙ АРТУР ВИКТОРОВИЧ</t>
  </si>
  <si>
    <t>ООО ВЫБОР - С</t>
  </si>
  <si>
    <t>353960, КРАСНОДАРСКИЙ КРАЙ, Г НОВОРОССИЙСК, С ЦЕМДОЛИНА, УЛ ПРОМЫШЛЕННАЯ, Д.5</t>
  </si>
  <si>
    <t>ООО НОВОРОС-ОЙЛ</t>
  </si>
  <si>
    <t>353960, КРАСНОДАРСКИЙ КРАЙ, Г НОВОРОССИЙСК, С ЦЕМДОЛИНА, УЛ ЗОЛОТАЯ РЫБКА, Д. 1</t>
  </si>
  <si>
    <t>ООО МИП ЛТД</t>
  </si>
  <si>
    <t>353901, КРАСНОДАРСКИЙ КРАЙ, Г.О. ГОРОД НОВОРОССИЙСК, Г НОВОРОССИЙСК, УЛ САККО И ВАНЦЕТТИ, Д. 2, ОФИС 1</t>
  </si>
  <si>
    <t>ООО НОВОКАР 1</t>
  </si>
  <si>
    <t>353960, КРАСНОДАРСКИЙ КРАЙ, Г НОВОРОССИЙСК, УЛ 5-Я ПРОМЫШЛЕННАЯ (ЦЕМДОЛИНА ТЕР.), Д. 3</t>
  </si>
  <si>
    <t>ООО ЮГ-АВТО ЦЕНТР НОВОРОССИЙСК</t>
  </si>
  <si>
    <t>353960, КРАСНОДАРСКИЙ КРАЙ, Г.О. ГОРОД НОВОРОССИЙСК, Г НОВОРОССИЙСК, ТЕР. ЦЕМДОЛИНА, УЛ ЗОЛОТАЯ РЫБКА, Д. 122, ПОМЕЩ. 6</t>
  </si>
  <si>
    <t>ООО МАГНЕС</t>
  </si>
  <si>
    <t>353995, КРАСНОДАРСКИЙ КРАЙ, Г НОВОРОССИЙСК, С АБРАУ-ДЮРСО, УЛ НОВАЯ, Д. 6, 8</t>
  </si>
  <si>
    <t>ООО АВТО-ЮГ</t>
  </si>
  <si>
    <t>353907, КРАСНОДАРСКИЙ КРАЙ, Г НОВОРОССИЙСК, УЛ ВИДОВА, Д. 121А, К. 4, КВ. 29</t>
  </si>
  <si>
    <t>353983, РОССИЯ, КРАСНОДАРСКИЙ КРАЙ, Г.О. ГОРОД НОВОРОССИЙСК, СТ-ЦА РАЕВСКАЯ, УЛ КАЗАЧЬЯ, Д. 2В</t>
  </si>
  <si>
    <t>ИП ПАВЛОВСКИЙ РОМАН АНДРЕЕВИЧ</t>
  </si>
  <si>
    <t>ООО Л-АВТО</t>
  </si>
  <si>
    <t>353960, КРАСНОДАРСКИЙ КРАЙ, Г.О. ГОРОД НОВОРОССИЙСК, Г НОВОРОССИЙСК, ТЕР. ЦЕМДОЛИНА, УЛ ЛЕНИНА, Д. 7Л</t>
  </si>
  <si>
    <t>ОООБИ ЭС ДЖИ ТРЭЙД</t>
  </si>
  <si>
    <t>353900, РОССИЯ, КРАСНОДАРСКИЙ КРАЙ, Г.О. ГОРОД НОВОРОССИЙСК, Г НОВОРОССИЙСК, УЛ КАРЛА МАРКСА, Д. 17, ПОМЕЩ. 19</t>
  </si>
  <si>
    <t>ИП УСТЯН НИНА ИЛЬИНИЧНА</t>
  </si>
  <si>
    <t>ООО ТЕХНО ГРУПП</t>
  </si>
  <si>
    <t>354364, КРАСНОДАРСКИЙ КРАЙ, Г СОЧИ, УЛ ЛАЗУРНАЯ (АДЛЕРСКИЙ Р-Н), Д. 12</t>
  </si>
  <si>
    <t>ООО ТРЕЙДИНК</t>
  </si>
  <si>
    <t>354395, КРАСНОДАРСКИЙ КРАЙ, Г СОЧИ, УЛ ГАСТЕЛЛО (АДЛЕРСКИЙ Р-Н), Д. 38А</t>
  </si>
  <si>
    <t>ИП МАНУКЯН ДАВИД АЛЕКСАНДРОВИЧ</t>
  </si>
  <si>
    <t>МБУ ДО ОБРАЗОВАТЕЛЬНЫЙ ЦЕНТР СМЕНА</t>
  </si>
  <si>
    <t>354204, КРАСНОДАРСКИЙ КРАЙ, Г СОЧИ, УЛ СИБИРСКАЯ (ЛАЗАРЕВСКИЙ Р-Н), Д. 13</t>
  </si>
  <si>
    <t>ИП КЕРОПЯН СТЕПА ОГАНИЕСОВИЧ</t>
  </si>
  <si>
    <t>ИП СЕМЕНЧЕНКО АНДРЕЙ ГЕОРГИЕВИЧ</t>
  </si>
  <si>
    <t>ИП МАТВЕЕВ ЛЕОНТИЙ ГЕННАДИЕВИЧ</t>
  </si>
  <si>
    <t>ИП ДЕЙНЕГА ДЕНИС ВЛАДИМИРОВИЧ</t>
  </si>
  <si>
    <t>ИП ЛАРИОНОВ РОМАН БОРИСОВИЧ</t>
  </si>
  <si>
    <t>ООО ФИРМА СОЧИНСКИЙ БЕРЕГ</t>
  </si>
  <si>
    <t>354068, КРАСНОДАРСКИЙ КРАЙ, Г СОЧИ, УЛ ДОНСКАЯ, Д. 29, КВ. 4</t>
  </si>
  <si>
    <t>ИП РИЗАЕВА МАРИАННА ВАЛЕРЬЕВНА</t>
  </si>
  <si>
    <t>ООО СОЧИТРАКСЕРВИС</t>
  </si>
  <si>
    <t>354055, КРАСНОДАРСКИЙ КРАЙ, Г СОЧИ, УЛ КИПАРИСОВАЯ, Д. 4, ПОМЕЩ. 15</t>
  </si>
  <si>
    <t>ООО АРКАДА ГРАНД-АВТО</t>
  </si>
  <si>
    <t>354000, КРАСНОДАРСКИЙ КРАЙ, Г СОЧИ, УЛ ГОРЬКОГО, Д. 43, ОФИС 2</t>
  </si>
  <si>
    <t>ИП Дрындин Сергей Константинович</t>
  </si>
  <si>
    <t>ИП БАТИЩЕВ АНДРЕЙ ЕВГЕНЬЕВИЧ</t>
  </si>
  <si>
    <t>ИП Саркисян Тигран Дивикович</t>
  </si>
  <si>
    <t>ИП ГОРДИЕНКО АНАСТАСИЯ СЕРГЕЕВНА</t>
  </si>
  <si>
    <t>ООО АДОНИС</t>
  </si>
  <si>
    <t>352680, КРАСНОДАРСКИЙ КРАЙ, Р-Н АПШЕРОНСКИЙ, Г ХАДЫЖЕНСК, УЛ ПЕРВОМАЙСКАЯ, Д.1, К.А</t>
  </si>
  <si>
    <t>ИП ДАДУКИН СТАНИСЛАВ ВАДИМОВИЧ</t>
  </si>
  <si>
    <t>ИП АВДЕЕВ ИГОРЬ АЛЕКСАНДРОВИЧ</t>
  </si>
  <si>
    <t>ИП АВАНЕСЯН АЙК ЮРИЕВИЧ</t>
  </si>
  <si>
    <t>ИП СЕМЕНИСТЫЙ ЕВГЕНИЙ ГЕОРГИЕВИЧ</t>
  </si>
  <si>
    <t>ИП Яцкий Дмитрий Владимирович</t>
  </si>
  <si>
    <t>ИП ЗАБИЛЬСКИЙ АНАТОЛИЙ ИВАНОВИЧ</t>
  </si>
  <si>
    <t>ИП ОБЪЕДКОВ ПЁТР ГРИГОРЬЕВИЧ</t>
  </si>
  <si>
    <t>ИП ЗАКАБЛУЦКАЯ СВЕТЛАНА ГЕННАДЬЕВНА</t>
  </si>
  <si>
    <t>ИП Еременко Евгений Александрович</t>
  </si>
  <si>
    <t>ООО ДОМИНАНТ</t>
  </si>
  <si>
    <t>352192, КРАСНОДАРСКИЙ КРАЙ, Р-Н ГУЛЬКЕВИЧСКИЙ, Г ГУЛЬКЕВИЧИ, ПЕР СТРОИТЕЛЬНЫЙ, Д.5, К.А</t>
  </si>
  <si>
    <t>ИП ЛОБАЧЕВ ВЛАДИМИР ЕМЕЛЬЯНОВИЧ</t>
  </si>
  <si>
    <t>ИП ЛЕЩЕВ ВИТАЛИЙ НИКОЛАЕВИЧ</t>
  </si>
  <si>
    <t>ИП Шевченко Милана Давидовна</t>
  </si>
  <si>
    <t>ИП КОШКИН ВИКТОР АЛЕКСАНДРОВИЧ</t>
  </si>
  <si>
    <t>ИП ОВЧАРЕНКО ЛЮДМИЛА НИКОЛАЕВНА</t>
  </si>
  <si>
    <t>ИП ЛОМОВЦЕВА ЕЛЕНА АЛЕКСАНДРОВНА</t>
  </si>
  <si>
    <t>ИП ГОРОДЕЦКИЙ АНДРЕЙ ГЕННАДЬЕВИЧ</t>
  </si>
  <si>
    <t>ИП МОХОНЬ АНДРЕЙ ГЕННАДЬЕВИЧ</t>
  </si>
  <si>
    <t>ИП ДВОРЕЦКИЙ ВИКТОР ВЛАДИМИРОВИЧ</t>
  </si>
  <si>
    <t>ООО  МТС - ГК  СТЕПЬ</t>
  </si>
  <si>
    <t>353715, КРАСНОДАРСКИЙ КРАЙ, Р-Н КАНЕВСКОЙ, СТ-ЦА ЧЕЛБАССКАЯ, УЛ НАБЕРЕЖНАЯ, Д. 139, ОФИС 20</t>
  </si>
  <si>
    <t>ИП СТАДЗИНСКИЙ АЛЕКСАНДР ГЕННАДЬЕВИЧ</t>
  </si>
  <si>
    <t>ООО АМК</t>
  </si>
  <si>
    <t>350080, КРАСНОДАРСКИЙ КРАЙ, Г КРАСНОДАР, УЛ БОРОДИНСКАЯ, Д. 150/11, ЛИТЕР Л, ОФИС 33</t>
  </si>
  <si>
    <t>ГБУ СО КК КОРЕНОВСКИЙ ПНИ</t>
  </si>
  <si>
    <t>353182, КРАСНОДАРСКИЙ КРАЙ, Р-Н КОРЕНОВСКИЙ, Г КОРЕНОВСК, УЛ БУВАЛЬЦЕВА, Д. 87А</t>
  </si>
  <si>
    <t>ИП ТОНКОШКУРОВ АЛЕКСАНДР АНАТОЛЬЕВИЧ</t>
  </si>
  <si>
    <t>ИП ВЕТРОВ АНТОН ВЛАДИМИРОВИЧ</t>
  </si>
  <si>
    <t>ИП АНОХИН ДАН ВАЛЕРЬЕВИЧ</t>
  </si>
  <si>
    <t>ИП ШИРОКЯН АЛЕКСАНДР ГЕОРГИЕВИЧ</t>
  </si>
  <si>
    <t>ООО  ШИНОЙЛТРАНС</t>
  </si>
  <si>
    <t>ИП РОХИН СЕРГЕЙ СЕРГЕЕВИЧ</t>
  </si>
  <si>
    <t>ИП Тельнов Владимир Александрович</t>
  </si>
  <si>
    <t>ООО ТДАВТОПАРТНЕР</t>
  </si>
  <si>
    <t>353380, КРАСНОДАРСКИЙ КРАЙ, Р-Н КРЫМСКИЙ, Г КРЫМСК, УЛ ПРИВОКЗАЛЬНАЯ, Д. 60А</t>
  </si>
  <si>
    <t>ООО ЦИФРОМАРКЕТ</t>
  </si>
  <si>
    <t>350005, РОССИЯ, КРАСНОДАРСКИЙ КРАЙ, Г.О. ГОРОД КРАСНОДАР, Г КРАСНОДАР, УЛ КОРЕНОВСКАЯ, Д. 20, ОФИС 2</t>
  </si>
  <si>
    <t>ИП ЛЕНЁВ АЛЕКСАНДР ВЛАДИМИРОВИЧ</t>
  </si>
  <si>
    <t>ИП МАЛИШЕНКО ОЛЕГ ВЛАДИМИРОВИЧ</t>
  </si>
  <si>
    <t>ИП КОЛЕСНИКОВ АЛЕКСЕЙ АНАТОЛЬЕВИЧ</t>
  </si>
  <si>
    <t>ИП СААКЯН ВЛАДИМИР ВАНИКОВИЧ</t>
  </si>
  <si>
    <t>ИП КОРОБЛИН СТАНИСЛАВ ВИКТОРОВИЧ</t>
  </si>
  <si>
    <t>ИП ДЖУЛАКЯН АРАМ РАФИКОВИЧ</t>
  </si>
  <si>
    <t>ИП СЕРОВ СЕРЕЖА КОНСТАНТИНОВИЧ</t>
  </si>
  <si>
    <t>ИП КОНОНЕНКО АЛЕКСАНДР НИКОЛАЕВИЧ</t>
  </si>
  <si>
    <t>ИП КВАС ИРИНА ВЛАДИМИРОВНА</t>
  </si>
  <si>
    <t>ИП ОСОВИЙ МИХАИЛ АЛЕКСЕЕВИЧ</t>
  </si>
  <si>
    <t>ИП ЛАПТЕВ МИХАИЛ АЛЕКСАНДРОВИЧ</t>
  </si>
  <si>
    <t>ИП ДОЛЖЕНКО МАКСИМ СЕРГЕЕВИЧ</t>
  </si>
  <si>
    <t>ИП ГРИЦЫНИНА ЛЮДМИЛА КАЗИМИРОВНА</t>
  </si>
  <si>
    <t>ИП ЗАХАРОВ АЛЕКСЕЙ СЕРГЕЕВИЧ</t>
  </si>
  <si>
    <t>ИП Чекурда Виктор Николаевич</t>
  </si>
  <si>
    <t>ИП СОФИЧ ЮЛИЯ ВАСИЛЬЕВНА</t>
  </si>
  <si>
    <t>ИП БУРЬЯН НИКОЛАЙ ВЛАДИМИРОВИЧ</t>
  </si>
  <si>
    <t>ИП Криворогова Ирина Ильинична</t>
  </si>
  <si>
    <t>ИП КОРКАЧ ИРИНА АНАТОЛЬЕВНА</t>
  </si>
  <si>
    <t>ИП ЯМНОВА АНАСТАСИЯ ВИТАЛЬЕВНА</t>
  </si>
  <si>
    <t>ИП КРАВЧЕНКО ЕЛЕНА АНДРЕЕВНА</t>
  </si>
  <si>
    <t>ИП БРОВА ЛЮДМИЛА ЕВСТАФЬЕВНА</t>
  </si>
  <si>
    <t>ИП ФРОЛОВ СЕРГЕЙ ВЛАДИМИРОВИЧ</t>
  </si>
  <si>
    <t>ИП ТОПОРОВ АЛЕКСАНДР МИХАЙЛОВИЧ</t>
  </si>
  <si>
    <t>ИП МАЗУР ИННА АНАТОЛЬЕВНА</t>
  </si>
  <si>
    <t>ООО МИР АВТОМАСЛА</t>
  </si>
  <si>
    <t>354000, КРАСНОДАРСКИЙ КРАЙ, Г СОЧИ, УЛ ТРАНСПОРТНАЯ, Д. 14/2</t>
  </si>
  <si>
    <t>ИП ЛЕБЕДЬ АНДРЕЙ СЕРГЕЕВИЧ</t>
  </si>
  <si>
    <t>ИП ВЕЛИЧКО ИРИНА ЮРЬЕВНА</t>
  </si>
  <si>
    <t>ИП Долбня Александр Викторович</t>
  </si>
  <si>
    <t>ИП Ступак Елена Михайловна</t>
  </si>
  <si>
    <t>ИП ОЛЬКОВ ЕВГЕНИЙ ВЛАДИМИРОВИЧ</t>
  </si>
  <si>
    <t>ИП ЗАЛЕВСКИЙ ЕВГЕНИЙ ВЛАДИМИРОВИЧ</t>
  </si>
  <si>
    <t>ИП КРИВОНОС ЮЛИЯ ЕВГЕНЬЕВНА</t>
  </si>
  <si>
    <t>ИП ПОЛОСОВ ПАВЕЛ АЛЕКСАНДРОВИЧ</t>
  </si>
  <si>
    <t>ИП ЖЕРДА ОЛЕГ ИВАНОВИЧ</t>
  </si>
  <si>
    <t>ИП ГОРБАНЕНКО АЛЕКСАНДР АЛЕКСЕЕВИЧ</t>
  </si>
  <si>
    <t>ИП КИСЕЛЬ ЕЛЕНА СЕРГЕЕВНА</t>
  </si>
  <si>
    <t>ООО ТРАНС-ОЙЛ</t>
  </si>
  <si>
    <t>350080, КРАСНОДАРСКИЙ КРАЙ, Г КРАСНОДАР, УЛ ЕССЕНТУКСКАЯ (ПАШКОВСКИЙ ЖИЛОЙ МАССИВ ТЕР.), Д. 8, ЛИТЕР В,В1, ПОМЕЩ. 4</t>
  </si>
  <si>
    <t>ИП ЖУРАВЛЕВ АЛЕКСАНДР НИКОЛАЕВИЧ</t>
  </si>
  <si>
    <t>АО КРАСНОДАРСКИЙ АВТОЦЕНТР КАМАЗ</t>
  </si>
  <si>
    <t>353202, КРАСНОДАРСКИЙ КРАЙ, Р-Н ДИНСКОЙ, СТ-ЦА ДИНСКАЯ, УЛ КРАСНАЯ, Д. 125</t>
  </si>
  <si>
    <t>ИП ЗЕМЛЯНУХИН РОМАН ИГОРЕВИЧ</t>
  </si>
  <si>
    <t>ИП ГУРИНА ИРИНА МИХАЙЛОВНА</t>
  </si>
  <si>
    <t>ИП ИЛЮШНИКОВ МИХАИЛ НИКОЛАЕВИЧ</t>
  </si>
  <si>
    <t>ИП КОПЫТОВА ИРИНА НИКОЛАЕВНА</t>
  </si>
  <si>
    <t>ИП МИЛИЧКИН ОЛЕГ ГЕННАДЬЕВИЧ</t>
  </si>
  <si>
    <t>ИП КАЗНАЧЕЕВА ЛЮДМИЛА АНАТОЛЬЕВНА</t>
  </si>
  <si>
    <t>ИП ГАЗАНЧАН ЗАЛИНА РУСЛАНОВНА</t>
  </si>
  <si>
    <t>ИП ЩЕЛЧКОВ СЕРГЕЙ ЛЕОНИДОВИЧ</t>
  </si>
  <si>
    <t>ИП ЧЕКЕЛЕК КСЕНИЯ ВАЛЕНТИНОВНА</t>
  </si>
  <si>
    <t>ИП ДРУЗЬ НИКОЛАЙ АЛЕКСАНДРОВИЧ</t>
  </si>
  <si>
    <t>ООО ПО КАМАВТОРЕСУРС</t>
  </si>
  <si>
    <t>353807, КРАСНОДАРСКИЙ КРАЙ, Р-Н КРАСНОАРМЕЙСКИЙ, СТ-ЦА ПОЛТАВСКАЯ, УЛ Л.ТОЛСТОГО, Д. 4</t>
  </si>
  <si>
    <t>ИП Комарова Светлана Анатольевна</t>
  </si>
  <si>
    <t>ИП КЛЕЙМЕНОВ ПАВЕЛ ЮРЬЕВИЧ</t>
  </si>
  <si>
    <t>ИП Панов Валерий Аркадьевич</t>
  </si>
  <si>
    <t>ООО КОЛТ ЛТД</t>
  </si>
  <si>
    <t>353380, КРАСНОДАРСКИЙ КРАЙ, Р-Н КРЫМСКИЙ, Г КРЫМСК, УЛ МАРШАЛА ЖУКОВА, Д.50</t>
  </si>
  <si>
    <t>ООО КРЫМСКИЙ ТАМОЖЕННЫЙ ТЕРМИНАЛ</t>
  </si>
  <si>
    <t>353365, КРАСНОДАРСКИЙ КРАЙ, Р-Н КРЫМСКИЙ, П ЖЕМЧУЖНЫЙ, УЛ ШОССЕЙНАЯ, Д. 1Б</t>
  </si>
  <si>
    <t>ИП ЧЕНГЕЛИДИ ФИЛИПП НИКОЛАЕВИЧ</t>
  </si>
  <si>
    <t>ИП КОРНЕВА ЕЛЕНА НИКОЛАЕВНА</t>
  </si>
  <si>
    <t>ИП КОЗЛОВ АЛЕКСАНДР ВЛАДИМИРОВИЧ</t>
  </si>
  <si>
    <t>ИП ПАНОВ НИКОЛАЙ ВАЛЕРЬЕВИЧ</t>
  </si>
  <si>
    <t>ИП ЭККЕРТ АНАТОЛИЙ ВЛАДИМИРОВИЧ</t>
  </si>
  <si>
    <t>ИП ПАНАЕТИДИС ВАЛЕНТИН</t>
  </si>
  <si>
    <t>ИП ВОЛКОВА НАТАЛИЯ ВЛАДИМИРОВНА</t>
  </si>
  <si>
    <t>ИП КУРОЧКИНА ОЛЬГА ОЛЕГОВНА</t>
  </si>
  <si>
    <t>ИП ПШИКОВА НАТАЛЬЯ НИКОЛАЕВНА</t>
  </si>
  <si>
    <t>ООО НАТАША</t>
  </si>
  <si>
    <t>352001, КРАСНОДАРСКИЙ КРАЙ, Р-Н КУЩЕВСКИЙ, СТ-ЦА ШКУРИНСКАЯ, УЛ ГАГАРИНА, Д.20</t>
  </si>
  <si>
    <t>ИП ОСПИЩЕВА СВЕТЛАНА АЛЕКСАНДРОВНА</t>
  </si>
  <si>
    <t>ИП ТРЕГУБ ПАВЕЛ НИКОЛАЕВИЧ</t>
  </si>
  <si>
    <t>ИП ЛАГУТЕНКО СЕРГЕЙ СЕРГЕЕВИЧ</t>
  </si>
  <si>
    <t>ИП ИВАХНЕНКО ЕЛЕНА ВЛАДИМИРОВНА</t>
  </si>
  <si>
    <t>ИП БУРКОВСКИЙ АЛЕКСАНДР ЕВГЕНЬЕВИЧ</t>
  </si>
  <si>
    <t>ИП АВРАМОВ КОНСТАНТИН СТЕПАНОВИЧ</t>
  </si>
  <si>
    <t>ИП ГАЙДАЙ ВАДИМ СЕРГЕЕВИЧ</t>
  </si>
  <si>
    <t>ИП ПОНОМАРЕВ АЛЕКСАНДР АЛЕКСАНДРОВИЧ</t>
  </si>
  <si>
    <t>ИП Борисов Сергей Васильевич</t>
  </si>
  <si>
    <t>ИП ЦАРЕВА ИРИНА АНАТОЛЬЕВНА</t>
  </si>
  <si>
    <t>ИП ПОЛЯКОВ ЕВГЕНИЙ НИКОЛАЕВИЧ</t>
  </si>
  <si>
    <t>ИП УСАНОВ РОМАН ВИКТОРОВИЧ</t>
  </si>
  <si>
    <t>ИП МАЛЮК ТАТЬЯНА АНАТОЛЬЕВНА</t>
  </si>
  <si>
    <t>ИП ЕВЧЕНКО ЮРИЙ ВИКТОРОВИЧ</t>
  </si>
  <si>
    <t>ИП ТКАЧЕНКО ВЛАДИМИР ГАВРИЛОВИЧ</t>
  </si>
  <si>
    <t>ИП ЗАГУЛЯЕВ СТЕПАН МИХАЙЛОВИЧ</t>
  </si>
  <si>
    <t>ИП ЛЕВАШОВ КИРИЛЛ ЮРЬЕВИЧ</t>
  </si>
  <si>
    <t>ИП ПАСЕЧНЫЙ СЕРГЕЙ ИВАНОВИЧ</t>
  </si>
  <si>
    <t>ИП СОЛОМАХА АЛЕКСАНДР ВИКТОРОВИЧ</t>
  </si>
  <si>
    <t>ИП БЕНДАТНАЯ ИРИНА ОЛЕГОВНА</t>
  </si>
  <si>
    <t>ИП ОЛЕЙНИКОВА НАТАЛЬЯ АЛЕКСАНДРОВНА</t>
  </si>
  <si>
    <t>ИП ЧЕРНЫХ АЛЕКСАНДР СЕРГЕЕВИЧ</t>
  </si>
  <si>
    <t>ИП МЯЧЕВА СВЕТЛАНА ЛЕОНАРДОВНА</t>
  </si>
  <si>
    <t>ИП ГАЛИЕНКО АНТОН АНДРЕЕВИЧ</t>
  </si>
  <si>
    <t>ИП ТАРАНЕЦ АННА СЕРГЕЕВНА</t>
  </si>
  <si>
    <t>ИП СЕРГИЕНКО СЕРГЕЙ НИКОЛАЕВИЧ</t>
  </si>
  <si>
    <t>ИП ПЫДЫК ОЛЬГА ВАЛЕРЬЕВНА</t>
  </si>
  <si>
    <t>ИП АСАТРЯН АРТУР РОБЕРТОВИЧ</t>
  </si>
  <si>
    <t>ИП СИОРДИЯ ИНГА БИЧИКОВНА</t>
  </si>
  <si>
    <t>ИП НИЖУТИНА ЗИНАИДА КОНСТАНТИНОВНА</t>
  </si>
  <si>
    <t>ИП ХАЙНОВСКИЙ СЕРГЕЙ СЕРГЕЕВИЧ</t>
  </si>
  <si>
    <t>ИП ФАСТОВЕЦ ГАЛИНА ИВАНОВНА</t>
  </si>
  <si>
    <t>ИП КЕБА СЕРГЕЙ ВЛАДИМИРОВИЧ</t>
  </si>
  <si>
    <t>ИП БЕЙГУЛЕНКО ДМИТРИЙ АЛЕКСАНДРОВИЧ</t>
  </si>
  <si>
    <t>ИП КРАСИЦКИЙ АНДРЕЙ ИГОРЕВИЧ</t>
  </si>
  <si>
    <t>ИП СОЛОМКО РОМАН ВЛАДИМИРОВИЧ</t>
  </si>
  <si>
    <t>ИП ГАЛУСТЯН ХАЧИК КОЛЯЕВИЧ</t>
  </si>
  <si>
    <t>ИП ФИРСОВ АНДРЕЙ ВАЛЕРЬЕВИЧ</t>
  </si>
  <si>
    <t>ИП ПОЛУЯН ОКСАНА АЛЕКСАНДРОВНА</t>
  </si>
  <si>
    <t>ИП ГАВРАСЬ АНДРЕЙ ОЛЕГОВИЧ</t>
  </si>
  <si>
    <t>ИП ПИЧУЖКИН АЛЕКСАНДР АЛЕКСАНДРОВИЧ</t>
  </si>
  <si>
    <t>ООО ОК ПРОМЕТЕЙ</t>
  </si>
  <si>
    <t>352831, КРАСНОДАРСКИЙ КРАЙ, Р-Н ТУАПСИНСКИЙ, С НЕБУГ, ТЕР ОК ПРОМЕТЕЙ, Д. 1</t>
  </si>
  <si>
    <t>ИП МИХАЛЕВ АЛЕКСАНДР СЕРГЕЕВИЧ</t>
  </si>
  <si>
    <t>ООО ОЛПАРТС-ЮГ</t>
  </si>
  <si>
    <t>354053, РОССИЯ, КРАСНОДАРСКИЙ КРАЙ, Г.О. ГОРОД-КУРОРТ СОЧИ, Г СОЧИ, УЛ КРЫМСКАЯ, Д. 30, КВ. 29</t>
  </si>
  <si>
    <t>ООО АЛЬПИНА</t>
  </si>
  <si>
    <t>354393, РОССИЯ, КРАСНОДАРСКИЙ КРАЙ, Г.О. ГОРОД-КУРОРТ СОЧИ, Г СОЧИ, Р-Н АДЛЕРСКИЙ, УЛ КОСТРОМСКАЯ, Д. 59</t>
  </si>
  <si>
    <t>ООО БОСФОР</t>
  </si>
  <si>
    <t>354395, РОССИЯ, КРАСНОДАРСКИЙ КРАЙ, Г.О. ГОРОД-КУРОРТ СОЧИ, Г СОЧИ, Р-Н АДЛЕРСКИЙ, УЛ ГАСТЕЛЛО, Д. 23А, ПОМЕЩ. 117</t>
  </si>
  <si>
    <t>ООО СБСВ-КЛЮЧАВТО М-ВОЛГОГРАД</t>
  </si>
  <si>
    <t>353290, КРАСНОДАРСКИЙ КРАЙ, Г ГОРЯЧИЙ КЛЮЧ, УЛ РЕВОЛЮЦИИ, Д. 4, ОФИС 23</t>
  </si>
  <si>
    <t>ИП МИНАКОВА ОЛЬГА ИЛЬИНИЧНА</t>
  </si>
  <si>
    <t>ИП КАРПЕНКО ЮЛИЯ СЕРГЕЕВНА</t>
  </si>
  <si>
    <t>ИП ГАСПАРЯН АРАМ АШОТОВИЧ</t>
  </si>
  <si>
    <t>ИП Букатарь Игорь Сергеевич</t>
  </si>
  <si>
    <t>ИП ШУРЕПОВ АЛЕКСАНДР ВИТАЛЬЕВИЧ</t>
  </si>
  <si>
    <t>ИП АЛЛАХЯРОВ АСДАН ЗАКИР ОГЛЫ</t>
  </si>
  <si>
    <t>ИП БОРОВСКОЙ АЛЕКСАНДР ВИКТОРОВИЧ</t>
  </si>
  <si>
    <t>ИП ЗАПОЛЬСКИЙ ИГОРЬ ЮРЬЕВИЧ</t>
  </si>
  <si>
    <t>ИП ГАВРИЛЕНКО МАРИНА ВЛАДИМИРОВНА</t>
  </si>
  <si>
    <t>ИП ШАИНОВА СОФИЯ ГЕОРГИЕВНА</t>
  </si>
  <si>
    <t>ИП КИРИЧЕНКО АНДРЕЙ МИХАЙЛОВИЧ</t>
  </si>
  <si>
    <t>ИП Цинглер Елена Сергеевна</t>
  </si>
  <si>
    <t>ИП ОВАГЬЯН АРТУР КУРКЕНОВИЧ</t>
  </si>
  <si>
    <t>ИП ЗЫРЯНОВ ДМИТРИЙ СЕРГЕЕВИЧ</t>
  </si>
  <si>
    <t>ИП МУЗЫКА ДЕНИС ВЛАДИМИРОВИЧ</t>
  </si>
  <si>
    <t>ООО ТОРГОВЫЙ ДОМ АГРОТЕХСНАБ</t>
  </si>
  <si>
    <t>352401, КРАСНОДАРСКИЙ КРАЙ, Р-Н КУРГАНИНСКИЙ, СТ-ЦА МИХАЙЛОВСКАЯ, УЛ ЗОРЬКО, Д. 4А</t>
  </si>
  <si>
    <t>ИП Кун Михаил Эдуардович</t>
  </si>
  <si>
    <t>ИП КОРНИЕНКО НАТАЛИЯ НИКОЛАЕВНА</t>
  </si>
  <si>
    <t>ИП ЩЕРБИНА СВЕТЛАНА ГЕННАДЬЕВНА</t>
  </si>
  <si>
    <t>ИП АНДРЕЕВ АНДРЕЙ АЛЕКСАНДРОВИЧ</t>
  </si>
  <si>
    <t>ИП КОНОНЕНКО НАДЕЖДА ЕВГЕНЬЕВНА</t>
  </si>
  <si>
    <t>ИП ПОЛУЭКТОВ СЕРГЕЙ ВИКТОРОВИЧ</t>
  </si>
  <si>
    <t>ИП МАТРОС ЕЛЕНА ВЛАДИМИРОВНА</t>
  </si>
  <si>
    <t>ИП ШИРШОВ АНДРЕЙ ВАЛЕРЬЕВИЧ</t>
  </si>
  <si>
    <t>ИП ОГУРЛОВ РАМАЗАН РУСЛАНОВИЧ</t>
  </si>
  <si>
    <t>ИП ВЛАСОВ СЕРГЕЙ АЛЕКСАНДРОВИЧ</t>
  </si>
  <si>
    <t>ГБПОУ КК ПТПТ</t>
  </si>
  <si>
    <t>352070, КРАСНОДАРСКИЙ КРАЙ, Р-Н ПАВЛОВСКИЙ, СТ-ЦА НОВОЛЕУШКОВСКАЯ, УЛ ЛЕРМОНТОВА, Д.32, -, -</t>
  </si>
  <si>
    <t>ИП ЧУБ ДЕНИС ВАСИЛЬЕВИЧ</t>
  </si>
  <si>
    <t>ИП КОВАЛЕВ НИКОЛАЙ СЕРГЕЕВИЧ</t>
  </si>
  <si>
    <t>ИП ЕВЧЕНКО ГЕННАДИЙ ВИКТОРОВИЧ</t>
  </si>
  <si>
    <t>ИП ГОНЧАР АРТЕМ АЛЕКСАНДРОВИЧ</t>
  </si>
  <si>
    <t>ИП Борисов Евгений Геннадьевич</t>
  </si>
  <si>
    <t>ИП ТЕРЮХА ОЛЬГА АНАТОЛЬЕВНА</t>
  </si>
  <si>
    <t>ООО ЭНИКС ЛТД</t>
  </si>
  <si>
    <t>353235, КРАСНОДАРСКИЙ КРАЙ, Р-Н СЕВЕРСКИЙ, ПГТ АФИПСКИЙ, УЛ ШОССЕЙНАЯ, СТР. 8А</t>
  </si>
  <si>
    <t>ИП ГАРАНИН АНТОН ВЯЧЕСЛАВОВИЧ</t>
  </si>
  <si>
    <t>ИП ОБШАНСКИЙ РОМАН МИХАЙЛОВИЧ</t>
  </si>
  <si>
    <t>ИП КУКСА ЕЛЕНА ВИКТОРОВНА</t>
  </si>
  <si>
    <t>ИП ПЯТЫХ АННА ВИКТОРОВНА</t>
  </si>
  <si>
    <t>ИП ТАНАСОГЛО СЕМЕН ДМИТРИЕВИЧ</t>
  </si>
  <si>
    <t>ИП СКУБАК АНТОН АЛЕКСЕЕВИЧ</t>
  </si>
  <si>
    <t>ИП ЧУБАРЬ РАФАЭЛЬ ЛЕОНИДОВИЧ</t>
  </si>
  <si>
    <t>ИП ЗУБЕНКО СВЕТЛАНА АЛЕКСЕЕВНА</t>
  </si>
  <si>
    <t>ИП НИЖУТИН СЕРГЕЙ ВЛАДИМИРОВИЧ</t>
  </si>
  <si>
    <t>ИП ЧЕРНИКОВ ВИТАЛИЙ ИГОРЕВИЧ</t>
  </si>
  <si>
    <t>ИП РОМАНЧУК СЕРГЕЙ ЛЕОНИДОВИЧ</t>
  </si>
  <si>
    <t>ИП ДЕРЕВКОВ ВИТАЛИЙ ЮРЬЕВИЧ</t>
  </si>
  <si>
    <t>ИП ШАТУНОВА ЕКАТЕРИНА ВЯЧЕСЛАВОВНА</t>
  </si>
  <si>
    <t>ИП Тонких Сергей Валентинович</t>
  </si>
  <si>
    <t>ГУ САНАТОРИЙ БЕЛАЯ РУСЬ</t>
  </si>
  <si>
    <t>352832, РОССИЯ, КРАСНОДАРСКИЙ КРАЙ, М.О. ТУАПСИНСКИЙ, П МАЙСКИЙ, УЛ ЦЕНТРАЛЬНАЯ, Д. 14</t>
  </si>
  <si>
    <t>ИП ПИДРИЙКО ГРИГОРИЙ АЛЕКСАНДРОВИЧ</t>
  </si>
  <si>
    <t>ИП ДАНИЛОВ АРСЕНТИЙ СУРЕНОВИЧ</t>
  </si>
  <si>
    <t>ИП ФЁДОРОВ МАКСИМ ГЕННАДЬЕВИЧ</t>
  </si>
  <si>
    <t>ИП ТИТУХИН МАКСИМ ВИКТОРОВИЧ</t>
  </si>
  <si>
    <t>ИП АЛЕКСЕЕВ ЕВГЕНИЙ АЛЕКСАНДРОВИЧ</t>
  </si>
  <si>
    <t>ООО МАШИНЕРИ</t>
  </si>
  <si>
    <t>352129, КРАСНОДАРСКИЙ КРАЙ, Р-Н ТИХОРЕЦКИЙ, Г ТИХОРЕЦК, УЛ ОКТЯБРЬСКАЯ, Д. 59, КВ. 12</t>
  </si>
  <si>
    <t>ИП МАЛЫХИН ВЛАДИМИР АЛЕКСЕЕВИЧ</t>
  </si>
  <si>
    <t>ООО ГРАНАТ</t>
  </si>
  <si>
    <t>352190, КРАСНОДАРСКИЙ КРАЙ, Р-Н ГУЛЬКЕВИЧСКИЙ, Г ГУЛЬКЕВИЧИ, УЛ НЕВСКОГО, Д. 49</t>
  </si>
  <si>
    <t>ООО ВЕНОМ РУС</t>
  </si>
  <si>
    <t>352844, РОССИЯ, КРАСНОДАРСКИЙ КРАЙ, М.О. ТУАПСИНСКИЙ, ПГТ ДЖУБГА, УЛ ЛАВРОВА, Д. 12</t>
  </si>
  <si>
    <t>ИП УГЛЯНИЦА ИЛЬЯ АЛЕКСАНДРОВИЧ</t>
  </si>
  <si>
    <t>ИП ДЕГТЕРЕВ СЕРГЕЙ ИГОРЕВИЧ</t>
  </si>
  <si>
    <t>ООО АБС-АВТО СОЧИ ЯЛР</t>
  </si>
  <si>
    <t>354340, РОССИЯ, КРАСНОДАРСКИЙ КРАЙ, Г.О. ГОРОД-КУРОРТ СОЧИ, Г СОЧИ, Р-Н АДЛЕРСКИЙ, УЛ ЛЕНИНА, Д. 286Ж, ОФИС 1</t>
  </si>
  <si>
    <t>ООО СТАРТЕК ПЛЮС</t>
  </si>
  <si>
    <t>353290, КРАСНОДАРСКИЙ КРАЙ, Г ГОРЯЧИЙ КЛЮЧ, УЛ ЯРОСЛАВСКОГО, Д. 106А, ПОМЕЩ. 3</t>
  </si>
  <si>
    <t>ИП БОГДАН АЛЕКСАНДР АЛЕКСАНДРОВИЧ</t>
  </si>
  <si>
    <t>ООО ТД ПОДШИПНИКМАШ</t>
  </si>
  <si>
    <t>353560, КРАСНОДАРСКИЙ КРАЙ, Р-Н СЛАВЯНСКИЙ, Г СЛАВЯНСК-НА-КУБАНИ, УЛ КУРСКАЯ, Д.16</t>
  </si>
  <si>
    <t>353560, КРАСНОДАРСКИЙ КРАЙ, Р-Н СЛАВЯНСКИЙ, Г СЛАВЯНСК-НА-КУБАНИ, УЛ ЛЕНИНА, Д. 33</t>
  </si>
  <si>
    <t>ООО ФОРТИС ОЙЛ</t>
  </si>
  <si>
    <t>353560, КРАСНОДАРСКИЙ КРАЙ, Р-Н СЛАВЯНСКИЙ, Г СЛАВЯНСК-НА-КУБАНИ, УЛ ОТДЕЛЬСКАЯ, Д. 186</t>
  </si>
  <si>
    <t>ООО ИМПОРТСЕРВИС</t>
  </si>
  <si>
    <t>352030, КРАСНОДАРСКИЙ КРАЙ, М.Р-Н КУЩЕВСКИЙ, СТ-ЦА КУЩЕВСКАЯ, С.П. КУЩЕВСКОЕ, УЛ ГАГАРИНА, Д. 8</t>
  </si>
  <si>
    <t>ИП МАЛХАСЯН КРИСТИНА АРТУРОВНА</t>
  </si>
  <si>
    <t>ООО КТК</t>
  </si>
  <si>
    <t>350059, КРАСНОДАРСКИЙ КРАЙ, Г.О. ГОРОД КРАСНОДАР, Г КРАСНОДАР, УЛ НОВОРОССИЙСКАЯ, Д. 102/8, ОФИС 303</t>
  </si>
  <si>
    <t>ООО АЛЬФА ТЕХНОЛОГИИ</t>
  </si>
  <si>
    <t>352916, РОССИЯ, КРАСНОДАРСКИЙ КРАЙ, Г.О. ГОРОД АРМАВИР, Г АРМАВИР, УЛ ЛИНЕЙНАЯ, Д. 21</t>
  </si>
  <si>
    <t>ООО КАММ</t>
  </si>
  <si>
    <t>352900, РОССИЯ, КРАСНОДАРСКИЙ КРАЙ, Г.О. ГОРОД АРМАВИР, Г АРМАВИР, ТЕР СЕВЕРНАЯ ПРОМЗОНА, Д. 30</t>
  </si>
  <si>
    <t>ООО МБК</t>
  </si>
  <si>
    <t>353217, КРАСНОДАРСКИЙ КРАЙ, Р-Н ДИНСКОЙ, П ЮЖНЫЙ, УЛ ВОДОЗАБОРНАЯ, Д. 58</t>
  </si>
  <si>
    <t>ООО ТЭКАР СЕРВИС</t>
  </si>
  <si>
    <t>353215, РОССИЯ, КРАСНОДАРСКИЙ КРАЙ, М.Р-Н ДИНСКОЙ, Х КАРЛА МАРКСА, С.П. НОВОТИТАРОВСКОЕ, УЛ БЕЛЕВЦЫ, Д. 74А/1</t>
  </si>
  <si>
    <t>ИП СТАЦЕНКО КСЕНИЯ СЕРГЕЕВНА</t>
  </si>
  <si>
    <t>ИП КОСЕНКО АНТОН ИГОРЕВИЧ</t>
  </si>
  <si>
    <t>ИП ПАНАЕТОВ ВАСИЛИЙ ДМИТРИЕВИЧ</t>
  </si>
  <si>
    <t>ИП ПОДДУБНЫЙ РУСЛАН РОМАНОВИЧ</t>
  </si>
  <si>
    <t>ИП СЛИВИНСКИЙ АНТОН АЛЕКСАНДРОВИЧ</t>
  </si>
  <si>
    <t>ИП КАПЛИН СЕРГЕЙ СЕРГЕЕВИЧ</t>
  </si>
  <si>
    <t>ИП ТАРАНЕЦ РОМАН АНАТОЛЬЕВИЧ</t>
  </si>
  <si>
    <t>ИП ФИНАГЕНОВ СЕРГЕЙ СЕРГЕЕВИЧ</t>
  </si>
  <si>
    <t>ИП МОВЧАН НАТАЛЬЯ АЛЕКСАНДРОВНА</t>
  </si>
  <si>
    <t>ИП Леконцева Виктория Викторовна</t>
  </si>
  <si>
    <t>ИП ЕЛФИМОВА МАРИНА ИЛЬИНИЧНА</t>
  </si>
  <si>
    <t>ИП ШЕФЕР АЛЕКСАНДР КОНСТАНТИНОВИЧ</t>
  </si>
  <si>
    <t>ИП Дударева Екатерина Вениаминовна</t>
  </si>
  <si>
    <t>ИП ГУЦЕЛ НИКОЛАЙ МИХАЙЛОВИЧ</t>
  </si>
  <si>
    <t>ИП МЕНЖИНСКАЯ ЕВГЕНИЯ ВИКТОРОВНА</t>
  </si>
  <si>
    <t>ИП ЮРКИН АЛЕКСЕЙ ВИТАЛЬЕВИЧ</t>
  </si>
  <si>
    <t>ИП ЦЫСАРЬ ЕВГЕНИЙ НИКОЛАЕВИЧ</t>
  </si>
  <si>
    <t>ИП ДЗЮБАН НАТАЛЬЯ ЮРЬЕВНА</t>
  </si>
  <si>
    <t>ИП Карпенко Юрий Петрович</t>
  </si>
  <si>
    <t>ФГБОУ ВДЦ ОРЛЁНОК</t>
  </si>
  <si>
    <t>352842, КРАСНОДАРСКИЙ КРАЙ, Р-Н ТУАПСИНСКИЙ, ПГТ НОВОМИХАЙЛОВСКИЙ, ТЕР ВДЦ ОРЛЕНОК</t>
  </si>
  <si>
    <t>ИП СОЛНЫШКИН ВЛАДИМИР ВИКТОРОВИЧ</t>
  </si>
  <si>
    <t>ИП ПРИТУЛА ТАТЬЯНА ВЛАДИМИРОВНА</t>
  </si>
  <si>
    <t>ИП ЧУРСИН ИВАН ВЛАДИМИРОВИЧ</t>
  </si>
  <si>
    <t>ИП КУЗНЕЦОВА ЛЮБОВЬ ВАСИЛЬЕВНА</t>
  </si>
  <si>
    <t>ИП СЫРОВАТКО КРИСТИНА АНАТОЛЬЕВНА</t>
  </si>
  <si>
    <t>ИП ЧЕБОТАРЕВ СЕРГЕЙ СЕРГЕЕВИЧ</t>
  </si>
  <si>
    <t>ИП АЗАРОВ ВИТАЛИЙ АЛЕКСАНДРОВИЧ</t>
  </si>
  <si>
    <t>ИП Симоненко Александр Витальевич</t>
  </si>
  <si>
    <t>ИП АРСАМБИЕВ РОМАН ВЛАДИМИРОВИЧ</t>
  </si>
  <si>
    <t>ИП МАМЕДОВ ВЛАДИМИР ОЛЕГОВИЧ</t>
  </si>
  <si>
    <t>ООО ТЕХНОПАРК</t>
  </si>
  <si>
    <t>353632, РОССИЯ, КРАСНОДАРСКИЙ КРАЙ, М.Р-Н ЩЕРБИНОВСКИЙ, СТ-ЦА НОВОЩЕРБИНОВСКАЯ, С.П. НОВОЩЕРБИНОВСКОЕ, УЛ ЧЕРНОМОРСКАЯ, Д. 28</t>
  </si>
  <si>
    <t>ИП СВЕТЛИЧНЫЙ ПАВЕЛ ВИКТОРОВИЧ</t>
  </si>
  <si>
    <t>ИП ПЕТРОСЯН МАКСИМ АРТУРОВИЧ</t>
  </si>
  <si>
    <t>ИП КОЛЕСНИКОВ АЛЕКСАНДР ФЕДОРОВИЧ</t>
  </si>
  <si>
    <t>ООО РМ ГЛОБАЛ ТРЕЙД</t>
  </si>
  <si>
    <t>352505, РОССИЯ, КРАСНОДАРСКИЙ КРАЙ, М.Р-Н ЛАБИНСКИЙ, Г ЛАБИНСК, Г.П. ЛАБИНСКОЕ, УЛ ПАРХОМЕНКО, Д. 1, ОФИС 5</t>
  </si>
  <si>
    <t>352630, РОССИЯ, КРАСНОДАРСКИЙ КРАЙ, М.Р-Н БЕЛОРЕЧЕНСКИЙ, Г БЕЛОРЕЧЕНСК, Г.П. БЕЛОРЕЧЕНСКОЕ, УЛ ЛЕНИНА, Д. 107, ОФИС 181-182</t>
  </si>
  <si>
    <t>ООО ТСА</t>
  </si>
  <si>
    <t>354395, КРАСНОДАРСКИЙ КРАЙ, Г СОЧИ, УЛ ГАСТЕЛЛО (АДЛЕРСКИЙ Р-Н), Д. 30/3, ОФИС 4</t>
  </si>
  <si>
    <t>354066, КРАСНОДАРСКИЙ КРАЙ, Г СОЧИ, УЛ АПШЕРОНСКАЯ (ХОСТИНСКИЙ Р-Н), Д. 78, КАБИНЕТ 5</t>
  </si>
  <si>
    <t>ООО ЛОГИСТИК-М</t>
  </si>
  <si>
    <t>354395, РОССИЯ, КРАСНОДАРСКИЙ КРАЙ, Г.О. ГОРОД-КУРОРТ СОЧИ, С ОРЕЛ-ИЗУМРУД, УЛ ПЕТРОЗАВОДСКАЯ, Д. 39</t>
  </si>
  <si>
    <t>ООО КТ-ОПТ</t>
  </si>
  <si>
    <t>353780, РОССИЯ, КРАСНОДАРСКИЙ КРАЙ, М.Р-Н КАЛИНИНСКИЙ, СТ-ЦА КАЛИНИНСКАЯ, С.П. КАЛИНИНСКОЕ, УЛ МИРА, Д. 117А</t>
  </si>
  <si>
    <t>ООО БИРУС</t>
  </si>
  <si>
    <t>353835, КРАСНОДАРСКИЙ КРАЙ, Р-Н КРАСНОАРМЕЙСКИЙ, Х ПРОТИЧКА, УЛ 40 ЛЕТ ПОБЕДЫ, Д. 29</t>
  </si>
  <si>
    <t>ООО СЕЙА</t>
  </si>
  <si>
    <t>352912, РОССИЯ, КРАСНОДАРСКИЙ КРАЙ, Г.О. ГОРОД АРМАВИР, Г АРМАВИР, ТЕР. ФАД КАВКАЗ, КМ 160-Й, Д. 310, ОФИС 14</t>
  </si>
  <si>
    <t>ИП РОМАНОВА НАТАЛЬЯ АЛЕКСЕЕВНА</t>
  </si>
  <si>
    <t>ИП ПФО ГАЛИНА ИВАНОВНА</t>
  </si>
  <si>
    <t>ИП ФУКОВСКИЙ АНДРЕЙ АЛЕКСЕЕВИЧ</t>
  </si>
  <si>
    <t>ООО ЮТС</t>
  </si>
  <si>
    <t>353206, КРАСНОДАРСКИЙ КРАЙ, Р-Н ДИНСКОЙ, СТ-ЦА ПЛАСТУНОВСКАЯ, УЛ КРАСНАЯ, Д. 218</t>
  </si>
  <si>
    <t>ООО ЛИМАМТОРГ</t>
  </si>
  <si>
    <t>353207, РОССИЯ, КРАСНОДАРСКИЙ КРАЙ, М.Р-Н ДИНСКОЙ, П АГРОНОМ, С.П. МИЧУРИНСКОЕ, УЛ СОВЕТСКАЯ, Д. 11А</t>
  </si>
  <si>
    <t>ИП ДЕМИДОВ СЕРГЕЙ</t>
  </si>
  <si>
    <t>ИП ДУГИНОВ СТАНИСЛАВ СЕРГЕЕВИЧ</t>
  </si>
  <si>
    <t>ООО КОЛТ</t>
  </si>
  <si>
    <t>353389, КРАСНОДАРСКИЙ КРАЙ, Р-Н КРЫМСКИЙ, Г КРЫМСК, УЛ МАРШАЛА ЖУКОВА, Д. 50</t>
  </si>
  <si>
    <t>ИП БЕРБЕНЦЕВ ДМИТРИЙ АНАТОЛЬЕВИЧ</t>
  </si>
  <si>
    <t>ООО ЮТЭКС</t>
  </si>
  <si>
    <t>353211, КРАСНОДАРСКИЙ КРАЙ, Р-Н ДИНСКОЙ, СТ-ЦА НОВОТИТАРОВСКАЯ, УЛ КРАЙНЯЯ, Д. 2, ЛИТЕР А, КОМ. 9</t>
  </si>
  <si>
    <t>ООО АГРОСФЕРА</t>
  </si>
  <si>
    <t>353177, КРАСНОДАРСКИЙ КРАЙ, Р-Н КОРЕНОВСКИЙ, СТ-ЦА ПЛАТНИРОВСКАЯ, УЛ ШЕВЧЕНКО, Д. 72</t>
  </si>
  <si>
    <t>ИП ПОТЕШКИН НИКОЛАЙ АНДРИЯНОВИЧ</t>
  </si>
  <si>
    <t>ООО АВТО-МАРКЕТ</t>
  </si>
  <si>
    <t>352432, КРАСНОДАРСКИЙ КРАЙ, Р-Н КУРГАНИНСКИЙ, Г КУРГАНИНСК, Ш АРМАВИРСКОЕ, Д. 3, ОФИС 1</t>
  </si>
  <si>
    <t>ИП ОВСЕПЯН НУНУФАР НШАНОВНА</t>
  </si>
  <si>
    <t>ИП Погонченкова Татьяна Викторовна</t>
  </si>
  <si>
    <t>ООО КЛЕВЕРТРЕЙД</t>
  </si>
  <si>
    <t>350072, РОССИЯ, КРАСНОДАРСКИЙ КРАЙ, Г.О. ГОРОД КРАСНОДАР, Г КРАСНОДАР, УЛ МОСКОВСКАЯ, Д. 69, ПОМЕЩ. 25</t>
  </si>
  <si>
    <t>ИП КАТАЛИКОВ АЛЕКСЕЙ ПЕТРОВИЧ</t>
  </si>
  <si>
    <t>Красноярский край</t>
  </si>
  <si>
    <t>ООО ИТ-КЛАСТЕР</t>
  </si>
  <si>
    <t>663690, КРАСНОЯРСКИЙ КРАЙ, Г ЗЕЛЕНОГОРСК, УЛ МИРА, Д. 25, КВ. 42</t>
  </si>
  <si>
    <t>ИП Емельянова Ирина Васильевна</t>
  </si>
  <si>
    <t>ООО ФИН ОИЛ СИБМОТОРС</t>
  </si>
  <si>
    <t>662200, КРАСНОЯРСКИЙ КРАЙ, Г НАЗАРОВО, УЛ КРУПСКОЙ, Д.62</t>
  </si>
  <si>
    <t>ООО КРУГЛОЕ ОЗЕРО</t>
  </si>
  <si>
    <t>663300, КРАСНОЯРСКИЙ КРАЙ, Г НОРИЛЬСК, УЛ ЭНЕРГЕТИЧЕСКАЯ, Д. 25</t>
  </si>
  <si>
    <t>ООО ДЕМИДОВ</t>
  </si>
  <si>
    <t>663302, РОССИЯ, КРАСНОЯРСКИЙ КРАЙ, Г.О. ГОРОД НОРИЛЬСК, Г НОРИЛЬСК, УЛ КОМСОМОЛЬСКАЯ, Д. 17, КВ. 181</t>
  </si>
  <si>
    <t>ИП ГЕРМАШИНА АЛИНА ИГОРЕВНА</t>
  </si>
  <si>
    <t>ИП СЕМЕНОВ ПАВЕЛ ВИКТОРОВИЧ</t>
  </si>
  <si>
    <t>ИП КОСЫГИН ВАЛЕРИЙ ИВАНОВИЧ</t>
  </si>
  <si>
    <t>ИП ШАРЫПОВА ЛЮДМИЛА ВАЛЕНТИНОВНА</t>
  </si>
  <si>
    <t>ИП СМОЛЕВА ОЛЬГА АЛЕКСАНДРОВНА</t>
  </si>
  <si>
    <t>ООО КСК АВТО</t>
  </si>
  <si>
    <t>662501, РОССИЯ, КРАСНОЯРСКИЙ КРАЙ, Г.О. ГОРОД СОСНОВОБОРСК, Г СОСНОВОБОРСК, УЛ 9-Й ПЯТИЛЕТКИ, Д. 28, КВ. 20</t>
  </si>
  <si>
    <t>ИП ПАВЛУХИН СЕМЁН ВЛАДИМИРОВИЧ</t>
  </si>
  <si>
    <t>ИП КОЧКИН АЛЕКСЕЙ ЕВГЕНЬЕВИЧ</t>
  </si>
  <si>
    <t>ИП ТКАЧЕНКО АЛЕКСАНДР МИХАЙЛОВИЧ</t>
  </si>
  <si>
    <t>ИП КРИВОШАПКИНА ЛЮБОВЬ НИКОЛАЕВНА</t>
  </si>
  <si>
    <t>ООО ЭКС М СТИЛЬ</t>
  </si>
  <si>
    <t>660118, КРАСНОЯРСКИЙ КРАЙ, Г.О. ГОРОД КРАСНОЯРСК, Г КРАСНОЯРСК, Ш СЕВЕРНОЕ, ЗД. 7А/3</t>
  </si>
  <si>
    <t>ООО АВТО-ТОРГ-Е</t>
  </si>
  <si>
    <t>660016, КРАСНОЯРСКИЙ КРАЙ, Г КРАСНОЯРСК, УЛ АНАТОЛИЯ ГЛАДКОВА, Д. 4, КВ. 5-08</t>
  </si>
  <si>
    <t>ООО СЕТРИКО</t>
  </si>
  <si>
    <t>660048, КРАСНОЯРСКИЙ КРАЙ, Г КРАСНОЯРСК, УЛ МАЕРЧАКА, Д. 51, ОФИС 101</t>
  </si>
  <si>
    <t>ООО СТРОЙТРАНС-СИБИРЬ</t>
  </si>
  <si>
    <t>660077, КРАСНОЯРСКИЙ КРАЙ, Г КРАСНОЯРСК, УЛ ПЕТРА ЛОМАКО, Д. 14, ЭТАЖ 1, ПОМЕЩ. 413</t>
  </si>
  <si>
    <t>ООО ТД ЗАПЧАСТЬ-ЛОГИСТИКА</t>
  </si>
  <si>
    <t>660111, КРАСНОЯРСКИЙ КРАЙ, Г.О. ГОРОД КРАСНОЯРСК, Г КРАСНОЯРСК, УЛ БАШИЛОВСКАЯ, Д. 6, ОФИС 2-06</t>
  </si>
  <si>
    <t>ООО ЛЕОН ПАРТС</t>
  </si>
  <si>
    <t>660094, КРАСНОЯРСКИЙ КРАЙ, Г КРАСНОЯРСК, УЛ КУТУЗОВА, Д. 73А, КВ. 98</t>
  </si>
  <si>
    <t>ИП ФИРСОВ МИХАИЛ ГЕННАДЬЕВИЧ</t>
  </si>
  <si>
    <t>ИП ДОБРЫГИНА АНАСТАСИЯ АНДРЕЕВНА</t>
  </si>
  <si>
    <t>ООО СВЕТОФОР</t>
  </si>
  <si>
    <t>660069, КРАСНОЯРСКИЙ КРАЙ, Г КРАСНОЯРСК, УЛ ВОЛГОГРАДСКАЯ, Д.2</t>
  </si>
  <si>
    <t>ООО ТЕННИС ХОЛЛ</t>
  </si>
  <si>
    <t>660014, КРАСНОЯРСКИЙ КРАЙ, Г КРАСНОЯРСК, УЛ ПОЛЗУНОВА, Д. 13А</t>
  </si>
  <si>
    <t>ИП БАЧУРИН МАКСИМ АНАТОЛЬЕВИЧ</t>
  </si>
  <si>
    <t>ИП ШАЛЫГИН РОМАН НИКОЛАЕВИЧ</t>
  </si>
  <si>
    <t>ИП ИВАНОВА НАДЕЖДА НИКОЛАЕВНА</t>
  </si>
  <si>
    <t>ООО КРАСРИТЕЙЛ</t>
  </si>
  <si>
    <t>660064, КРАСНОЯРСКИЙ КРАЙ, Г.О. ГОРОД КРАСНОЯРСК, Г КРАСНОЯРСК, УЛ АКАДЕМИКА ВАВИЛОВА, Д. 1, СТР. 10, ПОМЕЩ. 80, ОФИС 329</t>
  </si>
  <si>
    <t>ООО ТД ЮК</t>
  </si>
  <si>
    <t>660077, КРАСНОЯРСКИЙ КРАЙ, Г.О. ГОРОД КРАСНОЯРСК, Г КРАСНОЯРСК, УЛ МОЛОКОВА, Д. 1, К. 2, ПОМЕЩ. 155</t>
  </si>
  <si>
    <t>ООО БУГАЧ-АВТО</t>
  </si>
  <si>
    <t>660061, КРАСНОЯРСКИЙ КРАЙ, Г КРАСНОЯРСК, УЛ КАЛИНИНА, Д.84А</t>
  </si>
  <si>
    <t>ООО ПРОМТЕХМАРКЕТ</t>
  </si>
  <si>
    <t>660062, КРАСНОЯРСКИЙ КРАЙ, Г КРАСНОЯРСК, ПЕР ТЕЛЕВИЗОРНЫЙ, Д. 16, ПОМЕЩ. ГГ-2</t>
  </si>
  <si>
    <t>ООО ДИЗЕЛЬМАШ</t>
  </si>
  <si>
    <t>660118, КРАСНОЯРСКИЙ КРАЙ, Г КРАСНОЯРСК, Ш СЕВЕРНОЕ, ЗД. 6/2</t>
  </si>
  <si>
    <t>ИП ТИМОЩЕНКО ИРИНА СЕРГЕЕВНА</t>
  </si>
  <si>
    <t>ИП Темербаев Игорь Равильевич</t>
  </si>
  <si>
    <t>ООО КРАСМТЕХ</t>
  </si>
  <si>
    <t>662977, КРАСНОЯРСКИЙ КРАЙ, Г.О. ЗАТО ГОРОД ЖЕЛЕЗНОГОРСК, Г ЖЕЛЕЗНОГОРСК, УЛ МАТРОСОВА, Д. 15, ОФИС 19</t>
  </si>
  <si>
    <t>ООО ФИНАНС-ОПТИМУМ ПЛЮС</t>
  </si>
  <si>
    <t>662970, КРАСНОЯРСКИЙ КРАЙ, Г.О. ЗАТО ГОРОД ЖЕЛЕЗНОГОРСК, Г ЖЕЛЕЗНОГОРСК, УЛ ЕНИСЕЙСКАЯ, Д. 40/2</t>
  </si>
  <si>
    <t>ИП САЗОНОВ СЕРГЕЙ НИКОЛАЕВИЧ</t>
  </si>
  <si>
    <t>ИП КОНОВАЛЕНКО ОКСАНА ВИКТОРОВНА</t>
  </si>
  <si>
    <t>КГКУ ЗЕЛЕНОГОРСКИЙ ДЕТСКИЙ ДОМ</t>
  </si>
  <si>
    <t>663690, КРАСНОЯРСКИЙ КРАЙ, Г ЗЕЛЕНОГОРСК, УЛ ГОРЬКОГО, Д. 7</t>
  </si>
  <si>
    <t>ИП ДМИТРИЕНКО ВЛАДИМИР ПЕТРОВИЧ</t>
  </si>
  <si>
    <t>ИП МОТОРИН СЕРГЕЙ ГЕННАДЬЕВИЧ</t>
  </si>
  <si>
    <t>ИП Кононов Владимир Александрович</t>
  </si>
  <si>
    <t>ИП ШАДЧИН ВАДИМ ВИКТОРОВИЧ</t>
  </si>
  <si>
    <t>ИП Гончаров Анатолий Сергеевич</t>
  </si>
  <si>
    <t>ООО ТИТАН</t>
  </si>
  <si>
    <t>662201, КРАСНОЯРСКИЙ КРАЙ, Г НАЗАРОВО, МКР БЕРЕЗОВАЯ РОЩА, ЗД. 5/1</t>
  </si>
  <si>
    <t>ИП ГРИЩЕНКО АЛЕНА ВАДИМОВНА</t>
  </si>
  <si>
    <t>ИП ГАНОВИЧЕВ ДМИТРИЙ СЕРГЕЕВИЧ</t>
  </si>
  <si>
    <t>ИП СОЛОВЬЕВ АЛЕКСАНДР ПАВЛОВИЧ</t>
  </si>
  <si>
    <t>ФКУ СИЗО-4 ГУФСИН РОССИИ ПО КРАСНОЯРСКОМУ КРАЮ</t>
  </si>
  <si>
    <t>663316, КРАСНОЯРСКИЙ КРАЙ, Г НОРИЛЬСК, УЛ ОКТЯБРЬСКАЯ, Д. 13А</t>
  </si>
  <si>
    <t>АО ЛОГИСТИК-ЦЕНТР</t>
  </si>
  <si>
    <t>663305, РОССИЯ, КРАСНОЯРСКИЙ КРАЙ, Г.О. ГОРОД НОРИЛЬСК, Г НОРИЛЬСК, УЛ ОКТЯБРЬСКАЯ, Д. 31</t>
  </si>
  <si>
    <t>ИП ТОКОЛОВ АЛЕКСЕЙ АЛЕКСЕЕВИЧ</t>
  </si>
  <si>
    <t>ИП СЕМЕНИВ КСЕНИЯ АЛЕКСАНДРОВНА</t>
  </si>
  <si>
    <t>ИП ВАСЮТЕНКО СЕРГЕЙ НИКОЛАЕВИЧ</t>
  </si>
  <si>
    <t>ИП АЛЕКСЕЕВ ЕВГЕНИЙ ВАСИЛЬЕВИЧ</t>
  </si>
  <si>
    <t>ИП ЗОТИКОВ ВЛАДИМИР НИКОЛАЕВИЧ</t>
  </si>
  <si>
    <t>ИП ТИМОШКИН АЛЕКСЕЙ БОРИСОВИЧ</t>
  </si>
  <si>
    <t>ИП ПРОКОПЬЕВА НАТАЛЬЯ ОЛЕГОВНА</t>
  </si>
  <si>
    <t>ИП НЕЧАЕВ НИКОЛАЙ ЮРЬЕВИЧ</t>
  </si>
  <si>
    <t>ООО БАСТИОН-АВТО</t>
  </si>
  <si>
    <t>660048, КРАСНОЯРСКИЙ КРАЙ, Г.О. ГОРОД КРАСНОЯРСК, Г КРАСНОЯРСК, УЛ МАЕРЧАКА, ЗД. 53Г, ПОМЕЩ. 31/1</t>
  </si>
  <si>
    <t>ИП АКСЮТА МИХАИЛ ГЕННАДЬЕВИЧ</t>
  </si>
  <si>
    <t>660018, КРАСНОЯРСКИЙ КРАЙ, Г КРАСНОЯРСК, УЛ КРАСНОМОСКОВСКАЯ, Д.76, -, -</t>
  </si>
  <si>
    <t>ООО ПОЛИМЕТТРАНС</t>
  </si>
  <si>
    <t>660075, КРАСНОЯРСКИЙ КРАЙ, Г КРАСНОЯРСК, УЛ МАЕРЧАКА, Д. 10, ПОМЕЩ. 75</t>
  </si>
  <si>
    <t>ИП ДИКИХ НИКОЛАЙ ЕВГЕНЬЕВИЧ</t>
  </si>
  <si>
    <t>ООО АВТОСПЕЦМАШ</t>
  </si>
  <si>
    <t>660125, КРАСНОЯРСКИЙ КРАЙ, Г КРАСНОЯРСК, УЛ 9 МАЯ, Д. 2 А, КАБИНЕТ 01</t>
  </si>
  <si>
    <t>ИП КУЛАГИН СЕРГЕЙ ВИКТОРОВИЧ</t>
  </si>
  <si>
    <t>ООО КУПЕЦ МИЧУРИН</t>
  </si>
  <si>
    <t>660050, КРАСНОЯРСКИЙ КРАЙ, Г КРАСНОЯРСК, УЛ МИЧУРИНА, Д. 59, ПОМЕЩЕНИЕ 36</t>
  </si>
  <si>
    <t>ИП КРДЖАЦЯН ЛИЗА ВЕЛУШОВНА</t>
  </si>
  <si>
    <t>ИП ЛИШУТИН АЛЕКСАНДР ВИКТОРОВИЧ</t>
  </si>
  <si>
    <t>ООО ИНТЕРТРЕЙД</t>
  </si>
  <si>
    <t>660118, РОССИЯ, КРАСНОЯРСКИЙ КРАЙ, Г.О. ГОРОД КРАСНОЯРСК, Г КРАСНОЯРСК, Ш СЕВЕРНОЕ, ЗД. 7/4, ОФИС 218</t>
  </si>
  <si>
    <t>ООО ПРОФКОМПЛЕКТ</t>
  </si>
  <si>
    <t>660013, КРАСНОЯРСКИЙ КРАЙ, Г КРАСНОЯРСК, УЛ ТАМБОВСКАЯ, ЗД. 5, СТР. 7</t>
  </si>
  <si>
    <t>ИП СТРУГОВЕЦ ЕВГЕНИЙ ВАДИМОВИЧ</t>
  </si>
  <si>
    <t>ООО ФРЕГАТ-2013</t>
  </si>
  <si>
    <t>660048, КРАСНОЯРСКИЙ КРАЙ, Г КРАСНОЯРСК, УЛ 2-Я БРЯНСКАЯ, Д. 65</t>
  </si>
  <si>
    <t>ООО ГАЗАВТОРЕМОНТ</t>
  </si>
  <si>
    <t>660061, КРАСНОЯРСКИЙ КРАЙ, Г КРАСНОЯРСК, УЛ ЦИМЛЯНСКАЯ, Д.35 Б</t>
  </si>
  <si>
    <t>ООО СПИКЕР АВТО</t>
  </si>
  <si>
    <t>660048, КРАСНОЯРСКИЙ КРАЙ, Г КРАСНОЯРСК, УЛ КАЛИНИНА, Д. 60А, -</t>
  </si>
  <si>
    <t>ИП СЕРБАТ ИРИНА ВАСИЛЬЕВНА</t>
  </si>
  <si>
    <t>ИП ГРИГОРЬЕВ ВЯЧЕСЛАВ ИВАНОВИЧ</t>
  </si>
  <si>
    <t>ООО ТСМ - ОЙЛ</t>
  </si>
  <si>
    <t>660032, РОССИЯ, КРАСНОЯРСКИЙ КРАЙ, Г.О. ГОРОД КРАСНОЯРСК, Г КРАСНОЯРСК, УЛ СОРЕВНОВАНИЯ, Д. 25, КВ. 21</t>
  </si>
  <si>
    <t>ИП СКУЙБИДА ГЛЕБ СЕРГЕЕВИЧ</t>
  </si>
  <si>
    <t>МП ГОРТРАНС</t>
  </si>
  <si>
    <t>660093, КРАСНОЯРСКИЙ КРАЙ, Г КРАСНОЯРСК, УЛ ИМ АКАДЕМИКА ВАВИЛОВА, Д. 2</t>
  </si>
  <si>
    <t>ИП ФЕДОТОВ ВИТАЛИЙ АЛЕКСАНДРОВИЧ</t>
  </si>
  <si>
    <t>ООО НЕО-ТРЕЙД</t>
  </si>
  <si>
    <t>662980, РОССИЯ, КРАСНОЯРСКИЙ КРАЙ, Г.О. ЗАТО ГОРОД ЖЕЛЕЗНОГОРСК, Г ЖЕЛЕЗНОГОРСК, ПР-КТ ЛЕНИНГРАДСКИЙ, Д. 65, КВ. 133</t>
  </si>
  <si>
    <t>ИП ТАРАСЕНКО ИЛЬЯ ВЯЧЕСЛАВОВИЧ</t>
  </si>
  <si>
    <t>ИП ДЕРКАЧ АЛЕКСАНДР ЮРЬЕВИЧ</t>
  </si>
  <si>
    <t>ИП ПУЦ АНДРЕЙ ВАСИЛЬЕВИЧ</t>
  </si>
  <si>
    <t>ИП ЕРМОЛИН ИГОРЬ АЛЕКСАНДРОВИЧ</t>
  </si>
  <si>
    <t>АО НАЗАРОВОАГРОСНАБ</t>
  </si>
  <si>
    <t>662202, КРАСНОЯРСКИЙ КРАЙ, Г НАЗАРОВО, УЛ 1-Я КОММУНАЛЬНАЯ, Д. 4</t>
  </si>
  <si>
    <t>ООО АВТОШАНС</t>
  </si>
  <si>
    <t>662202, РОССИЯ, КРАСНОЯРСКИЙ КРАЙ, Г.О. ГОРОД НАЗАРОВО, Г НАЗАРОВО, УЛ 30 ЛЕТ ВЛКСМ, Д. 47, ПОМЕЩ. 37</t>
  </si>
  <si>
    <t>ИП МУРАВЬЕВА АЛЛА НИКОЛАЕВНА</t>
  </si>
  <si>
    <t>ООО ДЕМАС</t>
  </si>
  <si>
    <t>663319, КРАСНОЯРСКИЙ КРАЙ, Г НОРИЛЬСК, УЛ ХАНТАЙСКАЯ, Д.13, 2</t>
  </si>
  <si>
    <t>ООО СЕВЕР ОЙЛ</t>
  </si>
  <si>
    <t>663305, РОССИЯ, КРАСНОЯРСКИЙ КРАЙ, Г.О. ГОРОД НОРИЛЬСК, Г НОРИЛЬСК, УЛ ТАЛНАХСКАЯ, Д. 36, КВ. 22</t>
  </si>
  <si>
    <t>ООО АРКТИКТРАКСНАБ</t>
  </si>
  <si>
    <t>663302, РОССИЯ, КРАСНОЯРСКИЙ КРАЙ, Г.О. ГОРОД НОРИЛЬСК, Г НОРИЛЬСК, УЛ ВОКЗАЛЬНАЯ, Д. 4А</t>
  </si>
  <si>
    <t>ИП МАКАРОВА ЮЛИЯ АНАТОЛЬЕВНА</t>
  </si>
  <si>
    <t>ООО АВТОГАРАНТ28</t>
  </si>
  <si>
    <t>662500, РОССИЯ, КРАСНОЯРСКИЙ КРАЙ, Г.О. ГОРОД СОСНОВОБОРСК, Г СОСНОВОБОРСК, УЛ ЭНТУЗИАСТОВ, Д. 1, К. 7</t>
  </si>
  <si>
    <t>ИП СУМЕЛЕВ ДМИТРИЙ ВАСИЛЬЕВИЧ</t>
  </si>
  <si>
    <t>ИП МОРОЗОВ ДЕНИС МИХАЙЛОВИЧ</t>
  </si>
  <si>
    <t>ООО КЭМ</t>
  </si>
  <si>
    <t>662314, КРАСНОЯРСКИЙ КРАЙ, Г ШАРЫПОВО, УЛ РОССИЙСКАЯ, Д. 134, ОФИС 307</t>
  </si>
  <si>
    <t>ИП ДЕРГАЧЕВ АЛЕКСАНДР ДМИТРИЕВИЧ</t>
  </si>
  <si>
    <t>ООО БИЗНЕС ПРОЕКТ 24</t>
  </si>
  <si>
    <t>660075, КРАСНОЯРСКИЙ КРАЙ, Г КРАСНОЯРСК, УЛ КРАСНОЙ ГВАРДИИ, Д. 21, ПОМЕЩЕНИЕ 4</t>
  </si>
  <si>
    <t>ООО КОНЦЕРН САПСАН</t>
  </si>
  <si>
    <t>660062, КРАСНОЯРСКИЙ КРАЙ, Г КРАСНОЯРСК, УЛ ТЕЛЕВИЗОРНАЯ, Д. 7 А, СТР. 5, ПОМЕЩ. 34</t>
  </si>
  <si>
    <t>ООО ОМИКРОН</t>
  </si>
  <si>
    <t>660018, КРАСНОЯРСКИЙ КРАЙ, Г КРАСНОЯРСК, УЛ 8 МАРТА, Д. 5, КВ. 129</t>
  </si>
  <si>
    <t>ИП РАЧИН РОМАН ЮРЬЕВИЧ</t>
  </si>
  <si>
    <t>ИП БАШАРИН АЛЕКСАНДР АЛЕКСАНДРОВИЧ</t>
  </si>
  <si>
    <t>ИП ДЕГОЛЬЦЕВА ОКСАНА ВАСИЛЬЕВНА</t>
  </si>
  <si>
    <t>ООО ЛИНОТОРАКС</t>
  </si>
  <si>
    <t>660050, КРАСНОЯРСКИЙ КРАЙ, Г.О. ГОРОД КРАСНОЯРСК, Г КРАСНОЯРСК, УЛ АПРЕЛЬСКАЯ, Д. 1А, КВ. 300</t>
  </si>
  <si>
    <t>ИП СУГАК АЛЕКСЕЙ ВЛАДИМИРОВИЧ</t>
  </si>
  <si>
    <t>ИП СТАРИКОВА ЖАННА ВАДИМОВНА</t>
  </si>
  <si>
    <t>ИП СЕЛЕВСКИЙ АЛЕКСЕЙ ЛЕОНИДОВИЧ</t>
  </si>
  <si>
    <t>ООО ЕВРОТРАНССИБ</t>
  </si>
  <si>
    <t>660046, КРАСНОЯРСКИЙ КРАЙ, Г КРАСНОЯРСК, УЛ СПОРТИВНАЯ, Д.186</t>
  </si>
  <si>
    <t>ИП СИКК ЭДУАРД ЯНОВИЧ</t>
  </si>
  <si>
    <t>ООО ОЛТА</t>
  </si>
  <si>
    <t>660050, КРАСНОЯРСКИЙ КРАЙ, Г КРАСНОЯРСК, УЛ КУТУЗОВА, Д.1, К.85</t>
  </si>
  <si>
    <t>ИП СЕМЕНОВ СЕРГЕЙ ИВАНОВИЧ</t>
  </si>
  <si>
    <t>ИП БЯКОВ КОНСТАНТИН НИКОЛАЕВИЧ</t>
  </si>
  <si>
    <t>ООО МЦ - МАРШАЛ</t>
  </si>
  <si>
    <t>660022, КРАСНОЯРСКИЙ КРАЙ, Г.О. ГОРОД КРАСНОЯРСК, Г КРАСНОЯРСК, УЛ ПАРТИЗАНА ЖЕЛЕЗНЯКА, ЗД. 46Г, ПОМЕЩ. 4, КОМ. 10</t>
  </si>
  <si>
    <t>ООО СМ ТРЕЙД</t>
  </si>
  <si>
    <t>660093, КРАСНОЯРСКИЙ КРАЙ, Г КРАСНОЯРСК, ПР-КТ ИМ.ГАЗЕТЫ КРАСНОЯРСКИЙ РАБОЧИЙ, Д. 167 А, КВ. 22</t>
  </si>
  <si>
    <t>ООО ВОСХОД</t>
  </si>
  <si>
    <t>660062, КРАСНОЯРСКИЙ КРАЙ, Г КРАСНОЯРСК, УЛ ВИЛЬСКОГО, Д. 16, КВ. 210</t>
  </si>
  <si>
    <t>ООО ПКФ ВОЕВОДА</t>
  </si>
  <si>
    <t>660018, РОССИЯ, КРАСНОЯРСКИЙ КРАЙ, Г.О. ГОРОД КРАСНОЯРСК, Г КРАСНОЯРСК, УЛ ИСТОРИЧЕСКАЯ, ЗД. 111, ПОМЕЩ. 5</t>
  </si>
  <si>
    <t>ИП ВАСИЛЬЕВА СВЕТЛАНА ВЛАДИМИРОВНА</t>
  </si>
  <si>
    <t>ИП СОКИРКО ОЛЕГ СЕРГЕЕВИЧ</t>
  </si>
  <si>
    <t>ООО М105</t>
  </si>
  <si>
    <t>660048, КРАСНОЯРСКИЙ КРАЙ, Г КРАСНОЯРСК, УЛ МАЕРЧАКА, ЗД 105/2, ОФИС 1</t>
  </si>
  <si>
    <t>ООО ТРАКТЕХНИКА</t>
  </si>
  <si>
    <t>660077, КРАСНОЯРСКИЙ КРАЙ, Г КРАСНОЯРСК, УЛ 78 ДОБРОВОЛЬЧЕСКОЙ  БРИГАДЫ, Д.19, 88</t>
  </si>
  <si>
    <t>ООО ЕВРОДЕТАЛЬ</t>
  </si>
  <si>
    <t>660077, КРАСНОЯРСКИЙ КРАЙ, Г КРАСНОЯРСК, УЛ 78 ДОБРОВОЛЬЧЕСКОЙ БРИГАДЫ, Д. 19, КВ. 88</t>
  </si>
  <si>
    <t>ФКУ УК ГУФСИН РОССИИ ПО КРАСНОЯРСКОМУ КРАЮ</t>
  </si>
  <si>
    <t>660121, КРАСНОЯРСКИЙ КРАЙ, Г КРАСНОЯРСК, УЛ ПАРАШЮТНАЯ, Д.9Б</t>
  </si>
  <si>
    <t>ООО ФОРВАРД ПЛЮС</t>
  </si>
  <si>
    <t>660064, КРАСНОЯРСКИЙ КРАЙ, Г КРАСНОЯРСК, УЛ КОРОЛЕВА, Д. 11А</t>
  </si>
  <si>
    <t>ИП СЕЛЕЗНЕВ АЛЕКСАНДР НИКОЛАЕВИЧ</t>
  </si>
  <si>
    <t>ООО ФАСТ</t>
  </si>
  <si>
    <t>660064, РОССИЯ, КРАСНОЯРСКИЙ КРАЙ, Г.О. ГОРОД КРАСНОЯРСК, Г КРАСНОЯРСК, ПР-КТ ИМ.ГАЗЕТЫ КРАСНОЯРСКИЙ РАБОЧИЙ, Д. 160, ПОМЕЩ. 9</t>
  </si>
  <si>
    <t>ООО СПЕЦ ТРЕЙД СМ</t>
  </si>
  <si>
    <t>660118, РОССИЯ, КРАСНОЯРСКИЙ КРАЙ, Г.О. ГОРОД КРАСНОЯРСК, Г КРАСНОЯРСК, Ш СЕВЕРНОЕ, ЗД. 17Д, ОФИС 1-01</t>
  </si>
  <si>
    <t>ООО ЦМ ГРИЗЛИ</t>
  </si>
  <si>
    <t>660064, КРАСНОЯРСКИЙ КРАЙ, Г КРАСНОЯРСК, УЛ АКАДЕМИКА ВАВИЛОВА, ЗД 3/4, ПОМЕЩ. 1 КОМНАТА 1</t>
  </si>
  <si>
    <t>ООО ВИА</t>
  </si>
  <si>
    <t>660079, КРАСНОЯРСКИЙ КРАЙ, Г КРАСНОЯРСК, УЛ 60 ЛЕТ ОКТЯБРЯ, Д. 148, ОФИС 304</t>
  </si>
  <si>
    <t>ООО НОРМАТИВ</t>
  </si>
  <si>
    <t>660135, КРАСНОЯРСКИЙ КРАЙ, Г.О. ГОРОД КРАСНОЯРСК, Г КРАСНОЯРСК, УЛ ВЗЛЕТНАЯ, ЗД. 5, ОФИС 2-01</t>
  </si>
  <si>
    <t>ИП ЧЕРНЫШЕВ ДАНИЛ ГРИГОРЬЕВИЧ</t>
  </si>
  <si>
    <t>ООО РН-КРАСНОЯРСКНЕФТЕПРОДУКТ</t>
  </si>
  <si>
    <t>660077, КРАСНОЯРСКИЙ КРАЙ, Г КРАСНОЯРСК, УЛ МОЛОКОВА, Д. 28А, ПОМЕЩ. 112</t>
  </si>
  <si>
    <t>ООО ПКФ СДМ-СЕРВИС</t>
  </si>
  <si>
    <t>660079, КРАСНОЯРСКИЙ КРАЙ, Г КРАСНОЯРСК, УЛ МУСОРГСКОГО, Д.8</t>
  </si>
  <si>
    <t>ИП ДОННИКОВ ЮРИЙ ВИКТОРОВИЧ</t>
  </si>
  <si>
    <t>ИП СЮРБАК АЛЕКСЕЙ ВЛАДИМИРОВИЧ</t>
  </si>
  <si>
    <t>ООО ТД ТРИБО</t>
  </si>
  <si>
    <t>660113, КРАСНОЯРСКИЙ КРАЙ, Г КРАСНОЯРСК, УЛ КАЛИНИНА, Д. 84Д, ПОМЕЩ. 19</t>
  </si>
  <si>
    <t>АО АВТОЦЕНТР КРАСГАЗСЕРВИС</t>
  </si>
  <si>
    <t>660077, КРАСНОЯРСКИЙ КРАЙ, Г КРАСНОЯРСК, УЛ АВИАТОРОВ, Д.31</t>
  </si>
  <si>
    <t>ИП НЕПОМНЯЩИЙ СЕРГЕЙ АНАТОЛЬЕВИЧ</t>
  </si>
  <si>
    <t>ООО ТЕХАВТОЦЕНТР</t>
  </si>
  <si>
    <t>660048, КРАСНОЯРСКИЙ КРАЙ, Г КРАСНОЯРСК, УЛ 2-Я БРЯНСКАЯ, Д. 18А</t>
  </si>
  <si>
    <t>ООО МЕДВЕДЬ-СЕРВИС</t>
  </si>
  <si>
    <t>660131, КРАСНОЯРСКИЙ КРАЙ, Г КРАСНОЯРСК, ПР-КТ МЕТАЛЛУРГОВ, Д. 2М</t>
  </si>
  <si>
    <t>ООО  МЕДВЕДЬ-ВОСТОК</t>
  </si>
  <si>
    <t>660125, КРАСНОЯРСКИЙ КРАЙ, Г КРАСНОЯРСК, УЛ 9 МАЯ, Д. 72</t>
  </si>
  <si>
    <t>ООО ЭМЕКС КРАСНОЯРСК</t>
  </si>
  <si>
    <t>660020, КРАСНОЯРСКИЙ КРАЙ, Г КРАСНОЯРСК, УЛ ШАХТЕРОВ, ЗД. 4, СТР. 8, ОФИС 101</t>
  </si>
  <si>
    <t>ООО КРК</t>
  </si>
  <si>
    <t>660135, КРАСНОЯРСКИЙ КРАЙ, Г КРАСНОЯРСК, УЛ ВЗЛЕТНАЯ, Д. 24</t>
  </si>
  <si>
    <t>ООО СКС</t>
  </si>
  <si>
    <t>660049, КРАСНОЯРСКИЙ КРАЙ, Г.О. ГОРОД КРАСНОЯРСК, Г КРАСНОЯРСК, УЛ ПЕРЕНСОНА, Д. 51</t>
  </si>
  <si>
    <t>ИП ЕЛИСТРАТОВА НАТАЛЬЯ ЮРЬЕВНА</t>
  </si>
  <si>
    <t>ИП Шадрин Алексей Петрович</t>
  </si>
  <si>
    <t>ИП ГУСАРОВА ЕЛЕНА АЛЕКСАНДРОВНА</t>
  </si>
  <si>
    <t>ООО ВЕКТОР-27</t>
  </si>
  <si>
    <t>660075, КРАСНОЯРСКИЙ КРАЙ, Г.О. ГОРОД КРАСНОЯРСК, Г КРАСНОЯРСК, УЛ ЖЕЛЕЗНОДОРОЖНИКОВ, Д. 17, ОФИС 713/3</t>
  </si>
  <si>
    <t>ООО ТОР</t>
  </si>
  <si>
    <t>660015, РОССИЯ, КРАСНОЯРСКИЙ КРАЙ, М.Р-Н ЕМЕЛЬЯНОВСКИЙ, П СОЛОНЦЫ, С.П. СОЛОНЦОВСКИЙ СЕЛЬСОВЕТ, ПР-КТ КОТЕЛЬНИКОВА, СТР. 37/1, ПОМЕЩ. 2</t>
  </si>
  <si>
    <t>ИП МЫСИН ВИКТОР ЮРЬЕВИЧ</t>
  </si>
  <si>
    <t>ИП СКОБЕЛИНА ЕЛЕНА ЕВГЕНЬЕВНА</t>
  </si>
  <si>
    <t>ИП МИНЧЕНКО КОНСТАНТИН КОНСТАНТИНОВИЧ</t>
  </si>
  <si>
    <t>ООО ТРАНСКОМПЛЕКТ</t>
  </si>
  <si>
    <t>660118, КРАСНОЯРСКИЙ КРАЙ, Г КРАСНОЯРСК, УЛ ПОЛИГОННАЯ, ЗД 8/2</t>
  </si>
  <si>
    <t>ИП ЛАУБЕР ДМИТРИЙ СЕРГЕЕВИЧ</t>
  </si>
  <si>
    <t>ООО БЕЛСЕРВИС</t>
  </si>
  <si>
    <t>660131, КРАСНОЯРСКИЙ КРАЙ, Г.О. ГОРОД КРАСНОЯРСК, Г КРАСНОЯРСК, УЛ ГАЙДАШОВКА, ЗД. 5, ПОМЕЩ. 2-4</t>
  </si>
  <si>
    <t>ООО МЕДВЕДЬ-ЗАПАД</t>
  </si>
  <si>
    <t>660125, КРАСНОЯРСКИЙ КРАЙ, Г КРАСНОЯРСК, УЛ 9 МАЯ, Д.72</t>
  </si>
  <si>
    <t>ИП ГУСАРОВ ПЕТР СЕРГЕЕВИЧ</t>
  </si>
  <si>
    <t>ИП КУЧУМОВА ОКСАНА ПЕТРОВНА</t>
  </si>
  <si>
    <t>660015, РОССИЯ, КРАСНОЯРСКИЙ КРАЙ, М.Р-Н ЕМЕЛЬЯНОВСКИЙ, П СОЛОНЦЫ, С.П. СОЛОНЦОВСКИЙ СЕЛЬСОВЕТ, ПР-КТ КОТЕЛЬНИКОВА, СТР. 11Б/1</t>
  </si>
  <si>
    <t>ООО ДЕЛЬТА-АВТО</t>
  </si>
  <si>
    <t>660118, РОССИЯ, КРАСНОЯРСКИЙ КРАЙ, Г.О. ГОРОД КРАСНОЯРСК, Г КРАСНОЯРСК, УЛ 9 МАЯ, Д. 39, ОФИС 3</t>
  </si>
  <si>
    <t>ООО ТКВ</t>
  </si>
  <si>
    <t>660100, РОССИЯ, КРАСНОЯРСКИЙ КРАЙ, Г.О. ГОРОД КРАСНОЯРСК, Г КРАСНОЯРСК, УЛ ЛАДО КЕЦХОВЕЛИ, Д. 27, ПОМЕЩ. 240</t>
  </si>
  <si>
    <t>ИП ЛЫТКИН ЮРИЙ КОНСТАНТИНОВИЧ</t>
  </si>
  <si>
    <t>ИП МЕЛЬНИЧЕНКО СЕРГЕЙ АЛЕКСАНДРОВИЧ</t>
  </si>
  <si>
    <t>ИП ШАНДАКОВ АЛЕКСАНДР ЛАВРЕНТЬЕВИЧ</t>
  </si>
  <si>
    <t>ООО ПКФ КАРАТ-97</t>
  </si>
  <si>
    <t>660020, КРАСНОЯРСКИЙ КРАЙ, Г КРАСНОЯРСК, УЛ СПАНДАРЯНА, Д. 12, СТР. 4, ОФИС 5</t>
  </si>
  <si>
    <t>ООО ОКТАН-МАРКЕТ</t>
  </si>
  <si>
    <t>660048, КРАСНОЯРСКИЙ КРАЙ, Г КРАСНОЯРСК, УЛ МАЕРЧАКА, Д.53, К.Б</t>
  </si>
  <si>
    <t>ООО ВИРАЖ ПЛЮС</t>
  </si>
  <si>
    <t>660048, КРАСНОЯРСКИЙ КРАЙ, Г КРАСНОЯРСК, УЛ МАЕРЧАКА, Д. 104, СТР. 4</t>
  </si>
  <si>
    <t>ООО ТЕХАВТОЦЕНТР-СЕРВИС</t>
  </si>
  <si>
    <t>660048, КРАСНОЯРСКИЙ КРАЙ, Г КРАСНОЯРСК, УЛ 2-Я БРЯНСКАЯ, Д. 18А, СТР. 1</t>
  </si>
  <si>
    <t>ООО ОПТОВЫЙ ТЕРМИНАЛ</t>
  </si>
  <si>
    <t>660032, КРАСНОЯРСКИЙ КРАЙ, Г.О. ГОРОД КРАСНОЯРСК, Г КРАСНОЯРСК, УЛ БЕЛИНСКОГО, Д. 3, ПОМЕЩ. 131, КОМ. 35</t>
  </si>
  <si>
    <t>ООО ПОРТ-ВОСТОК</t>
  </si>
  <si>
    <t>660043, РОССИЯ, КРАСНОЯРСКИЙ КРАЙ, Г.О. ГОРОД КРАСНОЯРСК, Г КРАСНОЯРСК, УЛ КАРАУЛЬНАЯ, Д. 40, КВ. 518</t>
  </si>
  <si>
    <t>ООО КРАССЕРВИС</t>
  </si>
  <si>
    <t>660020, РОССИЯ, КРАСНОЯРСКИЙ КРАЙ, Г.О. ГОРОД КРАСНОЯРСК, Г КРАСНОЯРСК, УЛ ПЕТРА ПОДЗОЛКОВА, ЗД. 17, ОФИС 2-04</t>
  </si>
  <si>
    <t>ООО САЯНСКАН</t>
  </si>
  <si>
    <t>662520, КРАСНОЯРСКИЙ КРАЙ, М.Р-Н БЕРЕЗОВСКИЙ, ПГТ БЕРЕЗОВКА, Г.П. ПОСЕЛОК БЕРЕЗОВКА, КВ-Л 6, ЗД. 2/5, ПОМЕЩ. 2</t>
  </si>
  <si>
    <t>ИП КУСЛИВЫЙ ДЕНИС ВЛАДИМИРОВИЧ</t>
  </si>
  <si>
    <t>ИП ЛОБАНОВСКИЙ МАКСИМ ОЛЕГОВИЧ</t>
  </si>
  <si>
    <t>ИП СИПКИН МАКСИМ АНАТОЛЬЕВИЧ</t>
  </si>
  <si>
    <t>ООО МТС СИБИРЬ</t>
  </si>
  <si>
    <t>660015, РОССИЯ, КРАСНОЯРСКИЙ КРАЙ, М.Р-Н ЕМЕЛЬЯНОВСКИЙ, П СОЛОНЦЫ, С.П. СОЛОНЦОВСКИЙ СЕЛЬСОВЕТ, ПР-КТ КОТЕЛЬНИКОВА, Д. 7, СТР. 8</t>
  </si>
  <si>
    <t>ИП ОВЧИННИКОВА МАРИНА СЕРГЕЕВНА</t>
  </si>
  <si>
    <t>ИП ЗАБОЛУЕВ ДАНИИЛ ОЛЕГОВИЧ</t>
  </si>
  <si>
    <t>ООО ТРЕД МАРК</t>
  </si>
  <si>
    <t>660048, КРАСНОЯРСКИЙ КРАЙ, Г.О. ГОРОД КРАСНОЯРСК, Г КРАСНОЯРСК, УЛ 2-Я БРЯНСКАЯ, Д. 59Д, ПОМЕЩ. 35</t>
  </si>
  <si>
    <t>ИП РЫБИН АНДРЕЙ ВЛАДИМИРОВИЧ</t>
  </si>
  <si>
    <t>ИП ПТИЦЫН СЕРГЕЙ НИКОЛАЕВИЧ</t>
  </si>
  <si>
    <t>ООО АВТОДОМ НА КОРОЛЕВА</t>
  </si>
  <si>
    <t>660064, КРАСНОЯРСКИЙ КРАЙ, Г КРАСНОЯРСК, УЛ АКАДЕМИКА ВАВИЛОВА, Д. 1Г, ПОМЕЩ. 2</t>
  </si>
  <si>
    <t>ООО ПОРТАЛ</t>
  </si>
  <si>
    <t>660079, КРАСНОЯРСКИЙ КРАЙ, Г КРАСНОЯРСК, УЛ 60 ЛЕТ ОКТЯБРЯ, Д. 105В, ПОМЕЩ. 1</t>
  </si>
  <si>
    <t>ООО САКУРА ОЙЛ</t>
  </si>
  <si>
    <t>660135, КРАСНОЯРСКИЙ КРАЙ, Г КРАСНОЯРСК, УЛ ОКТЯБРЬСКАЯ, Д. 12, ОФИС 2-07</t>
  </si>
  <si>
    <t>ООО ИНСТРУМЕНТ СЕРВИС</t>
  </si>
  <si>
    <t>660121, КРАСНОЯРСКИЙ КРАЙ, Г КРАСНОЯРСК, УЛ ПАРАШЮТНАЯ, Д.15</t>
  </si>
  <si>
    <t>ООО АВТОАТЛАНТ</t>
  </si>
  <si>
    <t>660012, КРАСНОЯРСКИЙ КРАЙ, Г.О. ГОРОД КРАСНОЯРСК, Г КРАСНОЯРСК, УЛ КАРАМЗИНА, Д. 18, ПОМЕЩ. 464</t>
  </si>
  <si>
    <t>ИП ТИХОНОВ СЕРГЕЙ ЮРЬЕВИЧ</t>
  </si>
  <si>
    <t>ИП БЕРЛИНЕЦ НАТАЛЬЯ ВЛАДИМИРОВНА</t>
  </si>
  <si>
    <t>ООО АЛЛИГАТОР</t>
  </si>
  <si>
    <t>660006, КРАСНОЯРСКИЙ КРАЙ, Г.О. ГОРОД КРАСНОЯРСК, Г КРАСНОЯРСК, УЛ СВЕРДЛОВСКАЯ, Д. 2Б, КОМ. 4</t>
  </si>
  <si>
    <t>ООО МАХИНА</t>
  </si>
  <si>
    <t>660118, КРАСНОЯРСКИЙ КРАЙ, Г КРАСНОЯРСК, Ш СЕВЕРНОЕ, Д. 15 Д, ОФИС 5</t>
  </si>
  <si>
    <t>ООО МАСЛЁНЫЧ</t>
  </si>
  <si>
    <t>660064, КРАСНОЯРСКИЙ КРАЙ, Г КРАСНОЯРСК, УЛ СЕМАФОРНАЯ, Д. 261Г, КОРПУС ЛИТЕРА Б</t>
  </si>
  <si>
    <t>ООО ИНСЕРВИС</t>
  </si>
  <si>
    <t>660061, КРАСНОЯРСКИЙ КРАЙ, Г КРАСНОЯРСК, УЛ КАЛИНИНА, ЗД 106/4</t>
  </si>
  <si>
    <t>ИП ЧУГУННЫЙ ВЛАДИМИР САВЕЛЬЕВИЧ</t>
  </si>
  <si>
    <t>ООО  ОРИОН - МОТОРС</t>
  </si>
  <si>
    <t>660015, КРАСНОЯРСКИЙ КРАЙ, Р-Н ЕМЕЛЬЯНОВСКИЙ, П СОЛОНЦЫ, ПР-КТ КОТЕЛЬНИКОВА, Д. 16</t>
  </si>
  <si>
    <t>660125, КРАСНОЯРСКИЙ КРАЙ, Г КРАСНОЯРСК, УЛ 9 МАЯ, Д. 2Г</t>
  </si>
  <si>
    <t>ООО МЕДВЕДЬ АТЦ</t>
  </si>
  <si>
    <t>660100, КРАСНОЯРСКИЙ КРАЙ, Г КРАСНОЯРСК, УЛ КОПЫЛОВА, ЗД. 57</t>
  </si>
  <si>
    <t>ООО   СКСМ</t>
  </si>
  <si>
    <t>660127, КРАСНОЯРСКИЙ КРАЙ, Г КРАСНОЯРСК, УЛ ШУМЯЦКОГО, Д. 2Г</t>
  </si>
  <si>
    <t>ИП ДЕРЯЖЕНЦЕВА ТАТЬЯНА АЛЕКСАНДРОВНА</t>
  </si>
  <si>
    <t>ИП ВАСИЛЕНКО ЕЛЕНА АЛЕКСАНДРОВНА</t>
  </si>
  <si>
    <t>ООО НПК ВИКЛЕОН</t>
  </si>
  <si>
    <t>660005, КРАСНОЯРСКИЙ КРАЙ, Г КРАСНОЯРСК, УЛ КРАСНОДАРСКАЯ, Д. 8, ПОМЕЩ. 185</t>
  </si>
  <si>
    <t>ООО ШАТЛ</t>
  </si>
  <si>
    <t>660131, КРАСНОЯРСКИЙ КРАЙ, Г КРАСНОЯРСК, УЛ РОКОССОВСКОГО, Д. 11, ПОМЕЩ. 202</t>
  </si>
  <si>
    <t>ИП МИХАЙЛЮК МАРИНА ЮРЬЕВНА</t>
  </si>
  <si>
    <t>ИП Чудинов Дмитрий Сергеевич</t>
  </si>
  <si>
    <t>ООО ОРИЕНТ АВТО</t>
  </si>
  <si>
    <t>660015, КРАСНОЯРСКИЙ КРАЙ, М.Р-Н ЕМЕЛЬЯНОВСКИЙ, П СОЛОНЦЫ, С.П. СОЛОНЦОВСКИЙ СЕЛЬСОВЕТ, ПР-КТ КОТЕЛЬНИКОВА, СТР. 34/1, ПОМЕЩ. 2</t>
  </si>
  <si>
    <t>660131, РОССИЯ, КРАСНОЯРСКИЙ КРАЙ, Г.О. ГОРОД КРАСНОЯРСК, Г КРАСНОЯРСК, УЛ ГАЙДАШОВКА, ЗД. 12</t>
  </si>
  <si>
    <t>ООО АЛЬЯНССЕРВИС</t>
  </si>
  <si>
    <t>660077, КРАСНОЯРСКИЙ КРАЙ, Г.О. ГОРОД КРАСНОЯРСК, Г КРАСНОЯРСК, УЛ АВИАТОРОВ, ЗД. 5/305, ОФИС 1</t>
  </si>
  <si>
    <t>ООО МЕДВЕДЬ-СЕВЕРАВТО</t>
  </si>
  <si>
    <t>660098, КРАСНОЯРСКИЙ КРАЙ, Г КРАСНОЯРСК, УЛ АЛЕКСЕЕВА, Д. 52</t>
  </si>
  <si>
    <t>ИП КАПРАНОВ ВЛАДИМИР НИКОЛАЕВИЧ</t>
  </si>
  <si>
    <t>ООО ИНТЕРЬЕРНАЯ ЛАБОРАТОРИЯ</t>
  </si>
  <si>
    <t>660125, КРАСНОЯРСКИЙ КРАЙ, Г.О. ГОРОД КРАСНОЯРСК, Г КРАСНОЯРСК, УЛ СВЕТЛОГОРСКАЯ, Д. 27Д, ПОМЕЩ. 561</t>
  </si>
  <si>
    <t>ООО ЭНЕРГОСВЕТ</t>
  </si>
  <si>
    <t>660077, КРАСНОЯРСКИЙ КРАЙ, Г КРАСНОЯРСК, УЛ 78 ДОБРОВОЛЬЧЕСКОЙ БРИГАДЫ, Д. 4, ПОМЕЩ. 379</t>
  </si>
  <si>
    <t>ООО КСК</t>
  </si>
  <si>
    <t>660131, КРАСНОЯРСКИЙ КРАЙ, Г.О. ГОРОД КРАСНОЯРСК, Г КРАСНОЯРСК, УЛ ГАЙДАШОВКА, ЗД. 17, ПОМЕЩ. 1 КОМ. 1</t>
  </si>
  <si>
    <t>ООО АВТОПРИЛАВОК</t>
  </si>
  <si>
    <t>660118, КРАСНОЯРСКИЙ КРАЙ, Г КРАСНОЯРСК, Ш СЕВЕРНОЕ, Д. 7 А, СТР. 5</t>
  </si>
  <si>
    <t>ООО АМИКАН</t>
  </si>
  <si>
    <t>660131, КРАСНОЯРСКИЙ КРАЙ, Г КРАСНОЯРСК, УЛ ЯСТЫНСКАЯ, Д. 5, КВ. 3</t>
  </si>
  <si>
    <t>ООО СТАНДАРТ</t>
  </si>
  <si>
    <t>660135, КРАСНОЯРСКИЙ КРАЙ, Г КРАСНОЯРСК, УЛ ВЗЛЕТНАЯ, Д. 5, ОФИС 218</t>
  </si>
  <si>
    <t>ООО ДИМЕТРА</t>
  </si>
  <si>
    <t>660135, КРАСНОЯРСКИЙ КРАЙ, Г КРАСНОЯРСК, УЛ БАТУРИНА, Д. 19, ОФИС 402</t>
  </si>
  <si>
    <t>ООО АВТОПРОФИ</t>
  </si>
  <si>
    <t>660111, РОССИЯ, КРАСНОЯРСКИЙ КРАЙ, Г.О. ГОРОД КРАСНОЯРСК, Г КРАСНОЯРСК, УЛ ПОГРАНИЧНИКОВ, ЗД. 127/1, ПОМЕЩ. 2</t>
  </si>
  <si>
    <t>ООО РЕСПЕКТ ПЛЮС</t>
  </si>
  <si>
    <t>ИП МОРИНА ТАТЬЯНА ВЛАДИМИРОВНА</t>
  </si>
  <si>
    <t>ООО ПКФ АЛЬКОР</t>
  </si>
  <si>
    <t>660069, КРАСНОЯРСКИЙ КРАЙ, Г.О. ГОРОД КРАСНОЯРСК, Г КРАСНОЯРСК, УЛ МИЧУРИНА, Д. 25, ПОМЕЩ. 68</t>
  </si>
  <si>
    <t>ИП ЖУКАУСКАС ЯНИС АЛЬВИДАСОВИЧ</t>
  </si>
  <si>
    <t>ООО  ПАРИТЕТ-СИБИРЬ</t>
  </si>
  <si>
    <t>660133, КРАСНОЯРСКИЙ КРАЙ, Г КРАСНОЯРСК, УЛ ПАРТИЗАНА ЖЕЛЕЗНЯКА, ЗД. 17, СТР. 28</t>
  </si>
  <si>
    <t>660049, КРАСНОЯРСКИЙ КРАЙ, Г КРАСНОЯРСК, УЛ КАРЛА МАРКСА, Д.48, ОФИС 12-2</t>
  </si>
  <si>
    <t>ООО КРИСТАЛЛ</t>
  </si>
  <si>
    <t>660133, КРАСНОЯРСКИЙ КРАЙ, Г КРАСНОЯРСК, УЛ АВИАТОРОВ, Д. 4 Б</t>
  </si>
  <si>
    <t>ООО МОТОР-СЕРВИС</t>
  </si>
  <si>
    <t>660017, КРАСНОЯРСКИЙ КРАЙ, Г КРАСНОЯРСК, УЛ КИРОВА, Д.19, ОФИС 65</t>
  </si>
  <si>
    <t>ООО ХЕНДЭ-ЦЕНТР КРАСНОЯРСК</t>
  </si>
  <si>
    <t>660048, КРАСНОЯРСКИЙ КРАЙ, Г КРАСНОЯРСК, УЛ КАРАУЛЬНАЯ, Д.33</t>
  </si>
  <si>
    <t>ООО МТС</t>
  </si>
  <si>
    <t>660118, КРАСНОЯРСКИЙ КРАЙ, Г КРАСНОЯРСК, Ш СЕВЕРНОЕ, Д. 9Ж, СТР. 13, ПОМЕЩ. 1</t>
  </si>
  <si>
    <t>ООО ЦКР МЕДВЕДЬ</t>
  </si>
  <si>
    <t>660118, КРАСНОЯРСКИЙ КРАЙ, Г КРАСНОЯРСК, Ш СЕВЕРНОЕ, Д. 19Д</t>
  </si>
  <si>
    <t>ООО АГРОЛИДЕР</t>
  </si>
  <si>
    <t>660118, КРАСНОЯРСКИЙ КРАЙ, Г КРАСНОЯРСК, Ш СЕВЕРНОЕ, ЗД. 23Д</t>
  </si>
  <si>
    <t>ООО АХВ ТРАК СЕРВИС</t>
  </si>
  <si>
    <t>660118, КРАСНОЯРСКИЙ КРАЙ, Г КРАСНОЯРСК, Ш СЕВЕРНОЕ, ЗД. 17Д, СТРОЕНИЕ 18 ПОМЕЩЕНИЕ 1</t>
  </si>
  <si>
    <t>ООО АГП</t>
  </si>
  <si>
    <t>660049, РОССИЯ, КРАСНОЯРСКИЙ КРАЙ, Г.О. ГОРОД КРАСНОЯРСК, Г КРАСНОЯРСК, УЛ 9 ЯНВАРЯ, Д. 26А, КВ. 13</t>
  </si>
  <si>
    <t>ИП СМИРНОВА ЕЛЕНА ВЛАДИМИРОВНА</t>
  </si>
  <si>
    <t>ООО АТАРИ ГРУПП</t>
  </si>
  <si>
    <t>660130, РОССИЯ, КРАСНОЯРСКИЙ КРАЙ, Г.О. ГОРОД КРАСНОЯРСК, Г КРАСНОЯРСК, УЛ ЕЛЕНЫ СТАСОВОЙ, Д. 23, КВ. 5</t>
  </si>
  <si>
    <t>ООО МАРО И КО</t>
  </si>
  <si>
    <t>662205, РОССИЯ, КРАСНОЯРСКИЙ КРАЙ, Г.О. ГОРОД НАЗАРОВО, Г НАЗАРОВО, УЛ ЭНЕРГЕТИКОВ, Д. 21</t>
  </si>
  <si>
    <t>ИП РОМАНОВ ДЕНИС АЛЕКСАНДРОВИЧ</t>
  </si>
  <si>
    <t>ООО ЛЕКТА</t>
  </si>
  <si>
    <t>660062, РОССИЯ, КРАСНОЯРСКИЙ КРАЙ, Г.О. ГОРОД КРАСНОЯРСК, Г КРАСНОЯРСК, ПЕР ТЕЛЕВИЗОРНЫЙ, Д. 6Г</t>
  </si>
  <si>
    <t>ИП СЕМЕНОВ ИВАН МИХАЙЛОВИЧ</t>
  </si>
  <si>
    <t>ИП ЦЫРКУНОВ СЕРГЕЙ АЛЕКСАНДРОВИЧ</t>
  </si>
  <si>
    <t>ИП ГРИБОВ АЛЕКСАНДР НИКОЛАЕВИЧ</t>
  </si>
  <si>
    <t>ООО СЕВЕРБОАТ</t>
  </si>
  <si>
    <t>660006, КРАСНОЯРСКИЙ КРАЙ, Г.О. ГОРОД КРАСНОЯРСК, Г КРАСНОЯРСК, УЛ СПЛАВУЧАСТОК, ЗД. 7/3</t>
  </si>
  <si>
    <t>660118, РОССИЯ, КРАСНОЯРСКИЙ КРАЙ, Г.О. ГОРОД КРАСНОЯРСК, Г КРАСНОЯРСК, УЛ ПОЛИГОННАЯ, ЗД. 11Д</t>
  </si>
  <si>
    <t>ООО ТД СЕВЕР</t>
  </si>
  <si>
    <t>660006, КРАСНОЯРСКИЙ КРАЙ, Г КРАСНОЯРСК, УЛ СПЛАВУЧАСТОК, ЗД. 7/3</t>
  </si>
  <si>
    <t>660079, КРАСНОЯРСКИЙ КРАЙ, Г КРАСНОЯРСК, УЛ 60 ЛЕТ ОКТЯБРЯ, Д. 115, ПОМЕЩЕНИЕ 1 ОФИС 5</t>
  </si>
  <si>
    <t>ООО ЖЕЛЕЗЯКИ</t>
  </si>
  <si>
    <t>660111, РОССИЯ, КРАСНОЯРСКИЙ КРАЙ, Г.О. ГОРОД КРАСНОЯРСК, Г КРАСНОЯРСК, УЛ ПОГРАНИЧНИКОВ, Д. 12, СТР. 12</t>
  </si>
  <si>
    <t>ООО ПК-ЛИДЕР</t>
  </si>
  <si>
    <t>660118, РОССИЯ, КРАСНОЯРСКИЙ КРАЙ, Г.О. ГОРОД КРАСНОЯРСК, Г КРАСНОЯРСК, УЛ 9 МАЯ, Д. 39, КВ. 109</t>
  </si>
  <si>
    <t>ООО ПОГРУЗЧИК-СЕРВИС</t>
  </si>
  <si>
    <t>660079, КРАСНОЯРСКИЙ КРАЙ, Г КРАСНОЯРСК, УЛ 60 ЛЕТ ОКТЯБРЯ, Д.168</t>
  </si>
  <si>
    <t>ООО ЛАВ</t>
  </si>
  <si>
    <t>660079, КРАСНОЯРСКИЙ КРАЙ, Г КРАСНОЯРСК, УЛ АЛЕКСАНДРА МАТРОСОВА, Д.30 Л, К.1, 7</t>
  </si>
  <si>
    <t>ООО КРАСНОЯРСК - БЕЛАЗСЕРВИС</t>
  </si>
  <si>
    <t>660079, КРАСНОЯРСКИЙ КРАЙ, Г КРАСНОЯРСК, УЛ 60 ЛЕТ ОКТЯБРЯ, Д. 148, ОФИС 308</t>
  </si>
  <si>
    <t>ООО СЕВЕР-ТРАК</t>
  </si>
  <si>
    <t>660048, КРАСНОЯРСКИЙ КРАЙ, Г.О. ГОРОД КРАСНОЯРСК, Г КРАСНОЯРСК, УЛ 2-Я БРЯНСКАЯ, Д. 46, СТР. 1</t>
  </si>
  <si>
    <t>ИП ЧАРЫКОВ АЛЕКСАНДР НИКОЛАЕВИЧ</t>
  </si>
  <si>
    <t>ИП ГАЛЬЧЕНКО ЕКАТЕРИНА ЮРЬЕВНА</t>
  </si>
  <si>
    <t>ИП АНДРИЕНКО ВИКТОР НИКОЛАЕВИЧ</t>
  </si>
  <si>
    <t>ООО МЕДВЕДЬ-СЕВЕР</t>
  </si>
  <si>
    <t>ООО  ЭЛИТАВТО</t>
  </si>
  <si>
    <t>660077, КРАСНОЯРСКИЙ КРАЙ, Г.О. ГОРОД КРАСНОЯРСК, Г КРАСНОЯРСК, УЛ АЛЕКСЕЕВА, ЗД. 52, ПОМЕЩ. 2, КОМ. 24</t>
  </si>
  <si>
    <t>ООО КОНЦЕПТ-АВТО</t>
  </si>
  <si>
    <t>660135, КРАСНОЯРСКИЙ КРАЙ, Г КРАСНОЯРСК, УЛ ВЗЛЕТНАЯ, Д. 5А, ПОМЕЩ. 11</t>
  </si>
  <si>
    <t>ООО СПЕЦЛЕСМАШ</t>
  </si>
  <si>
    <t>660015, РОССИЯ, КРАСНОЯРСКИЙ КРАЙ, М.Р-Н ЕМЕЛЬЯНОВСКИЙ, П СОЛОНЦЫ, С.П. СОЛОНЦОВСКИЙ СЕЛЬСОВЕТ, ПР-КТ КОТЕЛЬНИКОВА, Д. 7, СТР. 8, СКЛ. Б/Н</t>
  </si>
  <si>
    <t>ИП САГАН ОЛЬГА НИКОЛАЕВНА</t>
  </si>
  <si>
    <t>ООО ИТ ДЖЕТ</t>
  </si>
  <si>
    <t>660133, КРАСНОЯРСКИЙ КРАЙ, Г КРАСНОЯРСК, УЛ СЕРГЕЯ ЛАЗО, Д. 28, КВ. 37</t>
  </si>
  <si>
    <t>ИП Донов Павел Андреевич</t>
  </si>
  <si>
    <t>ООО АВТОМАРКЕТ НАВИГАТОР</t>
  </si>
  <si>
    <t>660032, КРАСНОЯРСКИЙ КРАЙ, Г КРАСНОЯРСК, УЛ БЕЛИНСКОГО, Д. 3, ПОМЕЩЕНИЕ 131, КОМ. 3</t>
  </si>
  <si>
    <t>ООО РЕВОТЭК</t>
  </si>
  <si>
    <t>660020, КРАСНОЯРСКИЙ КРАЙ, Г КРАСНОЯРСК, УЛ ШАХТЕРОВ, ЗД. 4, СТР. 8</t>
  </si>
  <si>
    <t>ООО КОМПОНЕНТ-К</t>
  </si>
  <si>
    <t>660131, КРАСНОЯРСКИЙ КРАЙ, Г КРАСНОЯРСК, УЛ ГАЙДАШОВКА, Д. 32, ОФИС 2-04</t>
  </si>
  <si>
    <t>ООО АТЦ ТРАК 24</t>
  </si>
  <si>
    <t>660111, КРАСНОЯРСКИЙ КРАЙ, Г.О. ГОРОД КРАСНОЯРСК, Г КРАСНОЯРСК, УЛ ПОГРАНИЧНИКОВ, Д. 40, СТР. 347</t>
  </si>
  <si>
    <t>660021, КРАСНОЯРСКИЙ КРАЙ, Г КРАСНОЯРСК, УЛ ДУБРОВИНСКОГО, Д. 112, ЭТАЖ 3 ПОМЕЩЕНИЕ 4/КОМНАТА 75</t>
  </si>
  <si>
    <t>ООО КАН</t>
  </si>
  <si>
    <t>660093, КРАСНОЯРСКИЙ КРАЙ, Г КРАСНОЯРСК, УЛ НАВИГАЦИОННАЯ, Д. 5, ОФИС 261</t>
  </si>
  <si>
    <t>ООО АИСТ</t>
  </si>
  <si>
    <t>660111, КРАСНОЯРСКИЙ КРАЙ, Г КРАСНОЯРСК, УЛ ТЕХНОЛОГИЧЕСКАЯ, Д. 7</t>
  </si>
  <si>
    <t>ООО РЕГИОН-24</t>
  </si>
  <si>
    <t>660119, РОССИЯ, КРАСНОЯРСКИЙ КРАЙ, Г.О. ГОРОД КРАСНОЯРСК, Г КРАСНОЯРСК, ТРАКТ ЕНИСЕЙСКИЙ, ЗД. 69, ЭТАЖ 2</t>
  </si>
  <si>
    <t>ООО ГОРАВТО</t>
  </si>
  <si>
    <t>660125, РОССИЯ, КРАСНОЯРСКИЙ КРАЙ, Г.О. ГОРОД КРАСНОЯРСК, Г КРАСНОЯРСК, ПЕР СВЕТЛОГОРСКИЙ, Д. 17, КВ. 10</t>
  </si>
  <si>
    <t>ИП СКУРИХИН АНТОН АЛЕКСАНДРОВИЧ</t>
  </si>
  <si>
    <t>ООО КЛК</t>
  </si>
  <si>
    <t>660049, КРАСНОЯРСКИЙ КРАЙ, Г КРАСНОЯРСК, УЛ КАРАТАНОВА, Д. 4, ПОМЕЩ. 89</t>
  </si>
  <si>
    <t>ООО ЯНТАРЬ</t>
  </si>
  <si>
    <t>660015, РОССИЯ, КРАСНОЯРСКИЙ КРАЙ, М.Р-Н ЕМЕЛЬЯНОВСКИЙ, П СОЛОНЦЫ, С.П. СОЛОНЦОВСКИЙ СЕЛЬСОВЕТ, ПР-КТ КОТЕЛЬНИКОВА, СТР. 37/1, ПОМЕЩ. 1</t>
  </si>
  <si>
    <t>ООО САПФИР</t>
  </si>
  <si>
    <t>660133, КРАСНОЯРСКИЙ КРАЙ, Г КРАСНОЯРСК, УЛ ПАРТИЗАНА ЖЕЛЕЗНЯКА, Д. 46 А, СТР. 2</t>
  </si>
  <si>
    <t>ООО МЕДВЕДЬ ПРЕМИУМ</t>
  </si>
  <si>
    <t>660048, КРАСНОЯРСКИЙ КРАЙ, Г КРАСНОЯРСК, УЛ КАРАУЛЬНАЯ, Д. 37, ПОМЕЩЕНИЕ 2 КОМНАТА 8</t>
  </si>
  <si>
    <t>ООО ТЕХНОТОРГ</t>
  </si>
  <si>
    <t>ООО НЕФТЕТРЕЙД</t>
  </si>
  <si>
    <t>660077, КРАСНОЯРСКИЙ КРАЙ, Г.О. ГОРОД КРАСНОЯРСК, Г КРАСНОЯРСК, УЛ АВИАТОРОВ, ЗД. 5, ОФИС 474, ПОМЕЩ 301</t>
  </si>
  <si>
    <t>ООО ЭНЕРГИЯ ОЙЛ</t>
  </si>
  <si>
    <t>660135, КРАСНОЯРСКИЙ КРАЙ, Г.О. ГОРОД КРАСНОЯРСК, Г КРАСНОЯРСК, УЛ МОЛОКОВА, Д. 33, КВ. 9</t>
  </si>
  <si>
    <t>ООО ГРУППА КОМПАНИЙ ПАРИТЕТ</t>
  </si>
  <si>
    <t>КГБУ СО КЦСОН ЦЕНТРАЛЬНЫЙ</t>
  </si>
  <si>
    <t>660056, КРАСНОЯРСКИЙ КРАЙ, Г КРАСНОЯРСК, УЛ ЛЮБЫ ШЕВЦОВОЙ, Д. 53</t>
  </si>
  <si>
    <t>ООО МОТОР</t>
  </si>
  <si>
    <t>660118, КРАСНОЯРСКИЙ КРАЙ, Г КРАСНОЯРСК, Ш СЕВЕРНОЕ, Д. 15Д, ОФИС 7</t>
  </si>
  <si>
    <t>ООО ДОСТУПНЫЙ СЕРВИС</t>
  </si>
  <si>
    <t>660118, КРАСНОЯРСКИЙ КРАЙ, Г КРАСНОЯРСК, Ш СЕВЕРНОЕ, ЗД. 17Д, СТРОЕНИЕ 19 КОМНАТА 41</t>
  </si>
  <si>
    <t>ООО ОПТИМАЛ</t>
  </si>
  <si>
    <t>660049, КРАСНОЯРСКИЙ КРАЙ, Г КРАСНОЯРСК, УЛ ПАРИЖСКОЙ КОММУНЫ, Д. 33, ПОМЕЩЕНИЕ 835 ОФИС 815, ЭТАЖ 8</t>
  </si>
  <si>
    <t>ООО АМТЕКС</t>
  </si>
  <si>
    <t>660118, РОССИЯ, КРАСНОЯРСКИЙ КРАЙ, Г.О. ГОРОД КРАСНОЯРСК, Г КРАСНОЯРСК, Ш СЕВЕРНОЕ, ЗД. 37, ОФИС 301</t>
  </si>
  <si>
    <t>ООО МЕДВЕДЬ АЛЬЯНС</t>
  </si>
  <si>
    <t>660048, РОССИЯ, КРАСНОЯРСКИЙ КРАЙ, Г.О. ГОРОД КРАСНОЯРСК, Г КРАСНОЯРСК, УЛ КАРАУЛЬНАЯ, Д. 33, ПОМЕЩ. 1, КОМ. 28</t>
  </si>
  <si>
    <t>ООО ГЛОБАЛТРЕЙДСНАБ</t>
  </si>
  <si>
    <t>660048, РОССИЯ, КРАСНОЯРСКИЙ КРАЙ, Г.О. ГОРОД КРАСНОЯРСК, Г КРАСНОЯРСК, УЛ 2-Я БРЯНСКАЯ, ЗД. 53В</t>
  </si>
  <si>
    <t>ИП КРЕМЕНСКОВ АЛЕКСЕЙ НИКОЛАЕВИЧ</t>
  </si>
  <si>
    <t>ИП ВАРЛОШИНА ЮЛИЯ ВЛАДИМИРОВНА</t>
  </si>
  <si>
    <t>ИП ЗОЛОТАРЕВ АЛЕКСАНДР ИВАНОВИЧ</t>
  </si>
  <si>
    <t>ИП МИРНЫЙ ЕВГЕНИЙ АРКАДЬЕВИЧ</t>
  </si>
  <si>
    <t>ИП ЗАХАРОВ ЕВГЕНИЙ НИКОЛАЕВИЧ</t>
  </si>
  <si>
    <t>ООО ЗАРУ</t>
  </si>
  <si>
    <t>660004, РОССИЯ, КРАСНОЯРСКИЙ КРАЙ, Г.О. ГОРОД КРАСНОЯРСК, Г КРАСНОЯРСК, УЛ СОЛНЕЧНАЯ, ЗД. 12, СТР. 14, ПОМЕЩ. 20</t>
  </si>
  <si>
    <t>ИП КУЗИН АЛЕКСЕЙ АНАТОЛЬЕВИЧ</t>
  </si>
  <si>
    <t>ИП ЗОРИН ЕВГЕНИЙ ВЛАДИМИРОВИЧ</t>
  </si>
  <si>
    <t>ИП РИБ ВИКТОРИЯ СЕРГЕЕВНА</t>
  </si>
  <si>
    <t>ООО ГЕЛИОН</t>
  </si>
  <si>
    <t>663431, КРАСНОЯРСКИЙ КРАЙ, Р-Н БОГУЧАНСКИЙ, С БОГУЧАНЫ, ПЕР ПЕРВОМАЙСКИЙ, ЗД. 9, СТР. 2</t>
  </si>
  <si>
    <t>ИП БОГДАНОВ ЮРИЙ АНАТОЛЬЕВИЧ</t>
  </si>
  <si>
    <t>ИП Некрасова Светлана Викторовна</t>
  </si>
  <si>
    <t>ИП РУДАК ИВАН ВИКТОРОВИЧ</t>
  </si>
  <si>
    <t>ИП КАПРАНОВА СВЕТЛАНА ВИКТОРОВНА</t>
  </si>
  <si>
    <t>ИП Скобелин Сергей Владимирович</t>
  </si>
  <si>
    <t>ИП ГЛАЗКОВ ДМИТРИЙ ВЛАДИМИРОВИЧ</t>
  </si>
  <si>
    <t>ООО ОЙЛ-Д</t>
  </si>
  <si>
    <t>660118, КРАСНОЯРСКИЙ КРАЙ, Г КРАСНОЯРСК, Ш СЕВЕРНОЕ, Д.7 А, К.4</t>
  </si>
  <si>
    <t>ООО ТЕХНОТРЭЙД</t>
  </si>
  <si>
    <t>660075, КРАСНОЯРСКИЙ КРАЙ, Г КРАСНОЯРСК, УЛ СЕВЕРО-ЕНИСЕЙСКАЯ, Д.44</t>
  </si>
  <si>
    <t>ИП ОГОРОДОВА ЕЛЕНА БОРИСОВНА</t>
  </si>
  <si>
    <t>ООО РАЙДЕРС-ПАРТС</t>
  </si>
  <si>
    <t>660062, КРАСНОЯРСКИЙ КРАЙ, Г КРАСНОЯРСК, УЛ ВИЛЬСКОГО, Д. 18Д, КВ. 63</t>
  </si>
  <si>
    <t>ООО АЦ НИКОЛАЕВСКИЙ</t>
  </si>
  <si>
    <t>660041, КРАСНОЯРСКИЙ КРАЙ, Г КРАСНОЯРСК, ПР-КТ СВОБОДНЫЙ, Д. 75, СТР. 6</t>
  </si>
  <si>
    <t>ИП НУРУЛИН ЕВГЕНИЙ СЕРГЕЕВИЧ</t>
  </si>
  <si>
    <t>ООО АВТОСЕТЬ</t>
  </si>
  <si>
    <t>660079, КРАСНОЯРСКИЙ КРАЙ, Г.О. ГОРОД КРАСНОЯРСК, Г КРАСНОЯРСК, УЛ 60 ЛЕТ ОКТЯБРЯ, ЗД. 121А/1</t>
  </si>
  <si>
    <t>ООО ТС КОМАНДОР</t>
  </si>
  <si>
    <t>660064, КРАСНОЯРСКИЙ КРАЙ, Г КРАСНОЯРСК, УЛ АКАДЕМИКА ВАВИЛОВА, Д. 1, СТР 51/1</t>
  </si>
  <si>
    <t>ИП МАМЕДОВ ИЛЬЯС ГАСЫМ ОГЛЫ</t>
  </si>
  <si>
    <t>ИП ЛАРИОНОВ АЛЕКСЕЙ ВАСИЛЬЕВИЧ</t>
  </si>
  <si>
    <t>ИП СУВЕЙЗДО СВЕТЛАНА ЮРЬЕВНА</t>
  </si>
  <si>
    <t>ООО  АЦ-АВАНГАРД</t>
  </si>
  <si>
    <t>660022, КРАСНОЯРСКИЙ КРАЙ, Г КРАСНОЯРСК, УЛ ПАРТИЗАНА ЖЕЛЕЗНЯКА, ЗД. 46Г</t>
  </si>
  <si>
    <t>ООО НЭКО</t>
  </si>
  <si>
    <t>660135, КРАСНОЯРСКИЙ КРАЙ, Г КРАСНОЯРСК, УЛ ОКТЯБРЬСКАЯ, Д. 12</t>
  </si>
  <si>
    <t>ИП ТЕРЕЩЕНКО ИГОРЬ АЛЕКСАНДРОВИЧ</t>
  </si>
  <si>
    <t>ООО СЛИВА</t>
  </si>
  <si>
    <t>660075, КРАСНОЯРСКИЙ КРАЙ, Г.О. ГОРОД КРАСНОЯРСК, Г КРАСНОЯРСК, УЛ МАЕРЧАКА, Д. 10, ПОМЕЩ. 107 ОФИС 16-16</t>
  </si>
  <si>
    <t>ИП АРЛАШКИНА ВАЛЕНТИНА ЕГОРОВНА</t>
  </si>
  <si>
    <t>ООО АЛАР</t>
  </si>
  <si>
    <t>660119, КРАСНОЯРСКИЙ КРАЙ, Г КРАСНОЯРСК, ТРАКТ ЕНИСЕЙСКИЙ, ЗД. 69, ЭТАЖ 1</t>
  </si>
  <si>
    <t>ООО НЦ-ЛИДЕР</t>
  </si>
  <si>
    <t>660077, КРАСНОЯРСКИЙ КРАЙ, Г КРАСНОЯРСК, УЛ АВИАТОРОВ, Д. 4, К. А</t>
  </si>
  <si>
    <t>ООО СИБТЕХОЙЛ</t>
  </si>
  <si>
    <t>660131, КРАСНОЯРСКИЙ КРАЙ, Г.О. ГОРОД КРАСНОЯРСК, Г КРАСНОЯРСК, УЛ ГАЙДАШОВКА, Д. 3, ПОМЕЩ./ОФИС 12/208</t>
  </si>
  <si>
    <t>ООО ПКФ ЛАГУНА</t>
  </si>
  <si>
    <t>660118, КРАСНОЯРСКИЙ КРАЙ, Г КРАСНОЯРСК, Ш СЕВЕРНОЕ, Д.31А</t>
  </si>
  <si>
    <t>ООО НОВОЕ НАПРАВЛЕНИЕ</t>
  </si>
  <si>
    <t>660017, КРАСНОЯРСКИЙ КРАЙ, Г КРАСНОЯРСК, УЛ КИРОВА, Д. 19, ОФИС 27</t>
  </si>
  <si>
    <t>ООО НПФ СУПЕРКОНТ</t>
  </si>
  <si>
    <t>660049, КРАСНОЯРСКИЙ КРАЙ, Г КРАСНОЯРСК, УЛ ПАРИЖСКОЙ КОММУНЫ, Д.30, 191</t>
  </si>
  <si>
    <t>ООО ТЕХЦЕНТРАВТООНИКС</t>
  </si>
  <si>
    <t>660049, КРАСНОЯРСКИЙ КРАЙ, Г КРАСНОЯРСК, УЛ КАРЛА МАРКСА, Д.21, 93</t>
  </si>
  <si>
    <t>ИП ГОЛУБЦОВ МИХАИЛ ВЛАДИМИРОВИЧ</t>
  </si>
  <si>
    <t>ИП САННИКОВ АНТОН АЛЕКСАНДРОВИЧ</t>
  </si>
  <si>
    <t>ИП БУГАЕНКО АНДРЕЙ АЛЕКСЕЕВИЧ</t>
  </si>
  <si>
    <t>ИП ПЕСТОВ СТАНИСЛАВ ЛЕОНИДОВИЧ</t>
  </si>
  <si>
    <t>ПАО ГМК НОРИЛЬСКИЙ НИКЕЛЬ</t>
  </si>
  <si>
    <t>647000, КРАСНОЯРСКИЙ КРАЙ, Р-Н ТАЙМЫРСКИЙ ДОЛГАНО-НЕНЕЦКИЙ, Г ДУДИНКА, УЛ МОРОЗОВА, Д. 1</t>
  </si>
  <si>
    <t>ИП ЕЛИЗАРОВА АНАСТАСИЯ ЕВГЕНЬЕВНА</t>
  </si>
  <si>
    <t>ИП Лавриненко Надежда Елисеевна</t>
  </si>
  <si>
    <t>АО АНГАРА РЕСУРС</t>
  </si>
  <si>
    <t>660099, КРАСНОЯРСКИЙ КРАЙ, Г КРАСНОЯРСК, УЛ ЖЕЛЕЗНОДОРОЖНИКОВ, Д. 22Д, ПОМЕЩ. 74 КАБИНЕТ 2</t>
  </si>
  <si>
    <t>ИП СВИРИДОВ ЕВГЕНИЙ ВАЛЕРЬЕВИЧ</t>
  </si>
  <si>
    <t>ООО РЕАЛНЕФТЕПРОДУКТ</t>
  </si>
  <si>
    <t>662520, КРАСНОЯРСКИЙ КРАЙ, Р-Н БЕРЕЗОВСКИЙ, ПГТ БЕРЕЗОВКА, УЛ КИРОВА, ЗД. 56, ЗДАНИЕ 1</t>
  </si>
  <si>
    <t>ООО СОВРЕМЕННЫЕ СМАЗОЧНЫЕ МАТЕРИАЛЫ</t>
  </si>
  <si>
    <t>662520, КРАСНОЯРСКИЙ КРАЙ, Р-Н БЕРЕЗОВСКИЙ, ПГТ БЕРЕЗОВКА, УЛ ДЗЕРЖИНСКОГО, Д.27</t>
  </si>
  <si>
    <t>ИП ОВСИЕНКО АНАСТАСИЯ АЛЕКСАНДРОВНА</t>
  </si>
  <si>
    <t>ИП Хайрулин Руслан Александрович</t>
  </si>
  <si>
    <t>ИП МОКЕЕВА ИРИНА СЕМЕНОВНА</t>
  </si>
  <si>
    <t>ООО БОГУЧАНЫ-ОПТ-СЕРВИС</t>
  </si>
  <si>
    <t>663430, КРАСНОЯРСКИЙ КРАЙ, Р-Н БОГУЧАНСКИЙ, С БОГУЧАНЫ, УЛ НОВОСЕЛОВ, Д. 2 Б</t>
  </si>
  <si>
    <t>КГБУ СО РЕАБИЛИТАЦИОННЫЙ ЦЕНТР РОДНИЧОК</t>
  </si>
  <si>
    <t>663060, КРАСНОЯРСКИЙ КРАЙ, Р-Н БОЛЬШЕМУРТИНСКИЙ, ПГТ БОЛЬШАЯ МУРТА, ПЕР ЛУГОВОЙ, Д.1</t>
  </si>
  <si>
    <t>ИП МЕЛЬНИКОВ ЕВГЕНИЙ НИКОЛАЕВИЧ</t>
  </si>
  <si>
    <t>ИП МАРТЫНОВ ВИТАЛИЙ ВИКТОРОВИЧ</t>
  </si>
  <si>
    <t>ООО АВТОЦЕНТРГАЗ ОРИОН</t>
  </si>
  <si>
    <t>660015, КРАСНОЯРСКИЙ КРАЙ, Р-Н ЕМЕЛЬЯНОВСКИЙ, П СОЛОНЦЫ, ПР-КТ КОТЕЛЬНИКОВА, Д. 16, СТР. 3</t>
  </si>
  <si>
    <t>ИП ПЛАКСИН ДЕНИС ВАЛЕНТИНОВИЧ</t>
  </si>
  <si>
    <t>660015, КРАСНОЯРСКИЙ КРАЙ, Р-Н ЕМЕЛЬЯНОВСКИЙ, П СОЛОНЦЫ, ПР-КТ КОТЕЛЬНИКОВА, Д. 11, ПОМЕЩ. 1</t>
  </si>
  <si>
    <t>ООО ТРАК ПРО</t>
  </si>
  <si>
    <t>660015, КРАСНОЯРСКИЙ КРАЙ, Р-Н ЕМЕЛЬЯНОВСКИЙ, П СОЛОНЦЫ, КВ-Л ПЛОЩАДКА ЗАПАДНАЯ, СТР. 5/2</t>
  </si>
  <si>
    <t>ООО СТА</t>
  </si>
  <si>
    <t>660015, РОССИЯ, КРАСНОЯРСКИЙ КРАЙ, М.Р-Н ЕМЕЛЬЯНОВСКИЙ, П СОЛОНЦЫ, С.П. СОЛОНЦОВСКИЙ СЕЛЬСОВЕТ, УЛ НОВАЯ, СТР. 31А, ОФИС 8</t>
  </si>
  <si>
    <t>ООО ОРИОНГАЗ СЕРВИС</t>
  </si>
  <si>
    <t>660015, РОССИЯ, КРАСНОЯРСКИЙ КРАЙ, М.Р-Н ЕМЕЛЬЯНОВСКИЙ, П СОЛОНЦЫ, С.П. СОЛОНЦОВСКИЙ СЕЛЬСОВЕТ, ПР-КТ КОТЕЛЬНИКОВА, Д. 16, СТР. 3</t>
  </si>
  <si>
    <t>ИП ОБЕДИН ИВАН МИХАЙЛОВИЧ</t>
  </si>
  <si>
    <t>ИП МУХАЧЕВ НИКОЛАЙ НИКОЛАЕВИЧ</t>
  </si>
  <si>
    <t>ИП ЧЕРКАШИН ДЕНИС ВАЛЕРЬЕВИЧ</t>
  </si>
  <si>
    <t>ИП ДРЕСВЯНКИНА СОФИЯ КОНСТАНТИНОВНА</t>
  </si>
  <si>
    <t>ИП КОРОТКИХ АЛЕКСЕЙ ВЛАДИМИРОВИЧ</t>
  </si>
  <si>
    <t>ИП Буева Ирина Михайловна</t>
  </si>
  <si>
    <t>АО СОЛГОН</t>
  </si>
  <si>
    <t>662265, КРАСНОЯРСКИЙ КРАЙ, Р-Н УЖУРСКИЙ, С СОЛГОН, УЛ ХАРЧЕНКО, ЗД. 5</t>
  </si>
  <si>
    <t>ИП ЕРМОЛЕНКО ПАВЕЛ ВЛАДИМИРОВИЧ</t>
  </si>
  <si>
    <t>ИП ФУРСОВА ЛЮДМИЛА АЛЕКСАНДРОВНА</t>
  </si>
  <si>
    <t>ИП КОСМАЧЁВА ЕЛЕНА ВИКТОРОВНА</t>
  </si>
  <si>
    <t>ИП СОСЕНКИН АЛЕКСАНДР ЮРЬЕВИЧ</t>
  </si>
  <si>
    <t>ОООНЕФТЬ ОЙЛ</t>
  </si>
  <si>
    <t>662165, КРАСНОЯРСКИЙ КРАЙ, Г АЧИНСК, УЛ ЛЬВА ТОЛСТОГО, Д. 49</t>
  </si>
  <si>
    <t>ИП СЕМЕНОВА НИНА АЛЕКСАНДРОВНА</t>
  </si>
  <si>
    <t>ИП ХРАМОГИНА ВИКТОРИЯ ВИКТОРОВНА</t>
  </si>
  <si>
    <t>ИП ПОТАПКИН АЛЕКСЕЙ АНАТОЛЬЕВИЧ</t>
  </si>
  <si>
    <t>ИП ХУНТУА МАРИНА ГЕОРГИЕВНА</t>
  </si>
  <si>
    <t>663960, КРАСНОЯРСКИЙ КРАЙ, Р-Н РЫБИНСКИЙ, Г ЗАОЗЕРНЫЙ, УЛ ЛЕНИНА, СООР. 24</t>
  </si>
  <si>
    <t>ИП Смелянец Юрий Александрович</t>
  </si>
  <si>
    <t>ИП ГАДИРОВА ЕЛЕНА АЛЕКСАНДРОВНА</t>
  </si>
  <si>
    <t>ФКУ СИЗО-5 ГУФСИН РОССИИ ПО КРАСНОЯРСКОМУ КРАЮ</t>
  </si>
  <si>
    <t>663600, КРАСНОЯРСКИЙ КРАЙ, Г КАНСК, УЛ КАЙТЫМСКАЯ, Д. 122</t>
  </si>
  <si>
    <t>ИП ВАСИЛЬЕВ ОЛЕГ КОНСТАНТИНОВИЧ</t>
  </si>
  <si>
    <t>ООО МЭЙКМУД</t>
  </si>
  <si>
    <t>660131, РОССИЯ, КРАСНОЯРСКИЙ КРАЙ, Г.О. ГОРОД КРАСНОЯРСК, Г КРАСНОЯРСК, ПР-КТ МЕТАЛЛУРГОВ, ЗД. 2Р, ПОМЕЩ. 5, КОМ. 1-08</t>
  </si>
  <si>
    <t>ИП СОЛОВЬЕВ СТЕПАН ВЛАДИМИРОВИЧ</t>
  </si>
  <si>
    <t>ИП ШАЛЫГИН ЕВГЕНИЙ ВИКТОРОВИЧ</t>
  </si>
  <si>
    <t>ИП РАУ КОНСТАНТИН КОНСТАНТИНОВИЧ</t>
  </si>
  <si>
    <t>ИП РАЕВСКАЯ ЛЮДМИЛА НИКОЛАЕВНА</t>
  </si>
  <si>
    <t>ИП ЛЕМЕШКО ОКСАНА ЮРЬЕВНА</t>
  </si>
  <si>
    <t>ООО ТАЛЕР</t>
  </si>
  <si>
    <t>ИП ВАСИЛЬЕВА АНАСТАСИЯ ЮРЬЕВНА</t>
  </si>
  <si>
    <t>ИП Мельникова Елена Николаевна</t>
  </si>
  <si>
    <t>ООО СТО24</t>
  </si>
  <si>
    <t>663020, РОССИЯ, КРАСНОЯРСКИЙ КРАЙ, М.Р-Н ЕМЕЛЬЯНОВСКИЙ, ПГТ ЕМЕЛЬЯНОВО, Г.П. ПОСЕЛОК ЕМЕЛЬЯНОВО, УЛ УРОЖАЙНАЯ, Д. 3, КВ. 13</t>
  </si>
  <si>
    <t>ИП БРОННИКОВА ЛАРИСА ЕВГЕНЬЕВНА</t>
  </si>
  <si>
    <t>ИП ЗАСПО АНДРЕЙ ВЛАДИМИРОВИЧ</t>
  </si>
  <si>
    <t>ИП ТУРЧАНОВ ТИМОФЕЙ ЕВГЕНЬЕВИЧ</t>
  </si>
  <si>
    <t>ИП ГАЕВСКИЙ АЛЕКСАНДР ВАЛЕНТИНОВИЧ</t>
  </si>
  <si>
    <t>ИП КАТЕНОВИЧ АЛЕКСАНДРА ВАСИЛЬЕВНА</t>
  </si>
  <si>
    <t>ИП ИОРДАН АННА ГЕННАДЬЕВНА</t>
  </si>
  <si>
    <t>ИП СОСНОВСКИХ ВАСИЛИЙ ИННОКЕНТЬЕВИЧ</t>
  </si>
  <si>
    <t>ИП СКИФОВ ИВАН АЛЕКСАНДРОВИЧ</t>
  </si>
  <si>
    <t>ИП МИХАЙЛОВА МАРИЯ ПЕТРОВНА</t>
  </si>
  <si>
    <t>ИП КАЗАК НАДЕЖДА ИЛЬИНИЧНА</t>
  </si>
  <si>
    <t>ООО АЧИНСК-ШИНА</t>
  </si>
  <si>
    <t>662153, КРАСНОЯРСКИЙ КРАЙ, Г АЧИНСК, УЛ 5 ИЮЛЯ, СТР. 7Б</t>
  </si>
  <si>
    <t>ИП УШКАЛОВ НИКОЛАЙ АЛЕКСАНДРОВИЧ</t>
  </si>
  <si>
    <t>ИП УСКОВА СВЕТЛАНА ЛЕОНИДОВНА</t>
  </si>
  <si>
    <t>ИП САХАРОВ АЛЕКСАНДР ВАЛЕРЬЕВИЧ</t>
  </si>
  <si>
    <t>ИП Диких Евгений Николаевич</t>
  </si>
  <si>
    <t>ИП ПРУТОВЫХ НАТАЛЬЯ ВАЛЕНТИНОВНА</t>
  </si>
  <si>
    <t>ИП КАРПАЧЕВ МАКСИМ АЛЕКСЕЕВИЧ</t>
  </si>
  <si>
    <t>ИП ЧЕРКАСОВА АННА НИКОЛАЕВНА</t>
  </si>
  <si>
    <t>ИП ВЕРЁВКИН АЛЕКСАНДР ВИКТОРОВИЧ</t>
  </si>
  <si>
    <t>ИП Соловаров Павел Анатольевич</t>
  </si>
  <si>
    <t>ИП ДИДОХА АНДРЕЙ ВЛАДИМИРОВИЧ</t>
  </si>
  <si>
    <t>ООО ОРИОН-СЕРВИС</t>
  </si>
  <si>
    <t>ООО ЭКСПЕРТТРАКСЕРВИС</t>
  </si>
  <si>
    <t>660015, РОССИЯ, КРАСНОЯРСКИЙ КРАЙ, М.Р-Н ЕМЕЛЬЯНОВСКИЙ, П СОЛОНЦЫ, С.П. СОЛОНЦОВСКИЙ СЕЛЬСОВЕТ, КВ-Л ТОРГОВЫЙ, СТР. 8, СКЛ. 1</t>
  </si>
  <si>
    <t>ОБЩЕСТВО С ОГРАНИЧЕННОЙ ОТВЕТСТВЕННОСТЬЮ ТРАКТРЕЙД</t>
  </si>
  <si>
    <t>660015, РОССИЯ, КРАСНОЯРСКИЙ КРАЙ, М.Р-Н ЕМЕЛЬЯНОВСКИЙ, П СОЛОНЦЫ, С.П. СОЛОНЦОВСКИЙ СЕЛЬСОВЕТ, КВ-Л ТОРГОВЫЙ, СТР. 8, СКЛ. 1, ПОМЕЩ. 8</t>
  </si>
  <si>
    <t>ИП ЛОГИНОВ ИВАН ЮРЬЕВИЧ</t>
  </si>
  <si>
    <t>ИП БЕРБУШЕНКО СЕРГЕЙ НИКОЛАЕВИЧ</t>
  </si>
  <si>
    <t>ИП БОЙКО СВЕТЛАНА АЛЕКСАНДРОВНА</t>
  </si>
  <si>
    <t>ИП ПИВОВАРОВА ЕЛЕНА ИОСИФОВНА</t>
  </si>
  <si>
    <t>ИП ПЕРСИДСКИЙ ОЛЕГ ВАСИЛЬЕВИЧ</t>
  </si>
  <si>
    <t>663491, КРАСНОЯРСКИЙ КРАЙ, Р-Н КЕЖЕМСКИЙ, Г КОДИНСК, ПР-КТ ЛЕНИНСКОГО КОМСОМОЛА, Д. 4А, А/Я 439</t>
  </si>
  <si>
    <t>ИП КОСИВЦОВА ОЛЬГА АЛЕКСАНДРОВНА</t>
  </si>
  <si>
    <t>ИП БРЮХАНОВ АРТЁМ ДМИТРИЕВИЧ</t>
  </si>
  <si>
    <t>ИП ГОБОВ ВАСИЛИЙ ВАСИЛЬЕВИЧ</t>
  </si>
  <si>
    <t>ИП ЧЕРНЫШОВА ЛЮБОВЬ АНАТОЛЬЕВНА</t>
  </si>
  <si>
    <t>ИП ДЕМЬЯНОВ ВЛАДИСЛАВ ИВАНОВИЧ</t>
  </si>
  <si>
    <t>ИП ФЕДЧЕНКО ИГОРЬ ВЛАДИМИРОВИЧ</t>
  </si>
  <si>
    <t>ИП САТИЕВА ТАТЬЯНА АЛЕКСАНДРОВНА</t>
  </si>
  <si>
    <t>662161, КРАСНОЯРСКИЙ КРАЙ, Г АЧИНСК, МКР 4-Й, Д.22, 47</t>
  </si>
  <si>
    <t>ООО ПЕРЕКРЕСТОК</t>
  </si>
  <si>
    <t>КРАСНОЯРСКИЙ КРАЙ, М.Р-Н АЧИНСКИЙ, С.П. МАЛИНОВСКИЙ СЕЛЬСОВЕТ, КВ-Л ПЕРЕКРЕСТОК, ЗД. 1</t>
  </si>
  <si>
    <t>ООО НОВЫЙ СЕРВИС</t>
  </si>
  <si>
    <t>662152, КРАСНОЯРСКИЙ КРАЙ, Г АЧИНСК, ПР-КТ ЛАПЕНКОВА, ЗД. 9А</t>
  </si>
  <si>
    <t>ИП ГУНЬКО ИВАН ВЛАДИМИРОВИЧ</t>
  </si>
  <si>
    <t>ИП Семенюк Наталья Анатольевна</t>
  </si>
  <si>
    <t>ИП САВИН ИГОРЬ НИКОЛАЕВИЧ</t>
  </si>
  <si>
    <t>ИП КУЛИЕВ ХАЛИЛ БАБА ОГЛЫ</t>
  </si>
  <si>
    <t>ИП СУРТАЕВ ЮРИЙ НИКОЛАЕВИЧ</t>
  </si>
  <si>
    <t>АО МЕРТА</t>
  </si>
  <si>
    <t>660061, РОССИЯ, КРАСНОЯРСКИЙ КРАЙ, Г.О. ГОРОД КРАСНОЯРСК, Г КРАСНОЯРСК, УЛ КАЛИНИНА, Д. 82, СТР. 15</t>
  </si>
  <si>
    <t>ИП ПОЛЯКОВ АЛЕКСАНДР ВЛАДИМИРОВИЧ</t>
  </si>
  <si>
    <t>Приморский край</t>
  </si>
  <si>
    <t>ИП ИВАХОВ АЛЕКСАНДР ФЕДОРОВИЧ</t>
  </si>
  <si>
    <t>ИП ЛУБЕНСКАЯ МАРИЯ АНДРЕЕВНА</t>
  </si>
  <si>
    <t>ИП ЕЛИЗАРОВ ЭДУАРД ВЛАДИМИРОВИЧ</t>
  </si>
  <si>
    <t>ОБЩЕСТВО С ОГРАНИЧЕННОЙ ОТВЕТСТВЕННОСТЬЮ ПЕТРОЛАЙН</t>
  </si>
  <si>
    <t>692756, РОССИЯ, ПРИМОРСКИЙ КРАЙ, Г.О. АРТЕМОВСКИЙ, Г АРТЕМ, УЛ УТКИНСКАЯ, Д. 26, СТР. 1, ОФИС 1</t>
  </si>
  <si>
    <t>ИП ТЕЛЬБИЗОВ АНТОН КОНСТАНТИНОВИЧ</t>
  </si>
  <si>
    <t>ИП ЛЕБЕДЕВ СЕРГЕЙ АНАТОЛЬЕВИЧ</t>
  </si>
  <si>
    <t>ИП КУЧЕРЕНКО КИРИЛЛ ЮРЬЕВИЧ</t>
  </si>
  <si>
    <t>ИП СИЗИЛОВ ИГОРЬ ВАЛЕРИЕВИЧ</t>
  </si>
  <si>
    <t>ИП БОНДАРЕНКО ГЕННАДИЙ НИКОЛАЕВИЧ</t>
  </si>
  <si>
    <t>ООО АРСЕНЬЕВСКИЙ АВТОСЕРВИС</t>
  </si>
  <si>
    <t>692342, ПРИМОРСКИЙ КРАЙ, Г АРСЕНЬЕВ, УЛ ЩЕРБАКОВА, Д.46</t>
  </si>
  <si>
    <t>ИП МАЛЬЦЕВ АНАТОЛИЙ ВИКТОРОВИЧ</t>
  </si>
  <si>
    <t>ИП ТЮРИН СЕРГЕЙ ВЛАДИМИРОВИЧ</t>
  </si>
  <si>
    <t>ИП БРИЛЬ ПАВЕЛ ГЕННАДЬЕВИЧ</t>
  </si>
  <si>
    <t>ИП МЕДОВСКАЯ МАРИНА ВЛАДИМИРОВНА</t>
  </si>
  <si>
    <t>ООО РЕАЛ ТРАК</t>
  </si>
  <si>
    <t>692770, РОССИЯ, ПРИМОРСКИЙ КРАЙ, Г.О. АРТЕМОВСКИЙ, Г АРТЕМ, УЛ 1-Я РАБОЧАЯ, Д. 41, СТР. 1, ОФИС 6</t>
  </si>
  <si>
    <t>ИП МАРКЕВИЧ КСЕНИЯ ЭДУАРДОВНА</t>
  </si>
  <si>
    <t>ИП ЗВЕЗДА ДМИТРИЙ АНДРЕЕВИЧ</t>
  </si>
  <si>
    <t>ИП СЛЕПЫШЕВА АЛЕКСАНДРА СЕРГЕЕВНА</t>
  </si>
  <si>
    <t>ИП АЛЕКСАНДРОВА ЛЮБОВЬ АЛЕКСАНДРОВНА</t>
  </si>
  <si>
    <t>ИП СЛЕПЫШЕВ ДМИТРИЙ АЛЕКСАНДРОВИЧ</t>
  </si>
  <si>
    <t>ИП САВЕЛЬЕВА НАТАЛЬЯ ВИКТОРОВНА</t>
  </si>
  <si>
    <t>ИП СКОРОХОД АНАТОЛИЙ ЕВГЕНЬЕВИЧ</t>
  </si>
  <si>
    <t>ИП КОЖЕМЯКО ЮЛИЯ СЕРГЕЕВНА</t>
  </si>
  <si>
    <t>ИП Полуда Галина Николаевна</t>
  </si>
  <si>
    <t>ИП УСЕНКО ЕВГЕНИЯ АНАТОЛЬЕВНА</t>
  </si>
  <si>
    <t>ИП ФИЛИМОНОВ СЕРГЕЙ ВАЛЕНТИНОВИЧ</t>
  </si>
  <si>
    <t>ИП ДРУЖИНИН ВЯЧЕСЛАВ АЛЕКСАНДРОВИЧ</t>
  </si>
  <si>
    <t>ООО НППЭКСПЕРИМЕНТ</t>
  </si>
  <si>
    <t>692756, ПРИМОРСКИЙ КРАЙ, Г АРТЕМ, УЛ 1-Я ЗАПАДНАЯ, ЗД. 25</t>
  </si>
  <si>
    <t>692770, ПРИМОРСКИЙ КРАЙ, Г АРТЕМ, УЛ ГАГАРИНА, Д. 38</t>
  </si>
  <si>
    <t>ООО СУМОТОРИ - ОЙЛ</t>
  </si>
  <si>
    <t>692770, ПРИМОРСКИЙ КРАЙ, Г АРТЕМ, УЛ 1-Я РАБОЧАЯ, Д. 91, ЭТ/КАБ 1/14</t>
  </si>
  <si>
    <t>ООО ВСЕ ДЛЯ ГРУЗОВИКОВ</t>
  </si>
  <si>
    <t>692769, РОССИЯ, ПРИМОРСКИЙ КРАЙ, М.Р-Н НАДЕЖДИНСКИЙ, П СТЕКЛОЗАВОДСКИЙ, С.П. НАДЕЖДИНСКОЕ, УЛ ЗАВОДСКАЯ, ВЛД. 2, ПОМЕЩ. 2</t>
  </si>
  <si>
    <t>ООО ТИМЕР ШАРК</t>
  </si>
  <si>
    <t>690003, РОССИЯ, ПРИМОРСКИЙ КРАЙ, Г.О. ВЛАДИВОСТОКСКИЙ, Г ВЛАДИВОСТОК, УЛ 1-Я МОРСКАЯ, Д. 9, ПОМЕЩ. 214</t>
  </si>
  <si>
    <t>ИП СТЕПАНЮК НАТАЛЬЯ ЕВГЕНЬЕВНА</t>
  </si>
  <si>
    <t>ООО ЭНЕРГИЯ ВУД</t>
  </si>
  <si>
    <t>692815, РОССИЯ, ПРИМОРСКИЙ КРАЙ, М.О. ШКОТОВСКИЙ, ПГТ ШКОТОВО, УЛ ЛАЗО, ЗД. 2, СТР. 1</t>
  </si>
  <si>
    <t>ИП ЛАПИН АНТОН ГЕННАДЬЕВИЧ</t>
  </si>
  <si>
    <t>ИП ФЛЕЙТУХ АЛЕНА АЛЕКСАНДРОВНА</t>
  </si>
  <si>
    <t>ИП АРЗАМАЗОВ МАКСИМ АЛЕКСАНДРОВИЧ</t>
  </si>
  <si>
    <t>ИП КУДРЯВЦЕВ АЛЕКСЕЙ ЮРЬЕВИЧ</t>
  </si>
  <si>
    <t>ООО ТРАК ФОРЕСТ</t>
  </si>
  <si>
    <t>692443, ПРИМОРСКИЙ КРАЙ, Г ДАЛЬНЕГОРСК, ПР-КТ 50 ЛЕТ ОКТЯБРЯ, Д. 308, ОФИС 24</t>
  </si>
  <si>
    <t>ИП ХОРЛИКОВ СЕРГЕЙ ИВАНОВИЧ</t>
  </si>
  <si>
    <t>ИП РОГОЖИНА НАТАЛЬЯ НИКОЛАЕВНА</t>
  </si>
  <si>
    <t>ИП АРХАРОВ ЕВГЕНИЙ ПАВЛОВИЧ</t>
  </si>
  <si>
    <t>ИП КАЛАШНИКОВ ВЯЧЕСЛАВ СТЕПАНОВИЧ</t>
  </si>
  <si>
    <t>ИП КУЗОВОВ АНДРЕЙ РОМАНОВИЧ</t>
  </si>
  <si>
    <t>ООО РУСТЕХСМАЗ</t>
  </si>
  <si>
    <t>690080, РОССИЯ, ПРИМОРСКИЙ КРАЙ, Г.О. ВЛАДИВОСТОКСКИЙ, Г ВЛАДИВОСТОК, УЛ САХАЛИНСКАЯ, Д. 5А, КВ. 127</t>
  </si>
  <si>
    <t>ООО ВОСТОКТОРГБИЗНЕС</t>
  </si>
  <si>
    <t>692926, ПРИМОРСКИЙ КРАЙ, Г НАХОДКА, УЛ ОРДЖОНИКИДЗЕ, Д. 6А</t>
  </si>
  <si>
    <t>ООО АВТОРЕСУРС-ИНВЕСТ</t>
  </si>
  <si>
    <t>692918, РОССИЯ, ПРИМОРСКИЙ КРАЙ, Г.О. НАХОДКИНСКИЙ, Г НАХОДКА, УЛ ДЗЕРЖИНСКОГО, Д. 16Б, ЭТАЖ ЦОКОЛЬНЫЙ, ОФИС 9</t>
  </si>
  <si>
    <t>ИП АНДРУШЕВСКИЙ СЕРГЕЙ ВИКТОРОВИЧ</t>
  </si>
  <si>
    <t>ИП СКОЛЬКОВА ЕЛЕНА НИКОЛАЕВНА</t>
  </si>
  <si>
    <t>ИП Наливайко Виктор Андреевич</t>
  </si>
  <si>
    <t>ИП ХАН ЛЮДМИЛА АНТОНОВНА</t>
  </si>
  <si>
    <t>ИП БОЖЕНКО АЛЕКСАНДР СТАНИСЛАВОВИЧ</t>
  </si>
  <si>
    <t>ИП ЗАГОРОДНЯЯ СВЕТЛАНА ВАЛЕРЬЕВНА</t>
  </si>
  <si>
    <t>ФКУЗ ПРИМОРСКАЯ ПЧС РОСПОТРЕБНАДЗОРА</t>
  </si>
  <si>
    <t>692512, ПРИМОРСКИЙ КРАЙ, Г УССУРИЙСК, УЛ ДЗЕРЖИНСКОГО, Д.46, ---</t>
  </si>
  <si>
    <t>ИП ВЯТКИНА ЕЛЕНА ИВАНОВНА</t>
  </si>
  <si>
    <t>ООО УССУРНЕФТЕПРОДУКТ</t>
  </si>
  <si>
    <t>692506, ПРИМОРСКИЙ КРАЙ, Г УССУРИЙСК, УЛ УРИЦКОГО, ЗД. 25А</t>
  </si>
  <si>
    <t>ИП ПАК НАТАЛЬЯ АЛЕКСАНДРОВНА</t>
  </si>
  <si>
    <t>ООО СИРИУС МОТОРС</t>
  </si>
  <si>
    <t>692503, ПРИМОРСКИЙ КРАЙ, Г УССУРИЙСК, УЛ КОМСОМОЛЬСКАЯ, ЗД. 111/1</t>
  </si>
  <si>
    <t>ООО УССУРИ</t>
  </si>
  <si>
    <t>692509, ПРИМОРСКИЙ КРАЙ, Г.О. УССУРИЙСКИЙ, Г УССУРИЙСК, УЛ НОВОНИКОЛЬСКОЕ ШОССЕ, ЗД. 2В, КАБИНЕТ 3</t>
  </si>
  <si>
    <t>ООО МЕГАТРЕЙД</t>
  </si>
  <si>
    <t>692515, ПРИМОРСКИЙ КРАЙ, Г УССУРИЙСК, УЛ НОВОНИКОЛЬСКОЕ ШОССЕ, Д. 1, К. Б, КАБИНЕТ 7</t>
  </si>
  <si>
    <t>ООО ГРИН ВУД ЭКСПОРТ</t>
  </si>
  <si>
    <t>690001, РОССИЯ, ПРИМОРСКИЙ КРАЙ, Г.О. ВЛАДИВОСТОКСКИЙ, Г ВЛАДИВОСТОК, УЛ АБРЕКСКАЯ, Д. 12, ПОМЕЩ. 407</t>
  </si>
  <si>
    <t>ООО АЗИЯ ДЕВЕЛОПМЕНТ</t>
  </si>
  <si>
    <t>692502, РОССИЯ, ПРИМОРСКИЙ КРАЙ, Г.О. УССУРИЙСКИЙ, Г УССУРИЙСК, УЛ ШЕВЧЕНКО, Д. 9, ОФИС 207</t>
  </si>
  <si>
    <t>ИП ДВУХЖИЛЬНЫЙ ВИКТОР АЛЕКСАНДРОВИЧ</t>
  </si>
  <si>
    <t>ИП ЮХНЕВИЧ ИНЕССА ИВАНОВНА</t>
  </si>
  <si>
    <t>ИП ГЛАДКОВ АНДРЕЙ АНДРЕЕВИЧ</t>
  </si>
  <si>
    <t>ИП ДУКА ИГОРЬ ВЛАДИМИРОВИЧ</t>
  </si>
  <si>
    <t>ИП МУНТЯН АНАСТАСИЯ АРТУРОВНА</t>
  </si>
  <si>
    <t>ИП СУДАРИКОВ ЕВГЕНИЙ АЛЕКСАНДРОВИЧ</t>
  </si>
  <si>
    <t>ИП ФАТТАХОВ РИНАТ МУГАЛЛИМОВИЧ</t>
  </si>
  <si>
    <t>ИП САПРЫКИН ДМИТРИЙ АНАТОЛЬЕВИЧ</t>
  </si>
  <si>
    <t>ИП Селиванов Алексей Владимирович</t>
  </si>
  <si>
    <t>ИП ТЕКУТЬЕВ АНДРЕЙ ВАЛЕРЬЕВИЧ</t>
  </si>
  <si>
    <t>ИП МАРТЬЯНОВА АННА ИЛЛАРИОНОВНА</t>
  </si>
  <si>
    <t>ИП Коробейникова Нелли Геннадьевна</t>
  </si>
  <si>
    <t>ИП СТОРОЖЕВА СВЕТЛАНА ИННОКЕНТЬЕВНА</t>
  </si>
  <si>
    <t>ИП ДУБЕЛЕВИЧ ДМИТРИЙ АЛЕКСАНДРОВИЧ</t>
  </si>
  <si>
    <t>ИП СТОРОЖЕВ АНТОН ИГОРЕВИЧ</t>
  </si>
  <si>
    <t>ИП ТУПИЛЕНКО АННА СЕРГЕЕВНА</t>
  </si>
  <si>
    <t>ИП ТУРУБАРОВА ОКСАНА ВАСИЛЬЕВНА</t>
  </si>
  <si>
    <t>ИП КЛОПОВ ВЛАДИМИР ВЛАДИМИРОВИЧ</t>
  </si>
  <si>
    <t>ИП ТЮНИКОВ АНАТОЛИЙ ВАСИЛЬЕВИЧ</t>
  </si>
  <si>
    <t>ООО ЮНИКАЛ</t>
  </si>
  <si>
    <t>692939, ПРИМОРСКИЙ КРАЙ, Г НАХОДКА, ПР-КТ НАХОДКИНСКИЙ, Д.35Б</t>
  </si>
  <si>
    <t>ООО ВОСТОК-НЕФТЬ</t>
  </si>
  <si>
    <t>690088, ПРИМОРСКИЙ КРАЙ, Г.О. ВЛАДИВОСТОКСКИЙ, Г ВЛАДИВОСТОК, УЛ ЖИГУРА, Д. 26А, ОФИС 4-1</t>
  </si>
  <si>
    <t>ООО ВО</t>
  </si>
  <si>
    <t>692919, ПРИМОРСКИЙ КРАЙ, Г НАХОДКА, УЛ МАЛИНОВСКОГО, Д. 23А, К. 2, ОФИС 17</t>
  </si>
  <si>
    <t>ООО ВЛАДСКУТЕР</t>
  </si>
  <si>
    <t>690002, ПРИМОРСКИЙ КРАЙ, Г ВЛАДИВОСТОК, ПР-КТ ОКЕАНСКИЙ, Д. 94Б</t>
  </si>
  <si>
    <t>ООО СД БИЗНЕС ГРУПП</t>
  </si>
  <si>
    <t>692919, РОССИЯ, ПРИМОРСКИЙ КРАЙ, Г.О. НАХОДКИНСКИЙ, Г НАХОДКА, ПР-КТ СЕВЕРНЫЙ, Д. 47, ПОМЕЩ. 2</t>
  </si>
  <si>
    <t>ООО ФАРГЕЙТ</t>
  </si>
  <si>
    <t>692922, РОССИЯ, ПРИМОРСКИЙ КРАЙ, Г.О. НАХОДКИНСКИЙ, Г НАХОДКА, УЛ ПОГРАНИЧНАЯ, Д. 6, ОФИС 408</t>
  </si>
  <si>
    <t>ООО ГЛОБРИДЖ</t>
  </si>
  <si>
    <t>692903, РОССИЯ, ПРИМОРСКИЙ КРАЙ, Г.О. НАХОДКИНСКИЙ, Г НАХОДКА, УЛ ГАГАРИНА, Д. 10, ОФИС 324</t>
  </si>
  <si>
    <t>ИП ДЬЯЧЕНКО БОРИС ГЕННАДЬЕВИЧ</t>
  </si>
  <si>
    <t>ИП ДРОБОТОВ РОМАН ВИКТОРОВИЧ</t>
  </si>
  <si>
    <t>ИП АСТАЕВА ИНГА АЛЕКСАНДРОВНА</t>
  </si>
  <si>
    <t>ИП КОКАРЕВ АЛЕКСАНДР АЛЕКСАНДРОВИЧ</t>
  </si>
  <si>
    <t>ООО БЛИЖЕ К ДЕЛУ</t>
  </si>
  <si>
    <t>692512, ПРИМОРСКИЙ КРАЙ, Г УССУРИЙСК, УЛ ПУШКИНА, Д. 17</t>
  </si>
  <si>
    <t>ООО ТРАК ЦЕНТР</t>
  </si>
  <si>
    <t>692511, ПРИМОРСКИЙ КРАЙ, Г УССУРИЙСК, УЛ АФАНАСЬЕВА, Д.16А</t>
  </si>
  <si>
    <t>ИП ЦЫБАРЕВА ОЛЕСЯ АЛЕКСЕЕВНА</t>
  </si>
  <si>
    <t>ООО ВАССА</t>
  </si>
  <si>
    <t>692522, РОССИЯ, ПРИМОРСКИЙ КРАЙ, Г.О. УССУРИЙСКИЙ, Г УССУРИЙСК, УЛ ПРИМОРСКАЯ, Д. 25, КВ. 27</t>
  </si>
  <si>
    <t>ООО ХОРОШИЙ ПОМОЩНИК</t>
  </si>
  <si>
    <t>692519, РОССИЯ, ПРИМОРСКИЙ КРАЙ, Г.О. УССУРИЙСКИЙ, Г УССУРИЙСК, УЛ РАЗДОЛЬНАЯ, Д. 26, КВ. 19</t>
  </si>
  <si>
    <t>ИП ПЕХОТА РУСЛАН ГЕННАДЬЕВИЧ</t>
  </si>
  <si>
    <t>ИП ЛАВРИНЕНКО ГЕННАДИЙ ГРИГОРЬЕВИЧ</t>
  </si>
  <si>
    <t>ИП СУХОВОЛЬСКАЯ АННА ГЕННАДЬЕВНА</t>
  </si>
  <si>
    <t>ИП ФРОЛОВ ВИКТОР БОРИСОВИЧ</t>
  </si>
  <si>
    <t>ИП СУРМАЧ ДМИТРИЙ АЛЕКСАНДРОВИЧ</t>
  </si>
  <si>
    <t>ПАО ПБТФ</t>
  </si>
  <si>
    <t>692998, ПРИМОРСКИЙ КРАЙ, Р-Н ЛАЗОВСКИЙ, ПГТ ПРЕОБРАЖЕНИЕ, УЛ ПОРТОВАЯ, Д. 1</t>
  </si>
  <si>
    <t>ИП КУРИЛИНА ЯНА ВЛАДИМИРОВНА</t>
  </si>
  <si>
    <t>ИП ПЛЕШАКОВ АЛЕКСАНДР ЮРЬЕВИЧ</t>
  </si>
  <si>
    <t>ИП МАЦНЕВ ИГОРЬ ОЛЕГОВИЧ</t>
  </si>
  <si>
    <t>ИП Солдатов Дмитрий Алексеевич</t>
  </si>
  <si>
    <t>ИП МИРОНОВ ВЛАДИМИР БОРИСОВИЧ</t>
  </si>
  <si>
    <t>ИП ДУШКИНА ВИКТОРИЯ СЕРГЕЕВНА</t>
  </si>
  <si>
    <t>ИП СКВОРЦОВ АНДРЕЙ ВАЛЕРЬЕВИЧ</t>
  </si>
  <si>
    <t>ИП ВОЙТЕНКО ЕЛЕНА ВИКТОРОВНА</t>
  </si>
  <si>
    <t>ИП СЛУЦКАЯ ГАЛИНА ВИКТОРОВНА</t>
  </si>
  <si>
    <t>ИП ЮРЧЕНКО ТАТЬЯНА МИХАЙЛОВНА</t>
  </si>
  <si>
    <t>ИП КУТДУСОВ ОЛЕГ РАИСОВИЧ</t>
  </si>
  <si>
    <t>ИП КУДИНОВА ОКСАНА ВИКТОРОВНА</t>
  </si>
  <si>
    <t>ИП Грамастикова Ярославна Юрьевна</t>
  </si>
  <si>
    <t>ИП Вершин Андрей Валерьевич</t>
  </si>
  <si>
    <t>ИП ЯКОВЕНКО НАТАЛЬЯ ВИКТОРОВНА</t>
  </si>
  <si>
    <t>ИП АЗИЗОВ КАМРАН АЗИЗ ОГЛЫ</t>
  </si>
  <si>
    <t>ООО ВОСТОКНЕФТЬ</t>
  </si>
  <si>
    <t>692939, ПРИМОРСКИЙ КРАЙ, Г НАХОДКА, УЛ ЛУНАЧАРСКОГО, Д.2</t>
  </si>
  <si>
    <t>ООО МЕРИДИАН ЛОДЖИСТИК</t>
  </si>
  <si>
    <t>692904, ПРИМОРСКИЙ КРАЙ, Г.О. НАХОДКИНСКИЙ, Г НАХОДКА, УЛ ПОРТОВАЯ, ЗД. 3А, ОФИС 207</t>
  </si>
  <si>
    <t>ООО РОСТ</t>
  </si>
  <si>
    <t>690002, РОССИЯ, ПРИМОРСКИЙ КРАЙ, Г.О. ВЛАДИВОСТОКСКИЙ, Г ВЛАДИВОСТОК, ПР-КТ КРАСНОГО ЗНАМЕНИ, Д. 59, ОФИС 513</t>
  </si>
  <si>
    <t>ООО АВТО ТЕХ ГРУПП</t>
  </si>
  <si>
    <t>692930, ПРИМОРСКИЙ КРАЙ, Г НАХОДКА, УЛ СПОРТИВНАЯ, Д. 51В, ОФИС 1</t>
  </si>
  <si>
    <t>ИП ЮСУПОВ ГАСАН ЮСУПОВИЧ</t>
  </si>
  <si>
    <t>ИП ТКАЧЕНКО НАТАЛЬЯ ВЛАДИМИРОВНА</t>
  </si>
  <si>
    <t>ИП ЛАПИН АНДРЕЙ НИКОЛАЕВИЧ</t>
  </si>
  <si>
    <t>ИП ГОРШКОВА ЗОЯ ГРИГОРЬЕВНА</t>
  </si>
  <si>
    <t>ИП ЛУКЬЯНОВА АНАСТАСИЯ СЕРГЕЕВНА</t>
  </si>
  <si>
    <t>ИП КЛЮЧНИК ЕВГЕНИЙ ВЛАДИМИРОВИЧ</t>
  </si>
  <si>
    <t>ИП ПРИЖИБИСЛАВСКАЯ МАРИНА ВЛАДИМИРОВНА</t>
  </si>
  <si>
    <t>ИП ЗВЯГИНЦЕВ КИРИЛЛ ИВАНОВИЧ</t>
  </si>
  <si>
    <t>ИП ГОНЧАРЕНКО НИКОЛАЙ АНДРЕЕВИЧ</t>
  </si>
  <si>
    <t>ИП РЕВЕНКО НИКОЛАЙ ПАВЛОВИЧ</t>
  </si>
  <si>
    <t>ИП ПОПОВИЧЕНКО ВИКТОР ИВАНОВИЧ</t>
  </si>
  <si>
    <t>ИП КУЛЕШОВ ДМИТРИЙ АЛЕКСАНДРОВИЧ</t>
  </si>
  <si>
    <t>ИП Грабский Игорь Николаевич</t>
  </si>
  <si>
    <t>ИП АСТРАХАНЦЕВ ЕВГЕНИЙ АЛЕКСЕЕВИЧ</t>
  </si>
  <si>
    <t>ИП ИВАНОВ РОДИОН СЕРГЕЕВИЧ</t>
  </si>
  <si>
    <t>ИП ЖУРАВЛЕВА НАТАЛЬЯ СЕРГЕЕВНА</t>
  </si>
  <si>
    <t>ИП ЛЕПИХИНА ТАМАРА СЕРГЕЕВНА</t>
  </si>
  <si>
    <t>ИП ДЫШЛИВЕНКО АЛЕКСАНДР ПЕТРОВИЧ</t>
  </si>
  <si>
    <t>ИП МАМЫШЕВ ДМИТРИЙ ВЯЧЕСЛАВОВИЧ</t>
  </si>
  <si>
    <t>ИП МЕДВЕДЕВ ФИЛИПП АЛЕКСАНДРОВИЧ</t>
  </si>
  <si>
    <t>ИП АНТОНЕНКО ИГОРЬ АЛЕКСЕЕВИЧ</t>
  </si>
  <si>
    <t>ИП ЮЖАНИНА ОЛЬГА НИКОЛАЕВНА</t>
  </si>
  <si>
    <t>ИП Кодякина Ольга Владимировна</t>
  </si>
  <si>
    <t>ИП ГРИГОРЕНКО ЕЛЕНА ВИКТОРОВНА</t>
  </si>
  <si>
    <t>ИП КЛЕЩУКОВ АНАТОЛИЙ ВЛАДИМИРОВИЧ</t>
  </si>
  <si>
    <t>ИП БИДЕНКОВА ОЛЕСЯ ВАДИМОВНА</t>
  </si>
  <si>
    <t>ООО АРИАЛ</t>
  </si>
  <si>
    <t>692372, ПРИМОРСКИЙ КРАЙ, Р-Н ЧЕРНИГОВСКИЙ, С ЧЕРНИГОВКА, УЛ ШОССЕЙНАЯ, ЗД. 31</t>
  </si>
  <si>
    <t>ИП АРИСТОВ АЛЕКСЕЙ СЕРГЕЕВИЧ</t>
  </si>
  <si>
    <t>ИП ФЛЕЙТУХ ВЯЧЕСЛАВ ВЛАДИМИРОВИЧ</t>
  </si>
  <si>
    <t>ИП АДАМОВА ОЛЬГА АНАТОЛЬЕВНА</t>
  </si>
  <si>
    <t>ООО ЧУГУЕВСКИЙ АГРОСНАБ</t>
  </si>
  <si>
    <t>692623, ПРИМОРСКИЙ КРАЙ, Р-Н ЧУГУЕВСКИЙ, С НОВОЧУГУЕВКА, УЛ ЖЕЛЕЗНОДОРОЖНАЯ, ЗД. 2</t>
  </si>
  <si>
    <t>ИП КОМАРНИЦКИЙ СЕРГЕЙ ВЛАДИМИРОВИЧ</t>
  </si>
  <si>
    <t>ИП МАРИНОВ СЕРГЕЙ АЛЕКСАНДРОВИЧ</t>
  </si>
  <si>
    <t>ИП НУЩИК АННА ГЕОРГИЕВНА</t>
  </si>
  <si>
    <t>ИП БОГАТЫРЕВ ВИКТОР ВАСИЛЬЕВИЧ</t>
  </si>
  <si>
    <t>ИП Тунгусов Дмитрий Геннадьевич</t>
  </si>
  <si>
    <t>ИП Бобер Руслан Олегович</t>
  </si>
  <si>
    <t>ИП МАСЛЕННИКОВ ВИКТОР ПАВЛОВИЧ</t>
  </si>
  <si>
    <t>ООО МЕГАТЕКС-ТРЕЙДИНГ</t>
  </si>
  <si>
    <t>690014, ПРИМОРСКИЙ КРАЙ, Г ВЛАДИВОСТОК, ПР-КТ НАРОДНЫЙ, Д.43, К.1</t>
  </si>
  <si>
    <t>ООО АЛЬФАМЕДГРУП</t>
  </si>
  <si>
    <t>690091, ПРИМОРСКИЙ КРАЙ, Г ВЛАДИВОСТОК, УЛ ПРАПОРЩИКА КОМАРОВА, Д. 31, КВ. 15</t>
  </si>
  <si>
    <t>ИП ЖУКОВ АЛЕКСЕЙ ВЛАДИМИРОВИЧ</t>
  </si>
  <si>
    <t>ИП АЙТУКОВА ДАРЬЯ ВИЛЕВНА</t>
  </si>
  <si>
    <t>ООО ПРИТОК</t>
  </si>
  <si>
    <t>690089, ПРИМОРСКИЙ КРАЙ, Г ВЛАДИВОСТОК, УЛ ДНЕПРОВСКАЯ, Д. 90, КАБИНЕТ 1</t>
  </si>
  <si>
    <t>ООО ИДЕЯ</t>
  </si>
  <si>
    <t>690021, ПРИМОРСКИЙ КРАЙ, Г ВЛАДИВОСТОК, УЛ КАЛИНИНА, Д. 275, КОРПУС 1 ОФИС 63</t>
  </si>
  <si>
    <t>ООО  АВТО СИТИ</t>
  </si>
  <si>
    <t>690024, ПРИМОРСКИЙ КРАЙ, Г.О. ВЛАДИВОСТОКСКИЙ, Г ВЛАДИВОСТОК, УЛ ТРЕТЬЯ, Д. 5В, КВ. 175</t>
  </si>
  <si>
    <t>ООО ШИК-АВТО</t>
  </si>
  <si>
    <t>690025, ПРИМОРСКИЙ КРАЙ, Г.О. ВЛАДИВОСТОКСКИЙ, Г ВЛАДИВОСТОК, УЛ УСПЕНСКОГО, Д. 112, КВ. 65</t>
  </si>
  <si>
    <t>ООО АВТОРИТЕТ-АВТО+</t>
  </si>
  <si>
    <t>692770, РОССИЯ, ПРИМОРСКИЙ КРАЙ, Г.О. АРТЕМОВСКИЙ, Г АРТЕМ, УЛ ТУЛЬСКАЯ, Д. 22</t>
  </si>
  <si>
    <t>ООО ПРИМШТАДТ</t>
  </si>
  <si>
    <t>690012, ПРИМОРСКИЙ КРАЙ, Г.О. ВЛАДИВОСТОКСКИЙ, Г ВЛАДИВОСТОК, УЛ КАЛИНИНА, Д. 115, ПОМЕЩ. 15</t>
  </si>
  <si>
    <t>690001, РОССИЯ, ПРИМОРСКИЙ КРАЙ, Г.О. ВЛАДИВОСТОКСКИЙ, Г ВЛАДИВОСТОК, УЛ ПИОНЕРСКАЯ, Д. 1, ОФИС 405</t>
  </si>
  <si>
    <t>ООО ОУШЕН ДРАЙВ</t>
  </si>
  <si>
    <t>690091, РОССИЯ, ПРИМОРСКИЙ КРАЙ, Г.О. ВЛАДИВОСТОКСКИЙ, Г ВЛАДИВОСТОК, УЛ ПРАПОРЩИКА КОМАРОВА, Д. 58, ОФИС 1</t>
  </si>
  <si>
    <t>ИП ПОПЕЛЯЕВ ВЯЧЕСЛАВ ВЛАДИМИРОВИЧ</t>
  </si>
  <si>
    <t>ООО ТК АКВА МИР</t>
  </si>
  <si>
    <t>690080, ПРИМОРСКИЙ КРАЙ, Г ВЛАДИВОСТОК, УЛ САХАЛИНСКАЯ, Д.5В, 33</t>
  </si>
  <si>
    <t>690001, ПРИМОРСКИЙ КРАЙ, Г.О. ВЛАДИВОСТОКСКИЙ, Г ВЛАДИВОСТОК, УЛ ЭКИПАЖНАЯ, Д. 1, ОФИС 10</t>
  </si>
  <si>
    <t>ООО АВТООЛИМП</t>
  </si>
  <si>
    <t>690035, ПРИМОРСКИЙ КРАЙ, Г ВЛАДИВОСТОК, УЛ КАЛИНИНА, Д. 17В, ОФИС 1</t>
  </si>
  <si>
    <t>ООО ИНДРИК</t>
  </si>
  <si>
    <t>690080, РОССИЯ, ПРИМОРСКИЙ КРАЙ, Г.О. ВЛАДИВОСТОКСКИЙ, Г ВЛАДИВОСТОК, УЛ БОРИСЕНКО, Д. 100Л, ПОМЕЩ. 6</t>
  </si>
  <si>
    <t>ИП МАЕВСКИЙ ЯКОВ ДМИТРИЕВИЧ</t>
  </si>
  <si>
    <t>ИП КУЛИК ИРИНА АНАТОЛЬЕВНА</t>
  </si>
  <si>
    <t>ИП РУСАКОВ ИВАН СЕРГЕЕВИЧ</t>
  </si>
  <si>
    <t>ИП ЁЛКИН ЕВГЕНИЙ АНАТОЛЬЕВИЧ</t>
  </si>
  <si>
    <t>ИП ЕФАНОВ СПАРТАК НИКОЛАЕВИЧ</t>
  </si>
  <si>
    <t>ООО ДАЛЬОЙЛ</t>
  </si>
  <si>
    <t>690087, ПРИМОРСКИЙ КРАЙ, Г ВЛАДИВОСТОК, УЛ РУДНЕВА, Д.14А, 6</t>
  </si>
  <si>
    <t>690074, ПРИМОРСКИЙ КРАЙ, Г ВЛАДИВОСТОК, УЛ СНЕГОВАЯ, Д.18А</t>
  </si>
  <si>
    <t>ООО АСПИА ТРЕЙДИНГ</t>
  </si>
  <si>
    <t>690074, ПРИМОРСКИЙ КРАЙ, Г.О. ВЛАДИВОСТОКСКИЙ, Г ВЛАДИВОСТОК, УЛ КАРЬЕРНАЯ, Д. 11, КВ. 112</t>
  </si>
  <si>
    <t>ООО НОВЫЕ ЭЛЕМЕНТЫ</t>
  </si>
  <si>
    <t>690049, ПРИМОРСКИЙ КРАЙ, Г.О. ВЛАДИВОСТОКСКИЙ, Г ВЛАДИВОСТОК, УЛ БОРОДИНСКАЯ, Д. 20, ЭТАЖ 6 КАБИНЕТ 2/1</t>
  </si>
  <si>
    <t>ИП ЯНКИН РОМАН ВЯЧЕСЛАВОВИЧ</t>
  </si>
  <si>
    <t>ИП ЛАБУЗИН АЛЕКСЕЙ ГЕННАДЬЕВИЧ</t>
  </si>
  <si>
    <t>ИП ЛАТЫШЕВСКАЯ ИНЕССА АЛЕКСЕЕВНА</t>
  </si>
  <si>
    <t>ЗАО ХАБИБА</t>
  </si>
  <si>
    <t>690041, ПРИМОРСКИЙ КРАЙ, Г ВЛАДИВОСТОК, УЛ МУСОРГСКОГО, Д. 39</t>
  </si>
  <si>
    <t>ООО ФАРЕСТ ФИШ</t>
  </si>
  <si>
    <t>690021, ПРИМОРСКИЙ КРАЙ, Г.О. ВЛАДИВОСТОКСКИЙ, Г ВЛАДИВОСТОК, УЛ ЧЕРЕМУХОВАЯ, Д. 7, ОФИС 102</t>
  </si>
  <si>
    <t>ИП БОЯРКИН ДМИТРИЙ АЛЕКСАНДРОВИЧ</t>
  </si>
  <si>
    <t>ИП РАЛЬКО АЛЕКСЕЙ ВЛАДИМИРОВИЧ</t>
  </si>
  <si>
    <t>ИП Яковенко Константин Анатольевич</t>
  </si>
  <si>
    <t>ООО ТРАНС ОЙЛ</t>
  </si>
  <si>
    <t>690090, ПРИМОРСКИЙ КРАЙ, Г.О. ВЛАДИВОСТОКСКИЙ, Г ВЛАДИВОСТОК, УЛ АВРОРОВСКАЯ, Д. 24, КВ. 234</t>
  </si>
  <si>
    <t>ИП ШАБОТ АЛЕКСАНДР ГЕОРГИЕВИЧ</t>
  </si>
  <si>
    <t>ИП ОХРИМОВСКИЙ АНДРЕЙ ИВАНОВИЧ</t>
  </si>
  <si>
    <t>ООО АКИРА ОИЛ</t>
  </si>
  <si>
    <t>690025, ПРИМОРСКИЙ КРАЙ, Г ВЛАДИВОСТОК, УЛ УСПЕНСКОГО, Д. 39, ОФИС 1</t>
  </si>
  <si>
    <t>ООО ЛОГОС</t>
  </si>
  <si>
    <t>690068, ПРИМОРСКИЙ КРАЙ, Г ВЛАДИВОСТОК, УЛ КИРОВА, Д. 79 А</t>
  </si>
  <si>
    <t>ООО ХИКАРИ ОЙЛ</t>
  </si>
  <si>
    <t>690088, ПРИМОРСКИЙ КРАЙ, Г.О. ВЛАДИВОСТОКСКИЙ, Г ВЛАДИВОСТОК, УЛ ЖИГУРА, Д. 26А, ОФИС 5-1, КОМ. 4</t>
  </si>
  <si>
    <t>ООО ГАЛАНТ-М</t>
  </si>
  <si>
    <t>690018, ПРИМОРСКИЙ КРАЙ, Г ВЛАДИВОСТОК, УЛ НЕВСКАЯ, Д. 37А, ОФИС 1</t>
  </si>
  <si>
    <t>ООО РЕЙКАРС</t>
  </si>
  <si>
    <t>690012, ПРИМОРСКИЙ КРАЙ, Г.О. ВЛАДИВОСТОКСКИЙ, Г ВЛАДИВОСТОК, УЛ КАЛИНИНА, Д. 115, КОМ. 4</t>
  </si>
  <si>
    <t>ООО САТОЙЛ 41</t>
  </si>
  <si>
    <t>690091, ПРИМОРСКИЙ КРАЙ, Г ВЛАДИВОСТОК, УЛ УТКИНСКАЯ, Д. 14, КВ. 8</t>
  </si>
  <si>
    <t>ООО ГРИНЛАЙН</t>
  </si>
  <si>
    <t>690090, РОССИЯ, ПРИМОРСКИЙ КРАЙ, Г.О. ВЛАДИВОСТОКСКИЙ, Г ВЛАДИВОСТОК, УЛ АВРОРОВСКАЯ, ЗД. 10, ОФИС 5.03</t>
  </si>
  <si>
    <t>ООО АТЛАНТИК ДВ</t>
  </si>
  <si>
    <t>690011, ПРИМОРСКИЙ КРАЙ, Г.О. ВЛАДИВОСТОКСКИЙ, Г ВЛАДИВОСТОК, УЛ НИКИФОРОВА, Д. 53Б, КВ. 30</t>
  </si>
  <si>
    <t>ООО СТМ-РЕШЕНИЯ</t>
  </si>
  <si>
    <t>690003, РОССИЯ, ПРИМОРСКИЙ КРАЙ, Г.О. ВЛАДИВОСТОКСКИЙ, Г ВЛАДИВОСТОК, УЛ СТАНЮКОВИЧА, Д. 46, ПОМЕЩ. 5/1, КАБИНЕТ 25</t>
  </si>
  <si>
    <t>ООО РОКЕТ СУПЛАЙ</t>
  </si>
  <si>
    <t>690012, РОССИЯ, ПРИМОРСКИЙ КРАЙ, Г.О. ВЛАДИВОСТОКСКИЙ, Г ВЛАДИВОСТОК, УЛ ХАРЬКОВСКАЯ, Д. 10А, ОФИС 312</t>
  </si>
  <si>
    <t>ООО РЕСУРС-ОИЛ</t>
  </si>
  <si>
    <t>692771, РОССИЯ, ПРИМОРСКИЙ КРАЙ, Г.О. АРТЕМОВСКИЙ, Г АРТЕМ, УЛ 1-Я РАБОЧАЯ, Д. 101А</t>
  </si>
  <si>
    <t>ООО ИСТ ПАРТС КОРП</t>
  </si>
  <si>
    <t>690001, РОССИЯ, ПРИМОРСКИЙ КРАЙ, Г.О. ВЛАДИВОСТОКСКИЙ, Г ВЛАДИВОСТОК, УЛ ПИОНЕРСКАЯ, Д. 1, КАБИНЕТ 316</t>
  </si>
  <si>
    <t>ООО МОРИОН</t>
  </si>
  <si>
    <t>690087, ПРИМОРСКИЙ КРАЙ, Г ВЛАДИВОСТОК, УЛ САБАНЕЕВА, Д. 16, 153</t>
  </si>
  <si>
    <t>ИП ФАТЬЯНОВ АЛЕКСАНДР ПЕТРОВИЧ</t>
  </si>
  <si>
    <t>ИП ФАТЬЯНОВА НАТАЛЬЯ НИКОЛАЕВНА</t>
  </si>
  <si>
    <t>ИП ЛУГИНА НАТАЛЬЯ АЛЕКСАНДРОВНА</t>
  </si>
  <si>
    <t>ИП ПЕРВУХИНА ВИКТОРИЯ АЛЕКСАНДРОВНА</t>
  </si>
  <si>
    <t>ИП ДИДЕНКО ИГОРЬ НИКОЛАЕВИЧ</t>
  </si>
  <si>
    <t>ИП МИРОНЕНКО СЕРГЕЙ ВЛАДИМИРОВИЧ</t>
  </si>
  <si>
    <t>ИП СТЕЦЕНКО НАТАЛЬЯ ВЛАДИМИРОВНА</t>
  </si>
  <si>
    <t>ИП ДУЧ КИРИЛЛ МАКСИМОВИЧ</t>
  </si>
  <si>
    <t>ИП ВАРЛАМОВА ЛИДИЯ ГРИГОРЬЕВНА</t>
  </si>
  <si>
    <t>ИП МАРИНОВА ЕЛЕНА ОЛЕГОВНА</t>
  </si>
  <si>
    <t>ИП ШЛЫКОВА ОЛЬГА АЛЕКСАНДРОВНА</t>
  </si>
  <si>
    <t>ИП ТАРАСЕНКО АЛЕКСАНДР МУХОРАМОВИЧ</t>
  </si>
  <si>
    <t>ФБУЗ ЦЕНТР ГИГИЕНЫ И ЭПИДЕМИОЛОГИИ В ПРИМОРСКОМ КРАЕ</t>
  </si>
  <si>
    <t>690091, ПРИМОРСКИЙ КРАЙ, Г ВЛАДИВОСТОК, УЛ УТКИНСКАЯ, Д.36</t>
  </si>
  <si>
    <t>ИП ГЕВОРГЯН РОМАН АЙКОВИЧ</t>
  </si>
  <si>
    <t>ОООДЖЕЙ ДИ</t>
  </si>
  <si>
    <t>690074, ПРИМОРСКИЙ КРАЙ, Г ВЛАДИВОСТОК, УЛ КАРЬЕРНАЯ, Д.20 А, ЛИТЕР 6, К.7</t>
  </si>
  <si>
    <t>ООО НАСКАР</t>
  </si>
  <si>
    <t>690014, ПРИМОРСКИЙ КРАЙ, Г ВЛАДИВОСТОК, УЛ НЕКРАСОВСКАЯ, Д.38</t>
  </si>
  <si>
    <t>ООО  ОСТ-ЛОГИСТИК</t>
  </si>
  <si>
    <t>690014, ПРИМОРСКИЙ КРАЙ, Г ВЛАДИВОСТОК, ПР-КТ КРАСНОГО ЗНАМЕНИ, Д.100, 128</t>
  </si>
  <si>
    <t>ООО ГРУЗОВИК</t>
  </si>
  <si>
    <t>690074, ПРИМОРСКИЙ КРАЙ, Г.О. ВЛАДИВОСТОКСКИЙ, Г ВЛАДИВОСТОК, УЛ КАРЬЕРНАЯ, ЗД. 8, ПОМЕЩ. 7</t>
  </si>
  <si>
    <t>ООО АВРОРА</t>
  </si>
  <si>
    <t>690011, ПРИМОРСКИЙ КРАЙ, Г ВЛАДИВОСТОК, УЛ 3-Я СТРОИТЕЛЬНАЯ, Д. 18, СТР. А, ОФИС 10.1</t>
  </si>
  <si>
    <t>ООО АТР-ИМПОРТ</t>
  </si>
  <si>
    <t>690091, РОССИЯ, ПРИМОРСКИЙ КРАЙ, Г.О. ВЛАДИВОСТОКСКИЙ, Г ВЛАДИВОСТОК, УЛ ПРАПОРЩИКА КОМАРОВА, Д. 58, ОФИС 64</t>
  </si>
  <si>
    <t>ИП КУЛИК ВЛАДИМИР АЛЕКСАНДРОВИЧ</t>
  </si>
  <si>
    <t>ООО ВЛАДОЙЛ ДВ</t>
  </si>
  <si>
    <t>690011, ПРИМОРСКИЙ КРАЙ, Г ВЛАДИВОСТОК, УЛ 3-Я СТРОИТЕЛЬНАЯ, Д.8, 2</t>
  </si>
  <si>
    <t>ООО НЕФТЯНАЯ КОМПАНИЯ РИД</t>
  </si>
  <si>
    <t>690074, ПРИМОРСКИЙ КРАЙ, Г ВЛАДИВОСТОК, УЛ СНЕГОВАЯ, Д.90</t>
  </si>
  <si>
    <t>ИП ТИХОБАЕВ ИГОРЬ НИКОЛАЕВИЧ</t>
  </si>
  <si>
    <t>ИП БОРИСОВ ИВАН ВЛАДИМИРОВИЧ</t>
  </si>
  <si>
    <t>ИП ФРОЛОВА ОЛЕСЯ НИКОЛАЕВНА</t>
  </si>
  <si>
    <t>ООО ВОСТОЧНЫЙ ПОЛЮС</t>
  </si>
  <si>
    <t>690003, ПРИМОРСКИЙ КРАЙ, Г.О. ВЛАДИВОСТОКСКИЙ, Г ВЛАДИВОСТОК, УЛ СТАНЮКОВИЧА, Д. 46, ПОМЕЩ. 5/1, КАБИНЕТ 20</t>
  </si>
  <si>
    <t>ИП БАРАНОВ ДЕНИС АЛЕКСЕЕВИЧ</t>
  </si>
  <si>
    <t>ООО СК ЭКСПОСТРОЙ</t>
  </si>
  <si>
    <t>690042, ПРИМОРСКИЙ КРАЙ, Г ВЛАДИВОСТОК, УЛ БАСАРГИНА, Д. 42, ОФИС 2</t>
  </si>
  <si>
    <t>ИП ХУДЯКОВ АЛЕКСАНДР СЕРГЕЕВИЧ</t>
  </si>
  <si>
    <t>АО ИК РЕНЕССАНС  ГРУПП</t>
  </si>
  <si>
    <t>692770, ПРИМОРСКИЙ КРАЙ, Г.О. АРТЕМОВСКИЙ, Г АРТЕМ, УЛ ОРДЖОНИКИДЗЕ, Д. 17А, ОФИС 16</t>
  </si>
  <si>
    <t>ООО ЕВРОПА</t>
  </si>
  <si>
    <t>690022, ПРИМОРСКИЙ КРАЙ, Г ВЛАДИВОСТОК, УЛ ЛЕСНАЯ, Д. 12</t>
  </si>
  <si>
    <t>ИП ШИШКОВ СТАНИСЛАВ ОЛЕГОВИЧ</t>
  </si>
  <si>
    <t>ИП КАН ВАДИМ ВЛАДИМИРОВИЧ</t>
  </si>
  <si>
    <t>ООО РЕСУРС ИНВЕСТ ОЙЛ</t>
  </si>
  <si>
    <t>690089, ПРИМОРСКИЙ КРАЙ, Г ВЛАДИВОСТОК, УЛ ДНЕПРОВСКАЯ, Д.29, К.16</t>
  </si>
  <si>
    <t>ООО ДНС РИТЕЙЛ</t>
  </si>
  <si>
    <t>690068, ПРИМОРСКИЙ КРАЙ, Г ВЛАДИВОСТОК, ПР-КТ 100-ЛЕТИЯ ВЛАДИВОСТОКА, Д. 155, КОРПУС 3 ОФИС 5</t>
  </si>
  <si>
    <t>ООО БЕРТА ТРЕЙДИНГ</t>
  </si>
  <si>
    <t>690088, ПРИМОРСКИЙ КРАЙ, Г.О. ВЛАДИВОСТОКСКИЙ, Г ВЛАДИВОСТОК, УЛ ЖИГУРА, Д. 26А, ОФИС 4-8</t>
  </si>
  <si>
    <t>ООО СПЕЦМАШ</t>
  </si>
  <si>
    <t>692756, ПРИМОРСКИЙ КРАЙ, Г.О. АРТЕМОВСКИЙ, Г АРТЕМ, УЛ ОРЛОВСКАЯ, Д. 67, К. 1, ПОМЕЩ. 208</t>
  </si>
  <si>
    <t>ООО МСМ ГРУПП</t>
  </si>
  <si>
    <t>690039, ПРИМОРСКИЙ КРАЙ, Г ВЛАДИВОСТОК, УЛ ЕНИСЕЙСКАЯ, Д. 23Б, ОФИС 600</t>
  </si>
  <si>
    <t>ООО ГК МАКНОТ</t>
  </si>
  <si>
    <t>690074, ПРИМОРСКИЙ КРАЙ, Г ВЛАДИВОСТОК, УЛ СНЕГОВАЯ, Д. 13, ОФИС 7</t>
  </si>
  <si>
    <t>ООО ММ ТРЕЙД</t>
  </si>
  <si>
    <t>690065, ПРИМОРСКИЙ КРАЙ, Г ВЛАДИВОСТОК, УЛ СТРЕЛЬНИКОВА, Д. 3Б, ОФИС 304</t>
  </si>
  <si>
    <t>ООО ИМПОРТ СЕРВИС</t>
  </si>
  <si>
    <t>690065, РОССИЯ, ПРИМОРСКИЙ КРАЙ, Г.О. ВЛАДИВОСТОКСКИЙ, Г ВЛАДИВОСТОК, УЛ МОРОЗОВА, Д. 7А, ОФИС 208</t>
  </si>
  <si>
    <t>ООО АМА БРОКЕР</t>
  </si>
  <si>
    <t>690090, РОССИЯ, ПРИМОРСКИЙ КРАЙ, Г.О. ВЛАДИВОСТОКСКИЙ, Г ВЛАДИВОСТОК, УЛ НАБЕРЕЖНАЯ, Д. 10, ОФИС 128</t>
  </si>
  <si>
    <t>ООО ШИНОПТ ТОРГ</t>
  </si>
  <si>
    <t>690011, РОССИЯ, ПРИМОРСКИЙ КРАЙ, Г.О. ВЛАДИВОСТОКСКИЙ, Г ВЛАДИВОСТОК, УЛ 3-Я СТРОИТЕЛЬНАЯ, Д. 20, ОФИС 3</t>
  </si>
  <si>
    <t>ООО СТИЛ АНД ОЙЛ КОРП</t>
  </si>
  <si>
    <t>690065, РОССИЯ, ПРИМОРСКИЙ КРАЙ, Г.О. ВЛАДИВОСТОКСКИЙ, Г ВЛАДИВОСТОК, УЛ МОРОЗОВА, Д. 7А, ЭТАЖ 3, КАБИНЕТ 307</t>
  </si>
  <si>
    <t>ООО ВЛАДМОДУЛЬ</t>
  </si>
  <si>
    <t>690105, ПРИМОРСКИЙ КРАЙ, Г ВЛАДИВОСТОК, УЛ БОРОДИНСКАЯ, Д. 26</t>
  </si>
  <si>
    <t>ИП ВЛАДИМИРОВА ТАТЬЯНА ВАСИЛЬЕВНА</t>
  </si>
  <si>
    <t>ИП КАТАЕВА ОЛЬГА НИКОЛАЕВНА</t>
  </si>
  <si>
    <t>ИП РОМАНОВА ЛЮДМИЛА ВЛАДИМИРОВНА</t>
  </si>
  <si>
    <t>ИП ДЕРКАЧ ОЛЬГА ФИЛИППОВНА</t>
  </si>
  <si>
    <t>ИП ВОРОЖЦОВА ЕЛЕНА ВАЛЕРЬЕВНА</t>
  </si>
  <si>
    <t>ИП КАЗАКОВА ОКСАНА БОРИСОВНА</t>
  </si>
  <si>
    <t>ИП НАЙМУШИНА ТАТЬЯНА СЕРГЕЕВНА</t>
  </si>
  <si>
    <t>ИП НАРЗУЛЛО ШАМС</t>
  </si>
  <si>
    <t>ИП КАЙКО СЕРГЕЙ ВИТАЛЬЕВИЧ</t>
  </si>
  <si>
    <t>ИП КОЖЕМЯЧЕНКО ВАДИМ АНАТОЛЬЕВИЧ</t>
  </si>
  <si>
    <t>ИП КОНДРАТЬЕВ ВЛАДИМИР АЛЕКСАНДРОВИЧ</t>
  </si>
  <si>
    <t>ИП ПРУДКОГЛЯД ВЯЧЕСЛАВ ЕВГЕНЬЕВИЧ</t>
  </si>
  <si>
    <t>ИП Жигалкина Ирина Викторовна</t>
  </si>
  <si>
    <t>ИП ХАСНУТДИНОВ АЛЕКСЕЙ ВЛАДИМИРОВИЧ</t>
  </si>
  <si>
    <t>ООО ТЕХМИС-ДВ</t>
  </si>
  <si>
    <t>690106, ПРИМОРСКИЙ КРАЙ, Г ВЛАДИВОСТОК, УЛ НЕРЧИНСКАЯ, Д. 10</t>
  </si>
  <si>
    <t>ООО С-ОЙЛ</t>
  </si>
  <si>
    <t>690074, ПРИМОРСКИЙ КРАЙ, Г.О. ВЛАДИВОСТОКСКИЙ, Г ВЛАДИВОСТОК, УЛ РУДНЕВА, Д. 14А, ОФИС 1</t>
  </si>
  <si>
    <t>ООО РОЕЛ МОТОР РУС</t>
  </si>
  <si>
    <t>690000, ПРИМОРСКИЙ КРАЙ, Г ВЛАДИВОСТОК, УЛ НЕЙБУТА, Д.51, 34</t>
  </si>
  <si>
    <t>ООО АЛЬФА ВЛАД МОТОРС</t>
  </si>
  <si>
    <t>692771, ПРИМОРСКИЙ КРАЙ, Г АРТЕМ, УЛ ОРЕНБУРГСКАЯ, Д. 1, ПОМЕЩ. 1</t>
  </si>
  <si>
    <t>ООО АВТОЗИМ</t>
  </si>
  <si>
    <t>690013, ПРИМОРСКИЙ КРАЙ, Г ВЛАДИВОСТОК, УЛ НЕВЕЛЬСКОГО, Д. 4, КВ. 66</t>
  </si>
  <si>
    <t>ООО АТЛАНТ</t>
  </si>
  <si>
    <t>690090, ПРИМОРСКИЙ КРАЙ, Г ВЛАДИВОСТОК, УЛ СУХАНОВА, Д. 3, ЭТ/КАБ 4/41</t>
  </si>
  <si>
    <t>ООО ВОСТОЧНЫЙ ПУТЬ</t>
  </si>
  <si>
    <t>690069, РОССИЯ, ПРИМОРСКИЙ КРАЙ, Г.О. ВЛАДИВОСТОКСКИЙ, Г ВЛАДИВОСТОК, УЛ РУССКАЯ, ЗД. 27Д, ПОМЕЩ. 28</t>
  </si>
  <si>
    <t>ООО ТЕХНОМИС</t>
  </si>
  <si>
    <t>690106, РОССИЯ, ПРИМОРСКИЙ КРАЙ, Г.О. ВЛАДИВОСТОКСКИЙ, Г ВЛАДИВОСТОК, УЛ НЕРЧИНСКАЯ, Д. 10, ПОМЕЩ. 3</t>
  </si>
  <si>
    <t>ООО ТРЕЙД ИНВЕСТ</t>
  </si>
  <si>
    <t>690091, РОССИЯ, ПРИМОРСКИЙ КРАЙ, Г.О. ВЛАДИВОСТОКСКИЙ, Г ВЛАДИВОСТОК, УЛ СЕМЕНОВСКАЯ, Д. 30, КВ. 35</t>
  </si>
  <si>
    <t>ООО МАРЛЕН</t>
  </si>
  <si>
    <t>690091, РОССИЯ, ПРИМОРСКИЙ КРАЙ, Г.О. ВЛАДИВОСТОКСКИЙ, Г ВЛАДИВОСТОК, УЛ ПУШКИНСКАЯ, Д. 25Е, ПОМЕЩ. 2</t>
  </si>
  <si>
    <t>ИП ТИТОРЕНКО АЛЕКСЕЙ ИГОРЕВИЧ</t>
  </si>
  <si>
    <t>ООО АВТОТРЕЙД-В</t>
  </si>
  <si>
    <t>690033, ПРИМОРСКИЙ КРАЙ, Г ВЛАДИВОСТОК, УЛ КУБАНСКАЯ, Д.10</t>
  </si>
  <si>
    <t>ООО ВВТ ГРУПП</t>
  </si>
  <si>
    <t>690042, ПРИМОРСКИЙ КРАЙ, Г.О. ВЛАДИВОСТОКСКИЙ, Г ВЛАДИВОСТОК, УЛ БАСАРГИНА, Д. 42, КВ. 3</t>
  </si>
  <si>
    <t>ООО 1000 РАЗМЕРОВ</t>
  </si>
  <si>
    <t>690034, РОССИЯ, ПРИМОРСКИЙ КРАЙ, Г.О. ВЛАДИВОСТОКСКИЙ, Г ВЛАДИВОСТОК, УЛ ФАДЕЕВА, Д. 47А, СТР. 13</t>
  </si>
  <si>
    <t>ООО ДМ ТРАНС</t>
  </si>
  <si>
    <t>690090, РОССИЯ, ПРИМОРСКИЙ КРАЙ, Г.О. ВЛАДИВОСТОКСКИЙ, Г ВЛАДИВОСТОК, УЛ 1-Я МОРСКАЯ, Д. 6/25, КВ. 44</t>
  </si>
  <si>
    <t>ИП ПАЖИТНОВ АНДРЕЙ ВИКТОРОВИЧ</t>
  </si>
  <si>
    <t>ИП РАДЧЕНКО СЕРГЕЙ ВЛАДИМИРОВИЧ</t>
  </si>
  <si>
    <t>ИП ПУШКАРЕВА АННА ВЛАДИМИРОВНА</t>
  </si>
  <si>
    <t>ИП НЕСТЕРОВ АЛЕКСАНДР ВЛАДИМИРОВИЧ</t>
  </si>
  <si>
    <t>ООО ТД АКВАДОМ</t>
  </si>
  <si>
    <t>690018, ПРИМОРСКИЙ КРАЙ, Г ВЛАДИВОСТОК, УЛ ИЛЬИЧЕВА, Д. 6</t>
  </si>
  <si>
    <t>ООО БРИГАНТИНА</t>
  </si>
  <si>
    <t>690041, ПРИМОРСКИЙ КРАЙ, Г ВЛАДИВОСТОК, УЛ РАДУЖНАЯ, Д.9</t>
  </si>
  <si>
    <t>ИП АЛЕЩЕНКО ИЛЬЯ АНДРЕЕВИЧ</t>
  </si>
  <si>
    <t>ООО ОРБИТА</t>
  </si>
  <si>
    <t>690005, ПРИМОРСКИЙ КРАЙ, Г ВЛАДИВОСТОК, УЛ 13-Я РАБОЧАЯ, Д. 16</t>
  </si>
  <si>
    <t>ООО САНТРИП</t>
  </si>
  <si>
    <t>690106, ПРИМОРСКИЙ КРАЙ, Г ВЛАДИВОСТОК, ПР-КТ КРАСНОГО ЗНАМЕНИ, Д. 25, 105</t>
  </si>
  <si>
    <t>ООО ПТК</t>
  </si>
  <si>
    <t>690054, ПРИМОРСКИЙ КРАЙ, Г ВЛАДИВОСТОК, УЛ 2-Я ШОССЕЙНАЯ, Д. 8В, ОФИС 331</t>
  </si>
  <si>
    <t>ООО ВТА</t>
  </si>
  <si>
    <t>690003, ПРИМОРСКИЙ КРАЙ, Г ВЛАДИВОСТОК, УЛ ВЕРХНЕПОРТОВАЯ, Д. 38, ОФИС 212</t>
  </si>
  <si>
    <t>ООО ГИГАНТШИНА СИБИРЬ</t>
  </si>
  <si>
    <t>690001, ПРИМОРСКИЙ КРАЙ, Г.О. ВЛАДИВОСТОКСКИЙ, Г ВЛАДИВОСТОК, УЛ ПИОНЕРСКАЯ, Д. 1, КАБИНЕТ 307А</t>
  </si>
  <si>
    <t>ОООАЛФЕЙ ТРЕЙДИНГ</t>
  </si>
  <si>
    <t>690002, ПРИМОРСКИЙ КРАЙ, Г ВЛАДИВОСТОК, ПР-КТ ОКЕАНСКИЙ, Д. 70А, ОФИС 2</t>
  </si>
  <si>
    <t>ООО ОСНОВА</t>
  </si>
  <si>
    <t>690065, РОССИЯ, ПРИМОРСКИЙ КРАЙ, Г.О. ВЛАДИВОСТОКСКИЙ, Г ВЛАДИВОСТОК, УЛ СТРЕЛЬНИКОВА, Д. 5, ОФИС 601</t>
  </si>
  <si>
    <t>ООО ВЕГА КАПЕЛЛА</t>
  </si>
  <si>
    <t>690090, РОССИЯ, ПРИМОРСКИЙ КРАЙ, Г.О. ВЛАДИВОСТОКСКИЙ, Г ВЛАДИВОСТОК, УЛ МОРДОВЦЕВА, Д. 3, КАБИНЕТ 804</t>
  </si>
  <si>
    <t>ООО ВЕЛДИНГ ВЭД</t>
  </si>
  <si>
    <t>690012, РОССИЯ, ПРИМОРСКИЙ КРАЙ, Г.О. ВЛАДИВОСТОКСКИЙ, Г ВЛАДИВОСТОК, УЛ БЕРЕЗОВАЯ, Д. 21А, ПОМЕЩ. 3</t>
  </si>
  <si>
    <t>ООО ПРИОРИТЕТ</t>
  </si>
  <si>
    <t>690016, РОССИЯ, ПРИМОРСКИЙ КРАЙ, Г.О. ВЛАДИВОСТОКСКИЙ, Г ВЛАДИВОСТОК, УЛ САФОНОВА, Д. 4, КВ. 2</t>
  </si>
  <si>
    <t>ООО ЭНЕРГИЯ СМ</t>
  </si>
  <si>
    <t>690021, РОССИЯ, ПРИМОРСКИЙ КРАЙ, Г.О. ВЛАДИВОСТОКСКИЙ, Г ВЛАДИВОСТОК, УЛ ЗАПОРОЖСКАЯ, Д. 77, ОФИС 220</t>
  </si>
  <si>
    <t>ООО НОРИМАР</t>
  </si>
  <si>
    <t>690002, РОССИЯ, ПРИМОРСКИЙ КРАЙ, Г.О. ВЛАДИВОСТОКСКИЙ, Г ВЛАДИВОСТОК, ПР-КТ ОКЕАНСКИЙ, Д. 87, КВ. 3</t>
  </si>
  <si>
    <t>ООО ДОМАШНИЙ</t>
  </si>
  <si>
    <t>690912, ПРИМОРСКИЙ КРАЙ, Г ВЛАДИВОСТОК, П ТРУДОВОЕ, УЛ ЛЕРМОНТОВА, Д.99, 48</t>
  </si>
  <si>
    <t>ООО ЗНАК-ОЙЛ</t>
  </si>
  <si>
    <t>690033, ПРИМОРСКИЙ КРАЙ, Г ВЛАДИВОСТОК, ПР-КТ 100-ЛЕТИЯ ВЛАДИВОСТОКА, Д. 57Б, ОФИС 401</t>
  </si>
  <si>
    <t>ООО ИНТЕГРАЦИЯ</t>
  </si>
  <si>
    <t>690025, ПРИМОРСКИЙ КРАЙ, Г ВЛАДИВОСТОК, УЛ ЛОМАНАЯ, Д. 14, ОФИС 2</t>
  </si>
  <si>
    <t>ИП ТЕЛЕВОВ РУСЛАН КАЛСЫНОВИЧ</t>
  </si>
  <si>
    <t>ООО ВОСТОЧНЫЙ МОСТ</t>
  </si>
  <si>
    <t>690062, ПРИМОРСКИЙ КРАЙ, Г ВЛАДИВОСТОК, УЛ ДНЕПРОВСКАЯ, Д. 29, ПОМЕЩ. 1</t>
  </si>
  <si>
    <t>ООО ПРИМКАР</t>
  </si>
  <si>
    <t>690062, ПРИМОРСКИЙ КРАЙ, Г ВЛАДИВОСТОК, УЛ ДНЕПРОВСКАЯ, Д. 25, ОФИС 5</t>
  </si>
  <si>
    <t>ООО ВОСТОК ЗАПАД-ДАЛЬНИЙ ВОСТОК</t>
  </si>
  <si>
    <t>690022, РОССИЯ, ПРИМОРСКИЙ КРАЙ, Г.О. ВЛАДИВОСТОКСКИЙ, Г ВЛАДИВОСТОК, УЛ КИРОВА, Д. 105, КВ. 13</t>
  </si>
  <si>
    <t>ООО ТК АЛЬЯНС</t>
  </si>
  <si>
    <t>690090, РОССИЯ, ПРИМОРСКИЙ КРАЙ, Г.О. ВЛАДИВОСТОКСКИЙ, Г ВЛАДИВОСТОК, УЛ ПОСЬЕТСКАЯ, Д. 45, ОФИС 303</t>
  </si>
  <si>
    <t>ООО ТК ДВ РЕСУРС</t>
  </si>
  <si>
    <t>690054, ПРИМОРСКИЙ КРАЙ, Г ВЛАДИВОСТОК, УЛ 4-Я ПРИГОРОДНАЯ, Д. 5, ЭТАЖ 7, ПОМЕЩЕНИЕ 4</t>
  </si>
  <si>
    <t>ООО СО ТЕХ</t>
  </si>
  <si>
    <t>690049, ПРИМОРСКИЙ КРАЙ, Г ВЛАДИВОСТОК, УЛ РУССКАЯ, Д. 48, КВ. 11</t>
  </si>
  <si>
    <t>ООО НИППОН ОЙЛ</t>
  </si>
  <si>
    <t>690068, РОССИЯ, ПРИМОРСКИЙ КРАЙ, Г.О. ВЛАДИВОСТОКСКИЙ, Г ВЛАДИВОСТОК, УЛ КИРОВА, Д. 25В, ОФИС 4</t>
  </si>
  <si>
    <t>ООО ОТКРЫТАЯ ПЛОЩАДКА</t>
  </si>
  <si>
    <t>690049, РОССИЯ, ПРИМОРСКИЙ КРАЙ, Г.О. ВЛАДИВОСТОКСКИЙ, Г ВЛАДИВОСТОК, УЛ БОРОДИНСКАЯ, Д. 20, ОФИС 203</t>
  </si>
  <si>
    <t>ООО НОВАК</t>
  </si>
  <si>
    <t>690014, РОССИЯ, ПРИМОРСКИЙ КРАЙ, Г.О. ВЛАДИВОСТОКСКИЙ, Г ВЛАДИВОСТОК, УЛ 1-Я КРУГОВАЯ, Д. 25А, ОФИС 309</t>
  </si>
  <si>
    <t>690068, РОССИЯ, ПРИМОРСКИЙ КРАЙ, Г.О. ВЛАДИВОСТОКСКИЙ, Г ВЛАДИВОСТОК, УЛ КИРОВА, Д. 6, КВ. 60</t>
  </si>
  <si>
    <t>ООО ВОСТОК ФОРС ОИЛ</t>
  </si>
  <si>
    <t>690088, РОССИЯ, ПРИМОРСКИЙ КРАЙ, Г.О. ВЛАДИВОСТОКСКИЙ, Г ВЛАДИВОСТОК, УЛ СНЕГОВАЯ, Д. 6</t>
  </si>
  <si>
    <t>ООО АВТОПРИМСЕРВИС</t>
  </si>
  <si>
    <t>690048, РОССИЯ, ПРИМОРСКИЙ КРАЙ, Г.О. ВЛАДИВОСТОКСКИЙ, Г ВЛАДИВОСТОК, УЛ ВОСТРЕЦОВА, Д. 10В, КВ. 76</t>
  </si>
  <si>
    <t>ООО САМСАН</t>
  </si>
  <si>
    <t>690068, ПРИМОРСКИЙ КРАЙ, Г ВЛАДИВОСТОК, ПР-КТ 100-ЛЕТИЯ ВЛАДИВОСТОКА, Д. 155, ОФИС 205</t>
  </si>
  <si>
    <t>ООО ИНДРАЙВ</t>
  </si>
  <si>
    <t>690074, ПРИМОРСКИЙ КРАЙ, Г.О. ВЛАДИВОСТОКСКИЙ, Г ВЛАДИВОСТОК, УЛ СНЕГОВАЯ, Д. 13А, ОФИС 12</t>
  </si>
  <si>
    <t>ООО РЕСУРС ВЛ</t>
  </si>
  <si>
    <t>690048, ПРИМОРСКИЙ КРАЙ, Г.О. ВЛАДИВОСТОКСКИЙ, Г ВЛАДИВОСТОК, УЛ ФИРСОВА, Д. 2, КВ. 24</t>
  </si>
  <si>
    <t>ООО ТЕХНИКА</t>
  </si>
  <si>
    <t>690054, РОССИЯ, ПРИМОРСКИЙ КРАЙ, Г.О. ВЛАДИВОСТОКСКИЙ, Г ВЛАДИВОСТОК, УЛ ЗАРЕЧНАЯ, Д. 35, ОФИС 337</t>
  </si>
  <si>
    <t>ООО ОСК</t>
  </si>
  <si>
    <t>690068, ПРИМОРСКИЙ КРАЙ, Г ВЛАДИВОСТОК, УЛ МАГНИТОГОРСКАЯ, Д. 4, ОФИС 307</t>
  </si>
  <si>
    <t>ООО ПРОФИ ХАНТЕР</t>
  </si>
  <si>
    <t>690054, РОССИЯ, ПРИМОРСКИЙ КРАЙ, Г.О. ВЛАДИВОСТОКСКИЙ, Г ВЛАДИВОСТОК, УЛ 2-Я ШОССЕЙНАЯ, Д. 9</t>
  </si>
  <si>
    <t>ООО АВТОСТАРТ ДВ</t>
  </si>
  <si>
    <t>690074, ПРИМОРСКИЙ КРАЙ, Г ВЛАДИВОСТОК, УЛ СНЕГОВАЯ, Д. 16А, ОФИС 1</t>
  </si>
  <si>
    <t>ООО ТД АЗИМУТ</t>
  </si>
  <si>
    <t>690048, РОССИЯ, ПРИМОРСКИЙ КРАЙ, Г.О. ВЛАДИВОСТОКСКИЙ, Г ВЛАДИВОСТОК, УЛ УССУРИЙСКАЯ, Д. 1, ОФИС 22</t>
  </si>
  <si>
    <t>ООО СТВ</t>
  </si>
  <si>
    <t>690091, РОССИЯ, ПРИМОРСКИЙ КРАЙ, Г.О. ВЛАДИВОСТОКСКИЙ, Г ВЛАДИВОСТОК, УЛ ПОЛОНСКОГО, Д. 13</t>
  </si>
  <si>
    <t>ООО ПРИМКАР+</t>
  </si>
  <si>
    <t>690068, РОССИЯ, ПРИМОРСКИЙ КРАЙ, Г.О. ВЛАДИВОСТОКСКИЙ, Г ВЛАДИВОСТОК, УЛ ЧКАЛОВА, Д. 5, КВ. 171</t>
  </si>
  <si>
    <t>ООО ТК-САМРАЛ</t>
  </si>
  <si>
    <t>690014, РОССИЯ, ПРИМОРСКИЙ КРАЙ, Г.О. ВЛАДИВОСТОКСКИЙ, Г ВЛАДИВОСТОК, ПР-КТ КРАСНОГО ЗНАМЕНИ, Д. 121, КВ. 169</t>
  </si>
  <si>
    <t>690088, РОССИЯ, ПРИМОРСКИЙ КРАЙ, Г.О. ВЛАДИВОСТОКСКИЙ, Г ВЛАДИВОСТОК, УЛ 4-Я ПРОХОДНАЯ, Д. 31, ОФИС 23</t>
  </si>
  <si>
    <t>ООО МАГНОЛИЯ</t>
  </si>
  <si>
    <t>690074, РОССИЯ, ПРИМОРСКИЙ КРАЙ, Г.О. ВЛАДИВОСТОКСКИЙ, Г ВЛАДИВОСТОК, УЛ СНЕГОВАЯ, Д. 13Д, ОФИС 119</t>
  </si>
  <si>
    <t>ООО ЛЮБТРЕЙД</t>
  </si>
  <si>
    <t>690054, ПРИМОРСКИЙ КРАЙ, Г ВЛАДИВОСТОК, УЛ ЗАРЕЧНАЯ, Д. 35, ПОМЕЩ. 2</t>
  </si>
  <si>
    <t>ООО МЕХАНИЧЕСКИЕ РЕШЕНИЯ</t>
  </si>
  <si>
    <t>690041, ПРИМОРСКИЙ КРАЙ, Г ВЛАДИВОСТОК, УЛ ГЛИНКИ, Д. 8А, ОФИС 18</t>
  </si>
  <si>
    <t>ООО ИНВЕСТ-ПРИМ</t>
  </si>
  <si>
    <t>690074, ПРИМОРСКИЙ КРАЙ, Г ВЛАДИВОСТОК, УЛ СНЕГОВАЯ, Д. 34, ОФИС 6</t>
  </si>
  <si>
    <t>ООО ТАКУМИ-РУС</t>
  </si>
  <si>
    <t>ООО АЗИЯ ГУДС</t>
  </si>
  <si>
    <t>690074, РОССИЯ, ПРИМОРСКИЙ КРАЙ, Г.О. ВЛАДИВОСТОКСКИЙ, Г ВЛАДИВОСТОК, УЛ СНЕГОВАЯ, Д. 13, КАБ 4</t>
  </si>
  <si>
    <t>ООО КОНТИНЕНТ</t>
  </si>
  <si>
    <t>690033, РОССИЯ, ПРИМОРСКИЙ КРАЙ, Г.О. ВЛАДИВОСТОКСКИЙ, Г ВЛАДИВОСТОК, УЛ ИРТЫШСКАЯ, Д. 17, ПОМЕЩ. 24</t>
  </si>
  <si>
    <t>ИП ТОРГОВСКИЙ АЛЕКСЕЙ ЕВГЕНЬЕВИЧ</t>
  </si>
  <si>
    <t>ООО ОИЛСНАБКОМПАНИ</t>
  </si>
  <si>
    <t>692770, РОССИЯ, ПРИМОРСКИЙ КРАЙ, Г.О. АРТЕМОВСКИЙ, Г АРТЕМ, ПЕР ЗАВОДСКОЙ, Д. 31, ОФИС 208</t>
  </si>
  <si>
    <t>ИП КОВАЛЕНКО НАДЕЖДА НИКОЛАЕВНА</t>
  </si>
  <si>
    <t>ИП НЫРКОВА АНТОНИЯ АНДРЕЕВНА</t>
  </si>
  <si>
    <t>ООО ДАЛЬНЕФТЕСНАБ</t>
  </si>
  <si>
    <t>692132, ПРИМОРСКИЙ КРАЙ, Г ДАЛЬНЕРЕЧЕНСК, УЛ ЛЕНИНА, Д. 71А, 82</t>
  </si>
  <si>
    <t>ИП ГИМАНТОВ ОЛЕГ ИЛЬГИЗОВИЧ</t>
  </si>
  <si>
    <t>ИП КУФТИНА ЛАДА ЮРЬЕВНА</t>
  </si>
  <si>
    <t>ИП СМАКОТА ТАТЬЯНА ЕВГЕНЬЕВНА</t>
  </si>
  <si>
    <t>ООО ВЛАДАВТО ДВ</t>
  </si>
  <si>
    <t>692525, ПРИМОРСКИЙ КРАЙ, Г УССУРИЙСК, УЛ КРАСНОЗНАМЕННАЯ, ЗД. 196, ОФИС 22</t>
  </si>
  <si>
    <t>ИП СПОЛЬНИКОВ ВИТАЛИЙ ВИКТОРОВИЧ</t>
  </si>
  <si>
    <t>ИП ФЕДКОВИЧ СЕРГЕЙ МИХАЙЛОВИЧ</t>
  </si>
  <si>
    <t>ИП АЮШЕЕВА НАТАЛЬЯ ВИКТОРОВНА</t>
  </si>
  <si>
    <t>ООО АПК ИНТЕРМАРК</t>
  </si>
  <si>
    <t>690001, ПРИМОРСКИЙ КРАЙ, Г ВЛАДИВОСТОК, УЛ СВЕТЛАНСКАЯ, Д. 145, 1</t>
  </si>
  <si>
    <t>ИП АХАНТЬЕВ АЛЕКСАНДР АЛЕКСАНДРОВИЧ</t>
  </si>
  <si>
    <t>ООО ДАЛГРИС</t>
  </si>
  <si>
    <t>ООО  ДВИЖЕНИЕ ДВ</t>
  </si>
  <si>
    <t>690090, ПРИМОРСКИЙ КРАЙ, Г.О. ВЛАДИВОСТОКСКИЙ, Г ВЛАДИВОСТОК, УЛ НАБЕРЕЖНАЯ, Д. 10, ОФИС 122</t>
  </si>
  <si>
    <t>ООО ВКС</t>
  </si>
  <si>
    <t>690063, ПРИМОРСКИЙ КРАЙ, Г ВЛАДИВОСТОК, УЛ ЗОИ КОСМОДЕМЬЯНСКОЙ, Д. 19, КОРПУС А ОФИС 1</t>
  </si>
  <si>
    <t>ООО РОЕЛ</t>
  </si>
  <si>
    <t>690109, ПРИМОРСКИЙ КРАЙ, Г ВЛАДИВОСТОК, УЛ НЕЙБУТА, Д. 51, КВ. 34</t>
  </si>
  <si>
    <t>ООО ДК-ГРУПП</t>
  </si>
  <si>
    <t>690014, ПРИМОРСКИЙ КРАЙ, Г ВЛАДИВОСТОК, УЛ ГОГОЛЯ, Д. 4, ОФИС 15</t>
  </si>
  <si>
    <t>ООО ЛОРПЕНА</t>
  </si>
  <si>
    <t>690001, РОССИЯ, ПРИМОРСКИЙ КРАЙ, Г.О. ВЛАДИВОСТОКСКИЙ, Г ВЛАДИВОСТОК, УЛ ПИОНЕРСКАЯ, Д. 1, ОФИС 301</t>
  </si>
  <si>
    <t>ИП Ризак Юрий Васильевич</t>
  </si>
  <si>
    <t>ООО ВЛАДТЕХМАС</t>
  </si>
  <si>
    <t>690002, ПРИМОРСКИЙ КРАЙ, Г ВЛАДИВОСТОК, ПР-КТ ОСТРЯКОВА, Д.44Б</t>
  </si>
  <si>
    <t>ООО АБРО ИНДАСТРИС</t>
  </si>
  <si>
    <t>690003, ПРИМОРСКИЙ КРАЙ, Г ВЛАДИВОСТОК, УЛ СТАНЮКОВИЧА, Д. 52, ОФИС 101А</t>
  </si>
  <si>
    <t>ООО ТЕХСЕРВИС-ВЛАДИВОСТОК</t>
  </si>
  <si>
    <t>692754, ПРИМОРСКИЙ КРАЙ, Г.О. АРТЕМОВСКИЙ, Г АРТЕМ, УЛ ЗИГАНШИНА, Д. 23А, К. 1, ОФИС 1</t>
  </si>
  <si>
    <t>690065, РОССИЯ, ПРИМОРСКИЙ КРАЙ, Г.О. ВЛАДИВОСТОКСКИЙ, Г ВЛАДИВОСТОК, УЛ СТРЕЛЬНИКОВА, Д. 5, ПОМЕЩ. 302</t>
  </si>
  <si>
    <t>ООО ТК ВОСТОЧНАЯ ГАВАНЬ</t>
  </si>
  <si>
    <t>690065, РОССИЯ, ПРИМОРСКИЙ КРАЙ, Г.О. ВЛАДИВОСТОКСКИЙ, Г ВЛАДИВОСТОК, УЛ ЛЕОНОВА, Д. 27, ОФИС VII</t>
  </si>
  <si>
    <t>ООО ГК ЮНИКОМ</t>
  </si>
  <si>
    <t>690089, ПРИМОРСКИЙ КРАЙ, Г ВЛАДИВОСТОК, УЛ ТУХАЧЕВСКОГО, Д. 48А</t>
  </si>
  <si>
    <t>ООО ВИВАТ</t>
  </si>
  <si>
    <t>690014, РОССИЯ, ПРИМОРСКИЙ КРАЙ, Г.О. ВЛАДИВОСТОКСКИЙ, Г ВЛАДИВОСТОК, ПР-КТ КРАСНОГО ЗНАМЕНИ, Д. 77, ПОМЕЩ. 2.1</t>
  </si>
  <si>
    <t>ИП ГОНЖАРА ЯНА ОЛЕГОВНА</t>
  </si>
  <si>
    <t>ИП ШВЕНДА ПЕТР ПЕТРОВИЧ</t>
  </si>
  <si>
    <t>ООО ТЕХНОДРЕВ</t>
  </si>
  <si>
    <t>692623, ПРИМОРСКИЙ КРАЙ, Р-Н ЧУГУЕВСКИЙ, С ЧУГУЕВКА, УЛ 50 ЛЕТ ОКТЯБРЯ, Д. 55, КАБИНЕТ 6</t>
  </si>
  <si>
    <t>ООО  ЕВРАЗИЙСКИЙ ДЕЛОВОЙ СОВЕТ</t>
  </si>
  <si>
    <t>692811, РОССИЯ, ПРИМОРСКИЙ КРАЙ, М.О. ШКОТОВСКИЙ, С РОМАНОВКА, УЛ ЦЕНТРАЛЬНАЯ, ЗД. 3А</t>
  </si>
  <si>
    <t>ИП ОГАНЕСЯН АНДРАНИК ДАВИДОВИЧ</t>
  </si>
  <si>
    <t>ООО ШТОРМАВТО</t>
  </si>
  <si>
    <t>690012, ПРИМОРСКИЙ КРАЙ, Г ВЛАДИВОСТОК, УЛ ДУБОВАЯ, Д. 10Ж</t>
  </si>
  <si>
    <t>ИП ГРАБОВ ВАЛЕРИЙ БОРИСОВИЧ</t>
  </si>
  <si>
    <t>ИП БЕЛОУС НАТАЛЬЯ ОЛЕГОВНА</t>
  </si>
  <si>
    <t>ИП Иванова Светлана Анатольевна</t>
  </si>
  <si>
    <t>ИП ШАВХАЛОВ АЛИ ДЕНИЛЬБЕКОВИЧ</t>
  </si>
  <si>
    <t>Ставропольский край</t>
  </si>
  <si>
    <t>ИП КОСТИШИН АНАТОЛИЙ ВАСИЛЬЕВИЧ</t>
  </si>
  <si>
    <t>ИП АДОНЬЕВ ЕВГЕНИЙ ИВАНОВИЧ</t>
  </si>
  <si>
    <t>ИП САЛЬКОВ АЛЕКСАНДР ГЕННАДЬЕВИЧ</t>
  </si>
  <si>
    <t>ИП ПОПЛАВСКАЯ МАРИНА СЕРГЕЕВНА</t>
  </si>
  <si>
    <t>ИП ПОДЦЕБАСТЕНКО ВИКТОР МИХАЙЛОВИЧ</t>
  </si>
  <si>
    <t>ИП РУДЧЕНКО АНДРЕЙ СЕРГЕЕВИЧ</t>
  </si>
  <si>
    <t>ИП ДЕНЕКО МИХАИЛ ВЛАДИМИРОВИЧ</t>
  </si>
  <si>
    <t>ИП ВЛАСОВ ЮРИЙ АЛЕКСАНДРОВИЧ</t>
  </si>
  <si>
    <t>ИП АБРАМЕНКО НАТАЛЬЯ ВАСИЛЬЕВНА</t>
  </si>
  <si>
    <t>ИП АБРАМЕНКО АЛЕКСАНДРА ЮРЬЕВНА</t>
  </si>
  <si>
    <t>ИП БЕЛЯЕВА ТАМАРА СЕРГЕЕВНА</t>
  </si>
  <si>
    <t>ИП БЕЛИКОВ ДЕНИС ПЕТРОВИЧ</t>
  </si>
  <si>
    <t>ИП СААКЯН АЛЬБИНА ВЛАДИСЛАВОВНА</t>
  </si>
  <si>
    <t>ИП КАРАМЫШЕВ ВАЛЕРИЙ АЛЕКСАНДРОВИЧ</t>
  </si>
  <si>
    <t>ИП Шевченко Евгений Николаевич</t>
  </si>
  <si>
    <t>ИП ДЯДЮШКО НАТАЛЬЯ АНДРЕЕВНА</t>
  </si>
  <si>
    <t>ИП КАРИБЯН АЛИК АЛЕКСАНДРОВИЧ</t>
  </si>
  <si>
    <t>ИП ПИВЕНЬ АЛЕКСЕЙ СЕРГЕЕВИЧ</t>
  </si>
  <si>
    <t>ИП МУСАЕВ РУСТАМ ШАХБАНОВИЧ</t>
  </si>
  <si>
    <t>ООО АБС МАШУК</t>
  </si>
  <si>
    <t>357361, СТАВРОПОЛЬСКИЙ КРАЙ, Р-Н ПРЕДГОРНЫЙ, С ВИНСАДЫ, Ш КИСЛОВОДСКОЕ, Д. 48</t>
  </si>
  <si>
    <t>ООО АБС</t>
  </si>
  <si>
    <t>356304, СТАВРОПОЛЬСКИЙ КРАЙ, Р-Н АЛЕКСАНДРОВСКИЙ, С АЛЕКСАНДРОВСКОЕ, ТЕР СЕВЕРНАЯ ПРОМЗОНА, Д. 9</t>
  </si>
  <si>
    <t>ИП САВЧЕНКО АЛЕКСАНДР ВЛАДИМИРОВИЧ</t>
  </si>
  <si>
    <t>ИП СТОЛЯРОВ ИВАН АЛЕКСЕЕВИЧ</t>
  </si>
  <si>
    <t>ИП МИРОНЕНКО АНАСТАСИЯ АНАТОЛЬЕВНА</t>
  </si>
  <si>
    <t>ИП БАКШАЕВА ВИКТОРИЯ СЕРГЕЕВНА</t>
  </si>
  <si>
    <t>ИП МАРТИЯНОВА НАДЕЖДА ВЛАДИМИРОВНА</t>
  </si>
  <si>
    <t>ИП ШАПРИНОВ ЕВГЕНИЙ ВЛАДИМИРОВИЧ</t>
  </si>
  <si>
    <t>ИП СОБОЛЕВ АРТЕМ АЛЕКСАНДРОВИЧ</t>
  </si>
  <si>
    <t>ИП ЧУМАКОВА НАТАЛЬЯ АЛЕКСАНДРОВНА</t>
  </si>
  <si>
    <t>ИП ГОМАНОВ АЛЕКСАНДР ИГОРЕВИЧ</t>
  </si>
  <si>
    <t>ИП СКРЫПНИКОВ ВЛАДИМИР АЛЕКСАНДРОВИЧ</t>
  </si>
  <si>
    <t>ИП МЕЛЬНИКОВ ВЛАДИМИР ВЛАДИМИРОВИЧ</t>
  </si>
  <si>
    <t>ООО САДКО</t>
  </si>
  <si>
    <t>356030, СТАВРОПОЛЬСКИЙ КРАЙ, Р-Н КРАСНОГВАРДЕЙСКИЙ, С КРАСНОГВАРДЕЙСКОЕ, УЛ КРАСНАЯ, Д.196</t>
  </si>
  <si>
    <t>ИП ПЕРЕВЕРЗЕВ ВЯЧЕСЛАВ БОРИСОВИЧ</t>
  </si>
  <si>
    <t>ИП ШАЛАШИНА НАТАЛЬЯ АЛЕКСАНДРОВНА</t>
  </si>
  <si>
    <t>ИП КАРАТОВ ИБРАГИМГАДЖИ АБДУЛЛАЕВИЧ</t>
  </si>
  <si>
    <t>ООО АГРОКОМПЛЕКТ</t>
  </si>
  <si>
    <t>356890, СТАВРОПОЛЬСКИЙ КРАЙ, Р-Н НЕФТЕКУМСКИЙ, С АЧИКУЛАК, УЛ СОВХОЗНАЯ, ВЛД. 1, ЛИТЕРА 1</t>
  </si>
  <si>
    <t>ИП МАКАРОВА ТАТЬЯНА МИХАЙЛОВНА</t>
  </si>
  <si>
    <t>ИП КРАВЦОВ ЮРИЙ АЛЕКСЕЕВИЧ</t>
  </si>
  <si>
    <t>ИП СТРЕЛЬЦОВА ЛИАНА МИХАЙЛОВНА</t>
  </si>
  <si>
    <t>ИП МАКСИМОВ ДМИТРИЙ ВЛАДИМИРОВИЧ</t>
  </si>
  <si>
    <t>ООО РОКСОЛ</t>
  </si>
  <si>
    <t>357351, СТАВРОПОЛЬСКИЙ КРАЙ, Р-Н ПРЕДГОРНЫЙ, СТ-ЦА ЕССЕНТУКСКАЯ, УЛ ГАГАРИНА, Д. 13, КВ. 22</t>
  </si>
  <si>
    <t>ИП РЕЗНИКОВ РОМАН ЛЕОНИДОВИЧ</t>
  </si>
  <si>
    <t>ИП ХАНЗИН СЕРГЕЙ АЛЕКСАНДРОВИЧ</t>
  </si>
  <si>
    <t>ДОНСКОЕ СЕЛЬПО</t>
  </si>
  <si>
    <t>356170, СТАВРОПОЛЬСКИЙ КРАЙ, Р-Н ТРУНОВСКИЙ, С ДОНСКОЕ, УЛ КРАСНАЯ, Д.17, ---, ---</t>
  </si>
  <si>
    <t>ИП ФИЛИППОВ ДЕМОКРИТ ВЛАДИМИРОВИЧ</t>
  </si>
  <si>
    <t>ИП ЗАЙНУТДИНОВА МАДИНАТ ЗАЙНАЛБЕКОВНА</t>
  </si>
  <si>
    <t>ИП ПОЖИДАЕВ АЛЕКСАНДР АНАТОЛЬЕВИЧ</t>
  </si>
  <si>
    <t>ИП КОЧЕТОВА ЛЮДМИЛА АЛЕКСАНДРОВНА</t>
  </si>
  <si>
    <t>ИП КОРЖОВА ИРИНА ВАСИЛЬЕВНА</t>
  </si>
  <si>
    <t>АО ИПАТОВО-ЛАДА</t>
  </si>
  <si>
    <t>356630, СТАВРОПОЛЬСКИЙ КРАЙ, Р-Н ИПАТОВСКИЙ, Г ИПАТОВО, УЛ ШКОЛЬНАЯ, Д. 51</t>
  </si>
  <si>
    <t>ИП ДОВГАЛЁВА ОЛЬГА ФЁДОРОВНА</t>
  </si>
  <si>
    <t>ИП АИМОВ АЛЕКСЕЙ ГЕННАДЬЕВИЧ</t>
  </si>
  <si>
    <t>ИП МАРОЧКИНА НАТАЛЬЯ АЛЕКСАНДРОВНА</t>
  </si>
  <si>
    <t>ИП МАСЛЮЧЕНКО ТАТЬЯНА ВИКТОРОВНА</t>
  </si>
  <si>
    <t>ИП КАРАТОВ ШАМИЛЬ ИБРАГИМГАДЖИЕВИЧ</t>
  </si>
  <si>
    <t>ИП МАШКО АНДРЕЙ ВЛАДИМИРОВИЧ</t>
  </si>
  <si>
    <t>ИП НУРМАГОМЕДОВ КАМАЛУТДИН ЯРМЕТОВИЧ</t>
  </si>
  <si>
    <t>ИП ВОЖДАЕВ АЛЕКСЕЙ СЕРГЕЕВИЧ</t>
  </si>
  <si>
    <t>ИП НОВИКОВА СОФИЯ ВАЛЕРЬЕВНА</t>
  </si>
  <si>
    <t>ИП МАТВЕЕВ АЛЕКСЕЙ АЛЕКСАНДРОВИЧ</t>
  </si>
  <si>
    <t>ИП ОГАНОВ АРМЕН ВАЛЕРЬЕВИЧ</t>
  </si>
  <si>
    <t>ИП ВЕСЕЛОВА ЗИНАИДА АНАТОЛЬЕВНА</t>
  </si>
  <si>
    <t>ИП Шамина Алия Владимировна</t>
  </si>
  <si>
    <t>ИП ТАШКИНОВА ФОТИМА АБДИРАВУПОВНА</t>
  </si>
  <si>
    <t>ООО РУСЬ-АВТО</t>
  </si>
  <si>
    <t>355035, РОССИЯ, СТАВРОПОЛЬСКИЙ КРАЙ, Г.О. ГОРОД СТАВРОПОЛЬ, Г СТАВРОПОЛЬ, УЛ 6 ПРОМЫШЛЕННАЯ, Д. 2</t>
  </si>
  <si>
    <t>ИП АКОПЯН АРСЕН АШОТОВИЧ</t>
  </si>
  <si>
    <t>ИП ТКАЧЕНКО ЛЮБОВЬ АНДРЕЕВНА</t>
  </si>
  <si>
    <t>ИП ПАЩЕНКО ВАСИЛИЙ АЛЕКСАНДРОВИЧ</t>
  </si>
  <si>
    <t>ИП АРАКЕЛОВ ГРАНТ ПАРОНОВИЧ</t>
  </si>
  <si>
    <t>ИП АБАТАЕВА СТЕЛЛА ШАХБАНОВНА</t>
  </si>
  <si>
    <t>ИП ПОПОВА ДИАНА АЛЕКСАНДРОВНА</t>
  </si>
  <si>
    <t>ИП РУПАСОВА АНАСТАСИЯ АЛЕКСАНДРОВНА</t>
  </si>
  <si>
    <t>ООО СИТИ</t>
  </si>
  <si>
    <t>357601, СТАВРОПОЛЬСКИЙ КРАЙ, Г ЕССЕНТУКИ, УЛ ПЯТИГОРСКАЯ, Д. 125</t>
  </si>
  <si>
    <t>ИП КОЛЕСНИКОВ СЕРГЕЙ АЛЕКСАНДРОВИЧ</t>
  </si>
  <si>
    <t>АО САНАТОРИЙ КРЕПОСТЬ</t>
  </si>
  <si>
    <t>357700, РОССИЯ, СТАВРОПОЛЬСКИЙ КРАЙ, Г.О. ГОРОД-КУРОРТ КИСЛОВОДСК, Г КИСЛОВОДСК, ПР-КТ МИРА, Д. 9</t>
  </si>
  <si>
    <t>ИП РОМАНОВ РОМАН СЕРГЕЕВИЧ</t>
  </si>
  <si>
    <t>ООО ТСМ</t>
  </si>
  <si>
    <t>357342, РОССИЯ, СТАВРОПОЛЬСКИЙ КРАЙ, Г.О. ГОРОД ЛЕРМОНТОВ, Г ЛЕРМОНТОВ, ПЕР ЗАВОДСКОЙ, ВЛД. 7</t>
  </si>
  <si>
    <t>ООО КМВ АВТОЦЕНТР КАМАЗ</t>
  </si>
  <si>
    <t>357200, СТАВРОПОЛЬСКИЙ КРАЙ, Р-Н МИНЕРАЛОВОДСКИЙ, Г МИНЕРАЛЬНЫЕ ВОДЫ, УЛ СОВЕТСКАЯ, Д.20</t>
  </si>
  <si>
    <t>АО МИНЕРАЛОВОДСКАЯ СЕЛЬХОЗТЕХНИКА С МТС</t>
  </si>
  <si>
    <t>357226, СТАВРОПОЛЬСКИЙ КРАЙ, Р-Н МИНЕРАЛОВОДСКИЙ, П ПЕРВОМАЙСКИЙ, УЛ МОСКОВСКАЯ, ДВЛД. 23</t>
  </si>
  <si>
    <t>ИП КОЗЛОВА АЛЕНА АНДРЕЕВНА</t>
  </si>
  <si>
    <t>ИП КОЖЕДУБОВ АНАТОЛИЙ АЛЕКСАНДРОВИЧ</t>
  </si>
  <si>
    <t>ИП ТИМОФЕЕВ АЛЕКСАНДР АНАТОЛЬЕВИЧ</t>
  </si>
  <si>
    <t>ИП ХАЛЕЕВ АНДРЕЙ АЛЕКСАНДРОВИЧ</t>
  </si>
  <si>
    <t>ООО ТЕХНОЛАЙН</t>
  </si>
  <si>
    <t>357528, СТАВРОПОЛЬСКИЙ КРАЙ, Г ПЯТИГОРСК, УЛ КОЧУБЕЯ, Д. 17, КВ. 50</t>
  </si>
  <si>
    <t>ООО СКОРОСТЬ</t>
  </si>
  <si>
    <t>357550, СТАВРОПОЛЬСКИЙ КРАЙ, Г ПЯТИГОРСК, П ГОРЯЧЕВОДСКИЙ, УЛ 4-Я ЛИНИЯ, Д. 41</t>
  </si>
  <si>
    <t>ООО СВЕТОСЕРВИС-СТАВРОПОЛЬЕ</t>
  </si>
  <si>
    <t>357340, РОССИЯ, СТАВРОПОЛЬСКИЙ КРАЙ, Г.О. ГОРОД ЛЕРМОНТОВ, Г ЛЕРМОНТОВ, УЛ КРАСНОДАРСКАЯ, Д. 6, ПОМЕЩ. 1</t>
  </si>
  <si>
    <t>ИП СЕМЕРЮК АЛЕКСАНДР ЕВГЕНЬЕВИЧ</t>
  </si>
  <si>
    <t>ООО СКЦПТ</t>
  </si>
  <si>
    <t>357560, РОССИЯ, СТАВРОПОЛЬСКИЙ КРАЙ, Г.О. ГОРОД-КУРОРТ ПЯТИГОРСК, П ГОРЯЧЕВОДСКИЙ, УЛ ГРЕБЕНСКАЯ, Д. 4</t>
  </si>
  <si>
    <t>ООО МСК-КАВКАЗ</t>
  </si>
  <si>
    <t>357561, РОССИЯ, СТАВРОПОЛЬСКИЙ КРАЙ, Г.О. ГОРОД-КУРОРТ ПЯТИГОРСК, П ГОРЯЧЕВОДСКИЙ, УЛ ЯСНАЯ, ЗД. 19</t>
  </si>
  <si>
    <t>ИП АЙУБИ МАЛЬЯР</t>
  </si>
  <si>
    <t>ИП СЕВЕРИН ИЛЬЯ ДМИТРИЕВИЧ</t>
  </si>
  <si>
    <t>ИП АШИГОВА ЛУИЗА КОНСТАНТИНОВНА</t>
  </si>
  <si>
    <t>ООО ФИРМА ВИТЯЗЬ И К</t>
  </si>
  <si>
    <t>355029, СТАВРОПОЛЬСКИЙ КРАЙ, Г СТАВРОПОЛЬ, УЛ МИРА, Д. 455</t>
  </si>
  <si>
    <t>ИП КАРАСЕВ ЕВГЕНИЙ ГРИГОРЬЕВИЧ</t>
  </si>
  <si>
    <t>ИП ЧЕРНОВ ВЯЧЕСЛАВ НИКОЛАЕВИЧ</t>
  </si>
  <si>
    <t>ООО ТД АЛЬБИОН</t>
  </si>
  <si>
    <t>356245, СТАВРОПОЛЬСКИЙ КРАЙ, М.О. ШПАКОВСКИЙ, Г МИХАЙЛОВСК, ПЕР ПИОНЕРСКИЙ, ДВЛД. 10</t>
  </si>
  <si>
    <t>ИП ПАХОМОВ ИВАН ВИКТОРОВИЧ</t>
  </si>
  <si>
    <t>ООО АГРОМАРКЕТ</t>
  </si>
  <si>
    <t>356242, СТАВРОПОЛЬСКИЙ КРАЙ, Р-Н ШПАКОВСКИЙ, Г МИХАЙЛОВСК, УЛ ЛЕНИНА, Д. 203/2, ПОМЕЩ. 8</t>
  </si>
  <si>
    <t>ООО ШИНАЮГ</t>
  </si>
  <si>
    <t>355035, РОССИЯ, СТАВРОПОЛЬСКИЙ КРАЙ, Г.О. ГОРОД СТАВРОПОЛЬ, Г СТАВРОПОЛЬ, УЛ СЕВЕРНЫЙ ОБХОД, Д. 18, СТР. 1</t>
  </si>
  <si>
    <t>ИП КНАУБ АНДРЕЙ АЛЕКСАНДРОВИЧ</t>
  </si>
  <si>
    <t>ИП АБДУЛАЕВ ХУСЕЙН МАГОМЕДОВИЧ</t>
  </si>
  <si>
    <t>ИП РОМАНОВ ИВАН АЛЕКСАНДРОВИЧ</t>
  </si>
  <si>
    <t>ИП АЗАРЯН АЛЕКСАНДР СЕРГЕЕВИЧ</t>
  </si>
  <si>
    <t>ООО КАВМИНСКАН</t>
  </si>
  <si>
    <t>357825, СТАВРОПОЛЬСКИЙ КРАЙ, Г ГЕОРГИЕВСК, УЛ ЛЕНИНА, Д. 31/1</t>
  </si>
  <si>
    <t>ИП МАТОЧЕНКО СВЕТЛАНА НИКОЛАЕВНА</t>
  </si>
  <si>
    <t>ООО СМАЗОЧНЫЕ МАТЕРИАЛЫ</t>
  </si>
  <si>
    <t>357340, СТАВРОПОЛЬСКИЙ КРАЙ, Г.О. ГОРОД ЛЕРМОНТОВ, Г ЛЕРМОНТОВ, УЛ КОМСОМОЛЬСКАЯ, Д. 16/2</t>
  </si>
  <si>
    <t>ИП АНТОНЯН ЭДИК РАЧИКОВИЧ</t>
  </si>
  <si>
    <t>ИП ПУЛЯ НИКОЛАЙ ПАВЛОВИЧ</t>
  </si>
  <si>
    <t>ИП АСРИЕВ ДАВИД КАРЭНОВИЧ</t>
  </si>
  <si>
    <t>ООО СТРЕЛААВТО</t>
  </si>
  <si>
    <t>357204, СТАВРОПОЛЬСКИЙ КРАЙ, М.О. МИНЕРАЛОВОДСКИЙ, ТЕР. АВТОДОРОГА Р-217 КАВКАЗ, КМ 345-ЫЙ</t>
  </si>
  <si>
    <t>ООО ГЕРАЛЬД МОТОРС</t>
  </si>
  <si>
    <t>357204, СТАВРОПОЛЬСКИЙ КРАЙ, Р-Н МИНЕРАЛОВОДСКИЙ, КМ 345-ЫЙ (АВТОДОРОГА Р-217 КАВКАЗ ТЕР.)</t>
  </si>
  <si>
    <t>ИП ПЕТРОВСКИЙ МИХАИЛ АНАТОЛЬЕВИЧ</t>
  </si>
  <si>
    <t>ИП БАШКАТОВ ИЛЬЯ ЕВГЕНЬЕВИЧ</t>
  </si>
  <si>
    <t>ООО ТЕХНОЦЕНТР</t>
  </si>
  <si>
    <t>357112, СТАВРОПОЛЬСКИЙ КРАЙ, Г НЕВИННОМЫССК, УЛ ЭНЕРГЕТИКОВ, ДВЛД. 6В, ОФИС 11</t>
  </si>
  <si>
    <t>АО ПРОИЗВОДСТВЕННАЯ ФИРМА АВТОСТАР</t>
  </si>
  <si>
    <t>357502, СТАВРОПОЛЬСКИЙ КРАЙ, Г ПЯТИГОРСК, Ш БЕШТАУГОРСКОЕ, Д. 16</t>
  </si>
  <si>
    <t>САНАТОРИЙ ЗОРИ СТАВРОПОЛЬЯ</t>
  </si>
  <si>
    <t>357501, СТАВРОПОЛЬСКИЙ КРАЙ, Г ПЯТИГОРСК, УЛ ДЗЕРЖИНСКОГО, Д.57</t>
  </si>
  <si>
    <t>ГКУЗ СТАВРОПОЛЬСКИЙ КРАЕВОЙ ГОСПИТАЛЬ ДЛЯ ВЕТЕРАНОВ ВОЙН</t>
  </si>
  <si>
    <t>357560, СТАВРОПОЛЬСКИЙ КРАЙ, Г ПЯТИГОРСК, П ГОРЯЧЕВОДСКИЙ, УЛ ПРОГРЕССА, Д.73</t>
  </si>
  <si>
    <t>ООО ПЯТИГОРСКОЕ УТЭП</t>
  </si>
  <si>
    <t>357528, СТАВРОПОЛЬСКИЙ КРАЙ, Г.О. ГОРОД-КУРОРТ ПЯТИГОРСК, Г ПЯТИГОРСК, УЛ 3-Й ПЕРЕУЛОК, Д. 25</t>
  </si>
  <si>
    <t>ООО ПРИНФОРМ - СЕРВИС</t>
  </si>
  <si>
    <t>357538, СТАВРОПОЛЬСКИЙ КРАЙ, Г ПЯТИГОРСК, Ш БЕШТАУГОРСКОЕ, Д. 15 Б, ПОМЕЩ. 1</t>
  </si>
  <si>
    <t>357502, СТАВРОПОЛЬСКИЙ КРАЙ, Г ПЯТИГОРСК, Ш БЕШТАУГОРСКОЕ, Д. 26, СТР. 1</t>
  </si>
  <si>
    <t>ООО АВТОБЕРГ</t>
  </si>
  <si>
    <t>ООО НИЖБЕЛ КМВ</t>
  </si>
  <si>
    <t>357538, РОССИЯ, СТАВРОПОЛЬСКИЙ КРАЙ, Г.О. ГОРОД-КУРОРТ ПЯТИГОРСК, Г ПЯТИГОРСК, УЛ ЕРМОЛОВА, Д. 2</t>
  </si>
  <si>
    <t>ООО ТРИАЛ</t>
  </si>
  <si>
    <t>357500, СТАВРОПОЛЬСКИЙ КРАЙ, Г ПЯТИГОРСК, УЛ ШИРОКАЯ, Д. 113А, СТР. 1, ОФИС 1</t>
  </si>
  <si>
    <t>ИП МЕЛИКСЕТЯН АРАМ ГАГИКОВИЧ</t>
  </si>
  <si>
    <t>ИП Лященко Лариса Викторовна</t>
  </si>
  <si>
    <t>ИП НОЗДРАЧЕВА ВАЛЕРИЯ АЛЕКСАНДРОВНА</t>
  </si>
  <si>
    <t>ИП КОПАНЕВ ВЛАДИМИР ВЛАДИМИРОВИЧ</t>
  </si>
  <si>
    <t>ООО БУДЕННОВСКИЙ КАМА- ЦЕНТР</t>
  </si>
  <si>
    <t>356800, СТАВРОПОЛЬСКИЙ КРАЙ, Р-Н БУДЕННОВСКИЙ, Г БУДЕННОВСК, ПР-КТ КАЛИНИНА, Д.110, К.А</t>
  </si>
  <si>
    <t>ИП КОБА МАКСИМ ЕВГЕНЬЕВИЧ</t>
  </si>
  <si>
    <t>ИП ТКАЧЕНКО ЕЛЕНА ВАСИЛЬЕВНА</t>
  </si>
  <si>
    <t>357841, СТАВРОПОЛЬСКИЙ КРАЙ, Р-Н ГЕОРГИЕВСКИЙ, СТ-ЦА АЛЕКСАНДРИЙСКАЯ, УЛ СТРОИТЕЛЕЙ, ЗД. 18</t>
  </si>
  <si>
    <t>ИП ПОПОВ АЛЕКСЕЙ АЛЕКСЕЕВИЧ</t>
  </si>
  <si>
    <t>ИП БАЛИЯН АЛЕКСАНДР АЛЬБЕРТОВИЧ</t>
  </si>
  <si>
    <t>ИП ЖАДАН АЛЕКСАНДР АНАТОЛЬЕВИЧ</t>
  </si>
  <si>
    <t>ИП ДОРОНИНА ЕЛЕНА НИКОЛАЕВНА</t>
  </si>
  <si>
    <t>ООО АВТО 999</t>
  </si>
  <si>
    <t>357623, РОССИЯ, СТАВРОПОЛЬСКИЙ КРАЙ, Г.О. ГОРОД-КУРОРТ ЕССЕНТУКИ, Г ЕССЕНТУКИ, УЛ ГРИБОЕДОВА, Д. 20</t>
  </si>
  <si>
    <t>ИП МАРТИРОСЯН ЛАУРА МИХАЙЛОВНА</t>
  </si>
  <si>
    <t>ИП МИХАЙЛИЧЕНКО ДМИТРИЙ СЕРГЕЕВИЧ</t>
  </si>
  <si>
    <t>ИП ГОЛОВКИН СВЯТОСЛАВ ВЛАДИМИРОВИЧ</t>
  </si>
  <si>
    <t>ИП ВАХМИНА МАРГАРИТА АНДРЕЕВНА</t>
  </si>
  <si>
    <t>ИП ГОРДЕЕВА СВЕТЛАНА НИКОЛАЕВНА</t>
  </si>
  <si>
    <t>ООО АВТОЛЮКС</t>
  </si>
  <si>
    <t>357361, СТАВРОПОЛЬСКИЙ КРАЙ, Г ПЯТИГОРСК, Ш ЧЕРКЕССКОЕ, Д. 45А</t>
  </si>
  <si>
    <t>ООО СОВТРАНСАВТО-МИНВОДЫ</t>
  </si>
  <si>
    <t>357210, РОССИЯ, СТАВРОПОЛЬСКИЙ КРАЙ, М.О. МИНЕРАЛОВОДСКИЙ, Г МИНЕРАЛЬНЫЕ ВОДЫ, УЛ 1-Я ПРОМЫШЛЕННАЯ, ЗД. 29</t>
  </si>
  <si>
    <t>ИП МУРЫГИН КОНСТАНТИН ОЛЕГОВИЧ</t>
  </si>
  <si>
    <t>ИП ДМИТРИЕВА ЮЛИЯ ВИКТОРОВНА</t>
  </si>
  <si>
    <t>ИП КРУПА ВЛАДИМИР НИКОЛАЕВИЧ</t>
  </si>
  <si>
    <t>ИП ДРАГИЛЕВА ЛАРИСА ВИКТОРОВНА</t>
  </si>
  <si>
    <t>ООО ТОПДИЗЕЛЬ</t>
  </si>
  <si>
    <t>357112, СТАВРОПОЛЬСКИЙ КРАЙ, Г НЕВИННОМЫССК, УЛ МЕНДЕЛЕЕВА, Д. 66 А</t>
  </si>
  <si>
    <t>ООО ТОПДИЗЕЛЬ СЕРВИС</t>
  </si>
  <si>
    <t>357118, РОССИЯ, СТАВРОПОЛЬСКИЙ КРАЙ, Г.О. ГОРОД НЕВИННОМЫССК, Г НЕВИННОМЫССК, УЛ 3 ИНТЕРНАЦИОНАЛА, Д. 5, КВ. 80</t>
  </si>
  <si>
    <t>ООО ЕВРОМОТО</t>
  </si>
  <si>
    <t>357112, РОССИЯ, СТАВРОПОЛЬСКИЙ КРАЙ, Г.О. ГОРОД НЕВИННОМЫССК, Г НЕВИННОМЫССК, УЛ ЭНЕРГЕТИКОВ, СТР. 3, К. 1</t>
  </si>
  <si>
    <t>ООО МСИ-ТРАКС</t>
  </si>
  <si>
    <t>357114, РОССИЯ, СТАВРОПОЛЬСКИЙ КРАЙ, Г.О. ГОРОД НЕВИННОМЫССК, Г НЕВИННОМЫССК, Ш ПЯТИГОРСКОЕ, Д. 9/2</t>
  </si>
  <si>
    <t>ИП ТКАЧЕВ АЛЕКСАНДР ВАЛЕРЬЕВИЧ</t>
  </si>
  <si>
    <t>ИП КУПРАВА СЕРГЕЙ МУРМАНИЕВИЧ</t>
  </si>
  <si>
    <t>ИП СПИРИДОНИДИ ТАТЬЯНА ВЛАДИМИРОВНА</t>
  </si>
  <si>
    <t>ИП МАЛОФЕЕВ ЕВГЕНИЙ ВЛАДИМИРОВИЧ</t>
  </si>
  <si>
    <t>ИП ЗАГИЛОВА ИРИНА АЛЕКСЕЕВНА</t>
  </si>
  <si>
    <t>ИП СТРОЕВ АНАТОЛИЙ ВЛАДИМИРОВИЧ</t>
  </si>
  <si>
    <t>ООО ЮГ ПРИНФОРМ-СЕРВИС</t>
  </si>
  <si>
    <t>357500, СТАВРОПОЛЬСКИЙ КРАЙ, Г ПЯТИГОРСК, Ш БЕШТАУГОРСКОЕ, Д. 15 Б, ПОМЕЩ. 2</t>
  </si>
  <si>
    <t>ООО БОН АВТО</t>
  </si>
  <si>
    <t>357204, СТАВРОПОЛЬСКИЙ КРАЙ, Р-Н МИНЕРАЛОВОДСКИЙ, КМ 347-ОЙ (АВТОДОРОГА Р-217 КАВКАЗ ТЕР.), ЗД. 1, СТР. 3</t>
  </si>
  <si>
    <t>ИП МИКИТАСЬ ВЛАДИСЛАВ ВАЛЕРИЕВИЧ</t>
  </si>
  <si>
    <t>ИП БОГДАНОВА ЕЛЕНА ВАЛЕРЬЕВНА</t>
  </si>
  <si>
    <t>ИП УШАКОВА ЮЛИЯ ГЕННАДЬЕВНА</t>
  </si>
  <si>
    <t>ИП Столяров Вячеслав Алексеевич</t>
  </si>
  <si>
    <t>ИП ВОЙЦЕХОВСКИЙ ОЛЕГ ЛЕОНИДОВИЧ</t>
  </si>
  <si>
    <t>ИП ХОЛОДНОВА АЛЁНА АЛЕКСЕЕВНА</t>
  </si>
  <si>
    <t>ИП МАГОМЕДОВ ШАМИЛЬ АСАЕВИЧ</t>
  </si>
  <si>
    <t>ООО ТОИР</t>
  </si>
  <si>
    <t>357210, РОССИЯ, СТАВРОПОЛЬСКИЙ КРАЙ, М.О. МИНЕРАЛОВОДСКИЙ, Г МИНЕРАЛЬНЫЕ ВОДЫ, УЛ СОВЕТСКАЯ, ЗД. 10А, К. 1</t>
  </si>
  <si>
    <t>ИП КСЕНАДОХОВА ОЛЬГА ВЕНЯМИНОВНА</t>
  </si>
  <si>
    <t>ИП ДЕРКАЧ СЕРГЕЙ ИВАНОВИЧ</t>
  </si>
  <si>
    <t>ИП ШОМАХОВ ПАВЕЛ ВАСИЛЬЕВИЧ</t>
  </si>
  <si>
    <t>ИП ЖИРОВ ВАСИЛИЙ ВАСИЛЬЕВИЧ</t>
  </si>
  <si>
    <t>ООО ТОРГСЕРВИС 26</t>
  </si>
  <si>
    <t>355029, СТАВРОПОЛЬСКИЙ КРАЙ, Г СТАВРОПОЛЬ, УЛ МИРА, Д. 460/3</t>
  </si>
  <si>
    <t>ООО ЭКОЮГ</t>
  </si>
  <si>
    <t>355035, СТАВРОПОЛЬСКИЙ КРАЙ, Г СТАВРОПОЛЬ, УЛ ЛЕНИНА, Д. 392, ПОМЕЩ. 63</t>
  </si>
  <si>
    <t>ИП СЕРЫХ ВИКТОР ГРИГОРЬЕВИЧ</t>
  </si>
  <si>
    <t>ИП МАЦАК ВЯЧЕСЛАВ АЛЕКСАНДРОВИЧ</t>
  </si>
  <si>
    <t>ИП ВЕРДИЯН АРТАШЕС НИКОЛАЕВИЧ</t>
  </si>
  <si>
    <t>ИП КИРИЛЛОВ ЕВГЕНИЙ АНАТОЛЬЕВИЧ</t>
  </si>
  <si>
    <t>ИП БУСЫГИНА ЕЛЕНА НИКОЛАЕВНА</t>
  </si>
  <si>
    <t>ИП МАРКАРЯН ОКСАНА СЕЙРАНОВНА</t>
  </si>
  <si>
    <t>ИП ШИРОБОКОВ АЛЕКСЕЙ ЮРЬЕВИЧ</t>
  </si>
  <si>
    <t>ООО АВТОЮГ-СТАВРОПОЛЬ</t>
  </si>
  <si>
    <t>355032, РОССИЯ, СТАВРОПОЛЬСКИЙ КРАЙ, Г.О. ГОРОД СТАВРОПОЛЬ, Г СТАВРОПОЛЬ, УЛ ЗАПАДНЫЙ ОБХОД, Д. 70</t>
  </si>
  <si>
    <t>ООО НАВИГАТОР ПЛЮС</t>
  </si>
  <si>
    <t>355035, СТАВРОПОЛЬСКИЙ КРАЙ, Г СТАВРОПОЛЬ, Ш СТАРОМАРЬЕВСКОЕ, Д. 21</t>
  </si>
  <si>
    <t>355035, СТАВРОПОЛЬСКИЙ КРАЙ, Г СТАВРОПОЛЬ, Ш СТАРОМАРЬЕВСКОЕ, Д. 8В</t>
  </si>
  <si>
    <t>ИП ЦАНДЕКИДИС ЯНИС ВЛАДИМИРОВИЧ</t>
  </si>
  <si>
    <t>ИП САРКИСЯН САРКИС ЕНОКОВИЧ</t>
  </si>
  <si>
    <t>ИП КОРОТКОВ ЕВГЕНИЙ СЕРГЕЕВИЧ</t>
  </si>
  <si>
    <t>ООО ФИРМА ДВАРИС</t>
  </si>
  <si>
    <t>355014, СТАВРОПОЛЬСКИЙ КРАЙ, Г СТАВРОПОЛЬ, УЛ ЮЖНЫЙ ОБХОД, Д. 9</t>
  </si>
  <si>
    <t>ИП АСРИЯН СВЕТЛАНА ВАЛЕРИЕВНА</t>
  </si>
  <si>
    <t>ООО СТАВРОПОЛЬ-АВТО</t>
  </si>
  <si>
    <t>355035, СТАВРОПОЛЬСКИЙ КРАЙ, Г СТАВРОПОЛЬ, ПР-КТ КУЛАКОВА, Д. 32</t>
  </si>
  <si>
    <t>ООО ТУРБИНА</t>
  </si>
  <si>
    <t>355035, РОССИЯ, СТАВРОПОЛЬСКИЙ КРАЙ, Г.О. ГОРОД СТАВРОПОЛЬ, Г СТАВРОПОЛЬ, Ш СТАРОМАРЬЕВСКОЕ, Д. 16, ПОМЕЩ. 5</t>
  </si>
  <si>
    <t>АО КПК СТАВРОПОЛЬСТРОЙОПТОРГ</t>
  </si>
  <si>
    <t>356236, СТАВРОПОЛЬСКИЙ КРАЙ, Р-Н ШПАКОВСКИЙ, С ВЕРХНЕРУССКОЕ, ЗЗД ТУПИКОВЫЙ, Д. 4</t>
  </si>
  <si>
    <t>ИП КОЗЛОВА НАТАЛЬЯ ВЛАДИМИРОВНА</t>
  </si>
  <si>
    <t>ИП ГАГИН ГЕННАДИЙ ФЕДОРОВИЧ</t>
  </si>
  <si>
    <t>ИП КОРОЛЕВ СЕРГЕЙ ВИКТОРОВИЧ</t>
  </si>
  <si>
    <t>ООО КОНТИНЕНТАЛЬ</t>
  </si>
  <si>
    <t>355042, СТАВРОПОЛЬСКИЙ КРАЙ, Г СТАВРОПОЛЬ, УЛ ДОВАТОРЦЕВ, Д. 47Б</t>
  </si>
  <si>
    <t>ООО ДВАРИС МОТОРС</t>
  </si>
  <si>
    <t>355030, СТАВРОПОЛЬСКИЙ КРАЙ, Г СТАВРОПОЛЬ, УЛ ЮЖНЫЙ ОБХОД, Д. 27</t>
  </si>
  <si>
    <t>ИП МАЦАК АНАТОЛИЙ АЛЕКСАНДРОВИЧ</t>
  </si>
  <si>
    <t>ИП ТАНЦАРОВА АННА ВЛАДИМИРОВНА</t>
  </si>
  <si>
    <t>ИП БАДЫРБЕКОВА АЛИНА СЕРГЕЕВНА</t>
  </si>
  <si>
    <t>ИП БУРЦЕВ ИЛЬЯ СЕРГЕЕВИЧ</t>
  </si>
  <si>
    <t>ООО  ДИЗЕЛЬ ПЛЮС</t>
  </si>
  <si>
    <t>355014, СТАВРОПОЛЬСКИЙ КРАЙ, Г СТАВРОПОЛЬ, УЛ ЮЖНЫЙ ОБХОД, Д. 1Е</t>
  </si>
  <si>
    <t>ИП МАЦАК РОДИОН АНАТОЛЬЕВИЧ</t>
  </si>
  <si>
    <t>355003, СТАВРОПОЛЬСКИЙ КРАЙ, Г СТАВРОПОЛЬ, УЛ М.МОРОЗОВА, Д. 66, КВ. 39</t>
  </si>
  <si>
    <t>355035, СТАВРОПОЛЬСКИЙ КРАЙ, Г СТАВРОПОЛЬ, УЛ 1 ПРОМЫШЛЕННАЯ, Д. 13, ОФИС 8</t>
  </si>
  <si>
    <t>ООО СИНДИКАОЙЛ</t>
  </si>
  <si>
    <t>355042, СТАВРОПОЛЬСКИЙ КРАЙ, Г СТАВРОПОЛЬ, УЛ ДОВАТОРЦЕВ, Д. 47Б, ПОМЕЩ. 57</t>
  </si>
  <si>
    <t>ООО АВТОЮГ ПЯТИГОРСК</t>
  </si>
  <si>
    <t>355042, СТАВРОПОЛЬСКИЙ КРАЙ, Г СТАВРОПОЛЬ, УЛ ДОВАТОРЦЕВ, Д. 62</t>
  </si>
  <si>
    <t>ООО КАВВАЗИНТЕРСЕРВИС</t>
  </si>
  <si>
    <t>355042, РОССИЯ, СТАВРОПОЛЬСКИЙ КРАЙ, Г.О. ГОРОД СТАВРОПОЛЬ, Г СТАВРОПОЛЬ, УЛ ДОВАТОРЦЕВ, Д. 62</t>
  </si>
  <si>
    <t>ООО АВТОЮГ ПЯТИГОРСК-1</t>
  </si>
  <si>
    <t>355047, РОССИЯ, СТАВРОПОЛЬСКИЙ КРАЙ, Г.О. ГОРОД СТАВРОПОЛЬ, Г СТАВРОПОЛЬ, УЛ ОКТЯБРЬСКАЯ, Д. 204</t>
  </si>
  <si>
    <t>ООО АВТОЮГ СТАВРОПОЛЬ</t>
  </si>
  <si>
    <t>ООО С-ДРАЙВ</t>
  </si>
  <si>
    <t>355035, РОССИЯ, СТАВРОПОЛЬСКИЙ КРАЙ, Г.О. ГОРОД СТАВРОПОЛЬ, Г СТАВРОПОЛЬ, ПР-КТ КУЛАКОВА, Д. 32</t>
  </si>
  <si>
    <t>ООО ЦПАМ - ГРАНТ</t>
  </si>
  <si>
    <t>355014, РОССИЯ, СТАВРОПОЛЬСКИЙ КРАЙ, Г.О. ГОРОД СТАВРОПОЛЬ, Г СТАВРОПОЛЬ, УЛ ДОВАТОРЦЕВ, Д. 90, ПОМЕЩ. 3</t>
  </si>
  <si>
    <t>ООО АГРОВИС</t>
  </si>
  <si>
    <t>355027, РОССИЯ, СТАВРОПОЛЬСКИЙ КРАЙ, Г.О. ГОРОД СТАВРОПОЛЬ, Г СТАВРОПОЛЬ, УЛ ПОЛЕВОДЧЕСКАЯ, Д. 1, К. 4, КВ. 32</t>
  </si>
  <si>
    <t>ООО АВТОБАЗА26</t>
  </si>
  <si>
    <t>355014, РОССИЯ, СТАВРОПОЛЬСКИЙ КРАЙ, Г.О. ГОРОД СТАВРОПОЛЬ, Г СТАВРОПОЛЬ, УЛ ДОВАТОРЦЕВ, Д. 86</t>
  </si>
  <si>
    <t>ООО АГРОВОЛЬТАЖ</t>
  </si>
  <si>
    <t>355011, РОССИЯ, СТАВРОПОЛЬСКИЙ КРАЙ, Г.О. ГОРОД СТАВРОПОЛЬ, Г СТАВРОПОЛЬ, УЛ ПИРОГОВА, Д. 72, КВ. 107</t>
  </si>
  <si>
    <t>ООО АБС ИНТЕРНЭШНЛ</t>
  </si>
  <si>
    <t>ООО ЮГТЕХАГРО</t>
  </si>
  <si>
    <t>355035, СТАВРОПОЛЬСКИЙ КРАЙ, Г СТАВРОПОЛЬ, ПР-КТ КУЛАКОВА, Д. 9В</t>
  </si>
  <si>
    <t>ИП КАРАПЕТЯН АМБАРЦУМ СЕРГЕЕВИЧ</t>
  </si>
  <si>
    <t>ООО МАШСТРОЙИНСТРУМЕНТ</t>
  </si>
  <si>
    <t>АО НК РОСНЕФТЬ-СТАВРОПОЛЬЕ</t>
  </si>
  <si>
    <t>355037, СТАВРОПОЛЬСКИЙ КРАЙ, Г СТАВРОПОЛЬ, УЛ ДОВАТОРЦЕВ, Д. 30Б, ПОМЕЩЕНИЯ 380-427</t>
  </si>
  <si>
    <t>ИП БОРОВСКИХ МИХАИЛ СЕРГЕЕВИЧ</t>
  </si>
  <si>
    <t>ООО РУСГАЗ</t>
  </si>
  <si>
    <t>355037, СТАВРОПОЛЬСКИЙ КРАЙ, Г.О. ГОРОД СТАВРОПОЛЬ, Г СТАВРОПОЛЬ, УЛ ДОВАТОРЦЕВ, Д. 30А</t>
  </si>
  <si>
    <t>ИП КРАВЧЕНКО АЛЕКСАНДР АЛЕКСАНДРОВИЧ</t>
  </si>
  <si>
    <t>ООО ПАЛЬМА</t>
  </si>
  <si>
    <t>ИП ГАЙНУЛЛИН ЭДУАРД ФАРИТОВИЧ</t>
  </si>
  <si>
    <t>ИП САМАРИЧ ДЕНИС БОРИСОВИЧ</t>
  </si>
  <si>
    <t>ООО КРОНАС</t>
  </si>
  <si>
    <t>355035, СТАВРОПОЛЬСКИЙ КРАЙ, Г СТАВРОПОЛЬ, УЛ 5 ПРОМЫШЛЕННАЯ, Д. 9</t>
  </si>
  <si>
    <t>ИП ЗАЗДРАВНЫХ АЛЕКСЕЙ ЮРЬЕВИЧ</t>
  </si>
  <si>
    <t>ООО АГРОСЕРВИСЮГ</t>
  </si>
  <si>
    <t>ООО АГРО-МАСТЕР СТАВРОПОЛЬЕ</t>
  </si>
  <si>
    <t>355035, СТАВРОПОЛЬСКИЙ КРАЙ, Г.О. ГОРОД СТАВРОПОЛЬ, Г СТАВРОПОЛЬ, УЛ 7 ПРОМЫШЛЕННАЯ, Д. 3</t>
  </si>
  <si>
    <t>ОООСМ-ТЕХНИКА</t>
  </si>
  <si>
    <t>355014, СТАВРОПОЛЬСКИЙ КРАЙ, Г СТАВРОПОЛЬ, ПР-Д 1 ПАРАЛЛЕЛЬНЫЙ, Д. 8, ОФИС 3</t>
  </si>
  <si>
    <t>ООО ТД СТАВТЕХАГРО</t>
  </si>
  <si>
    <t>355008, СТАВРОПОЛЬСКИЙ КРАЙ, Г СТАВРОПОЛЬ, УЛ СЕЛЕКЦИОННАЯ, Д. 13/1, ОФИС 5</t>
  </si>
  <si>
    <t>ООО ПРОФСНАБСЕРВИС</t>
  </si>
  <si>
    <t>355035, СТАВРОПОЛЬСКИЙ КРАЙ, Г СТАВРОПОЛЬ, ПР-КТ КУЛАКОВА, Д. 8Б, ОФИС 418</t>
  </si>
  <si>
    <t>ООО АСП</t>
  </si>
  <si>
    <t>355014, РОССИЯ, СТАВРОПОЛЬСКИЙ КРАЙ, Г.О. ГОРОД СТАВРОПОЛЬ, Г СТАВРОПОЛЬ, ТЕР. СНТ АГРАРНИК, Д. 482</t>
  </si>
  <si>
    <t>ООО АГРОПАРТНЕРЫ</t>
  </si>
  <si>
    <t>355035, РОССИЯ, СТАВРОПОЛЬСКИЙ КРАЙ, Г.О. ГОРОД СТАВРОПОЛЬ, Г СТАВРОПОЛЬ, УЛ СЕВЕРНЫЙ ОБХОД, Д. 11</t>
  </si>
  <si>
    <t>ООО ГАСТРОНОМЧИК-КМВ</t>
  </si>
  <si>
    <t>357601, СТАВРОПОЛЬСКИЙ КРАЙ, Г ЕССЕНТУКИ, УЛ ПЯТИГОРСКАЯ, Д.61</t>
  </si>
  <si>
    <t>ИП Черепанов Владислав Юрьевич</t>
  </si>
  <si>
    <t>ИП Фейзуллаева Марина Сабировна</t>
  </si>
  <si>
    <t>ИП САЖИН ВАСИЛИЙ ВЛАДИМИРОВИЧ</t>
  </si>
  <si>
    <t>ООО НИКА</t>
  </si>
  <si>
    <t>355035, СТАВРОПОЛЬСКИЙ КРАЙ, Г.О. ГОРОД СТАВРОПОЛЬ, Г СТАВРОПОЛЬ, ПР-КТ КУЛАКОВА, Д. 13И</t>
  </si>
  <si>
    <t>ООО КМ-МОТОРС</t>
  </si>
  <si>
    <t>355035, РОССИЯ, СТАВРОПОЛЬСКИЙ КРАЙ, Г.О. ГОРОД СТАВРОПОЛЬ, Г СТАВРОПОЛЬ, Ш СТАРОМАРЬЕВСКОЕ, Д. 42</t>
  </si>
  <si>
    <t>ИП АСЛАНОВ ГЕОРГИЙ АХИЛЛЕСОВИЧ</t>
  </si>
  <si>
    <t>ИП КЯЛЯШЕВ ГЕОРГИЙ ПАВЛОВИЧ</t>
  </si>
  <si>
    <t>ООО СТАВРОПОЛЬ АВТОЮГ</t>
  </si>
  <si>
    <t>ООО А2</t>
  </si>
  <si>
    <t>355035, РОССИЯ, СТАВРОПОЛЬСКИЙ КРАЙ, Г.О. ГОРОД СТАВРОПОЛЬ, Г СТАВРОПОЛЬ, УЛ ЛЕНИНА, Д. 392, ОФИС 522</t>
  </si>
  <si>
    <t>ЗАО АПК СТАВХОЛДИНГ</t>
  </si>
  <si>
    <t>355008, СТАВРОПОЛЬСКИЙ КРАЙ, Г СТАВРОПОЛЬ, УЛ ЗАВОДСКАЯ, Д. 13</t>
  </si>
  <si>
    <t>ООО АВТОПРЕСТИЖ-ЛАДА</t>
  </si>
  <si>
    <t>355001, РОССИЯ, СТАВРОПОЛЬСКИЙ КРАЙ, Г.О. ГОРОД СТАВРОПОЛЬ, Г СТАВРОПОЛЬ, ПР-КТ КУЛАКОВА, Д. 39, ОФИС 21</t>
  </si>
  <si>
    <t>ИП РЫЧКОВ НИКОЛАЙ АЛЕКСЕЕВИЧ</t>
  </si>
  <si>
    <t>ИП ФАТНЕВА КАРИНА СЕРГЕЕВНА</t>
  </si>
  <si>
    <t>ИП КОРЕНЕВ АЛЕКСАНДР ГЕОРГИЕВИЧ</t>
  </si>
  <si>
    <t>ООО АВТОПРЕСТИЖ-ПОЛЮС</t>
  </si>
  <si>
    <t>355001, РОССИЯ, СТАВРОПОЛЬСКИЙ КРАЙ, Г.О. ГОРОД СТАВРОПОЛЬ, Г СТАВРОПОЛЬ, ПР-КТ КУЛАКОВА, Д. 39</t>
  </si>
  <si>
    <t>ИП ШАНЬШИН АЛЕКСАНДР ИВАНОВИЧ</t>
  </si>
  <si>
    <t>ИП СУЛЕЙМАНЯН ВАЛЕРИЙ ВЛАДИМИРОВИЧ</t>
  </si>
  <si>
    <t>ИП КАЛИНИНА НАДЕЖДА АЛЕКСАНДРОВНА</t>
  </si>
  <si>
    <t>Хабаровский край</t>
  </si>
  <si>
    <t>ИП ЧЕРНЯВСКИЙ ОЛЕГ МАКСИМОВИЧ</t>
  </si>
  <si>
    <t>ООО ГРИН ТАЙМ ВОСТОК</t>
  </si>
  <si>
    <t>680015, ХАБАРОВСКИЙ КРАЙ, Г ХАБАРОВСК, УЛ ХАЛТУРИНА, Д.1 Б</t>
  </si>
  <si>
    <t>ООО ЭГО</t>
  </si>
  <si>
    <t>РОССИЯ, ХАБАРОВСКИЙ КРАЙ, М.Р-Н ХАБАРОВСКИЙ, С ОСИНОВАЯ РЕЧКА, С.П. ОСИНОВОРЕЧЕНСКОЕ, ТЕР. СНТ ЛИДЕР, УЛ СОЮЗНАЯ, Д. 5</t>
  </si>
  <si>
    <t>ООО МАРКЕТДВ</t>
  </si>
  <si>
    <t>680015, РОССИЯ, ХАБАРОВСКИЙ КРАЙ, Г.О. ГОРОД ХАБАРОВСК, Г ХАБАРОВСК, УЛ СИДОРЕНКО, Д. 7</t>
  </si>
  <si>
    <t>ООО АРТШИНА ДВ</t>
  </si>
  <si>
    <t>680045, РОССИЯ, ХАБАРОВСКИЙ КРАЙ, Г.О. ГОРОД ХАБАРОВСК, Г ХАБАРОВСК, УЛ КРАСНОРЕЧЕНСКАЯ, Д. 181А, КВ. 95</t>
  </si>
  <si>
    <t>ООО АМУРАВТОДИЗЕЛЬ</t>
  </si>
  <si>
    <t>682860, ХАБАРОВСКИЙ КРАЙ, Р-Н ВАНИНСКИЙ, РП ВАНИНО, УЛ ПОРТОВАЯ, Д.1, 1</t>
  </si>
  <si>
    <t>ООО МИР АВТО</t>
  </si>
  <si>
    <t>681000, ХАБАРОВСКИЙ КРАЙ, Г КОМСОМОЛЬСК-НА-АМУРЕ, УЛ АЛЛЕЯ ТРУДА, Д.38, 71</t>
  </si>
  <si>
    <t>ИП ПУДОВ СЕРГЕЙ ИВАНОВИЧ</t>
  </si>
  <si>
    <t>ИП БИРЮКОВА ЛЕТТА ВИКТОРОВНА</t>
  </si>
  <si>
    <t>ИП ПАРАХОНЬКО ОЛЕСЯ АЛЕКСАНДРОВНА</t>
  </si>
  <si>
    <t>ИП Семенюк Олег Николаевич</t>
  </si>
  <si>
    <t>ИП МАЙЫЛЗАДЕ ИЛЬХАМ МАГАММЕД ОГЛЫ</t>
  </si>
  <si>
    <t>ИП КУХАРЧУК ТИМОФЕЙ ПАВЛОВИЧ</t>
  </si>
  <si>
    <t>ИП КЛЮШМИН АЛЕКСАНДР ЯНОВИЧ</t>
  </si>
  <si>
    <t>ИП ДЬЯЧЕНКО АНДРЕЙ АНАТОЛЬЕВИЧ</t>
  </si>
  <si>
    <t>ООО ВШК</t>
  </si>
  <si>
    <t>682860, ХАБАРОВСКИЙ КРАЙ, Р-Н ВАНИНСКИЙ, РП ВАНИНО, УЛ ЦЕНТРАЛЬНАЯ, Д. 1, ОФИС 5</t>
  </si>
  <si>
    <t>ИП МОНАХОВА ТАТЬЯНА ВАСИЛЬЕВНА</t>
  </si>
  <si>
    <t>ИП ВАСИЛЕНКО СЕРГЕЙ СЕРГЕЕВИЧ</t>
  </si>
  <si>
    <t>ООО НОВОТРЕЙД</t>
  </si>
  <si>
    <t>681000, РОССИЯ, ХАБАРОВСКИЙ КРАЙ, Г.О. ГОРОД КОМСОМОЛЬСК-НА-АМУРЕ, Г КОМСОМОЛЬСК-НА-АМУРЕ, УЛ ПИОНЕРСКАЯ, Д. 59, КВ. 26</t>
  </si>
  <si>
    <t>ООО РЕДАНЕКС</t>
  </si>
  <si>
    <t>680007, РОССИЯ, ХАБАРОВСКИЙ КРАЙ, Г.О. ГОРОД ХАБАРОВСК, Г ХАБАРОВСК, УЛ РАДИЩЕВА, Д. 8Е</t>
  </si>
  <si>
    <t>ООО ТЕХИМПОРТ</t>
  </si>
  <si>
    <t>680011, РОССИЯ, ХАБАРОВСКИЙ КРАЙ, Г.О. ГОРОД ХАБАРОВСК, Г ХАБАРОВСК, УЛ ДЖАМБУЛА, Д. 49</t>
  </si>
  <si>
    <t>ООО ТЮР</t>
  </si>
  <si>
    <t>680038, РОССИЯ, ХАБАРОВСКИЙ КРАЙ, Г.О. ГОРОД ХАБАРОВСК, Г ХАБАРОВСК, УЛ ЗНАМЕНЩИКОВА, Д. 11А</t>
  </si>
  <si>
    <t>681017, ХАБАРОВСКИЙ КРАЙ, Г КОМСОМОЛЬСК-НА-АМУРЕ, УЛ ДЗЕРЖИНСКОГО, Д. 17</t>
  </si>
  <si>
    <t>ИП ВОРОБЬЕВ ЕВГЕНИЙ ВЛАДИМИРОВИЧ</t>
  </si>
  <si>
    <t>ИП ВЛАСОВ ВАЛЕНТИН ВАДИМОВИЧ</t>
  </si>
  <si>
    <t>ИП Коваленко Тамара Архиповна</t>
  </si>
  <si>
    <t>ИП СУХОДОЕВ ПАВЕЛ ВЛАДИМИРОВИЧ</t>
  </si>
  <si>
    <t>ООО ТРИО-ГРУПП</t>
  </si>
  <si>
    <t>682813, ХАБАРОВСКИЙ КРАЙ, Г СОВЕТСКАЯ ГАВАНЬ, УЛ ГОНЧАРОВА, Д.12, 60</t>
  </si>
  <si>
    <t>ИП ЛИСОВСКАЯ ЛЮДМИЛА ГЕННАДЬЕВНА</t>
  </si>
  <si>
    <t>ИП СЕРБИНА КСЕНИЯ АЛЕКСАНДРОВНА</t>
  </si>
  <si>
    <t>ИП ТЕРЕЩЕНКО ОЛЬГА ВАСИЛЬЕВНА</t>
  </si>
  <si>
    <t>ИП СВИНАРЁВ ПАВЕЛ АЛЕКСАНДРОВИЧ</t>
  </si>
  <si>
    <t>ИП АНДРИАНОВА ЭЛЛИНА АЛЕКСАНДРОВНА</t>
  </si>
  <si>
    <t>ИП СЫРЬЕВ ИГОРЬ ВИКТОРОВИЧ</t>
  </si>
  <si>
    <t>ООО АДМИРАЛ ХАБАРОВСК</t>
  </si>
  <si>
    <t>680006, РОССИЯ, ХАБАРОВСКИЙ КРАЙ, Г.О. ГОРОД ХАБАРОВСК, Г ХАБАРОВСК, УЛ УРИЦКОГО, Д. 21, ОФИС 41</t>
  </si>
  <si>
    <t>ООО ПАРТССНАБ-ДВ</t>
  </si>
  <si>
    <t>РОССИЯ, ХАБАРОВСКИЙ КРАЙ, Г.О. ГОРОД ХАБАРОВСК, Г ХАБАРОВСК, УЛ ПРОМЫШЛЕННАЯ, Д. 20Г</t>
  </si>
  <si>
    <t>ООО ЗТ</t>
  </si>
  <si>
    <t>680021, РОССИЯ, ХАБАРОВСКИЙ КРАЙ, Г.О. ГОРОД ХАБАРОВСК, Г ХАБАРОВСК, УЛ ВЛАДИВОСТОКСКАЯ, Д. 44, КВ. 25</t>
  </si>
  <si>
    <t>ООО АВАНГАРД</t>
  </si>
  <si>
    <t>680022, РОССИЯ, ХАБАРОВСКИЙ КРАЙ, Г.О. ГОРОД ХАБАРОВСК, Г ХАБАРОВСК, УЛ БОЛЬШАЯ, Д. 99, КВ. 92</t>
  </si>
  <si>
    <t>ООО КОЛЕСО</t>
  </si>
  <si>
    <t>680001, РОССИЯ, ХАБАРОВСКИЙ КРАЙ, Г.О. ГОРОД ХАБАРОВСК, Г ХАБАРОВСК, УЛ АРТЕМОВСКАЯ, Д. 83, КВ. 133</t>
  </si>
  <si>
    <t>АО ДАЛЬТИМБЕРМАШ</t>
  </si>
  <si>
    <t>680052, ХАБАРОВСКИЙ КРАЙ, Г ХАБАРОВСК, УЛ ГОРЬКОГО, Д.61, К.А</t>
  </si>
  <si>
    <t>ИП ТАРЛЫГА ОЛЕГ АЛЕКСАНДРОВИЧ</t>
  </si>
  <si>
    <t>ИП ВАСЕНКО ВЯЧЕСЛАВ ОЛЕГОВИЧ</t>
  </si>
  <si>
    <t>ИП ХОВБОЩЕНКО ДЕНИС ВЛАДИМИРОВИЧ</t>
  </si>
  <si>
    <t>ИП ПУТИЛИН ВИТАЛИЙ РАДИЕВИЧ</t>
  </si>
  <si>
    <t>ИП КУХАРЧУК МАРИЯ СЕРГЕЕВНА</t>
  </si>
  <si>
    <t>ИП БЕЛКАНОВ МАКСИМ ЮРЬЕВИЧ</t>
  </si>
  <si>
    <t>ИП БОЯРИНОВ АЛЕКСАНДР ПАВЛОВИЧ</t>
  </si>
  <si>
    <t>ИП МАТРОСОВА ОЛЬГА АНАТОЛЬЕВНА</t>
  </si>
  <si>
    <t>ИП ТАРАСОВА ДАРЬЯ ВЛАДИМИРОВНА</t>
  </si>
  <si>
    <t>ИП МЕДВЕДЕВ ВАДИМ АНДРЕЕВИЧ</t>
  </si>
  <si>
    <t>682030, ХАБАРОВСКИЙ КРАЙ, Р-Н ВЕРХНЕБУРЕИНСКИЙ, РП ЧЕГДОМЫН, УЛ ЦЕНТРАЛЬНАЯ, Д.50, 42</t>
  </si>
  <si>
    <t>ИП ПАПИНА ЕЛЕНА ВЛАДИМИРОВНА</t>
  </si>
  <si>
    <t>ИП СЕРГЕЕВА ЕКАТЕРИНА ВЛАДИМИРОВНА</t>
  </si>
  <si>
    <t>ИП Кариков Николай Владимирович</t>
  </si>
  <si>
    <t>ИП ЩЕТИНИН МАКСИМ ЮРЬЕВИЧ</t>
  </si>
  <si>
    <t>ООО АЯН</t>
  </si>
  <si>
    <t>682912, ХАБАРОВСКИЙ КРАЙ, Р-Н ИМЕНИ ЛАЗО, С БИЧЕВАЯ, УЛ НАБЕРЕЖНАЯ, Д.3</t>
  </si>
  <si>
    <t>ИП ШЕМЕТОВ ЕВГЕНИЙ ВЛАДИМИРОВИЧ</t>
  </si>
  <si>
    <t>ИП СИДОРОВ ЮРИЙ ЮРЬЕВИЧ</t>
  </si>
  <si>
    <t>ИП РОЖКОВА МАРИНА АЛЕКСАНДРОВНА</t>
  </si>
  <si>
    <t>АО ННК-ХАБАРОВСКНЕФТЕПРОДУКТ</t>
  </si>
  <si>
    <t>680017, ХАБАРОВСКИЙ КРАЙ, Г ХАБАРОВСК, УЛ МУХИНА, Д.22</t>
  </si>
  <si>
    <t>ООО БИЗОН</t>
  </si>
  <si>
    <t>681005, ХАБАРОВСКИЙ КРАЙ, Г КОМСОМОЛЬСК-НА-АМУРЕ, УЛ ПАВЛОВСКОГО, Д. 21</t>
  </si>
  <si>
    <t>ИП КРЫМОВ ДМИТРИЙ ГЕННАДЬЕВИЧ</t>
  </si>
  <si>
    <t>ИП ГАВРИН АНАТОЛИЙ ЛЕОНИДОВИЧ</t>
  </si>
  <si>
    <t>ИП Черепанов Максим Анатольевич</t>
  </si>
  <si>
    <t>ИП СИДЯКИН ЮРИЙ СЕРАФИМОВИЧ</t>
  </si>
  <si>
    <t>ООО ДИВО</t>
  </si>
  <si>
    <t>680015, ХАБАРОВСКИЙ КРАЙ, Г ХАБАРОВСК, УЛ СИДОРЕНКО, Д. 7</t>
  </si>
  <si>
    <t>ИП ПАНОВ ЮРИЙ СЕРГЕЕВИЧ</t>
  </si>
  <si>
    <t>ООО ТЕХКОНСАЛТИНГ</t>
  </si>
  <si>
    <t>680009, ХАБАРОВСКИЙ КРАЙ, Г.О. ГОРОД ХАБАРОВСК, Г ХАБАРОВСК, ПР-КТ 60-ЛЕТИЯ ОКТЯБРЯ, Д. 178А</t>
  </si>
  <si>
    <t>ООО ПРО-АВТОДВ</t>
  </si>
  <si>
    <t>680009, ХАБАРОВСКИЙ КРАЙ, Г ХАБАРОВСК, УЛ ПРОМЫШЛЕННАЯ, Д. 8А</t>
  </si>
  <si>
    <t>ООО МАЙНИНГ РЕСУРС</t>
  </si>
  <si>
    <t>680009, ХАБАРОВСКИЙ КРАЙ, Г ХАБАРОВСК, УЛ СВЕРДЛОВА, Д. 30, КВ. 69</t>
  </si>
  <si>
    <t>ИП КОВАЛЕНКО ДМИТРИЙ ВИКТОРОВИЧ</t>
  </si>
  <si>
    <t>ИП НЕФЁДОВ АЛЕКСАНДР СЕРГЕЕВИЧ</t>
  </si>
  <si>
    <t>ИП ИЛЬИЧЕВА НЕЛЛЯ ТАГИРОВНА</t>
  </si>
  <si>
    <t>ИП ТЕПЛУХИНА НАТАЛЬЯ КОНСТАНТИНОВНА</t>
  </si>
  <si>
    <t>ИП ВОРОБЬЁВ ВЛАДИМИР ВАСИЛЬЕВИЧ</t>
  </si>
  <si>
    <t>ИП Тарнаруцкий Эдуард Эдуардович</t>
  </si>
  <si>
    <t>ИП ГОЛУБЕНКО ВИТАЛИЙ АНАТОЛЬЕВИЧ</t>
  </si>
  <si>
    <t>ИП МЕДВЕДЕВА ЮЛИЯ СЕРГЕЕВНА</t>
  </si>
  <si>
    <t>ИП Ермаков Вячеслав Викторович</t>
  </si>
  <si>
    <t>ООО СЕВ-ТРАНЗИТ</t>
  </si>
  <si>
    <t>680013, ХАБАРОВСКИЙ КРАЙ, Г ХАБАРОВСК, УЛ МУХИНА, Д.7, К.А, 1</t>
  </si>
  <si>
    <t>ООО ИНТЕРТЕХНИКА</t>
  </si>
  <si>
    <t>680007, ХАБАРОВСКИЙ КРАЙ, Г ХАБАРОВСК, УЛ ШЕВЧУКА, Д. 9, ПОМЕЩ. I (2)</t>
  </si>
  <si>
    <t>ООО АТС</t>
  </si>
  <si>
    <t>680012, ХАБАРОВСКИЙ КРАЙ, Г.О. ГОРОД ХАБАРОВСК, Г ХАБАРОВСК, УЛ МОРОЗОВА ПАВЛА ЛЕОНТЬЕВИЧА, Д. 84</t>
  </si>
  <si>
    <t>ИП ШУТОВ РОМАН АНДРЕЕВИЧ</t>
  </si>
  <si>
    <t>ООО ЕВРОТЕХ-ДВ</t>
  </si>
  <si>
    <t>680042, РОССИЯ, ХАБАРОВСКИЙ КРАЙ, Г.О. ГОРОД ХАБАРОВСК, Г ХАБАРОВСК, УЛ ВОРОНЕЖСКАЯ, Д. 127А, ПОМЕЩ. 1</t>
  </si>
  <si>
    <t>ООО АРМАТА</t>
  </si>
  <si>
    <t>680042, ХАБАРОВСКИЙ КРАЙ, Г ХАБАРОВСК, УЛ СИБИРСКАЯ, Д. 6, ОФИС 20,25</t>
  </si>
  <si>
    <t>ИП МАРКОВ АЛЕКСАНДР ГЕННАДЬЕВИЧ</t>
  </si>
  <si>
    <t>ИП ФЕРАПОНТОВ АЛЕКСЕЙ ВИКТОРОВИЧ</t>
  </si>
  <si>
    <t>ИП СВЕЖЕНЦЕВА КАРИНА АЛЕКСАНДРОВНА</t>
  </si>
  <si>
    <t>ИП Тарасенко Юрий Сергеевич</t>
  </si>
  <si>
    <t>ООО МЕТИЗ КОМПЛЕКТ</t>
  </si>
  <si>
    <t>680006, ХАБАРОВСКИЙ КРАЙ, Г ХАБАРОВСК, УЛ ИРТЫШСКАЯ, Д.25</t>
  </si>
  <si>
    <t>ООО76МАГАДАН-ХАБАРОВСК</t>
  </si>
  <si>
    <t>680052, ХАБАРОВСКИЙ КРАЙ, Г ХАБАРОВСК, УЛ ГОРЬКОГО, Д. 59/4</t>
  </si>
  <si>
    <t>ИП ТИХОНОВА ЯНА ВИКТОРОВНА</t>
  </si>
  <si>
    <t>ИП ПЕТРОВА АННА АЛЕКСАНДРОВНА</t>
  </si>
  <si>
    <t>ИП ЦИРУЛЬНИКОВ ДЕНИС ЮРЬЕВИЧ</t>
  </si>
  <si>
    <t>ИП НАУМЕНКО АЛЕКСЕЙ АНДРЕЕВИЧ</t>
  </si>
  <si>
    <t>ИП ЧЕРЕШНЕВ ВИТАЛИЙ АЛЕКСЕЕВИЧ</t>
  </si>
  <si>
    <t>ООО ЛАМАРК-ЦЕНТР</t>
  </si>
  <si>
    <t>680014, ХАБАРОВСКИЙ КРАЙ, Г ХАБАРОВСК, ПР-КТ 60-ЛЕТИЯ ОКТЯБРЯ, Д.170</t>
  </si>
  <si>
    <t>ИП РЫТИКОВ ЕВГЕНИЙ БОРИСОВИЧ</t>
  </si>
  <si>
    <t>ООО ГРАНД - ТЕХНО</t>
  </si>
  <si>
    <t>680042, ХАБАРОВСКИЙ КРАЙ, Г ХАБАРОВСК, УЛ САЛТЫКОВА-ЩЕДРИНА, Д. 1А, ПОМЕЩ. 11-14</t>
  </si>
  <si>
    <t>ООО ГРАНДВИТАСТРОЙ</t>
  </si>
  <si>
    <t>680006, ХАБАРОВСКИЙ КРАЙ, Г ХАБАРОВСК, УЛ ЦЕНТРАЛЬНАЯ, Д. 34, ОФИС 13</t>
  </si>
  <si>
    <t>ООО КОМПЛЕКС-БАР ДВ</t>
  </si>
  <si>
    <t>680022, ХАБАРОВСКИЙ КРАЙ, Г ХАБАРОВСК, УЛ ЛАЗО, Д.3, К.Ж</t>
  </si>
  <si>
    <t>ООО ТЕХНОМАКСИМУМ</t>
  </si>
  <si>
    <t>680012, ХАБАРОВСКИЙ КРАЙ, Г.О. ГОРОД ХАБАРОВСК, Г ХАБАРОВСК, УЛ МОРОЗОВА ПАВЛА ЛЕОНТЬЕВИЧА, Д. 91, КВ. 117</t>
  </si>
  <si>
    <t>ИП ГАЛИЦКИЙ ЕВГЕНИЙ ВИТАЛЬЕВИЧ</t>
  </si>
  <si>
    <t>ООО ГРИНОЙЛ</t>
  </si>
  <si>
    <t>680052, ХАБАРОВСКИЙ КРАЙ, Г ХАБАРОВСК, УЛ ГОРЬКОГО, Д. 61А, ОФИС 4</t>
  </si>
  <si>
    <t>ООО ДМИ СЕРВИС</t>
  </si>
  <si>
    <t>680042, ХАБАРОВСКИЙ КРАЙ, Г ХАБАРОВСК, УЛ ВОРОНЕЖСКАЯ, Д. 140Б</t>
  </si>
  <si>
    <t>ООО АМУРАВТОТОРГ</t>
  </si>
  <si>
    <t>680031, ХАБАРОВСКИЙ КРАЙ, Г ХАБАРОВСК, УЛ САРАТОВСКАЯ, Д. 4, К. А, КВ. 13</t>
  </si>
  <si>
    <t>ООО МАКСДЕТАЛЬ</t>
  </si>
  <si>
    <t>680042, ХАБАРОВСКИЙ КРАЙ, Г.О. ГОРОД ХАБАРОВСК, Г ХАБАРОВСК, УЛ ВОРОНЕЖСКАЯ, Д. 144, ОФИС 1</t>
  </si>
  <si>
    <t>ООО ТЕХНОИНЖЕНЕРИНГ</t>
  </si>
  <si>
    <t>680054, ХАБАРОВСКИЙ КРАЙ, Г ХАБАРОВСК, УЛ УБОРЕВИЧА, Д.42А, 7</t>
  </si>
  <si>
    <t>ИП ЭПОВА ЕЛЕНА ИННОКЕНТЬЕВНА</t>
  </si>
  <si>
    <t>ИП ШЕМЕТОВА ДИНА СЕРГЕЕВНА</t>
  </si>
  <si>
    <t>ИП РЕВА ЕЛЕНА БОРИСОВНА</t>
  </si>
  <si>
    <t>ИП ГОТОВЦЕВ АНАТОЛИЙ АЛЕКСЕЕВИЧ</t>
  </si>
  <si>
    <t>ИП ЗАДОРОЖНЫЙ ДМИТРИЙ ВИКТОРОВИЧ</t>
  </si>
  <si>
    <t>ИП ДЕНИСОВ ДЕНИС ВИКТОРОВИЧ</t>
  </si>
  <si>
    <t>ИП ПЕРМИНОВА РЕГИНА СЕРГЕЕВНА</t>
  </si>
  <si>
    <t>ООО ТРАКСЕРВИС 27</t>
  </si>
  <si>
    <t>680510, ХАБАРОВСКИЙ КРАЙ, Р-Н ХАБАРОВСКИЙ, С ТОПОЛЕВО, УЛ САДОВАЯ, Д. 10, 25</t>
  </si>
  <si>
    <t>ООО ТРАНССЕРВИС</t>
  </si>
  <si>
    <t>680539, ХАБАРОВСКИЙ КРАЙ, Р-Н ХАБАРОВСКИЙ, С ТОПОЛЕВО, УЛ ПРОГРЕССИВНАЯ, Д. 15</t>
  </si>
  <si>
    <t>ИП АБАТИН АЛЕКСЕЙ ПАВЛОВИЧ</t>
  </si>
  <si>
    <t>ИП ПЕТУХОВА НАТАЛЬЯ ВЛАДИМИРОВНА</t>
  </si>
  <si>
    <t>ИП НОВОЖИЛОВ АЛЕКСЕЙ ПАВЛОВИЧ</t>
  </si>
  <si>
    <t>ООО АНКОР-АМУР</t>
  </si>
  <si>
    <t>680014, ХАБАРОВСКИЙ КРАЙ, Г ХАБАРОВСК, ПЕР ГАРАЖНЫЙ, Д. 4, ЛИТЕР З, ОФИС 322</t>
  </si>
  <si>
    <t>ООО СЕРВИС ПЛЮС</t>
  </si>
  <si>
    <t>680021, ХАБАРОВСКИЙ КРАЙ, Г ХАБАРОВСК, УЛ ПАНЬКОВА, Д. 29, КВ. 42</t>
  </si>
  <si>
    <t>ООО АЗИМУТ</t>
  </si>
  <si>
    <t>680006, ХАБАРОВСКИЙ КРАЙ, Г.О. ГОРОД ХАБАРОВСК, Г ХАБАРОВСК, УЛ ИНДУСТРИАЛЬНАЯ, Д. 7, ПОМЕЩ. I (71-79, 108-117)</t>
  </si>
  <si>
    <t>ООО ПОРТ ЭЛЬГА</t>
  </si>
  <si>
    <t>ХАБАРОВСКИЙ КРАЙ, М.Р-Н ТУГУРО-ЧУМИКАНСКИЙ, МЕЖСЕЛ.ТЕРР. МЕЖСЕЛЕННЫЕ ТЕРРИТОРИИ ТУГУРО-ЧУМИКАНСКОГО МУНИЦИПАЛЬНОГО РАЙОНА, ТЕР. ТОР ХАБАРОВСК - ПЛОЩАДКА МАНОРСКИЙ, СТР. 2</t>
  </si>
  <si>
    <t>ИП ГРИНКРУГ ДМИТРИЙ ЛЬВОВИЧ</t>
  </si>
  <si>
    <t>ИП ЛАРИЧ ИГОРЬ ВАСИЛЬЕВИЧ</t>
  </si>
  <si>
    <t>ИП ЛЕБЕДЕВ СЕРГЕЙ АНДРЕЕВИЧ</t>
  </si>
  <si>
    <t>ИП БОРОДИНА ОЛЬГА АЛЕКСАНДРОВНА</t>
  </si>
  <si>
    <t>ООО ДАЛЬМАШИНЕРИ</t>
  </si>
  <si>
    <t>680539, РОССИЯ, ХАБАРОВСКИЙ КРАЙ, М.Р-Н ХАБАРОВСКИЙ, С ТОПОЛЕВО, С.П. ТОПОЛЕВСКОЕ, УЛ ПРОГРЕССИВНАЯ, ЗД. 27</t>
  </si>
  <si>
    <t>ООО СОНИКТРАНС</t>
  </si>
  <si>
    <t>680539, ХАБАРОВСКИЙ КРАЙ, Р-Н ХАБАРОВСКИЙ, С МИРНОЕ, ПЕР СОЛНЕЧНЫЙ, Д. 6, ОФИС 101</t>
  </si>
  <si>
    <t>ИП КАРИКОВ ИВАН МИХАЙЛОВИЧ</t>
  </si>
  <si>
    <t>ИП ПОТАЕНКО ВИКТОР НИКОЛАЕВИЧ</t>
  </si>
  <si>
    <t>ИП ТАМАРИ ЮЛИЯ АЛЕКСАНДРОВНА</t>
  </si>
  <si>
    <t>ИП КИМ ФЕЛИКС КЛИМЕНТИЕВИЧ</t>
  </si>
  <si>
    <t>ИП МАКУХА ДМИТРИЙ ВЯЧЕСЛАВОВИЧ</t>
  </si>
  <si>
    <t>ИП Девятко Артур Владимирович</t>
  </si>
  <si>
    <t>ИП ШЕМЯКИН АНДРЕЙ ВЛАДИМИРОВИЧ</t>
  </si>
  <si>
    <t>ИП ГАЛУЗИН АЛЕКСАНДР СЕРГЕЕВИЧ</t>
  </si>
  <si>
    <t>ЗАО КЦ БИЗНЕС-ГАРАНТ</t>
  </si>
  <si>
    <t>680006, ХАБАРОВСКИЙ КРАЙ, Г ХАБАРОВСК, УЛ ЦЕНТРАЛЬНАЯ, Д. 34, ОФИС 1</t>
  </si>
  <si>
    <t>ИП САЛИН ВАЛЕРИЙ АНАТОЛЬЕВИЧ</t>
  </si>
  <si>
    <t>ООО ЖЕЛЕЗЯКА</t>
  </si>
  <si>
    <t>680007, ХАБАРОВСКИЙ КРАЙ, Г ХАБАРОВСК, ПЕР БАССЕЙНЫЙ, Д. 7</t>
  </si>
  <si>
    <t>ООО РИТЕЙЛСЕРВИС 27</t>
  </si>
  <si>
    <t>680032, ХАБАРОВСКИЙ КРАЙ, Г ХАБАРОВСК, УЛ ЗЕЛЕНАЯ, Д. 3А, ОФИС 104</t>
  </si>
  <si>
    <t>ИП СИМАКОВА ОЛЬГА ВИКТОРОВНА</t>
  </si>
  <si>
    <t>ООО ТРАКМАРКЕТ</t>
  </si>
  <si>
    <t>680003, РОССИЯ, ХАБАРОВСКИЙ КРАЙ, Г.О. ГОРОД ХАБАРОВСК, Г ХАБАРОВСК, УЛ ФУРМАНОВА, Д. 4А, КВ. 10</t>
  </si>
  <si>
    <t>ИП ПОДГАЕЦ АНТОН АЛЕКСАНДРОВИЧ</t>
  </si>
  <si>
    <t>ИП КОРОЛЕВ СЕРГЕЙ ИГОРЕВИЧ</t>
  </si>
  <si>
    <t>ИП ДУНЯМАЛИЕВ АЛИМАГАМЕД ЕНГИБАР ОГЛЫ</t>
  </si>
  <si>
    <t>ИП БОБКОВ АНДРЕЙ ВАСИЛЬЕВИЧ</t>
  </si>
  <si>
    <t>ИП КОЛТАНЮК МАКСИМ АЛЕКСАНДРОВИЧ</t>
  </si>
  <si>
    <t>ИП ВАСИЛЬЕВ АЛЕКСАНДР ЮРЬЕВИЧ</t>
  </si>
  <si>
    <t>ООО ДАЛЬШИНА</t>
  </si>
  <si>
    <t>680014, ХАБАРОВСКИЙ КРАЙ, Г ХАБАРОВСК, УЛ ПРОМЫШЛЕННАЯ, Д.5, ОФИС 28</t>
  </si>
  <si>
    <t>ООО АВТОМИР ДС</t>
  </si>
  <si>
    <t>680042, ХАБАРОВСКИЙ КРАЙ, Г ХАБАРОВСК, УЛ ВОРОНЕЖСКАЯ, Д.81</t>
  </si>
  <si>
    <t>ООО АВТОМАКСИМУМ</t>
  </si>
  <si>
    <t>680032, ХАБАРОВСКИЙ КРАЙ, Г ХАБАРОВСК, ПЕР ПРОИЗВОДСТВЕННЫЙ, Д. 2, ПОМЕЩ. 14</t>
  </si>
  <si>
    <t>ООО ТЕХНОПОЛИС</t>
  </si>
  <si>
    <t>680014, ХАБАРОВСКИЙ КРАЙ, Г ХАБАРОВСК, УЛ ЛЕНСКАЯ, Д.2А, К.Ц</t>
  </si>
  <si>
    <t>ООО ВЕРТОН ГРУПП</t>
  </si>
  <si>
    <t>680015, ХАБАРОВСКИЙ КРАЙ, Г.О. ГОРОД ХАБАРОВСК, Г ХАБАРОВСК, УЛ СУВОРОВА, Д. 73Е, ПОМЕЩ. 2</t>
  </si>
  <si>
    <t>ООО ХОТ-АВТО</t>
  </si>
  <si>
    <t>680001, РОССИЯ, ХАБАРОВСКИЙ КРАЙ, Г.О. ГОРОД ХАБАРОВСК, Г ХАБАРОВСК, УЛ МЕНДЕЛЕЕВА, Д. 1А</t>
  </si>
  <si>
    <t>ИП БАБАЕВА ЕЛЕНА БОРИСОВНА</t>
  </si>
  <si>
    <t>ИП ПУЛИЧЕВ АЛЕКСЕЙ ЛЕОНИДОВИЧ</t>
  </si>
  <si>
    <t>ООО АЛЕКСЛИ-КОМПАНИЯ</t>
  </si>
  <si>
    <t>680022, ХАБАРОВСКИЙ КРАЙ, Г ХАБАРОВСК, УЛ БОЛЬШАЯ, Д.104</t>
  </si>
  <si>
    <t>ИП МАНИК ТАТЬЯНА АЛЕКСАНДРОВНА</t>
  </si>
  <si>
    <t>ИП МИРНОВ АЛЕКСАНДР ЮРЬЕВИЧ</t>
  </si>
  <si>
    <t>ИП СМЕТАННИКОВ НИКОЛАЙ ЮРЬЕВИЧ</t>
  </si>
  <si>
    <t>ИП КУДРЯВЦЕВ МАКСИМ СЕРГЕЕВИЧ</t>
  </si>
  <si>
    <t>ООО СКАТ ДВ</t>
  </si>
  <si>
    <t>680509, ХАБАРОВСКИЙ КРАЙ, Р-Н ХАБАРОВСКИЙ, С ИЛЬИНКА, УЛ СОВХОЗНАЯ, Д. 31В</t>
  </si>
  <si>
    <t>ООО МЕХАНИЗМ-ТРАНС</t>
  </si>
  <si>
    <t>680509, ХАБАРОВСКИЙ КРАЙ, Р-Н ХАБАРОВСКИЙ, С ИЛЬИНКА, ПЕР СОЛНЕЧНЫЙ, Д. 3, ОФИС 1</t>
  </si>
  <si>
    <t>ИП ВЛАСОВА СВЕТЛАНА СЕРГЕЕВНА</t>
  </si>
  <si>
    <t>ИП ГОРДИЕНКО АЛЕКСАНДР ВАЛЕРЬЕВИЧ</t>
  </si>
  <si>
    <t>ООО САКУРА</t>
  </si>
  <si>
    <t>680020, ХАБАРОВСКИЙ КРАЙ, Г ХАБАРОВСК, УЛ БЛЮХЕРА, Д. 14, 20</t>
  </si>
  <si>
    <t>ИП ГУВВА СЕРГЕЙ ВАСИЛЬЕВИЧ</t>
  </si>
  <si>
    <t>ООО ВОСТОККОМПЛЕКТ</t>
  </si>
  <si>
    <t>680000, ХАБАРОВСКИЙ КРАЙ, Г ХАБАРОВСК, Б-Р УССУРИЙСКИЙ, Д.9, К.А, 18</t>
  </si>
  <si>
    <t>ООО ПРАДА</t>
  </si>
  <si>
    <t>680015, ХАБАРОВСКИЙ КРАЙ, Г ХАБАРОВСК, УЛ СУВОРОВА, Д.82</t>
  </si>
  <si>
    <t>ООО ТРАК АВТО.</t>
  </si>
  <si>
    <t>680013, ХАБАРОВСКИЙ КРАЙ, Г ХАБАРОВСК, УЛ ЛЕНИНГРАДСКАЯ, Д.18, К.А</t>
  </si>
  <si>
    <t>ИП ЧЕРНЫХ ПАВЕЛ АЛЕКСЕЕВИЧ</t>
  </si>
  <si>
    <t>ООО ПИОНЕР</t>
  </si>
  <si>
    <t>680539, РОССИЯ, ХАБАРОВСКИЙ КРАЙ, М.Р-Н ХАБАРОВСКИЙ, С МИРНОЕ, С.П. МИРНЕНСКОЕ, УЛ КЛУБНАЯ, Д. 1Ж, ПОМЕЩ. 7</t>
  </si>
  <si>
    <t>ООО АГА-Т</t>
  </si>
  <si>
    <t>680018, ХАБАРОВСКИЙ КРАЙ, Г ХАБАРОВСК, УЛ КАРЕТНАЯ, Д. 33</t>
  </si>
  <si>
    <t>ИП БЫКОВА ЕЛЕНА БОРИСОВНА</t>
  </si>
  <si>
    <t>ООО МАКС ОЙЛ</t>
  </si>
  <si>
    <t>680022, РОССИЯ, ХАБАРОВСКИЙ КРАЙ, Г.О. ГОРОД ХАБАРОВСК, Г ХАБАРОВСК, УЛ ВОРОНЕЖСКАЯ, Д. 47А, ОФИС 1007</t>
  </si>
  <si>
    <t>ООО ДВПАРТС</t>
  </si>
  <si>
    <t>680007, РОССИЯ, ХАБАРОВСКИЙ КРАЙ, Г.О. ГОРОД ХАБАРОВСК, Г ХАБАРОВСК, ПЕР БАССЕЙНЫЙ, Д. 7, ОФИС 4</t>
  </si>
  <si>
    <t>ООО МОРНИНГ СТАР</t>
  </si>
  <si>
    <t>680007, РОССИЯ, ХАБАРОВСКИЙ КРАЙ, Г.О. ГОРОД ХАБАРОВСК, Г ХАБАРОВСК, УЛ ПИОНЕРСКАЯ, Д. 46, КВ. 95</t>
  </si>
  <si>
    <t>ИП ПОЛОРОТОВ ВИТАЛИЙ ВЛАДИМИРОВИЧ</t>
  </si>
  <si>
    <t>ИП ЗАХАРОВА НАТАЛЬЯ ВАЛЕНТИНОВНА</t>
  </si>
  <si>
    <t>ИП КОЛОМИЕЦ РОМАН СТАНИСЛАВОВИЧ</t>
  </si>
  <si>
    <t>ИП ОПЕЙКИН ВАЛЕРИЙ ЕВГЕНЬЕВИЧ</t>
  </si>
  <si>
    <t>ИП АННИНА АЛЁНА СТАНИСЛАВОВНА</t>
  </si>
  <si>
    <t>ИП ПЕРЕВОЗОВА НЕЛЛА АНДРЕЕВНА</t>
  </si>
  <si>
    <t>ООО АВТОАМУР ДВ</t>
  </si>
  <si>
    <t>680022, ХАБАРОВСКИЙ КРАЙ, Г ХАБАРОВСК, УЛ ВОРОНЕЖСКАЯ, Д.142 А</t>
  </si>
  <si>
    <t>ООО ТЕХСЕРВИС-ХАБАРОВСК</t>
  </si>
  <si>
    <t>680032, ХАБАРОВСКИЙ КРАЙ, Г ХАБАРОВСК, ПЕР КАМЫШОВЫЙ, Д. 15</t>
  </si>
  <si>
    <t>ООО ТЕЗА</t>
  </si>
  <si>
    <t>680031, ХАБАРОВСКИЙ КРАЙ, Г ХАБАРОВСК, УЛ ДЕЖНЕВА, Д. 18А, ОФИС 210</t>
  </si>
  <si>
    <t>ООО СТАНДАРТМАШИНЕРИ</t>
  </si>
  <si>
    <t>680022, ХАБАРОВСКИЙ КРАЙ, Г.О. ГОРОД ХАБАРОВСК, Г ХАБАРОВСК, УЛ ГЕРОЕВ ПАССАРОВ, Д. 12/4, КВ. 98</t>
  </si>
  <si>
    <t>ООО ДИК</t>
  </si>
  <si>
    <t>680009, РОССИЯ, ХАБАРОВСКИЙ КРАЙ, Г.О. ГОРОД ХАБАРОВСК, Г ХАБАРОВСК, УЛ ПРОМЫШЛЕННАЯ, Д. 19А, ПОМЕЩ. II (57)</t>
  </si>
  <si>
    <t>ИП МАРТЫНОВ ПАВЕЛ ВИКТОРОВИЧ</t>
  </si>
  <si>
    <t>ИП МАРЧЕНКО ИЛЬЯ НИКОЛАЕВИЧ</t>
  </si>
  <si>
    <t>ИП СОКОЛОВ АЛЕКСЕЙ ОЛЕГОВИЧ</t>
  </si>
  <si>
    <t>ИП АРТЕМЕНКО ЕГОР ВИКТОРОВИЧ</t>
  </si>
  <si>
    <t>ИП КАЛИТА ТАТЬЯНА АНДРЕЕВНА</t>
  </si>
  <si>
    <t>ИП ШАЛАТОНОВ ВЯЧЕСЛАВ НИКОЛАЕВИЧ</t>
  </si>
  <si>
    <t>ИП Козлова Анжелика Олеговна</t>
  </si>
  <si>
    <t>ИП КОРНЕЕВА ЕЛЕНА БОРИСОВНА</t>
  </si>
  <si>
    <t>ИП ВИКОЛ МАРК-МАРЧЕЛЛ ГЕОРГИЕВИЧ</t>
  </si>
  <si>
    <t>Амурская область</t>
  </si>
  <si>
    <t>ИП Макаренко Андрей Иванович</t>
  </si>
  <si>
    <t>ООО ОЙЛ ГРУПП</t>
  </si>
  <si>
    <t>675000, АМУРСКАЯ ОБЛАСТЬ, Г БЛАГОВЕЩЕНСК, УЛ 50 ЛЕТ ОКТЯБРЯ, Д.108/2</t>
  </si>
  <si>
    <t>ООО АВТО-ПАТРИОТ</t>
  </si>
  <si>
    <t>675029, АМУРСКАЯ ОБЛАСТЬ, Г.О. ГОРОД БЛАГОВЕЩЕНСК, Г БЛАГОВЕЩЕНСК, УЛ МУХИНА, Д. 118</t>
  </si>
  <si>
    <t>ООО ДВ-ДИЛЕР</t>
  </si>
  <si>
    <t>676770, АМУРСКАЯ ОБЛАСТЬ, Г РАЙЧИХИНСК, УЛ ПОБЕДЫ, Д. 47А</t>
  </si>
  <si>
    <t>ИП ПОДЛЕСНЫЙ ДМИТРИЙ АЛЕКСАНДРОВИЧ</t>
  </si>
  <si>
    <t>ИП МИЩЕНКО ПАВЕЛ МИХАЙЛОВИЧ</t>
  </si>
  <si>
    <t>ИП ПИВОВАРОВА ВАРВАРА ЕВГЕНЬЕВНА</t>
  </si>
  <si>
    <t>ИП Ханкишиев Видади Абулфат оглы</t>
  </si>
  <si>
    <t>ИП ГАЛСТЯН НВЕР МАРТУНОВИЧ</t>
  </si>
  <si>
    <t>ИП МЕЛЬНИКОВ ГЕННАДИЙ ВИКТОРОВИЧ</t>
  </si>
  <si>
    <t>ИП ГАВРИКОВ ДМИТРИЙ АЛЕКСАНДРОВИЧ</t>
  </si>
  <si>
    <t>ООО ОПТТОРГСЕРВИС</t>
  </si>
  <si>
    <t>675997, АМУРСКАЯ ОБЛАСТЬ, Г БЛАГОВЕЩЕНСК, УЛ СЕВЕРНАЯ, Д. 91, ЭТАЖ 1</t>
  </si>
  <si>
    <t>ООО ТОЙОТА-СТИЛЬ</t>
  </si>
  <si>
    <t>675014, РОССИЯ, АМУРСКАЯ ОБЛАСТЬ, Г.О. ГОРОД БЛАГОВЕЩЕНСК, Г БЛАГОВЕЩЕНСК, УЛ ПИОНЕРСКАЯ, Д. 212, ОФИС 10</t>
  </si>
  <si>
    <t>ООО АТИК-МОТОРС</t>
  </si>
  <si>
    <t>675028, АМУРСКАЯ ОБЛАСТЬ, Г БЛАГОВЕЩЕНСК, УЛ КОЛЬЦЕВАЯ, Д.57</t>
  </si>
  <si>
    <t>ИП ВЯЗЬМИН АНТОН РОМАНОВИЧ</t>
  </si>
  <si>
    <t>ИП АНТОНЕНКО ДЕНИС АЛЕКСАНДРОВИЧ</t>
  </si>
  <si>
    <t>ИП МАМУТИН АНАТОЛИЙ НИКОЛАЕВИЧ</t>
  </si>
  <si>
    <t>ИП САЛОМАТОВ ЮРИЙ НИКОЛАЕВИЧ</t>
  </si>
  <si>
    <t>ООО БЛАГОВЕЩЕНСКАГРОТЕХСНАБ</t>
  </si>
  <si>
    <t>675016, РОССИЯ, АМУРСКАЯ ОБЛАСТЬ, Г.О. ГОРОД БЛАГОВЕЩЕНСК, Г БЛАГОВЕЩЕНСК, УЛ ТЕНИСТАЯ, Д. 142</t>
  </si>
  <si>
    <t>ИП МАКАРЕНКО СВЕТЛАНА ВИКТОРОВНА</t>
  </si>
  <si>
    <t>ИП БЕЛОУСОВ АЛЕКСЕЙ АНАТОЛЬЕВИЧ</t>
  </si>
  <si>
    <t>АО АМУР-ЛАДА</t>
  </si>
  <si>
    <t>675000, АМУРСКАЯ ОБЛАСТЬ, Г БЛАГОВЕЩЕНСК, УЛ ВОРОНКОВА, Д.8</t>
  </si>
  <si>
    <t>ИП Марьин Игорь Владиславович</t>
  </si>
  <si>
    <t>ИП БАЗЫЛЕВ ЕВГЕНИЙ АНАТОЛЬЕВИЧ</t>
  </si>
  <si>
    <t>ИП ТЯГЛО НАТАЛЬЯ ИВАНОВНА</t>
  </si>
  <si>
    <t>ИП ПЕРШИНА ЮЛИЯ НИКОЛАЕВНА</t>
  </si>
  <si>
    <t>ООО АМУРАГРОЦЕНТР</t>
  </si>
  <si>
    <t>675000, АМУРСКАЯ ОБЛАСТЬ, Г БЛАГОВЕЩЕНСК, УЛ АМУРСКАЯ, Д.17</t>
  </si>
  <si>
    <t>ЗАО КРИСТАЛЛ - АГРО</t>
  </si>
  <si>
    <t>675000, АМУРСКАЯ ОБЛАСТЬ, Г БЛАГОВЕЩЕНСК, УЛ ОСТРОВСКОГО, Д.38, 202</t>
  </si>
  <si>
    <t>ИП СЕЛЬВИНСКАЯ ЕЛЕНА СЕРГЕЕВНА</t>
  </si>
  <si>
    <t>АО ННК-АМУРНЕФТЕПРОДУКТ</t>
  </si>
  <si>
    <t>675002, АМУРСКАЯ ОБЛАСТЬ, Г БЛАГОВЕЩЕНСК, УЛ ПЕРВОМАЙСКАЯ, Д.1, К.А</t>
  </si>
  <si>
    <t>ООО РЕГИОН ПРОЕКТ</t>
  </si>
  <si>
    <t>675029, АМУРСКАЯ ОБЛАСТЬ, Г БЛАГОВЕЩЕНСК, УЛ КАЛИНИНА, Д.116, К.2, ОФИС 33</t>
  </si>
  <si>
    <t>ИП ЗАХАРЕВИЧ АЛЕКСАНДР АНАТОЛЬЕВИЧ</t>
  </si>
  <si>
    <t>ООО АТИК-АВТО</t>
  </si>
  <si>
    <t>675028, АМУРСКАЯ ОБЛАСТЬ, Г БЛАГОВЕЩЕНСК, Ш НОВОТРОИЦКОЕ, Д.12/2</t>
  </si>
  <si>
    <t>ООО АТТ</t>
  </si>
  <si>
    <t>675014, РОССИЯ, АМУРСКАЯ ОБЛАСТЬ, Г.О. ГОРОД БЛАГОВЕЩЕНСК, Г БЛАГОВЕЩЕНСК, УЛ ТЕКСТИЛЬНАЯ, Д. 48</t>
  </si>
  <si>
    <t>ООО  ЮАНЬ ДУН</t>
  </si>
  <si>
    <t>675020, РОССИЯ, АМУРСКАЯ ОБЛАСТЬ, Г.О. ГОРОД БЛАГОВЕЩЕНСК, Г БЛАГОВЕЩЕНСК, УЛ ТЕАТРАЛЬНАЯ, Д. 354</t>
  </si>
  <si>
    <t>ООО АТИК-АЗИЯАВТО</t>
  </si>
  <si>
    <t>675028, АМУРСКАЯ ОБЛАСТЬ, Г БЛАГОВЕЩЕНСК, Ш НОВОТРОИЦКОЕ, Д.12</t>
  </si>
  <si>
    <t>ООО ТД ЭЛЕКТРО</t>
  </si>
  <si>
    <t>675000, АМУРСКАЯ ОБЛАСТЬ, Г БЛАГОВЕЩЕНСК, УЛ НАГОРНАЯ, Д. 6</t>
  </si>
  <si>
    <t>ИП ЗУЕВА ТАТЬЯНА ЮРЬЕВНА</t>
  </si>
  <si>
    <t>ООО ГРАНД МОТОРС</t>
  </si>
  <si>
    <t>675000, АМУРСКАЯ ОБЛАСТЬ, Г БЛАГОВЕЩЕНСК, УЛ ПИОНЕРСКАЯ, Д. 96, КВ. 79</t>
  </si>
  <si>
    <t>ООО ДВ ЭКСПО</t>
  </si>
  <si>
    <t>675016, РОССИЯ, АМУРСКАЯ ОБЛАСТЬ, Г.О. ГОРОД БЛАГОВЕЩЕНСК, Г БЛАГОВЕЩЕНСК, УЛ ПРОЛЕТАРСКАЯ, Д. 30, ОФИС 10</t>
  </si>
  <si>
    <t>ООО ТАНДЕМ ТРЕЙДИНГ</t>
  </si>
  <si>
    <t>675007, АМУРСКАЯ ОБЛАСТЬ, Г БЛАГОВЕЩЕНСК, УЛ НАГОРНАЯ, Д. 11, ОФИС 15</t>
  </si>
  <si>
    <t>ООО БАК</t>
  </si>
  <si>
    <t>675028, АМУРСКАЯ ОБЛАСТЬ, Г БЛАГОВЕЩЕНСК, УЛ КОЛЬЦЕВАЯ, Д. 61</t>
  </si>
  <si>
    <t>ООО РУСИМПОРТДЕТАЛЬ</t>
  </si>
  <si>
    <t>675002, АМУРСКАЯ ОБЛАСТЬ, Г.О. ГОРОД БЛАГОВЕЩЕНСК, Г БЛАГОВЕЩЕНСК, УЛ КРАСНОФЛОТСКАЯ, Д. 65, КВ. 59</t>
  </si>
  <si>
    <t>ИП АФАНАСЬЕВ ВЛАДИСЛАВ АНАТОЛЬЕВИЧ</t>
  </si>
  <si>
    <t>ИП Зуева Марина Владимировна</t>
  </si>
  <si>
    <t>ИП КОБАЛЕВ ДМИТРИЙ АНДРЕЕВИЧ</t>
  </si>
  <si>
    <t>ООО АМУР ЗФ АВТО</t>
  </si>
  <si>
    <t>675000, АМУРСКАЯ ОБЛАСТЬ, Г БЛАГОВЕЩЕНСК, УЛ ЧАЙКОВСКОГО, Д. 209</t>
  </si>
  <si>
    <t>ООО БИЭКСПОРТ</t>
  </si>
  <si>
    <t>675004, РОССИЯ, АМУРСКАЯ ОБЛАСТЬ, Г.О. ГОРОД БЛАГОВЕЩЕНСК, Г БЛАГОВЕЩЕНСК, УЛ ЗЕЙСКАЯ, Д. 222, ЭТАЖ ПЕРВЫЙ</t>
  </si>
  <si>
    <t>ООО МАРЛИН МОТОРС</t>
  </si>
  <si>
    <t>675004, РОССИЯ, АМУРСКАЯ ОБЛАСТЬ, Г.О. ГОРОД БЛАГОВЕЩЕНСК, Г БЛАГОВЕЩЕНСК, УЛ ЗЕЙСКАЯ, Д. 137, ЭТАЖ 1</t>
  </si>
  <si>
    <t>АО АМУР АВТО</t>
  </si>
  <si>
    <t>676855, АМУРСКАЯ ОБЛАСТЬ, Г БЕЛОГОРСК, УЛ КИРОВА, Д. 298</t>
  </si>
  <si>
    <t>ИП Дьяченко Вера Дмитриевна</t>
  </si>
  <si>
    <t>ИП Кучеренко Андрей Викторович</t>
  </si>
  <si>
    <t>ИП ЛЯСКИНА ИРИНА ЮРЬЕВНА</t>
  </si>
  <si>
    <t>ИП ЧАЩИНА НАТАЛЬЯ АЛЕКСАНДРОВНА</t>
  </si>
  <si>
    <t>ИП Сардаров Анатолий Владимирович</t>
  </si>
  <si>
    <t>ООО ТП</t>
  </si>
  <si>
    <t>675521, РОССИЯ, АМУРСКАЯ ОБЛАСТЬ, М.О. БЛАГОВЕЩЕНСКИЙ, С НОВОТРОИЦКОЕ, УЛ НОВАЯ, Д. 8, КВ. 1</t>
  </si>
  <si>
    <t>ИП МИРОШНИЧЕНКО ВАСИЛИЙ ИВАНОВИЧ</t>
  </si>
  <si>
    <t>ИП СИРЕНКО МИХАИЛ АЛЕКСАНДРОВИЧ</t>
  </si>
  <si>
    <t>ИП ТЕРТЕШНИКОВА МАРИЯ ГЕННАДЬЕВНА</t>
  </si>
  <si>
    <t>ИП БОЛГАРЕВ СЕРГЕЙ НИКОЛАЕВИЧ</t>
  </si>
  <si>
    <t>ИП КРЫШКА СЕРГЕЙ ВЛАДИМИРОВИЧ</t>
  </si>
  <si>
    <t>ООО РОСЭКСИМ-М</t>
  </si>
  <si>
    <t>676290, АМУРСКАЯ ОБЛАСТЬ, Г.О. ГОРОД ТЫНДА, Г ТЫНДА, УЛ СОВЕТСКАЯ, ЗД. 53В</t>
  </si>
  <si>
    <t>ООО ПРОМТЕХНОСНАБ</t>
  </si>
  <si>
    <t>675029, АМУРСКАЯ ОБЛАСТЬ, Г.О. ГОРОД БЛАГОВЕЩЕНСК, Г БЛАГОВЕЩЕНСК, УЛ ПРОЛЕТАРСКАЯ, Д. 102/1, ОФИС IV</t>
  </si>
  <si>
    <t>ООО АМУРАГРОЛОГИСТ</t>
  </si>
  <si>
    <t>675000, АМУРСКАЯ ОБЛАСТЬ, Г БЛАГОВЕЩЕНСК, УЛ ЛАЗО, Д. 2, ОФИС 414</t>
  </si>
  <si>
    <t>ООО ТК ДАЛЬАВТОДЕТАЛЬ+</t>
  </si>
  <si>
    <t>675028, РОССИЯ, АМУРСКАЯ ОБЛАСТЬ, Г.О. ГОРОД БЛАГОВЕЩЕНСК, Г БЛАГОВЕЩЕНСК, Ш ИГНАТЬЕВСКОЕ, Д. 24, ОФИС 102</t>
  </si>
  <si>
    <t>ООО Х-МОТОР</t>
  </si>
  <si>
    <t>675014, РОССИЯ, АМУРСКАЯ ОБЛАСТЬ, Г.О. ГОРОД БЛАГОВЕЩЕНСК, Г БЛАГОВЕЩЕНСК, УЛ ТЕАТРАЛЬНАЯ, Д. 217</t>
  </si>
  <si>
    <t>ИП ВОЛОШИНА ЕКАТЕРИНА ВИКТОРОВНА</t>
  </si>
  <si>
    <t>ИП МЕЛЬНИКОВ НИКОЛАЙ НИКОЛАЕВИЧ</t>
  </si>
  <si>
    <t>ООО МАКСИНТЕР АВТО</t>
  </si>
  <si>
    <t>675028, РОССИЯ, АМУРСКАЯ ОБЛАСТЬ, Г.О. ГОРОД БЛАГОВЕЩЕНСК, Г БЛАГОВЕЩЕНСК, УЛ ВАСИЛЕНКО, Д. 8/2, ОФИС 1</t>
  </si>
  <si>
    <t>ООО ПЕТРОЙЛ</t>
  </si>
  <si>
    <t>676863, АМУРСКАЯ ОБЛАСТЬ, Г БЕЛОГОРСК, УЛ КИРОВА, Д. 306, ОФИС 102</t>
  </si>
  <si>
    <t>ИП ДРАЖНЮК АНТОН ЮРЬЕВИЧ</t>
  </si>
  <si>
    <t>ИП ЛИТВИНОВ НИКОЛАЙ ВЛАДИМИРОВИЧ</t>
  </si>
  <si>
    <t>ИП СОБОЛЕВ ВЛАДИМИР ЮРЬЕВИЧ</t>
  </si>
  <si>
    <t>ИП СЕНЧЕНКО КОНСТАНТИН АЛЕКСАНДРОВИЧ</t>
  </si>
  <si>
    <t>ИП САРДАРОВА ОКСАНА ЮРЬЕВНА</t>
  </si>
  <si>
    <t>ИП ВОРОБЬЁВА ЛЕЙЛА КОТЕЕВНА</t>
  </si>
  <si>
    <t>ИП ГАЛЕЦКИЙ АЛЕКСЕЙ ЛЕОНИДОВИЧ</t>
  </si>
  <si>
    <t>ИП ГЕЙТ СЕРГЕЙ ВАЛЕРЬЕВИЧ</t>
  </si>
  <si>
    <t>ИП ПРЯХИНА ВИКТОРИЯ СЕРГЕЕВНА</t>
  </si>
  <si>
    <t>ИП КАЛИНИЧЕНКО АНДРЕЙ СЕРГЕЕВИЧ</t>
  </si>
  <si>
    <t>ИП ТОЛПЫГО СВЯТОСЛАВ ИГОРЕВИЧ</t>
  </si>
  <si>
    <t>ИП ДОЛГОВ ИГОРЬ ВЛАДИМИРОВИЧ</t>
  </si>
  <si>
    <t>ИП ТИМОХИНА СВЕТЛАНА АНАТОЛЬЕВНА</t>
  </si>
  <si>
    <t>ИП ДРОБИНИН ВИТАЛИЙ ЕВГЕНЬЕВИЧ</t>
  </si>
  <si>
    <t>ООО АВТО-ПОСТАВКА</t>
  </si>
  <si>
    <t>675028, АМУРСКАЯ ОБЛАСТЬ, Г БЛАГОВЕЩЕНСК, УЛ КОЛЬЦЕВАЯ, Д. 59, ОФИС 1</t>
  </si>
  <si>
    <t>ООО МЭЙФОРТ</t>
  </si>
  <si>
    <t>675002, РОССИЯ, АМУРСКАЯ ОБЛАСТЬ, Г.О. ГОРОД БЛАГОВЕЩЕНСК, Г БЛАГОВЕЩЕНСК, УЛ ЧАЙКОВСКОГО, Д. 3, ОФИС 214</t>
  </si>
  <si>
    <t>ООО БЛАГКИТСПЕЦТЕХНИКА</t>
  </si>
  <si>
    <t>675014, РОССИЯ, АМУРСКАЯ ОБЛАСТЬ, Г.О. ГОРОД БЛАГОВЕЩЕНСК, Г БЛАГОВЕЩЕНСК, УЛ ТЕАТРАЛЬНАЯ, Д. 226</t>
  </si>
  <si>
    <t>ООО КОНСТАНТА</t>
  </si>
  <si>
    <t>675028, РОССИЯ, АМУРСКАЯ ОБЛАСТЬ, Г.О. ГОРОД БЛАГОВЕЩЕНСК, Г БЛАГОВЕЩЕНСК, УЛ ВОРОНКОВА, Д. 4, ПОМЕЩ. 20005</t>
  </si>
  <si>
    <t>ООО ТПК ЭКОХИМ-ДВ</t>
  </si>
  <si>
    <t>675028, РОССИЯ, АМУРСКАЯ ОБЛАСТЬ, Г.О. ГОРОД БЛАГОВЕЩЕНСК, Г БЛАГОВЕЩЕНСК, Ш ИГНАТЬЕВСКОЕ, Д. 24, ОФИС 106</t>
  </si>
  <si>
    <t>ООО ТК ФАЙНДМИ-ДВ</t>
  </si>
  <si>
    <t>675004, РОССИЯ, АМУРСКАЯ ОБЛАСТЬ, Г.О. ГОРОД БЛАГОВЕЩЕНСК, Г БЛАГОВЕЩЕНСК, УЛ ЗЕЙСКАЯ, Д. 301, ОФИС 12</t>
  </si>
  <si>
    <t>ООО ТК АСФАЛЬТ</t>
  </si>
  <si>
    <t>675004, РОССИЯ, АМУРСКАЯ ОБЛАСТЬ, Г.О. ГОРОД БЛАГОВЕЩЕНСК, Г БЛАГОВЕЩЕНСК, ПЕР СВ.ИННОКЕНТИЯ, Д. 2</t>
  </si>
  <si>
    <t>ООО АМУРЭКСПОРТ</t>
  </si>
  <si>
    <t>675004, РОССИЯ, АМУРСКАЯ ОБЛАСТЬ, Г.О. ГОРОД БЛАГОВЕЩЕНСК, Г БЛАГОВЕЩЕНСК, УЛ ГОРЬКОГО, Д. 306, ОФИС 205</t>
  </si>
  <si>
    <t>ИП ВОЛОШИН ВИКТОР ДМИТРИЕВИЧ</t>
  </si>
  <si>
    <t>ООО АМУР АВТО ЦЕНТР</t>
  </si>
  <si>
    <t>675028, АМУРСКАЯ ОБЛАСТЬ, Г БЛАГОВЕЩЕНСК, УЛ КОЛЬЦЕВАЯ, Д. 60, ОФИС 3</t>
  </si>
  <si>
    <t>ИП КОЗОРЕЗОВА ЖАННА АЛЕКСАНДРОВНА</t>
  </si>
  <si>
    <t>ИП АНТОНЕНКО ВИТАЛИЙ ИВАНОВИЧ</t>
  </si>
  <si>
    <t>ИП ЛЕОНТЬЕВ ВЛАДИМИР НИКОЛАЕВИЧ</t>
  </si>
  <si>
    <t>ГБУ АО СВОБОДНЕНСКИЙ СОЦИАЛЬНЫЙ ПРИЮТ ДЛЯ ДЕТЕЙ</t>
  </si>
  <si>
    <t>676456, АМУРСКАЯ ОБЛАСТЬ, Г СВОБОДНЫЙ, УЛ МИХАЙЛО-ЧЕСНОКОВСКАЯ, Д. 5</t>
  </si>
  <si>
    <t>ИП ЛОКОТКОВ АНДРЕЙ МИХАЙЛОВИЧ</t>
  </si>
  <si>
    <t>ИП ЧЕРНЫШЁВА ОЛЕСЯ АЛЕКСАНДРОВНА</t>
  </si>
  <si>
    <t>ИП ЯКУШЕВ НИКОЛАЙ ВЛАДИМИРОВИЧ</t>
  </si>
  <si>
    <t>ИП СЕРОСЕКОВА ЮЛИЯ ПЕТРОВНА</t>
  </si>
  <si>
    <t>ИП САДОВАЯ ТАТЬЯНА АЛЕКСАНДРОВНА</t>
  </si>
  <si>
    <t>ИП ВОЛКОВ АЛЕКСЕЙ АНАТОЛЬЕВИЧ</t>
  </si>
  <si>
    <t>ИП ЛОГИНОВ ДМИТРИЙ АЛЕКСАНДРОВИЧ</t>
  </si>
  <si>
    <t>Архангельская область</t>
  </si>
  <si>
    <t>ИП ТРИШИН АЛЕКСАНДР СЕРГЕЕВИЧ</t>
  </si>
  <si>
    <t>ООО ЛОГИСТИК-ТРАНС</t>
  </si>
  <si>
    <t>163046, АРХАНГЕЛЬСКАЯ ОБЛАСТЬ, Г АРХАНГЕЛЬСК, УЛ СЕРАФИМОВИЧА, Д.39, К.2, ПОМЕЩЕНИЕ 10-Н</t>
  </si>
  <si>
    <t>ООО КОМПАНИЯ АВТО-РЕГИОН 29</t>
  </si>
  <si>
    <t>163045, АРХАНГЕЛЬСКАЯ ОБЛАСТЬ, Г АРХАНГЕЛЬСК, Ш ТАЛАЖСКОЕ, Д. 1, К. 1 СТР. 1, ПОМЕЩ. 3</t>
  </si>
  <si>
    <t>ООО ДЖУТ</t>
  </si>
  <si>
    <t>163009, АРХАНГЕЛЬСКАЯ ОБЛАСТЬ, Г АРХАНГЕЛЬСК, УЛ ПРОКОПИЯ ГАЛУШИНА, Д. 9, КВ. 62</t>
  </si>
  <si>
    <t>ИП ОРДИН ДМИТРИЙ ВЛАДИМИРОВИЧ</t>
  </si>
  <si>
    <t>ИП ЮГОВ СЕРГЕЙ СЕРГЕЕВИЧ</t>
  </si>
  <si>
    <t>ИП СУХАНОВ ВИТАЛИЙ ЕВГЕНЬЕВИЧ</t>
  </si>
  <si>
    <t>ИП НОВОСЕЛОВ СЕРГЕЙ ВЛАДИМИРОВИЧ</t>
  </si>
  <si>
    <t>ИП ПОПОВ ВЯЧЕСЛАВ СЕРГЕЕВИЧ</t>
  </si>
  <si>
    <t>ИП ПРИДЕИНА СВЕТЛАНА ВАЛЕНТИНОВНА</t>
  </si>
  <si>
    <t>ИП ПТИЦЫН СТЕПАН ВЛАДИМИРОВИЧ</t>
  </si>
  <si>
    <t>ИП ХАРИТОНЮК АЛЕКСАНДР ВАСИЛЬЕВИЧ</t>
  </si>
  <si>
    <t>ИП ПОГРОМСКИЙ МАРК ВЛАДИМИРОВИЧ</t>
  </si>
  <si>
    <t>ИП Боровиков Александр Сергеевич</t>
  </si>
  <si>
    <t>ИП КРОТОВ АЛЕКСАНДР ВАСИЛЬЕВИЧ</t>
  </si>
  <si>
    <t>ИП СЕДЫХ АНДРЕЙ ОЛЕГОВИЧ</t>
  </si>
  <si>
    <t>ИП ПАРФЕНОВА ЕЛЕНА ЛЕОНИДОВНА</t>
  </si>
  <si>
    <t>163039, РОССИЯ, АРХАНГЕЛЬСКАЯ ОБЛАСТЬ, Г.О. ГОРОД АРХАНГЕЛЬСК, Г АРХАНГЕЛЬСК, ЛИНИЯ ТРЕТЬЯ, Д. 48</t>
  </si>
  <si>
    <t>ИП ПОНОМАРЕВ АЛЕКСАНДР ЕВГЕНЬЕВИЧ</t>
  </si>
  <si>
    <t>ИП ДРОЗДОВ АЛЕКСАНДР БОРИСОВИЧ</t>
  </si>
  <si>
    <t>ИП ЗУБЕЛЬ ЕЛЕНА ВАЛЕРЬЕВНА</t>
  </si>
  <si>
    <t>ООО РЕСУРС</t>
  </si>
  <si>
    <t>163015, АРХАНГЕЛЬСКАЯ ОБЛАСТЬ, Г АРХАНГЕЛЬСК, ПР-КТ ЛЕНИНГРАДСКИЙ, Д. 163, КАБИНЕТ 30</t>
  </si>
  <si>
    <t>ООО ИНФОСКАЙ</t>
  </si>
  <si>
    <t>163045, АРХАНГЕЛЬСКАЯ ОБЛАСТЬ, Г АРХАНГЕЛЬСК, УЛ РОЗИНГА, Д. 6, ПОМЕЩ. 6-Н</t>
  </si>
  <si>
    <t>ИП СКАЧКОВ АНДРЕЙ СЕРГЕЕВИЧ</t>
  </si>
  <si>
    <t>ООО АВТОМАСТЕР</t>
  </si>
  <si>
    <t>163045, АРХАНГЕЛЬСКАЯ ОБЛАСТЬ, Г АРХАНГЕЛЬСК, ПР-КТ ОБВОДНЫЙ КАНАЛ, Д. 145, ОФИС 1</t>
  </si>
  <si>
    <t>ООО РЕГИОНКОМПЛЕКТ</t>
  </si>
  <si>
    <t>163015, АРХАНГЕЛЬСКАЯ ОБЛАСТЬ, Г АРХАНГЕЛЬСК, ПР-КТ ЛЕНИНГРАДСКИЙ, Д. 163, ОФИС 59</t>
  </si>
  <si>
    <t>ООО ШИПЧАНДЛЕР</t>
  </si>
  <si>
    <t>163002, АРХАНГЕЛЬСКАЯ ОБЛАСТЬ, Г АРХАНГЕЛЬСК, ПР-КТ МОСКОВСКИЙ, Д. 4, К. 1, КВ. 145</t>
  </si>
  <si>
    <t>ООО АРХАВТОХИМ</t>
  </si>
  <si>
    <t>163059, АРХАНГЕЛЬСКАЯ ОБЛАСТЬ, Г АРХАНГЕЛЬСК, УЛ МОСТОВАЯ, Д. 1, К. 1, ПОМЕЩ. 2</t>
  </si>
  <si>
    <t>ООО ДЦ СЕВЕР</t>
  </si>
  <si>
    <t>163045, РОССИЯ, АРХАНГЕЛЬСКАЯ ОБЛАСТЬ, Г.О. ГОРОД АРХАНГЕЛЬСК, Г АРХАНГЕЛЬСК, Ш ОКРУЖНОЕ, Д. 3, К. 1</t>
  </si>
  <si>
    <t>ООО АРХАНГЕЛЬСКИЙ АВТОЦЕНТР КАМАЗ</t>
  </si>
  <si>
    <t>163045, АРХАНГЕЛЬСКАЯ ОБЛАСТЬ, Г АРХАНГЕЛЬСК, ПР-Д ПЕРВЫЙ (КУЗНЕЧИХИНСКИЙ ПРОМУЗЕЛ), Д. 15</t>
  </si>
  <si>
    <t>ООО АРХЛЕС-СЕРВИС</t>
  </si>
  <si>
    <t>163069, АРХАНГЕЛЬСКАЯ ОБЛАСТЬ, Г АРХАНГЕЛЬСК, ПР-КТ ЛОМОНОСОВА, Д.135, 710</t>
  </si>
  <si>
    <t>ООО ВИРС</t>
  </si>
  <si>
    <t>163002, АРХАНГЕЛЬСКАЯ ОБЛАСТЬ, Г АРХАНГЕЛЬСК, ПР-КТ МОСКОВСКИЙ, Д. 25, К. 3, ОФИС 2</t>
  </si>
  <si>
    <t>ООО РК ИНЖИНИРИНГ</t>
  </si>
  <si>
    <t>163020, АРХАНГЕЛЬСКАЯ ОБЛАСТЬ, Г АРХАНГЕЛЬСК, ПР-КТ НИКОЛЬСКИЙ, Д. 78, ОФИС 1</t>
  </si>
  <si>
    <t>ООО АРГАМАК</t>
  </si>
  <si>
    <t>163002, АРХАНГЕЛЬСКАЯ ОБЛАСТЬ, Г АРХАНГЕЛЬСК, ПР-КТ МОСКОВСКИЙ, Д.23, К.1</t>
  </si>
  <si>
    <t>ИП КОЧЕГАРОВ СЕРГЕЙ АНАТОЛЬЕВИЧ</t>
  </si>
  <si>
    <t>ИП ДУЛОВ ЕГОР ПАВЛОВИЧ</t>
  </si>
  <si>
    <t>ООО СЕРВИС ОЙЛ</t>
  </si>
  <si>
    <t>163045, АРХАНГЕЛЬСКАЯ ОБЛАСТЬ, Г.О. ГОРОД АРХАНГЕЛЬСК, Г АРХАНГЕЛЬСК, Ш ОКРУЖНОЕ, Д. 8, К. 1, СТР. 2, ПОМЕЩ. 8</t>
  </si>
  <si>
    <t>ООО МОРОЗКО</t>
  </si>
  <si>
    <t>163046, АРХАНГЕЛЬСКАЯ ОБЛАСТЬ, Г АРХАНГЕЛЬСК, УЛ ПОМОРСКАЯ, Д.34, К.1</t>
  </si>
  <si>
    <t>ООО ВИКТОРИКА-СЕРВИС</t>
  </si>
  <si>
    <t>163045, АРХАНГЕЛЬСКАЯ ОБЛАСТЬ, Г АРХАНГЕЛЬСК, Ш ТАЛАЖСКОЕ, Д. 2, СТР. 2</t>
  </si>
  <si>
    <t>ООО ДИНАМИКА АРХАНГЕЛЬСК КИА</t>
  </si>
  <si>
    <t>163065, РОССИЯ, АРХАНГЕЛЬСКАЯ ОБЛАСТЬ, Г.О. ГОРОД АРХАНГЕЛЬСК, Г АРХАНГЕЛЬСК, ПР-КТ МОСКОВСКИЙ, Д. 39, ПОМЕЩ. 10</t>
  </si>
  <si>
    <t>ИП САФОНОВА ОЛЬГА АЛЕКСАНДРОВНА</t>
  </si>
  <si>
    <t>ООО ДВИНА-ЛОГИСТИК</t>
  </si>
  <si>
    <t>163000, РОССИЯ, АРХАНГЕЛЬСКАЯ ОБЛАСТЬ, Г.О. ГОРОД АРХАНГЕЛЬСК, Г АРХАНГЕЛЬСК, ПР-КТ ТРОИЦКИЙ, Д. 65, ОФИС 216</t>
  </si>
  <si>
    <t>ИП ПОСОХИНА СНЕЖАНА ВЕНИАМИНОВНА</t>
  </si>
  <si>
    <t>ООО ТРИТОН-СЕРВИС</t>
  </si>
  <si>
    <t>164507, АРХАНГЕЛЬСКАЯ ОБЛАСТЬ, М.О. ГОРОД СЕВЕРОДВИНСК, Г СЕВЕРОДВИНСК, УЛ КОМСОМОЛЬСКАЯ, Д. 34, ОФИС 218</t>
  </si>
  <si>
    <t>ООО СЕВЕРНАЯ ИМПЕРИЯ АЗС СЕРВИС</t>
  </si>
  <si>
    <t>164514, АРХАНГЕЛЬСКАЯ ОБЛАСТЬ, Г СЕВЕРОДВИНСК, УЛ ЛОМОНОСОВА, Д. 102А</t>
  </si>
  <si>
    <t>ИП РЫЧКОВ АЛЕКСАНДР ВАЛЕРЬЕВИЧ</t>
  </si>
  <si>
    <t>ИП Синицкий Анатолий Александрович</t>
  </si>
  <si>
    <t>ИП СЕРГЕЕВ ДМИТРИЙ ЛЕОНИДОВИЧ</t>
  </si>
  <si>
    <t>ООО ОНЕГААГРОСНАБ</t>
  </si>
  <si>
    <t>164840, АРХАНГЕЛЬСКАЯ ОБЛАСТЬ, Р-Н ОНЕЖСКИЙ, Г ОНЕГА, УЛ КОЗЛОВА, Д. 7</t>
  </si>
  <si>
    <t>ИП КОЛДАНОВ ВЯЧЕСЛАВ САВВАТИЕВИЧ</t>
  </si>
  <si>
    <t>ИП Нестерук Валерий Анатольевич</t>
  </si>
  <si>
    <t>ИП КУДРЯВЦЕВА ТАТЬЯНА АЛЕКСАНДРОВНА</t>
  </si>
  <si>
    <t>ИП ЦЕРКОВНИКОВ ЕВГЕНИЙ СЕРГЕЕВИЧ</t>
  </si>
  <si>
    <t>ООО ВТК</t>
  </si>
  <si>
    <t>165500, АРХАНГЕЛЬСКАЯ ОБЛАСТЬ, Р-Н ВЕРХНЕТОЕМСКИЙ, С ВЕРХНЯЯ ТОЙМА, УЛ АЭРОДРОМНАЯ, Д. 1</t>
  </si>
  <si>
    <t>ИП МИХАЙЛОВ ОЛЕГ ВЛАДИМИРОВИЧ</t>
  </si>
  <si>
    <t>ИП ПРИДЕИН ПЕТР НИКОЛАЕВИЧ</t>
  </si>
  <si>
    <t>ООО СЕВДОРСТРОЙСЕРВИС</t>
  </si>
  <si>
    <t>163000, РОССИЯ, АРХАНГЕЛЬСКАЯ ОБЛАСТЬ, Г.О. ГОРОД АРХАНГЕЛЬСК, Г АРХАНГЕЛЬСК, УЛ КАРЛА ЛИБКНЕХТА, Д. 17, ОФИС 5</t>
  </si>
  <si>
    <t>МБОУ ЯРЕНСКАЯ СШ</t>
  </si>
  <si>
    <t>165780, АРХАНГЕЛЬСКАЯ ОБЛАСТЬ, Р-Н ЛЕНСКИЙ, С ЯРЕНСК, УЛ ВОЛОДИ ДУБИНИНА, Д.39</t>
  </si>
  <si>
    <t>ИП ГРИГУС ОЛЕГ НИКОЛАЕВИЧ</t>
  </si>
  <si>
    <t>ИП ИЕВЛЕВ АЛЕКСАНДР ВАСИЛЬЕВИЧ</t>
  </si>
  <si>
    <t>ИП Делун Виктор Андреевич</t>
  </si>
  <si>
    <t>ИП МУСАНОВА ВАЛЕРИЯ ВАЛЕНТИНОВНА</t>
  </si>
  <si>
    <t>ИП БОРОВИЦКИЙ АЛЕКСАНДР ВАЛЕНТИНОВИЧ</t>
  </si>
  <si>
    <t>ИП ЖУКОВ АЛЕКСАНДР СЕРГЕЕВИЧ</t>
  </si>
  <si>
    <t>ИП КОНОНОВ МИХАИЛ ИВАНОВИЧ</t>
  </si>
  <si>
    <t>ИП ГОРЧИНСКИЙ СТАНИСЛАВ ЭДВАРДОВИЧ</t>
  </si>
  <si>
    <t>ИП ГРЯЗНЫХ АЛЕКСАНДР НИКОЛАЕВИЧ</t>
  </si>
  <si>
    <t>АО СЕВЕРНАЯ ИМПЕРИЯ</t>
  </si>
  <si>
    <t>ИП МАРОВ СЕРГЕЙ ВАЛЕНТИНОВИЧ</t>
  </si>
  <si>
    <t>ИП АБРАМОВСКАЯ ЮЛИЯ СЕРГЕЕВНА</t>
  </si>
  <si>
    <t>ООО ДИНАМИКА АРХАНГЕЛЬСК М</t>
  </si>
  <si>
    <t>164514, АРХАНГЕЛЬСКАЯ ОБЛАСТЬ, Г СЕВЕРОДВИНСК, УЛ КАРЛА МАРКСА, Д. 46, ПОМЕЩ. 2</t>
  </si>
  <si>
    <t>ИП ЩИПИНА НАДЕЖДА АНАТОЛЬЕВНА</t>
  </si>
  <si>
    <t>ИП ЧЕСНОКОВ АЛЕКСЕЙ ВИКТОРОВИЧ</t>
  </si>
  <si>
    <t>ИП КОРОБОВ АНДРЕЙ АЛЕКСАНДРОВИЧ</t>
  </si>
  <si>
    <t>ИП Склеймин Владимир Алексеевич</t>
  </si>
  <si>
    <t>ИП Едакин Алексей Васильевич</t>
  </si>
  <si>
    <t>ИП Куропаткин Сергей Витальевич</t>
  </si>
  <si>
    <t>ИП ГОЛЫГИН РОМАН ИВАНОВИЧ</t>
  </si>
  <si>
    <t>ООО МОСТСЕРВИС-ТРАНС</t>
  </si>
  <si>
    <t>165300, АРХАНГЕЛЬСКАЯ ОБЛАСТЬ, Р-Н КОТЛАССКИЙ, Г КОТЛАС, УЛ МАЯКОВСКОГО, Д.7</t>
  </si>
  <si>
    <t>ООО МЕХАНИКА</t>
  </si>
  <si>
    <t>165311, АРХАНГЕЛЬСКАЯ ОБЛАСТЬ, Р-Н КОТЛАССКИЙ, Г КОТЛАС, УЛ СПОРТИВНАЯ, Д. 38, КВ. 44</t>
  </si>
  <si>
    <t>ИП ЗАДОРИН ИВАН БОРИСОВИЧ</t>
  </si>
  <si>
    <t>ИП КУЗНЕЦОВА ЮЛИЯ АЛЕКСАНДРОВНА</t>
  </si>
  <si>
    <t>ООО АВТОТЕХДЕТАЛЬ</t>
  </si>
  <si>
    <t>165654, АРХАНГЕЛЬСКАЯ ОБЛАСТЬ, Г КОРЯЖМА, УЛ ИМЕНИ ДЫБЦЫНА, Д. 22, К. 3, ПОМЕЩ. 2</t>
  </si>
  <si>
    <t>ИП СМИРНОВ ИГОРЬ ЮРЬЕВИЧ</t>
  </si>
  <si>
    <t>ИП СЕРЕДКИН АНДРЕЙ АНАТОЛЬЕВИЧ</t>
  </si>
  <si>
    <t>ИП Шаталов Владимир Геннадьевич</t>
  </si>
  <si>
    <t>ИП НИФАНТЬЕВ АЛЕКСЕЙ ЕВГЕНЬЕВИЧ</t>
  </si>
  <si>
    <t>ИП ПЕТРЯЕВ ПАВЕЛ ГЕННАДЬЕВИЧ</t>
  </si>
  <si>
    <t>ИП КУЗНЕЦОВ НИКОЛАЙ ДМИТРИЕВИЧ</t>
  </si>
  <si>
    <t>ИП ЦУРЦУМИЯ СЕРГЕЙ ИРАКЛИЕВИЧ</t>
  </si>
  <si>
    <t>ИП ЗУБЕЛЬ РУСЛАН СТЕФАНИЕВИЧ</t>
  </si>
  <si>
    <t>ООО ТОРГСЕРВИС 29</t>
  </si>
  <si>
    <t>163015, АРХАНГЕЛЬСКАЯ ОБЛАСТЬ, Г АРХАНГЕЛЬСК, УЛ ЛЕНИНА, Д. 29, ПОМЕЩ. 31</t>
  </si>
  <si>
    <t>ИП БЕРКУТ ОЛЬГА СЕРГЕЕВНА</t>
  </si>
  <si>
    <t>ИП КЛИМОВИЧ ДМИТРИЙ АЛЕКСАНДРОВИЧ</t>
  </si>
  <si>
    <t>ИП КУРОЧКИН КОНСТАНТИН МИХАЙЛОВИЧ</t>
  </si>
  <si>
    <t>ИП ПОНИКАРОВСКАЯ ЕЛЕНА ВЛАДИМИРОВНА</t>
  </si>
  <si>
    <t>ИП СЕРЁДКИНА ВАЛЕНТИНА ИВАНОВНА</t>
  </si>
  <si>
    <t>ИП БРАТАНОВ ВЛАДИМИР СЕРГЕЕВИЧ</t>
  </si>
  <si>
    <t>ИП БЫКОВ АЛЕКСАНДР СЕРГЕЕВИЧ</t>
  </si>
  <si>
    <t>ИП БОНДАРУК СВЕТЛАНА ВАСИЛЬЕВНА</t>
  </si>
  <si>
    <t>ИП КУСКОВА МАРИНА ИВАНОВНА</t>
  </si>
  <si>
    <t>ИП Бурмистров Александр Владимирович</t>
  </si>
  <si>
    <t>ИП КОЗЬМИН АЛЕКСЕЙ ЮРЬЕВИЧ</t>
  </si>
  <si>
    <t>ИП МЫЦЮК АННА ВЛАДИСЛАВОВНА</t>
  </si>
  <si>
    <t>ИП ЦЕГАЛКО СЕРГЕЙ СЕРГЕЕВИЧ</t>
  </si>
  <si>
    <t>ИП КУКИН СЕРГЕЙ АНАТОЛЬЕВИЧ</t>
  </si>
  <si>
    <t>ИП ШУВАЕВА ЕЛЕНА СЕРГЕЕВНА</t>
  </si>
  <si>
    <t>Астраханская область</t>
  </si>
  <si>
    <t>ИП КУРБАНОВ ДЖОХАР АРТУРОВИЧ</t>
  </si>
  <si>
    <t>ИП КАРИМОВА ИННА ГЕННАДИЕВНА</t>
  </si>
  <si>
    <t>ООО ЛА ДАЧА СЕРВИС</t>
  </si>
  <si>
    <t>416404, РОССИЯ, АСТРАХАНСКАЯ ОБЛАСТЬ, М.Р-Н ЛИМАНСКИЙ, Г.П. РАБОЧИЙ ПОСЕЛОК ЛИМАН, ТЕР. БАЗА ОТДЫХА ЛА ДАЧА, СТР. 1</t>
  </si>
  <si>
    <t>ИП ЖАМКОВ АЛЕКСАНДР ВИКТОРОВИЧ</t>
  </si>
  <si>
    <t>ИП ДРОНОВ ЕВГЕНИЙ ЮРЬЕВИЧ</t>
  </si>
  <si>
    <t>ИП ТОКАРЕВ СЕРГЕЙ БОРИСОВИЧ</t>
  </si>
  <si>
    <t>ООО АВТО АЛЬЯНС</t>
  </si>
  <si>
    <t>416474, АСТРАХАНСКАЯ ОБЛАСТЬ, Р-Н ПРИВОЛЖСКИЙ, УЛ ШИРОКАЯ (КУЛАКОВСКИЙ ПРОМУЗЕЛ ТЕР), ЗД. 1Д, КАБИНЕТ 14</t>
  </si>
  <si>
    <t>ИП ЩЕРБАЧЕНКО ЮРИЙ ВЛАДИМИРОВИЧ</t>
  </si>
  <si>
    <t>ИП АБДУЛИН СЕРГЕЙ АНАТОЛЬЕВИЧ</t>
  </si>
  <si>
    <t>ИП ВЕРДИЯН МИХАИЛ РОБЕРТОВИЧ</t>
  </si>
  <si>
    <t>ИП Левшина Ирина Сергеевна</t>
  </si>
  <si>
    <t>ИП СЕРЕДЕНКОВ ВЛАДИМИР ФЕДОРОВИЧ</t>
  </si>
  <si>
    <t>ИП КОСТРЫКИН СЕРГЕЙ АЛЕКСЕЕВИЧ</t>
  </si>
  <si>
    <t>ИП ЦОЙ МАРИЯ ВИКТОРОВНА</t>
  </si>
  <si>
    <t>ИП МУКАСЕЕВ ГРИГОРИЙ ПАВЛОВИЧ</t>
  </si>
  <si>
    <t>ИП ПЛЕХАНОВ ВАДИМ АЛЕКСАНДРОВИЧ</t>
  </si>
  <si>
    <t>ИП СИДАЛИЕВА МУГУЛЬСУМ КИСАЕВНА</t>
  </si>
  <si>
    <t>ИП Плеханов Владимир Александрович</t>
  </si>
  <si>
    <t>ИП Репин Алексей Николаевич</t>
  </si>
  <si>
    <t>ИП ОРЛОВ ЮРИЙ НИКОЛАЕВИЧ</t>
  </si>
  <si>
    <t>ИП Леонтьева Альбина Фаридовна</t>
  </si>
  <si>
    <t>ИП Ивашко Павел Павлович</t>
  </si>
  <si>
    <t>ИП АБРАМЯН ИНГА КАРЕНОВНА</t>
  </si>
  <si>
    <t>ИП Семенов Олег Умарпашаевич</t>
  </si>
  <si>
    <t>ИП ПАВЛОВ СЕРГЕЙ ВИКТОРОВИЧ</t>
  </si>
  <si>
    <t>ООО МАРИН ОПЕРЕЙШН СЕРВИСИЗ</t>
  </si>
  <si>
    <t>414047, АСТРАХАНСКАЯ ОБЛАСТЬ, Г.О. ГОРОД АСТРАХАНЬ, Г АСТРАХАНЬ, УЛ МИНУСИНСКАЯ, СТР. 8, ОФИС 337</t>
  </si>
  <si>
    <t>ИП БАДЖАЕВ СЕРГЕЙ ФАЗИЛЕВИЧ</t>
  </si>
  <si>
    <t>ИП ЯХИН РИНАТ РУСТЕМОВИЧ</t>
  </si>
  <si>
    <t>ИП АЛЕКБЕРОВ ДЖАБИР БАХРАМ ОГЛЫ</t>
  </si>
  <si>
    <t>414021, АСТРАХАНСКАЯ ОБЛАСТЬ, Г АСТРАХАНЬ, УЛ БОЕВАЯ, Д. 135</t>
  </si>
  <si>
    <t>ООО МАСТЕР-СЕРВИС</t>
  </si>
  <si>
    <t>414000, АСТРАХАНСКАЯ ОБЛАСТЬ, Г АСТРАХАНЬ, УЛ Н.ОСТРОВСКОГО, Д.148, ОФИС 442</t>
  </si>
  <si>
    <t>ИП ШЕВЧЕНКО МАКСИМ АЛЕКСАНДРОВИЧ</t>
  </si>
  <si>
    <t>ИП НАЗАРОВ АЛЕКСАНДР ВАДИМОВИЧ</t>
  </si>
  <si>
    <t>ИП РУЧКИН ДЕНИС ВЛАДИМИРОВИЧ</t>
  </si>
  <si>
    <t>ООО АГРОШИП</t>
  </si>
  <si>
    <t>414021, РОССИЯ, АСТРАХАНСКАЯ ОБЛАСТЬ, Г.О. ГОРОД АСТРАХАНЬ, Г АСТРАХАНЬ, УЛ НАБЕРЕЖНАЯ РЕКИ ЦАРЕВА, Д. 89, КВ. 62</t>
  </si>
  <si>
    <t>ООО СОЛВЕКС</t>
  </si>
  <si>
    <t>414040, РОССИЯ, АСТРАХАНСКАЯ ОБЛАСТЬ, Г.О. ГОРОД АСТРАХАНЬ, Г АСТРАХАНЬ, УЛ КОММУНИСТИЧЕСКАЯ, Д. 52, ОФИС 85</t>
  </si>
  <si>
    <t>ИП МЕДВЕДЕВ МИХАИЛ ВЛАДИМИРОВИЧ</t>
  </si>
  <si>
    <t>ИП КАНГИН АЛЕКСАНДР ВЛАДИМИРОВИЧ</t>
  </si>
  <si>
    <t>ООО ГАРАНТИЯ</t>
  </si>
  <si>
    <t>416370, АСТРАХАНСКАЯ ОБЛАСТЬ, С ИКРЯНОЕ, УЛ ЗЕЛЕНАЯ, Д.4</t>
  </si>
  <si>
    <t>ИП НЕКЛЮДОВ МАКСИМ НИКОЛАЕВИЧ</t>
  </si>
  <si>
    <t>ИП САХИМОВ МАРАТ ЕРСАИНОВИЧ</t>
  </si>
  <si>
    <t>ИП КУРТА ДАРЬЯ ОЛЕГОВНА</t>
  </si>
  <si>
    <t>ИП БЛАЖИН ВИКТОР ВИКТОРОВИЧ</t>
  </si>
  <si>
    <t>ИП ШИЛИН ВАЛЕРИЙ ВАЛЕРИЕВИЧ</t>
  </si>
  <si>
    <t>ИП Анисимов Анатолий Викторович</t>
  </si>
  <si>
    <t>ИП МАТВЕЕВ АЛЕКСАНДР АЛЕКСАНДРОВИЧ</t>
  </si>
  <si>
    <t>ООО ПЛАЗА</t>
  </si>
  <si>
    <t>414000, АСТРАХАНСКАЯ ОБЛАСТЬ, Г.О. ГОРОД АСТРАХАНЬ, Г АСТРАХАНЬ, УЛ МАКСИМА ГОРЬКОГО, Д. 52/11, ПОМЕЩ 003</t>
  </si>
  <si>
    <t>ООО АТП № 1</t>
  </si>
  <si>
    <t>414004, АСТРАХАНСКАЯ ОБЛАСТЬ, Г АСТРАХАНЬ, УЛ 5-Я ЗЕЛЕНГИНСКАЯ, ЗД. 11</t>
  </si>
  <si>
    <t>ООО ТФ ДВА-КИТА</t>
  </si>
  <si>
    <t>414056, АСТРАХАНСКАЯ ОБЛАСТЬ, Г АСТРАХАНЬ, УЛ ТАТИЩЕВА, К. 57, ---------</t>
  </si>
  <si>
    <t>ООО АЛЬЯНСПРОФИТ</t>
  </si>
  <si>
    <t>414040, РОССИЯ, АСТРАХАНСКАЯ ОБЛАСТЬ, Г.О. ГОРОД АСТРАХАНЬ, Г АСТРАХАНЬ, УЛ АНРИ БАРБЮСА, Д. 32, ПОМЕЩ. 005</t>
  </si>
  <si>
    <t>ИП МАСЛИЕВ СЕРГЕЙ АНАТОЛЬЕВИЧ</t>
  </si>
  <si>
    <t>ИП БЕСПАЛОВА ЕЛЕНА ЕВГЕНЬЕВНА</t>
  </si>
  <si>
    <t>ИП Сатуев Омар Сулиманович</t>
  </si>
  <si>
    <t>ИП КОВАЛЕВА ЛИДИЯ ВЛАДИМИРОВНА</t>
  </si>
  <si>
    <t>ИП КУСАЛИЕВ ИЛЬНУР МАНСУРОВИЧ</t>
  </si>
  <si>
    <t>ИП ТАГИВЕРДИЕВ ИСМИДИН АБДУЛХАЛИКОВИЧ</t>
  </si>
  <si>
    <t>ИП ИШАНГАЛИЕВ АРМАН АЙТКАЛИЕВИЧ</t>
  </si>
  <si>
    <t>ИП ЮНУСОВ РУСЛАН РУСТАМОВИЧ</t>
  </si>
  <si>
    <t>ИП ЭЛЬБЕРГ ВЛАДИМИР ГЕЙНРИХОВИЧ</t>
  </si>
  <si>
    <t>ИП АРУТЮНЯН МАРАТ АРТУРОВИЧ</t>
  </si>
  <si>
    <t>ИП КУРБАНОВ АРТУР АБДУКАРИМОВИЧ</t>
  </si>
  <si>
    <t>ИП ЛЯЛЬКИН АНДРЕЙ АЛЕКСЕЕВИЧ</t>
  </si>
  <si>
    <t>ООО ВОЛГОТЕХСНАБ-КАСПИЙ</t>
  </si>
  <si>
    <t>414057, АСТРАХАНСКАЯ ОБЛАСТЬ, Г АСТРАХАНЬ, УЛ ФУНТОВСКОЕ ШОССЕ, СТР. 9Б/1</t>
  </si>
  <si>
    <t>ИП НАЗАРОВ ЕВГЕНИЙ ВИКТОРОВИЧ</t>
  </si>
  <si>
    <t>ИП БЫКОВ МАКСИМ АНДРЕЕВИЧ</t>
  </si>
  <si>
    <t>ИП Захаркина Юлия Сергеевна</t>
  </si>
  <si>
    <t>ИП БЕСПАЛОВ АЛЕКСЕЙ ОЛЕГОВИЧ</t>
  </si>
  <si>
    <t>ИП КУРМАНОВ КАМУН КИСАРОВИЧ</t>
  </si>
  <si>
    <t>ИП ХОДЖАЕВА КАДРИЯ МАГАЖИРОВНА</t>
  </si>
  <si>
    <t>ИП ПУШ ЕВГЕНИЙ АЛЕКСАНДРОВИЧ</t>
  </si>
  <si>
    <t>ИП АХМЕДЖАНОВ РАМИЛЬ ХАСАНОВИЧ</t>
  </si>
  <si>
    <t>ИП КРОТКОВА ЕЛЕНА АЛЕКСАНДРОВНА</t>
  </si>
  <si>
    <t>ИП ЯРИКОВ АЛЕКСЕЙ АЛЕКСАНДРОВИЧ</t>
  </si>
  <si>
    <t>ИП САРСЕНАЛИЕВА САУЛЕ ТУЛЕПБЕРГЕНОВНА</t>
  </si>
  <si>
    <t>ООО РН-АСТРАХАНЬНЕФТЕПРОДУКТ</t>
  </si>
  <si>
    <t>416150, АСТРАХАНСКАЯ ОБЛАСТЬ, Р-Н КРАСНОЯРСКИЙ, С КРАСНЫЙ ЯР, УЛ ВАТАЖЕНСКАЯ, ЗД. 12</t>
  </si>
  <si>
    <t>ООО СИНТЕТИК</t>
  </si>
  <si>
    <t>414021, АСТРАХАНСКАЯ ОБЛАСТЬ, Г.О. ГОРОД АСТРАХАНЬ, Г АСТРАХАНЬ, ПЕР 8-Й ЗАВОДСКОЙ, Д. 16</t>
  </si>
  <si>
    <t>ИП МИХАЛЕВИЧ ОКСАНА СЕРГЕЕВНА</t>
  </si>
  <si>
    <t>ИП ШАМСУТДИНОВ ИЛЬДАР ЖАЛДАТОВИЧ</t>
  </si>
  <si>
    <t>ИП МУРАТОВА ЛЯЙЛЯ ЗИННУРОВНА</t>
  </si>
  <si>
    <t>ООО БИЗНЕС КАР КАСПИЙ</t>
  </si>
  <si>
    <t>414018, АСТРАХАНСКАЯ ОБЛАСТЬ, Г АСТРАХАНЬ, УЛ АЭРОПОРТОВСКОЕ ШОССЕ, Д. 48</t>
  </si>
  <si>
    <t>ООО АВТОСИТИ</t>
  </si>
  <si>
    <t>414022, РОССИЯ, АСТРАХАНСКАЯ ОБЛАСТЬ, Г.О. ГОРОД АСТРАХАНЬ, Г АСТРАХАНЬ, УЛ НИКОЛАЯ ОСТРОВСКОГО, ЗД. 148Р</t>
  </si>
  <si>
    <t>ИП КУЗНЕЦОВА ЕКАТЕРИНА ВАСИЛЬЕВНА</t>
  </si>
  <si>
    <t>ИП ИСАЕВА НАТАЛЬЯ АЛЕКСЕЕВНА</t>
  </si>
  <si>
    <t>ИП ЗАМОТАЕВ АЛЕКСАНДР СЕРГЕЕВИЧ</t>
  </si>
  <si>
    <t>414022, АСТРАХАНСКАЯ ОБЛАСТЬ, Г АСТРАХАНЬ, УЛ НИКОЛАЯ ОСТРОВСКОГО, ЗД. 148, ЛИТЕР 5</t>
  </si>
  <si>
    <t>ООО СМАРТ ХАУС</t>
  </si>
  <si>
    <t>414022, АСТРАХАНСКАЯ ОБЛАСТЬ, Г АСТРАХАНЬ, УЛ НИКОЛАЯ ОСТРОВСКОГО, ЗД. 148, КОМ. 11</t>
  </si>
  <si>
    <t>ООО МАКСИМ</t>
  </si>
  <si>
    <t>414022, АСТРАХАНСКАЯ ОБЛАСТЬ, Г АСТРАХАНЬ, УЛ НИКОЛАЯ ОСТРОВСКОГО, СТР. 148Д, КОМ. 15</t>
  </si>
  <si>
    <t>ИП РЫНКОВА ТАТЬЯНА МИХАЙЛОВНА</t>
  </si>
  <si>
    <t>ИП КАРГИН АЛЕКСАНДР ГЕННАДЬЕВИЧ</t>
  </si>
  <si>
    <t>ИП ГОЛУБЕВА НАДЕЖДА ИВАНОВНА</t>
  </si>
  <si>
    <t>ИП ЗЕРЕНИНОВ ДЕНИС ИВАНОВИЧ</t>
  </si>
  <si>
    <t>ИП ФЕРЕНЦ ОЛЬГА АЛЕКСАНДРОВНА</t>
  </si>
  <si>
    <t>ИП МАГСУМОВ ФАИЛЬ ФАРИДОВИЧ</t>
  </si>
  <si>
    <t>ИП БАЛЯН МИКАЕЛ ГАГИКОВИЧ</t>
  </si>
  <si>
    <t>ООО ТОРГСЕРВИС 30</t>
  </si>
  <si>
    <t>414045, АСТРАХАНСКАЯ ОБЛАСТЬ, Г АСТРАХАНЬ, УЛ МОЗДОКСКАЯ, Д. 53, ЛИТЕРА В</t>
  </si>
  <si>
    <t>ИП ПАВЛЕНКО АНДРЕЙ АЛЕКСАНДРОВИЧ</t>
  </si>
  <si>
    <t>ООО ОБЪЕДИНЕНИЕ</t>
  </si>
  <si>
    <t>Белгородская область</t>
  </si>
  <si>
    <t>308002, РОССИЯ, БЕЛГОРОДСКАЯ ОБЛАСТЬ, Г.О. ГОРОД БЕЛГОРОД, Г БЕЛГОРОД, ПЕР 5-Й ЗАВОДСКОЙ, Д. 2, ОФИС 208</t>
  </si>
  <si>
    <t>ИП КАРПОВ СЕРГЕЙ АЛЕКСАНДРОВИЧ</t>
  </si>
  <si>
    <t>ИП ТЕКУЕВ ДЕНИС ХАСАНОВИЧ</t>
  </si>
  <si>
    <t>ИП ЧЕРНОВ ЮРИЙ ВЛАДИМИРОВИЧ</t>
  </si>
  <si>
    <t>ИП Пчелинова Людмила Владимировна</t>
  </si>
  <si>
    <t>ООО АЛАНТВЕЙ</t>
  </si>
  <si>
    <t>308023, РОССИЯ, БЕЛГОРОДСКАЯ ОБЛАСТЬ, Г.О. ГОРОД БЕЛГОРОД, Г БЕЛГОРОД, УЛ СТУДЕНЧЕСКАЯ, Д. 40, ОФИС 4</t>
  </si>
  <si>
    <t>ИП ДОБРОДОМОВ СЕРГЕЙ ВИКТОРОВИЧ</t>
  </si>
  <si>
    <t>ИП ДЕМЧЕНКО СЕРГЕЙ ВЛАДИМИРОВИЧ</t>
  </si>
  <si>
    <t>ИП Козеев Алексей Владимирович</t>
  </si>
  <si>
    <t>ООО ЕВРОТРАКДЕТАЛЬ</t>
  </si>
  <si>
    <t>308006, БЕЛГОРОДСКАЯ ОБЛАСТЬ, Г БЕЛГОРОД, УЛ КОРОЧАНСКАЯ, Д.43</t>
  </si>
  <si>
    <t>ИП ШИШЛАКОВ ВИТАЛИЙ ПАВЛОВИЧ</t>
  </si>
  <si>
    <t>ИП НЕТРЕБЕНКО ИРИНА АЛЕКСАНДРОВНА</t>
  </si>
  <si>
    <t>ООО РЕГИОНТРАКСЕРВИС</t>
  </si>
  <si>
    <t>308009, БЕЛГОРОДСКАЯ ОБЛАСТЬ, Г БЕЛГОРОД, УЛ КОНСТАНТИНА ЗАСЛОНОВА, Д. 90, ОФИС 1</t>
  </si>
  <si>
    <t>ООО ЕВРО СПРЕЙ</t>
  </si>
  <si>
    <t>Импортер, УОТ, Производитель</t>
  </si>
  <si>
    <t>308006, БЕЛГОРОДСКАЯ ОБЛАСТЬ, Г БЕЛГОРОД, УЛ КОРОЧАНСКАЯ, Д. 132А, ОФИС 8</t>
  </si>
  <si>
    <t>ООО СПЕЦШИНА</t>
  </si>
  <si>
    <t>309991, БЕЛГОРОДСКАЯ ОБЛАСТЬ, Р-Н ВАЛУЙСКИЙ, Г ВАЛУЙКИ, УЛ КОММУНИСТИЧЕСКАЯ, Д. 38</t>
  </si>
  <si>
    <t>ООО РИНГ АВТО ОСКОЛ</t>
  </si>
  <si>
    <t>309516, БЕЛГОРОДСКАЯ ОБЛАСТЬ, Г СТАРЫЙ ОСКОЛ, ПР-КТ АЛЕКСЕЯ УГАРОВА, Д.22</t>
  </si>
  <si>
    <t>ИП СОЛОНЕЦ АЛЕКСАНДР ГЕОРГИЕВИЧ</t>
  </si>
  <si>
    <t>ИП САМОСЕНОК ВЛАДИСЛАВ ОЛЕГОВИЧ</t>
  </si>
  <si>
    <t>ИП КОРОЛЕВА НАТАЛЬЯ ГРИГОРЬЕВНА</t>
  </si>
  <si>
    <t>ИП ГНЕЗДИЛОВ НИКОЛАЙ НИКОЛАЕВИЧ</t>
  </si>
  <si>
    <t>ООО БТП</t>
  </si>
  <si>
    <t>308015, РОССИЯ, БЕЛГОРОДСКАЯ ОБЛАСТЬ, Г.О. ГОРОД БЕЛГОРОД, Г БЕЛГОРОД, УЛ СУМСКАЯ, Д. 68Б, ПОМЕЩ. 1</t>
  </si>
  <si>
    <t>ИП КИРИЛИН ПАВЕЛ НИКОЛАЕВИЧ</t>
  </si>
  <si>
    <t>ФГБОУ ВО БЕЛГОРОДСКИЙ ГАУ, БЕЛГОРОДСКИЙ ГАУ</t>
  </si>
  <si>
    <t>308503, БЕЛГОРОДСКАЯ ОБЛАСТЬ, Р-Н БЕЛГОРОДСКИЙ, П МАЙСКИЙ, УЛ ВАВИЛОВА, Д. 1, -</t>
  </si>
  <si>
    <t>ИП МИРОШНИКОВА НАТАЛЬЯ ИВАНОВНА</t>
  </si>
  <si>
    <t>ИП ЩЕРБАК СЕРГЕЙ ВИКТОРОВИЧ</t>
  </si>
  <si>
    <t>ИП СЛИНЬКО НИНЕЛЬ ВЛАДИМИРОВНА</t>
  </si>
  <si>
    <t>ИП Макаров Гиви Георгиевич</t>
  </si>
  <si>
    <t>ИП Торопов Альберт Викторович</t>
  </si>
  <si>
    <t>ИП СВЕРТОКИН СЕРГЕЙ СЕРГЕЕВИЧ</t>
  </si>
  <si>
    <t>ИП ГОНДУСОВА ИРИНА СВЯТОСЛАВНА</t>
  </si>
  <si>
    <t>ИП ГАМОЛИН МАКСИМ АЛЕКСЕЕВИЧ</t>
  </si>
  <si>
    <t>ИП РОЖНОВ СЕРГЕЙ ЕВГЕНЬЕВИЧ</t>
  </si>
  <si>
    <t>ООО АГРОАЛЬЯНС-ЛОГИСТИК</t>
  </si>
  <si>
    <t>309206, БЕЛГОРОДСКАЯ ОБЛАСТЬ, Р-Н КОРОЧАНСКИЙ, С АЛЕКСЕЕВКА, УЛ КРИВОПУСТОВА, Д. 19, КАБИНЕТ 1</t>
  </si>
  <si>
    <t>ИП ЧИКАЛОВ АЛЕКСАНДР ВАСИЛЬЕВИЧ</t>
  </si>
  <si>
    <t>ИП Ревенко Юрий Александрович</t>
  </si>
  <si>
    <t>ООО МЕЧТА</t>
  </si>
  <si>
    <t>309641, РОССИЯ, БЕЛГОРОДСКАЯ ОБЛАСТЬ, М.О. НОВООСКОЛЬСКИЙ, Г НОВЫЙ ОСКОЛ, УЛ КООПЕРАТИВНАЯ, Д. 40</t>
  </si>
  <si>
    <t>ИП САВЧЕНКОВА ЛЮБОВЬ НИКОЛАЕВНА</t>
  </si>
  <si>
    <t>ИП ГОЛУБОВА ЗИНАИДА ПЕТРОВНА</t>
  </si>
  <si>
    <t>ИП СЕЛЕЗНЁВ СЕРГЕЙ ВАСИЛЬЕВИЧ</t>
  </si>
  <si>
    <t>ИП ЧАЛЫЙ ВИТАЛИЙ ЕВГЕНЬЕВИЧ</t>
  </si>
  <si>
    <t>ОГБУЗ НОВО-ТАВОЛЖАНСКАЯ БОЛЬНИЦА МЕДИЦИНСКОЙ РЕАБИЛИТАЦИИ</t>
  </si>
  <si>
    <t>309255, БЕЛГОРОДСКАЯ ОБЛАСТЬ, Р-Н ШЕБЕКИНСКИЙ, С НОВАЯ ТАВОЛЖАНКА, УЛ САДОВАЯ, Д. 3</t>
  </si>
  <si>
    <t>ИП РОМАНЮК ЕВГЕНИЙ АНАТОЛЬЕВИЧ</t>
  </si>
  <si>
    <t>ООО ФАВОРИТ</t>
  </si>
  <si>
    <t>309070, БЕЛГОРОДСКАЯ ОБЛАСТЬ, Р-Н ЯКОВЛЕВСКИЙ, Г СТРОИТЕЛЬ, УЛ ЦЕНТРАЛЬНАЯ, ВЛД. 14А</t>
  </si>
  <si>
    <t>ИП КОЛЕСОВ ВЛАДИМИР НИКОЛАЕВИЧ</t>
  </si>
  <si>
    <t>ООО АВТОТРЕЙД 31</t>
  </si>
  <si>
    <t>309857, БЕЛГОРОДСКАЯ ОБЛАСТЬ, М.О. АЛЕКСЕЕВСКИЙ, Г АЛЕКСЕЕВКА, УЛ КОМСОМОЛЬСКАЯ, Д. 92А</t>
  </si>
  <si>
    <t>ГБОУ БЕЛГОРОДСКАЯ КОРРЕКЦИОННАЯ ОБЩЕОБРАЗОВАТЕЛЬНАЯ ШКОЛА-ИНТЕРНАТ № 23</t>
  </si>
  <si>
    <t>308036, БЕЛГОРОДСКАЯ ОБЛАСТЬ, Г БЕЛГОРОД, УЛ БУДЕННОГО, Д.4, -, -</t>
  </si>
  <si>
    <t>ОГБУЗ САНАТОРИЙ ДЛЯ ДЕТЕЙ С РОДИТЕЛЯМИ</t>
  </si>
  <si>
    <t>308006, БЕЛГОРОДСКАЯ ОБЛАСТЬ, Г БЕЛГОРОД, УЛ ВОЛЧАНСКАЯ, Д.280, -, -</t>
  </si>
  <si>
    <t>ООО ПЛАТОС</t>
  </si>
  <si>
    <t>309516, РОССИЯ, БЕЛГОРОДСКАЯ ОБЛАСТЬ, Г.О. СТАРООСКОЛЬСКИЙ, Г СТАРЫЙ ОСКОЛ, МКР ЗЕЛЕНЫЙ ЛОГ, Д. 5, ПОМЕЩ. 303А</t>
  </si>
  <si>
    <t>ООО ШБ-МОТО</t>
  </si>
  <si>
    <t>309503, РОССИЯ, БЕЛГОРОДСКАЯ ОБЛАСТЬ, Г.О. СТАРООСКОЛЬСКИЙ, Г СТАРЫЙ ОСКОЛ, МКР ВОСТОЧНЫЙ, Д. 3, КВ. 16</t>
  </si>
  <si>
    <t>ООО ФУКС ЛУБРИКАНТС</t>
  </si>
  <si>
    <t>308025, РОССИЯ, БЕЛГОРОДСКАЯ ОБЛАСТЬ, Г.О. ГОРОД БЕЛГОРОД, Г БЕЛГОРОД, УЛ СУМСКАЯ, Д. 168, ОФИС 106</t>
  </si>
  <si>
    <t>ООО АВС АВТО</t>
  </si>
  <si>
    <t>308027, РОССИЯ, БЕЛГОРОДСКАЯ ОБЛАСТЬ, Г.О. ГОРОД БЕЛГОРОД, Г БЕЛГОРОД, УЛ ЖЕЛЕЗНОДОРОЖНАЯ, Д. 133, ПОМЕЩ. 10</t>
  </si>
  <si>
    <t>ООО БЫТХОЗТОРГ</t>
  </si>
  <si>
    <t>308017, РОССИЯ, БЕЛГОРОДСКАЯ ОБЛАСТЬ, Г.О. ГОРОД БЕЛГОРОД, Г БЕЛГОРОД, УЛ КОРОЧАНСКАЯ, Д. 152, ОФИС 7</t>
  </si>
  <si>
    <t>ООО ТРИНИТИ МОТОРС</t>
  </si>
  <si>
    <t>308023, РОССИЯ, БЕЛГОРОДСКАЯ ОБЛАСТЬ, Г.О. ГОРОД БЕЛГОРОД, Г БЕЛГОРОД, УЛ СТУДЕНЧЕСКАЯ, Д. 1Л, ЭТАЖ 2, ПОМЕЩ. 8</t>
  </si>
  <si>
    <t>ИП ДМИТРИЕВ ВАЛЕНТИН ВЛАДИМИРОВИЧ</t>
  </si>
  <si>
    <t>ИП Болдина Инна Олеговна</t>
  </si>
  <si>
    <t>ООО БТС</t>
  </si>
  <si>
    <t>308519, БЕЛГОРОДСКАЯ ОБЛАСТЬ, Р-Н БЕЛГОРОДСКИЙ, ПГТ СЕВЕРНЫЙ, ТРАНСПОРТНАЯ УЛ. Д.1-Б</t>
  </si>
  <si>
    <t>ООО ТРИНИТИ-БЕЛГОРОД-АВТО</t>
  </si>
  <si>
    <t>308010, БЕЛГОРОДСКАЯ ОБЛАСТЬ, Р-Н БЕЛГОРОДСКИЙ, П СЕВЕРНЫЙ 1-Й, ПР-КТ БОГДАНА ХМЕЛЬНИЦКОГО, Д. 182</t>
  </si>
  <si>
    <t>ИП СЛИНЬКО РОМАН АЛЕКСАНДРОВИЧ</t>
  </si>
  <si>
    <t>ИП Шкарпеткин Андрей Леонидович</t>
  </si>
  <si>
    <t>ИП ШАПОВАЛЕНКО МАРИНА НИКОЛАЕВНА</t>
  </si>
  <si>
    <t>ИП ВАСИЛЬЕВА ЮЛИЯ ЮРИЕВНА</t>
  </si>
  <si>
    <t>ИП ОВЧАРЕНКО ВЛАДИМИР СЕРГЕЕВИЧ</t>
  </si>
  <si>
    <t>ИП ЕРМИШИНА ЛЮДМИЛА НИКОЛАЕВНА</t>
  </si>
  <si>
    <t>ИП ПРИБЫЛЫХ АЛЕКСАНДР БОРИСОВИЧ</t>
  </si>
  <si>
    <t>309561, БЕЛГОРОДСКАЯ ОБЛАСТЬ, Р-Н ЧЕРНЯНСКИЙ, П ЧЕРНЯНКА, УЛ ЧКАЛОВА, ЗД. 13</t>
  </si>
  <si>
    <t>ИП БОГАТЫРЕВА ТАТЬЯНА ПЕТРОВНА</t>
  </si>
  <si>
    <t>ИП УВАРОВ АЛЕКСАНДР ВАЛЕРЬЕВИЧ</t>
  </si>
  <si>
    <t>МБДОУ ДЕТСКИЙ САД С.КУСТОВОЕ ЯКОВЛЕВСКОГО МУНИЦИПАЛЬНОГО ОКРУГА</t>
  </si>
  <si>
    <t>309081, БЕЛГОРОДСКАЯ ОБЛАСТЬ, Р-Н ЯКОВЛЕВСКИЙ, С КУСТОВОЕ, УЛ ДЗЕРЖИНСКОГО, Д. 100, -</t>
  </si>
  <si>
    <t>ИП Туренко Денис Валерьевич</t>
  </si>
  <si>
    <t>ООО ТНК</t>
  </si>
  <si>
    <t>308009, РОССИЯ, БЕЛГОРОДСКАЯ ОБЛАСТЬ, Г.О. ГОРОД БЕЛГОРОД, Г БЕЛГОРОД, УЛ ВОЛЧАНСКАЯ, Д. 141</t>
  </si>
  <si>
    <t>ООО ОСКОЛ РЕМШИНА</t>
  </si>
  <si>
    <t>309510, РОССИЯ, БЕЛГОРОДСКАЯ ОБЛАСТЬ, Г.О. СТАРООСКОЛЬСКИЙ, Г СТАРЫЙ ОСКОЛ, МКР ЛЕБЕДИНЕЦ, Д. 7, КВ. 24</t>
  </si>
  <si>
    <t>ООО ТАНДЕМАГРО</t>
  </si>
  <si>
    <t>308009, РОССИЯ, БЕЛГОРОДСКАЯ ОБЛАСТЬ, Г.О. ГОРОД БЕЛГОРОД, Г БЕЛГОРОД, УЛ ДЗГОЕВА, Д. 5, ОФИС 1</t>
  </si>
  <si>
    <t>ООО ГУДТРАКС</t>
  </si>
  <si>
    <t>308519, БЕЛГОРОДСКАЯ ОБЛАСТЬ, Р-Н БЕЛГОРОДСКИЙ, ПГТ СЕВЕРНЫЙ, УЛ ТРАНСПОРТНАЯ, Д. 14</t>
  </si>
  <si>
    <t>ИП КРИВЦОВ ИЛЬЯ АНДРЕЕВИЧ</t>
  </si>
  <si>
    <t>ИП Повпыко Виталий Владимирович</t>
  </si>
  <si>
    <t>ИП ДЕНИСЕНКО ИННА АНДРЕЕВНА</t>
  </si>
  <si>
    <t>ИП СТАРЦЕВА НАТАЛЬЯ ЛЕОНИДОВНА</t>
  </si>
  <si>
    <t>ИП ХАМЕЛИН АЛЕКСАНДР НИКОЛАЕВИЧ</t>
  </si>
  <si>
    <t>ИП БУСЛОВСКАЯ СВЕТЛАНА ИВАНОВНА</t>
  </si>
  <si>
    <t>ИП ГЛИНСКИЙ АЛЕКСАНДР ВИКТОРОВИЧ</t>
  </si>
  <si>
    <t>ИП ГАЛАЙКО АЛЕКСАНДР ИВАНОВИЧ</t>
  </si>
  <si>
    <t>ИП АНДРЕЕВ АЛЕКСАНДР ВИКТОРОВИЧ</t>
  </si>
  <si>
    <t>ИП РОМАСЬ МАРИНА ВЛАДИМИРОВНА</t>
  </si>
  <si>
    <t>ИП БЕСАЕВА ЕКАТЕРИНА АЛЕКСАНДРОВНА</t>
  </si>
  <si>
    <t>ИП ЗАХАРОВ ДМИТРИЙ АЛЕКСАНДРОВИЧ</t>
  </si>
  <si>
    <t>ИП САЛАГАЕВ АНТОН ЕВГЕНЬЕВИЧ</t>
  </si>
  <si>
    <t>ИП Дьяченко Владислав Викторович</t>
  </si>
  <si>
    <t>ИП КРИВЦОВА ЛАРИСА АЛЕКСАНДРОВНА</t>
  </si>
  <si>
    <t>ИП Коренева Ирина Валентиновна</t>
  </si>
  <si>
    <t>ИП СИДОРКОВ ОЛЕГ ВЯЧЕСЛАВОВИЧ</t>
  </si>
  <si>
    <t>ИП КИРИЧЕНКО ИРИНА АЛЕКСЕЕВНА</t>
  </si>
  <si>
    <t>ИП БЫКОВ АНДРЕЙ АНАТОЛЬЕВИЧ</t>
  </si>
  <si>
    <t>ИП Гладышев Артур Васильевич</t>
  </si>
  <si>
    <t>ИП КУЛЕШОВ ВАСИЛИЙ ИВАНОВИЧ</t>
  </si>
  <si>
    <t>ИП СМИРНОВ АЛЕКСАНДР ФЕЛИКСОВИЧ</t>
  </si>
  <si>
    <t>ИП ЗУЕВ СЕРГЕЙ МИХАЙЛОВИЧ</t>
  </si>
  <si>
    <t>ООО  ИНТЕРКАР</t>
  </si>
  <si>
    <t>308010, БЕЛГОРОДСКАЯ ОБЛАСТЬ, Г БЕЛГОРОД, ПР-КТ Б.ХМЕЛЬНИЦКОГО, Д. 205 А, ПОМЕЩ. 2</t>
  </si>
  <si>
    <t>ООО  АВЕНТИН-АУТО</t>
  </si>
  <si>
    <t>308010, БЕЛГОРОДСКАЯ ОБЛАСТЬ, Г БЕЛГОРОД, ПР-КТ Б.ХМЕЛЬНИЦКОГО, ЗД. 205Б, -</t>
  </si>
  <si>
    <t>ООО АБ СЕРВИС</t>
  </si>
  <si>
    <t>308019, БЕЛГОРОДСКАЯ ОБЛАСТЬ, Г БЕЛГОРОД, УЛ ВОРОШИЛОВА, Д. 2А, ОФИС 304</t>
  </si>
  <si>
    <t>ИП ГАВРИК АЛЕКСАНДР ИВАНОВИЧ</t>
  </si>
  <si>
    <t>ООО АВАЛОН</t>
  </si>
  <si>
    <t>308010, БЕЛГОРОДСКАЯ ОБЛАСТЬ, Г БЕЛГОРОД, ПР-КТ Б.ХМЕЛЬНИЦКОГО, ДОМ 209</t>
  </si>
  <si>
    <t>ООО АВЕНТИН-СЕРВИС +</t>
  </si>
  <si>
    <t>308010, БЕЛГОРОДСКАЯ ОБЛАСТЬ, Г БЕЛГОРОД, ПР-КТ Б.ХМЕЛЬНИЦКОГО, ЗД. 205Б</t>
  </si>
  <si>
    <t>ООО БЕЛТРАКЦЕНТР</t>
  </si>
  <si>
    <t>ООО СОЛИД</t>
  </si>
  <si>
    <t>308023, БЕЛГОРОДСКАЯ ОБЛАСТЬ, Г БЕЛГОРОД, УЛ СТУДЕНЧЕСКАЯ, Д. 21А, ПОМЕЩ. 4</t>
  </si>
  <si>
    <t>ООО ОРИГИНАЛ ЦЕНТР</t>
  </si>
  <si>
    <t>308015, БЕЛГОРОДСКАЯ ОБЛАСТЬ, Г БЕЛГОРОД, УЛ СУМСКАЯ, Д.8, ОФИС 318/1</t>
  </si>
  <si>
    <t>308024, БЕЛГОРОДСКАЯ ОБЛАСТЬ, Г БЕЛГОРОД, УЛ АРХИЕРЕЙСКАЯ, Д. 5А, ПОМЕЩ. 1</t>
  </si>
  <si>
    <t>ООО НОВО ТЕХ</t>
  </si>
  <si>
    <t>308026, БЕЛГОРОДСКАЯ ОБЛАСТЬ, Г.О. ГОРОД БЕЛГОРОД, Г БЕЛГОРОД, ПЕР 1-Й ПРИДОРОЖНЫЙ, Д. 2, ОФИС 1</t>
  </si>
  <si>
    <t>ИП БАРАНОВА АННА ВИТАЛЬЕВНА</t>
  </si>
  <si>
    <t>ООО БЕЛАВТОРЕЗЕРВ</t>
  </si>
  <si>
    <t>308023, БЕЛГОРОДСКАЯ ОБЛАСТЬ, Г БЕЛГОРОД, ПЕР 5-Й ЗАВОДСКОЙ, Д. 11, ЛИТЕР А6, ОФИС 3</t>
  </si>
  <si>
    <t>ООО ВЕРСО ГРУПП</t>
  </si>
  <si>
    <t>308570, БЕЛГОРОДСКАЯ ОБЛАСТЬ, Р-Н БЕЛГОРОДСКИЙ, С БЕЛОМЕСТНОЕ, УЛ ЗАПАДНАЯ, ЗД. 1А</t>
  </si>
  <si>
    <t>ООО МОТОБЕЛ</t>
  </si>
  <si>
    <t>308010, БЕЛГОРОДСКАЯ ОБЛАСТЬ, Г БЕЛГОРОД, УЛ ЧЕЛЮСКИНЦЕВ, Д. 68Б</t>
  </si>
  <si>
    <t>ООО АННАТРАК</t>
  </si>
  <si>
    <t>308002, РОССИЯ, БЕЛГОРОДСКАЯ ОБЛАСТЬ, Г.О. ГОРОД БЕЛГОРОД, Г БЕЛГОРОД, ПР-КТ Б.ХМЕЛЬНИЦКОГО, Д. 133В, ОФИС 718</t>
  </si>
  <si>
    <t>ООО ГУБКИНАВТОТРЕЙД</t>
  </si>
  <si>
    <t>309186, БЕЛГОРОДСКАЯ ОБЛАСТЬ, Г ГУБКИН, УЛ ДЗЕРЖИНСКОГО, Д.17</t>
  </si>
  <si>
    <t>ИП АГАФОНОВ АЛЕКСЕЙ ЮРЬЕВИЧ</t>
  </si>
  <si>
    <t>ИП АНТОНКИН АРТУР ВЕНЕРОВИЧ</t>
  </si>
  <si>
    <t>ИП ПОПОВ АЛЕКСАНДР ВЛАДИМИРОВИЧ</t>
  </si>
  <si>
    <t>ООО ДУКАТСНАБ-АВТО</t>
  </si>
  <si>
    <t>309504, БЕЛГОРОДСКАЯ ОБЛАСТЬ, Г СТАРЫЙ ОСКОЛ, ПР-КТ КОМСОМОЛЬСКИЙ, Д. 73 Б, ОФИС 1</t>
  </si>
  <si>
    <t>ИП ЗАРОЧИНЦЕВ АЛЕКСЕЙ ЮРЬЕВИЧ</t>
  </si>
  <si>
    <t>ИП МАКАРОВА НАТАЛЬЯ АЛЕКСЕЕВНА</t>
  </si>
  <si>
    <t>ООО СОЮЗ ГРУПП</t>
  </si>
  <si>
    <t>309540, БЕЛГОРОДСКАЯ ОБЛАСТЬ, Г СТАРЫЙ ОСКОЛ, ПР-КТ АЛЕКСЕЯ УГАРОВА, Д. 104</t>
  </si>
  <si>
    <t>309514, БЕЛГОРОДСКАЯ ОБЛАСТЬ, Г СТАРЫЙ ОСКОЛ, УЛ ОКТЯБРЬСКАЯ, Д.5, К.А, ПОМЕЩЕНИЕ 7</t>
  </si>
  <si>
    <t>ООО МАРТИНА</t>
  </si>
  <si>
    <t>309516, БЕЛГОРОДСКАЯ ОБЛАСТЬ, Г СТАРЫЙ ОСКОЛ, ПЕР 3-Й СОСЕНКИ, Д. 2/43</t>
  </si>
  <si>
    <t>ООО ЭЛЕМЕНТ</t>
  </si>
  <si>
    <t>309502, БЕЛГОРОДСКАЯ ОБЛАСТЬ, Г СТАРЫЙ ОСКОЛ, МКР НАДЕЖДА, Д. 5, ПАВ. 27Г</t>
  </si>
  <si>
    <t>ООО ОСКОЛТЕХ</t>
  </si>
  <si>
    <t>309517, БЕЛГОРОДСКАЯ ОБЛАСТЬ, Г.О. СТАРООСКОЛЬСКИЙ, Г СТАРЫЙ ОСКОЛ, МКР ВЕСЕННИЙ, Д. 11, КАБ. 302</t>
  </si>
  <si>
    <t>ИП КОТЕНЕВ АНДРЕЙ АЛЕКСАНДРОВИЧ</t>
  </si>
  <si>
    <t>ИП СЕМЕНЕЦ ИЛЬЯ ИГОРЕВИЧ</t>
  </si>
  <si>
    <t>ИП РОЩУПКИН АРТЕМ ГЕОРГИЕВИЧ</t>
  </si>
  <si>
    <t>ООО АВТОСЕРВИС ВОЛЖАНКА</t>
  </si>
  <si>
    <t>308002, БЕЛГОРОДСКАЯ ОБЛАСТЬ, Г БЕЛГОРОД, УЛ МИЧУРИНА, Д.106, -, -</t>
  </si>
  <si>
    <t>ООО АЗР-БЕЛГОРОД</t>
  </si>
  <si>
    <t>308024, БЕЛГОРОДСКАЯ ОБЛАСТЬ, Г БЕЛГОРОД, УЛ АРХИЕРЕЙСКАЯ, Д.8, -, -</t>
  </si>
  <si>
    <t>ИП ЕРЕМИН НИКОЛАЙ ВАСИЛЬЕВИЧ</t>
  </si>
  <si>
    <t>308023, БЕЛГОРОДСКАЯ ОБЛАСТЬ, Г БЕЛГОРОД, УЛ СТУДЕНЧЕСКАЯ, Д.21Г, -, -</t>
  </si>
  <si>
    <t>ООО АВТОГАРАНТ +</t>
  </si>
  <si>
    <t>308023, БЕЛГОРОДСКАЯ ОБЛАСТЬ, Г БЕЛГОРОД, УЛ СТУДЕНЧЕСКАЯ, Д. 21Б, ОФИС 1</t>
  </si>
  <si>
    <t>ООО МПЗ АГРО-БЕЛОГОРЬЕ</t>
  </si>
  <si>
    <t>308019, БЕЛГОРОДСКАЯ ОБЛАСТЬ, Г БЕЛГОРОД, УЛ ВОРОШИЛОВА, Д.2Б, -</t>
  </si>
  <si>
    <t>ООО МУЛЬТИПАРТ</t>
  </si>
  <si>
    <t>308004, БЕЛГОРОДСКАЯ ОБЛАСТЬ, Г.О. ГОРОД БЕЛГОРОД, Г БЕЛГОРОД, УЛ ЩОРСА, Д. 45, ОФИС 221</t>
  </si>
  <si>
    <t>ООО КОМТРАНС БЕЛГОРОД</t>
  </si>
  <si>
    <t>308015, БЕЛГОРОДСКАЯ ОБЛАСТЬ, Г БЕЛГОРОД, УЛ ВЕЗЕЛЬСКАЯ, Д. 81В, ОФИС 13</t>
  </si>
  <si>
    <t>ИП КУРЛОВ ДЕНИС АЛЕКСАНДРОВИЧ</t>
  </si>
  <si>
    <t>ИП КОРОТКОВА АННА СЕРГЕЕВНА</t>
  </si>
  <si>
    <t>ИП ДЕГТЯРЕВ АЛЕКСАНДР МИХАЙЛОВИЧ</t>
  </si>
  <si>
    <t>308006, БЕЛГОРОДСКАЯ ОБЛАСТЬ, Г БЕЛГОРОД, УЛ КОРОЧАНСКАЯ, Д. 39Г, ЭТАЖ 1</t>
  </si>
  <si>
    <t>ООО АВТО-ПРЕСТИЖ</t>
  </si>
  <si>
    <t>308026, БЕЛГОРОДСКАЯ ОБЛАСТЬ, Г БЕЛГОРОД, ПЕР 1-Й ПРИДОРОЖНЫЙ, Д. 2, ОФИС 8</t>
  </si>
  <si>
    <t>ООО  ГИДРАВЛИКА БЕЛОГОРЬЯ</t>
  </si>
  <si>
    <t>308009, БЕЛГОРОДСКАЯ ОБЛАСТЬ, Г БЕЛГОРОД, УЛ КОНСТАНТИНА ЗАСЛОНОВА, Д. 173, ОФИС 21</t>
  </si>
  <si>
    <t>ООО БИЗНЕС СОЛЮШНС</t>
  </si>
  <si>
    <t>308009, БЕЛГОРОДСКАЯ ОБЛАСТЬ, Г БЕЛГОРОД, ПР-КТ ГРАЖДАНСКИЙ, Д. 47, ОФИС 420</t>
  </si>
  <si>
    <t>ООО АВТОДОК</t>
  </si>
  <si>
    <t>308000, БЕЛГОРОДСКАЯ ОБЛАСТЬ, Г БЕЛГОРОД, ПР-КТ Б.ХМЕЛЬНИЦКОГО, Д. 92</t>
  </si>
  <si>
    <t>ИП КВИТЧАСТЫЙ ТИМОФЕЙ ВИТАЛЬЕВИЧ</t>
  </si>
  <si>
    <t>308006, БЕЛГОРОДСКАЯ ОБЛАСТЬ, Г БЕЛГОРОД, УЛ КОРОЧАНСКАЯ, Д. 132А</t>
  </si>
  <si>
    <t>ИП ЕФРЕМОВ АРТЕМ ОЛЕГОВИЧ</t>
  </si>
  <si>
    <t>ИП МАНУКОВ ДАВИД АЛЬБЕРТОВИЧ</t>
  </si>
  <si>
    <t>ООО МОТОТАЙМ</t>
  </si>
  <si>
    <t>308009, РОССИЯ, БЕЛГОРОДСКАЯ ОБЛАСТЬ, Г.О. ГОРОД БЕЛГОРОД, Г БЕЛГОРОД, УЛ ДЗГОЕВА, Д. 4, ОФИС 102</t>
  </si>
  <si>
    <t>ИП КОСЕНКОВА ИННА НИКОЛАЕВНА</t>
  </si>
  <si>
    <t>ООО АГРОВИТ</t>
  </si>
  <si>
    <t>309993, БЕЛГОРОДСКАЯ ОБЛАСТЬ, Р-Н ВАЛУЙСКИЙ, Г ВАЛУЙКИ, УЛ СУРЖИКОВА, Д. 30/1</t>
  </si>
  <si>
    <t>ИП НИКОНОВ АНДРЕЙ НИКОЛАЕВИЧ</t>
  </si>
  <si>
    <t>ИП САФОННИКОВ СЕРГЕЙ ВЛАДИМИРОВИЧ</t>
  </si>
  <si>
    <t>ГБСУСОССЗН СТАРООСКОЛЬСКИЙ ДОМ-ИНТЕРНАТ ДЛЯ ПРЕСТАРЕЛЫХ И ИНВАЛИДОВ</t>
  </si>
  <si>
    <t>309500, БЕЛГОРОДСКАЯ ОБЛАСТЬ, Г СТАРЫЙ ОСКОЛ, УЛ УБЛИНСКИЕ ГОРЫ, Д.1</t>
  </si>
  <si>
    <t>ООО ПОЛЮС АВТОСТРОЙ</t>
  </si>
  <si>
    <t>309517, БЕЛГОРОДСКАЯ ОБЛАСТЬ, Г СТАРЫЙ ОСКОЛ, ПЛ-КА МАШИНОСТРОИТЕЛЬНАЯ ПРОЕЗД-3 (ЮЗ П/Р ПРОМЗОНА), ЗД. 1</t>
  </si>
  <si>
    <t>ООО СТРОЙАГРОСЕРВИС</t>
  </si>
  <si>
    <t>309514, БЕЛГОРОДСКАЯ ОБЛАСТЬ, Г.О. СТАРООСКОЛЬСКИЙ, Г СТАРЫЙ ОСКОЛ, УЛ ОКТЯБРЬСКАЯ, Д. 5А, ПОМЕЩ. 7</t>
  </si>
  <si>
    <t>ООО ОГК</t>
  </si>
  <si>
    <t>309508, БЕЛГОРОДСКАЯ ОБЛАСТЬ, Г СТАРЫЙ ОСКОЛ, УЛ АРХИТЕКТОРА БУТОВОЙ, Д.16</t>
  </si>
  <si>
    <t>ИП Солодовник Алексей Леонидович</t>
  </si>
  <si>
    <t>ООО АМС</t>
  </si>
  <si>
    <t>308001, БЕЛГОРОДСКАЯ ОБЛАСТЬ, Г БЕЛГОРОД, УЛ БЕЛГОРОДСКОГО ПОЛКА, Д. 33, КВ. 11</t>
  </si>
  <si>
    <t>ООО РА</t>
  </si>
  <si>
    <t>308009, БЕЛГОРОДСКАЯ ОБЛАСТЬ, Г БЕЛГОРОД, УЛ МИХАЙЛОВСКОЕ ШОССЕ, Д.5, К.А, 0</t>
  </si>
  <si>
    <t>ООО КАНЦЛЕР</t>
  </si>
  <si>
    <t>308000, БЕЛГОРОДСКАЯ ОБЛАСТЬ, Г БЕЛГОРОД, ПР-КТ СЛАВЫ, Д.68, К.0, 0</t>
  </si>
  <si>
    <t>ИП БАХОЛДИНА СВЕТЛАНА ВИКТОРОВНА</t>
  </si>
  <si>
    <t>ООО МЦ БЕЛОГОРЬЕ</t>
  </si>
  <si>
    <t>308023, БЕЛГОРОДСКАЯ ОБЛАСТЬ, Г БЕЛГОРОД, УЛ СТУДЕНЧЕСКАЯ, ДОМ 1 У, -, -</t>
  </si>
  <si>
    <t>ИП АРТЕМЕНКО АЛЕКСАНДР ЮРЬЕВИЧ</t>
  </si>
  <si>
    <t>ООО МЕРКУРИЙ</t>
  </si>
  <si>
    <t>308013, БЕЛГОРОДСКАЯ ОБЛАСТЬ, Г БЕЛГОРОД, УЛ КООПЕРАТИВНАЯ, Д. 2, ОФИС 6Б</t>
  </si>
  <si>
    <t>ООО СПЕЦПРОМПОСТАВКИ</t>
  </si>
  <si>
    <t>308023, БЕЛГОРОДСКАЯ ОБЛАСТЬ, Г БЕЛГОРОД, УЛ СТУДЕНЧЕСКАЯ, ДОМ 17В, ОФИС 1</t>
  </si>
  <si>
    <t>ООО МОРАВИЯ-ЭСТЕЙТ</t>
  </si>
  <si>
    <t>308000, БЕЛГОРОДСКАЯ ОБЛАСТЬ, Г БЕЛГОРОД, ПР-КТ Б.ХМЕЛЬНИЦКОГО, Д.205Б</t>
  </si>
  <si>
    <t>ООО СТИЛЬ-АВТО</t>
  </si>
  <si>
    <t>308009, БЕЛГОРОДСКАЯ ОБЛАСТЬ, Г.О. ГОРОД БЕЛГОРОД, Г БЕЛГОРОД, УЛ РАБОЧАЯ, Д. 22</t>
  </si>
  <si>
    <t>ООО АНТАРА+</t>
  </si>
  <si>
    <t>308013, РОССИЯ, БЕЛГОРОДСКАЯ ОБЛАСТЬ, Г.О. ГОРОД БЕЛГОРОД, Г БЕЛГОРОД, УЛ МИХАЙЛОВСКОЕ ШОССЕ, Д. 34Б, ОФИС 1</t>
  </si>
  <si>
    <t>ИП САДОВНИК СЕРГЕЙ ГЕННАДИЕВИЧ</t>
  </si>
  <si>
    <t>ООО ПИ</t>
  </si>
  <si>
    <t>308006, БЕЛГОРОДСКАЯ ОБЛАСТЬ, Г БЕЛГОРОД, ПЕР 4-Й ВОЛЧАНСКИЙ, Д. 19, ОФИС 12</t>
  </si>
  <si>
    <t>ООО АВРОРААВТО-БЕЛГОРОД</t>
  </si>
  <si>
    <t>308023, БЕЛГОРОДСКАЯ ОБЛАСТЬ, Г БЕЛГОРОД, УЛ СТУДЕНЧЕСКАЯ, Д. 1Т</t>
  </si>
  <si>
    <t>АО МАНАК-АВТО</t>
  </si>
  <si>
    <t>309517, БЕЛГОРОДСКАЯ ОБЛАСТЬ, Г.О. СТАРООСКОЛЬСКИЙ, Г СТАРЫЙ ОСКОЛ, ПРОМЗОНА ЮЗ П/Р, ПЛ-КА БАЗОВАЯ ПРОЕЗД-1, ЗД. 41, СТР. 4</t>
  </si>
  <si>
    <t>ИП МИШУРОВА ОЛЬГА СЕРГЕЕВНА</t>
  </si>
  <si>
    <t>ООО АВАЛОН31</t>
  </si>
  <si>
    <t>308024, БЕЛГОРОДСКАЯ ОБЛАСТЬ, Г БЕЛГОРОД, УЛ ЩОРСА, Д. 1Е, ПОМЕЩ. 1</t>
  </si>
  <si>
    <t>ИП Махамеджанов Руслан Рафхатович</t>
  </si>
  <si>
    <t>ООО ИНСТРУМЕНТ ЦЕНТР</t>
  </si>
  <si>
    <t>309994, БЕЛГОРОДСКАЯ ОБЛАСТЬ, Р-Н ВАЛУЙСКИЙ, Г ВАЛУЙКИ, УЛ СОКОЛОВА, Д. 37</t>
  </si>
  <si>
    <t>309970, БЕЛГОРОДСКАЯ ОБЛАСТЬ, Р-Н ВАЛУЙСКИЙ, ПГТ УРАЗОВО, УЛ ПЕРВОМАЙСКАЯ, Д. 1В</t>
  </si>
  <si>
    <t>ИП ЗАКУЦКИЙ СЕРГЕЙ СЕРГЕЕВИЧ</t>
  </si>
  <si>
    <t>ООО ВЕКТОР</t>
  </si>
  <si>
    <t>309514, БЕЛГОРОДСКАЯ ОБЛАСТЬ, Г СТАРЫЙ ОСКОЛ, УЛ КОМСОМОЛЬСКАЯ, Д. 35/9</t>
  </si>
  <si>
    <t>ИП Чуев Александр Анатольевич</t>
  </si>
  <si>
    <t>ИП ЩУРОВ СЕРГЕЙ ЕВГЕНЬЕВИЧ</t>
  </si>
  <si>
    <t>ООО БИЗНЕС ЛИГА</t>
  </si>
  <si>
    <t>ООО ПЛЕЯДА</t>
  </si>
  <si>
    <t>309540, БЕЛГОРОДСКАЯ ОБЛАСТЬ, Г СТАРЫЙ ОСКОЛ, ПЛ-КА СТРОИТЕЛЬНАЯ ПРОЕЗД Ш-5 (СТАНЦИЯ КОТЕЛ ПРОМУЗЕЛ ТЕР), ЗД. 15</t>
  </si>
  <si>
    <t>ИП ГОНЧАРОВА МАРИНА ИВАНОВНА</t>
  </si>
  <si>
    <t>ООО ОПТНЕФТЕГАЗ</t>
  </si>
  <si>
    <t>ИП НОВИЧИХИН ВЛАДИМИР ИВАНОВИЧ</t>
  </si>
  <si>
    <t>ИП КОХАН АНДРЕЙ ВАЛЕРИЕВИЧ</t>
  </si>
  <si>
    <t>ИП КУБЫШКИН ПАВЕЛ АНАТОЛЬЕВИЧ</t>
  </si>
  <si>
    <t>ИП СОЛОНЕЦ ЮЛИЯ ВЛАДИМИРОВНА</t>
  </si>
  <si>
    <t>ИП БОЛОТСКИХ ВИКТОРИЯ ЖОРЖ-ФЕДЕРИКОВНА</t>
  </si>
  <si>
    <t>ИП УСОВА НАТАЛЬЯ ВАСИЛЬЕВНА</t>
  </si>
  <si>
    <t>Брянская область</t>
  </si>
  <si>
    <t>ИП ТИМОШКИН СЕРГЕЙ НИКОЛАЕВИЧ</t>
  </si>
  <si>
    <t>ИП ГРОСС АНДРЕЙ ВИКТОРОВИЧ</t>
  </si>
  <si>
    <t>ИП ПИЩЕНКОВ ИГОРЬ МИХАЙЛОВИЧ</t>
  </si>
  <si>
    <t>ООО КОНКРИТСТРОЙ</t>
  </si>
  <si>
    <t>241550, БРЯНСКАЯ ОБЛАСТЬ, Г СЕЛЬЦО, УЛ КИРОВА, Д. 50</t>
  </si>
  <si>
    <t>ИП ИГУМЕНОВ СЕРГЕЙ АЛЕКСАНДРОВИЧ</t>
  </si>
  <si>
    <t>ИП ТРОЯНОВ АЛЕКСЕЙ АЛЕКСАНДРОВИЧ</t>
  </si>
  <si>
    <t>ИП ПОРТНОВ ВЛАДИМИР НИКОЛАЕВИЧ</t>
  </si>
  <si>
    <t>ИП ЧЕРНЫШЕВСКИЙ МАКСИМ ВЛАДИМИРОВИЧ</t>
  </si>
  <si>
    <t>ИП КОЛОУСОВ МИХАИЛ АНДРЕЕВИЧ</t>
  </si>
  <si>
    <t>ИП Мареин Иван Андреевич</t>
  </si>
  <si>
    <t>ООО АГРОЗАПЧАСТЬ</t>
  </si>
  <si>
    <t>241520, БРЯНСКАЯ ОБЛАСТЬ, Р-Н БРЯНСКИЙ, С СУПОНЕВО, УЛ ЛЕНИНА, ВЛД. 131Б</t>
  </si>
  <si>
    <t>ИП АЛЕШИН СЕРГЕЙ ВАСИЛЬЕВИЧ</t>
  </si>
  <si>
    <t>241004, РОССИЯ, БРЯНСКАЯ ОБЛАСТЬ, М.Р-Н БРЯНСКИЙ, П СВЕНЬ, С.П. СВЕНСКОЕ, УЛ СНЕЖЕТЬСКИЙ ВАЛ, Д. 4, ОФИС 102</t>
  </si>
  <si>
    <t>ООО ТК ФОРЕСТ-АВТО</t>
  </si>
  <si>
    <t>241020, РОССИЯ, БРЯНСКАЯ ОБЛАСТЬ, Г.О. ГОРОД БРЯНСК, Г БРЯНСК, ПР-КТ МОСКОВСКИЙ, Д. 86, ПОМЕЩ. 3</t>
  </si>
  <si>
    <t>ИП МИНЕНКО АЛЕКСЕЙ ВАСИЛЬЕВИЧ</t>
  </si>
  <si>
    <t>ИП АЗЕРНОВ ДМИТРИЙ ИГОРЕВИЧ</t>
  </si>
  <si>
    <t>ИП МЕДВЕДЕВ СЕРГЕЙ ВЛАДИМИРОВИЧ</t>
  </si>
  <si>
    <t>ИП КОЖУШНЫЙ ВИКТОР ВАСИЛЬЕВИЧ</t>
  </si>
  <si>
    <t>ИП ТИТОВ ВЛАДИМИР СТАНИСЛАВОВИЧ</t>
  </si>
  <si>
    <t>ИП АЛЕКСАШКИН РОМАН ВИТАЛЬЕВИЧ</t>
  </si>
  <si>
    <t>ИП ШМАТКОВ ДМИТРИЙ ГЕННАДЬЕВИЧ</t>
  </si>
  <si>
    <t>ИП ФРАНЦЕВА ИРИНА ВИКТОРОВНА</t>
  </si>
  <si>
    <t>ООО ЭКИПАЖ</t>
  </si>
  <si>
    <t>241035, БРЯНСКАЯ ОБЛАСТЬ, Г БРЯНСК, УЛ БУРОВА, Д.26</t>
  </si>
  <si>
    <t>ООО БТТК</t>
  </si>
  <si>
    <t>241022, РОССИЯ, БРЯНСКАЯ ОБЛАСТЬ, Г.О. ГОРОД БРЯНСК, Г БРЯНСК, УЛ ПУШКИНА, Д. 33, КВ. 166</t>
  </si>
  <si>
    <t>ИП ФОМЕНКОВ ЕВГЕНИЙ ОЛЕГОВИЧ</t>
  </si>
  <si>
    <t>ООО АЛЕО</t>
  </si>
  <si>
    <t>241029, БРЯНСКАЯ ОБЛАСТЬ, Г БРЯНСК, УЛ ОЛЕГА КОШЕВОГО, СТР. 34В, ОФИС 1</t>
  </si>
  <si>
    <t>ООО ДИАМАК</t>
  </si>
  <si>
    <t>241022, БРЯНСКАЯ ОБЛАСТЬ, Г БРЯНСК, УЛ РЕЧНАЯ, СТР. 97/11, ПОМЕЩ. 5</t>
  </si>
  <si>
    <t>ООО РА-ИМПОРТ</t>
  </si>
  <si>
    <t>241028, РОССИЯ, БРЯНСКАЯ ОБЛАСТЬ, Г.О. ГОРОД БРЯНСК, Г БРЯНСК, УЛ КАРАЧИЖСКАЯ, Д. 89, ПОМЕЩ. 10</t>
  </si>
  <si>
    <t>ООО АГРОМАШСЕРВИС</t>
  </si>
  <si>
    <t>241520, БРЯНСКАЯ ОБЛАСТЬ, Р-Н БРЯНСКИЙ, С СУПОНЕВО, ПЕР КОМСОМОЛЬСКИЙ, Д. 4</t>
  </si>
  <si>
    <t>ООО ТЕХАВТОЦЕНТР-БРЯНСК</t>
  </si>
  <si>
    <t>241020, БРЯНСКАЯ ОБЛАСТЬ, Г БРЯНСК, ПР-КТ МОСКОВСКИЙ, Д. 86, ОФИС 1А</t>
  </si>
  <si>
    <t>ООО РОСТПРОДУКТ</t>
  </si>
  <si>
    <t>243040, БРЯНСКАЯ ОБЛАСТЬ, Р-Н КЛИМОВСКИЙ, РП КЛИМОВО, УЛ ПОЛЕВАЯ, Д.57, К.А</t>
  </si>
  <si>
    <t>ООО БНМ-3</t>
  </si>
  <si>
    <t>243111, РОССИЯ, БРЯНСКАЯ ОБЛАСТЬ, М.Р-Н КЛИНЦОВСКИЙ, П ПЕРВОЕ МАЯ, С.П. ПЕРВОМАЙСКОЕ, УЛ СКАЧКОВСКАЯ, ЗД. 51А</t>
  </si>
  <si>
    <t>ООО СМАЗОЧНЫЕ ТЕХНОЛОГИИ</t>
  </si>
  <si>
    <t>241520, БРЯНСКАЯ ОБЛАСТЬ, Р-Н БРЯНСКИЙ, С СУПОНЕВО, ПЕР КОМСОМОЛЬСКИЙ, Д. 9Б, ПОМЕЩ. 6</t>
  </si>
  <si>
    <t>ООО АВТОПАРТС</t>
  </si>
  <si>
    <t>241520, БРЯНСКАЯ ОБЛАСТЬ, Р-Н БРЯНСКИЙ, С СУПОНЕВО, УЛ КОМСОМОЛЬСКАЯ, Д. 65А/2</t>
  </si>
  <si>
    <t>ИП КОЗАРЕЗ ИРИНА АЛЕКСАНДРОВНА</t>
  </si>
  <si>
    <t>ИП КОЖАДЕЙ АЛЕКСАНДР ВАСИЛЬЕВИЧ</t>
  </si>
  <si>
    <t>ИП ЧЕРНОБАЕВ НИКОЛАЙ СЕРГЕЕВИЧ</t>
  </si>
  <si>
    <t>ИП ФИНЧЕНКО НАТАЛЬЯ ВАСИЛЬЕВНА</t>
  </si>
  <si>
    <t>ИП УШАКОВ КОНСТАНТИН ЮРЬЕВИЧ</t>
  </si>
  <si>
    <t>ИП ПЕТРЕНКО АЛЕКСЕЙ СЕРГЕЕВИЧ</t>
  </si>
  <si>
    <t>ООО ТЕХНОЛЮБ</t>
  </si>
  <si>
    <t>241047, БРЯНСКАЯ ОБЛАСТЬ, Г БРЯНСК, УЛ ФОСФОРИТНАЯ, Д. 1В, ОФИС 307</t>
  </si>
  <si>
    <t>ООО БНМ-1</t>
  </si>
  <si>
    <t>241520, БРЯНСКАЯ ОБЛАСТЬ, Р-Н БРЯНСКИЙ, С СУПОНЕВО, УЛ ШОССЕЙНАЯ, Д. 12Г</t>
  </si>
  <si>
    <t>ООО МБ-БРЯНСК</t>
  </si>
  <si>
    <t>241029, БРЯНСКАЯ ОБЛАСТЬ, Г БРЯНСК, ПР-КТ МОСКОВСКИЙ, СТР 2Г, ОФИС 1</t>
  </si>
  <si>
    <t>ООО СТРОЙЛОН</t>
  </si>
  <si>
    <t>241037, БРЯНСКАЯ ОБЛАСТЬ, Г БРЯНСК, УЛ АВИАЦИОННАЯ, Д. 34</t>
  </si>
  <si>
    <t>ООО ДЕКАДО</t>
  </si>
  <si>
    <t>241031, БРЯНСКАЯ ОБЛАСТЬ, Г БРЯНСК, Б-Р ЩОРСА, Д. 2Б</t>
  </si>
  <si>
    <t>ООО ДЕАЛА</t>
  </si>
  <si>
    <t>241029, БРЯНСКАЯ ОБЛАСТЬ, Г БРЯНСК, УЛ ОЛЕГА КОШЕВОГО, СТР. 34В, ОФИС 10</t>
  </si>
  <si>
    <t>ООО БРОКЕР-ГРУПП</t>
  </si>
  <si>
    <t>241023, БРЯНСКАЯ ОБЛАСТЬ, Г БРЯНСК, УЛ БЕЖИЦКАЯ, Д. 286, К. 1, ОФИС 315</t>
  </si>
  <si>
    <t>ООО НПЦ МОДЕНЖИ</t>
  </si>
  <si>
    <t>241029, РОССИЯ, БРЯНСКАЯ ОБЛАСТЬ, Г.О. ГОРОД БРЯНСК, Г БРЯНСК, УЛ ОЛЕГА КОШЕВОГО, СТР. 34В, ОФИС 7</t>
  </si>
  <si>
    <t>ИП МИРОНОВА МАРИНА ЭДУАРДОВНА</t>
  </si>
  <si>
    <t>ИП МИРМОВ ЕВГЕНИЙ ГРИГОРЬЕВИЧ</t>
  </si>
  <si>
    <t>ИП АКУЛЕНКО ВЯЧЕСЛАВ МИХАЙЛОВИЧ</t>
  </si>
  <si>
    <t>ИП СТРУКОВ ВИТАЛИЙ ВИКТОРОВИЧ</t>
  </si>
  <si>
    <t>ИП КАРЧИГО ЮРИЙ СЕМЕНОВИЧ</t>
  </si>
  <si>
    <t>ИП КРУТЬКО ЕВГЕНИЙ ПЕТРОВИЧ</t>
  </si>
  <si>
    <t>ИП БРЯНЦЕВ РОМАН МИХАЙЛОВИЧ</t>
  </si>
  <si>
    <t>ИП МОСУНОВА ОЛЬГА ЕВГЕНЬЕВНА</t>
  </si>
  <si>
    <t>ИП ИЗОТОВ АЛЕКСАНДР НИКОЛАЕВИЧ</t>
  </si>
  <si>
    <t>ООО ЛУБРИФОРС</t>
  </si>
  <si>
    <t>241520, БРЯНСКАЯ ОБЛАСТЬ, Р-Н БРЯНСКИЙ, С СУПОНЕВО, УЛ ШОССЕЙНАЯ, Д. 32А, ПОМЕЩ. 12</t>
  </si>
  <si>
    <t>ООО ПРЕСТИЖ ОЙЛ</t>
  </si>
  <si>
    <t>242670, БРЯНСКАЯ ОБЛАСТЬ, Р-Н ДЯТЬКОВСКИЙ, РП БЫТОШЬ, УЛ МИЧУРИНА, Д.33</t>
  </si>
  <si>
    <t>ИП СЕРЕДИН ЕВГЕНИЙ ГЕННАДИЕВИЧ</t>
  </si>
  <si>
    <t>ООО ДЕБРЯНСК АВТО</t>
  </si>
  <si>
    <t>241050, БРЯНСКАЯ ОБЛАСТЬ, Г БРЯНСК, УЛ СОВЕТСКАЯ, Д.77</t>
  </si>
  <si>
    <t>ООО ТОРГОВЫЙ ДОМ  СУДОСТЬ</t>
  </si>
  <si>
    <t>243550, БРЯНСКАЯ ОБЛАСТЬ, Р-Н ПОГАРСКИЙ, ПГТ ПОГАР, УЛ ЛЕНИНА, Д.173</t>
  </si>
  <si>
    <t>ИП КОХАНЬКО АЛЕКСАНДР ВИКТОРОВИЧ</t>
  </si>
  <si>
    <t>ИП ЮРЧЕНКО АРТУР ГЕННАДИЕВИЧ</t>
  </si>
  <si>
    <t>ИП ЖАРКОВ АНДРЕЙ ИГОРЕВИЧ</t>
  </si>
  <si>
    <t>ИП ТЫЧИНА ЮРИЙ ВИКТОРОВИЧ</t>
  </si>
  <si>
    <t>ИП КУЗНЕЦОВ АНДРЕЙ ВИКТОРОВИЧ</t>
  </si>
  <si>
    <t>ИП БУТОВА МАРИЯ АЛЕКСАНДРОВНА</t>
  </si>
  <si>
    <t>ООО КОНЦЕПТ АВТО</t>
  </si>
  <si>
    <t>241037, БРЯНСКАЯ ОБЛАСТЬ, Г БРЯНСК, ПЕР ПИЛОТОВ, Д. 6, КВ. 68</t>
  </si>
  <si>
    <t>ООО МАСЛА32</t>
  </si>
  <si>
    <t>241012, БРЯНСКАЯ ОБЛАСТЬ, Г БРЯНСК, УЛ ОРЛОВСКАЯ, Д. 19, КВ. 92</t>
  </si>
  <si>
    <t>ООО ТРИБОЛОГИСТИКА</t>
  </si>
  <si>
    <t>241004, РОССИЯ, БРЯНСКАЯ ОБЛАСТЬ, М.Р-Н БРЯНСКИЙ, П СВЕНЬ, С.П. СВЕНСКОЕ, УЛ СНЕЖЕТЬСКИЙ ВАЛ, Д. 4, ЛИТЕРА А</t>
  </si>
  <si>
    <t>ООО ВИННЕРОПТ</t>
  </si>
  <si>
    <t>241012, БРЯНСКАЯ ОБЛАСТЬ, Г БРЯНСК, УЛ КАМОЗИНА, Д. 41, КВ. 53</t>
  </si>
  <si>
    <t>ООО ПРАЙМ ЗАПЧАСТЬ</t>
  </si>
  <si>
    <t>241520, РОССИЯ, БРЯНСКАЯ ОБЛАСТЬ, М.Р-Н БРЯНСКИЙ, С СУПОНЕВО, С.П. СУПОНЕВСКОЕ, УЛ РОССИЙСКАЯ, Д. 8Б, КАБИНЕТ 7</t>
  </si>
  <si>
    <t>ООО ЕВРОТРАК</t>
  </si>
  <si>
    <t>241014, БРЯНСКАЯ ОБЛАСТЬ, Г БРЯНСК, УЛ ЛИТЕЙНАЯ, Д. 61, К. 1, ОФИС 1</t>
  </si>
  <si>
    <t>ИП ГОЛОВАТЕНКО ГАЛИНА СЕРГЕЕВНА</t>
  </si>
  <si>
    <t>ООО ЗАПАД</t>
  </si>
  <si>
    <t>241037, РОССИЯ, БРЯНСКАЯ ОБЛАСТЬ, М.Р-Н БРЯНСКИЙ, П ПУТЕВКА, С.П. СНЕЖСКОЕ, УЛ РОСЛАВЛЬСКАЯ, СТР. 9В</t>
  </si>
  <si>
    <t>ИП КОНОПЛЁВ ДМИТРИЙ ВЛАДИМИРОВИЧ</t>
  </si>
  <si>
    <t>ИП ПИЛЬНИКОВ АНДРЕЙ НИКОЛАЕВИЧ</t>
  </si>
  <si>
    <t>ИП ЖУКОВ СЕРГЕЙ ПЕТРОВИЧ</t>
  </si>
  <si>
    <t>ИП ЕФРЕМЕНКО СЕРГЕЙ ВАСИЛЬЕВИЧ</t>
  </si>
  <si>
    <t>ИП Игнаткин Анатолий Валерьевич</t>
  </si>
  <si>
    <t>ИП РУЛЕНКОВА ЛЮДМИЛА АЛЕКСАНДРОВНА</t>
  </si>
  <si>
    <t>ИП ГАЛКИН РОМАН БОРИСОВИЧ</t>
  </si>
  <si>
    <t>ИП ХАМОЕВ НАБИ БИЛАЛ ОГЛУ</t>
  </si>
  <si>
    <t>ИП САМУСЕНКО ДАРЬЯ АЛЕКСАНДРОВНА</t>
  </si>
  <si>
    <t>ООО МИР АВТОМАСЕЛ</t>
  </si>
  <si>
    <t>241020, БРЯНСКАЯ ОБЛАСТЬ, Г БРЯНСК, ПЕР МЕНЖИНСКОГО, Д. 37</t>
  </si>
  <si>
    <t>ИП АНДРИЯЩЕНКО СЕРГЕЙ ЕВГЕНЬЕВИЧ</t>
  </si>
  <si>
    <t>ООО БРАСКО</t>
  </si>
  <si>
    <t>241035, РОССИЯ, БРЯНСКАЯ ОБЛАСТЬ, Г.О. ГОРОД БРЯНСК, Г БРЯНСК, УЛ УЛЬЯНОВА, СТР. 4, ОФИС 413А/6</t>
  </si>
  <si>
    <t>ООО РУСМОТОРС</t>
  </si>
  <si>
    <t>243146, РОССИЯ, БРЯНСКАЯ ОБЛАСТЬ, Г.О. ГОРОД КЛИНЦЫ, Г КЛИНЦЫ, УЛ ВОРОШИЛОВА, Д. 3</t>
  </si>
  <si>
    <t>ООО ЗАП</t>
  </si>
  <si>
    <t>241050, РОССИЯ, БРЯНСКАЯ ОБЛАСТЬ, Г.О. ГОРОД БРЯНСК, Г БРЯНСК, УЛ 2-Я ПОЧЕПСКАЯ, СТР. 34Б</t>
  </si>
  <si>
    <t>ООО МОТОЦЕНТР</t>
  </si>
  <si>
    <t>241052, РОССИЯ, БРЯНСКАЯ ОБЛАСТЬ, Г.О. ГОРОД БРЯНСК, Г БРЯНСК, ПЕР ДЕТСКИЙ, Д. 2, КВ. 1</t>
  </si>
  <si>
    <t>ООО ТРЕУГОЛЬНИК 32</t>
  </si>
  <si>
    <t>242700, РОССИЯ, БРЯНСКАЯ ОБЛАСТЬ, М.О. ЖУКОВСКИЙ, Г ЖУКОВКА, УЛ ПАРТИЗАНСКАЯ, Д. 1Б, ПОМЕЩ. 3</t>
  </si>
  <si>
    <t>АО БРЯНСКНЕФТЕПРОДУКТ</t>
  </si>
  <si>
    <t>241022, БРЯНСКАЯ ОБЛАСТЬ, Г БРЯНСК, УЛ РЕЧНАЯ, Д. 63, КАБИНЕТ 1</t>
  </si>
  <si>
    <t>ИП ВАСИН СЕРГЕЙ ИВАНОВИЧ</t>
  </si>
  <si>
    <t>ИП ЛЫСЕНКО МАРИЯ АЛЕКСАНДРОВНА</t>
  </si>
  <si>
    <t>ИП НАВОДЕЙ ИГОРЬ ВИКТОРОВИЧ</t>
  </si>
  <si>
    <t>ИП БАУЛИНА ОКСАНА АНАТОЛЬЕВНА</t>
  </si>
  <si>
    <t>ИП КАЧУРИН ОЛЕГ ГЕННАДЬЕВИЧ</t>
  </si>
  <si>
    <t>ИП Романенков Алексей Анатольевич</t>
  </si>
  <si>
    <t>ИП РЫЛОВ СЕРГЕЙ НИКОЛАЕВИЧ</t>
  </si>
  <si>
    <t>ООО ГЕРМЕС</t>
  </si>
  <si>
    <t>241520, БРЯНСКАЯ ОБЛАСТЬ, Р-Н БРЯНСКИЙ, С СУПОНЕВО, УЛ КОМСОМОЛЬСКАЯ, ЗД. 112/1, ПОМЕЩ. 12</t>
  </si>
  <si>
    <t>ИП ЛОЩАКОВ ИВАН АЛЕКСЕЕВИЧ</t>
  </si>
  <si>
    <t>ИП Савков Алексей Сергеевич</t>
  </si>
  <si>
    <t>ИП ПИНЯЕВ АЛЕКСАНДР БОРИСОВИЧ</t>
  </si>
  <si>
    <t>ИП МИХАЛЕНКО ВАЛЕНТИНА НИКОЛАЕВНА</t>
  </si>
  <si>
    <t>ИП СЛОНСКАЯ ИРИНА НИКОЛАЕВНА</t>
  </si>
  <si>
    <t>ИП ТЮТЮНКОВА МАРИЯ ВАСИЛЬЕВНА</t>
  </si>
  <si>
    <t>ИП ФЕДОРИЩЕНКО ТАТЬЯНА СЕМЕНОВНА</t>
  </si>
  <si>
    <t>ИП ЕЩЕНКО МАРИЯ ИЛЬИНИЧНА</t>
  </si>
  <si>
    <t>ИП СОЛОВЬЕВ ДМИТРИЙ ВАСИЛЬЕВИЧ</t>
  </si>
  <si>
    <t>ИП ГАРЕЗА ВЛАДИМИР ЛЕОНИДОВИЧ</t>
  </si>
  <si>
    <t>ИП МАКАРЕНКО ЕВГЕНИЙ ВИТАЛЬЕВИЧ</t>
  </si>
  <si>
    <t>ИП ПАНТЮХОВА ТАМАРА АЛЕКСЕЕВНА</t>
  </si>
  <si>
    <t>ГАПОУ СПАТ</t>
  </si>
  <si>
    <t>243500, БРЯНСКАЯ ОБЛАСТЬ, Р-Н СУРАЖСКИЙ, Г СУРАЖ, УЛ БЕЛОРУССКАЯ, Д. 35</t>
  </si>
  <si>
    <t>ИП КУЛАГИН ОЛЕГ ВЛАДИМИРОВИЧ</t>
  </si>
  <si>
    <t>ИП СТРОЙЛО НИКОЛАЙ МАКСИМОВИЧ</t>
  </si>
  <si>
    <t>ИП ЧЕРНОВ АНДРЕЙ ЕВГЕНЬЕВИЧ</t>
  </si>
  <si>
    <t>ООО БРЯНСКЗАПЧАСТЬ</t>
  </si>
  <si>
    <t>241019, БРЯНСКАЯ ОБЛАСТЬ, Г БРЯНСК, ПР-КТ СТАНКЕ ДИМИТРОВА, Д. 45</t>
  </si>
  <si>
    <t>ИП КУЗОВОВ АЛЕКСЕЙ ВЛАДИМИРОВИЧ</t>
  </si>
  <si>
    <t>ИП МИРМОВ ВАДИМ ЕВГЕНЬЕВИЧ</t>
  </si>
  <si>
    <t>ИП Стройло Максим Николаевич</t>
  </si>
  <si>
    <t>ИП ВАСИЛЬЕВ АЛЕКСЕЙ ВЛАДИМИРОВИЧ</t>
  </si>
  <si>
    <t>ИП ПРОНЯГИН АНАТОЛИЙ ВИКТОРОВИЧ</t>
  </si>
  <si>
    <t>ИП ГУРЬЕВ ВИТАЛИЙ ЕВГЕНЬЕВИЧ</t>
  </si>
  <si>
    <t>ООО КООПУНИВЕРМАГ</t>
  </si>
  <si>
    <t>242300, БРЯНСКАЯ ОБЛАСТЬ, М.Р-Н БРАСОВСКИЙ, РП ЛОКОТЬ, Г.П. ЛОКОТСКОЕ, УЛ ЛИПОВАЯ АЛЛЕЯ, Д. 58, ПОМЕЩ. 1</t>
  </si>
  <si>
    <t>ГБУЗ БРЯНСКАЯ МБ</t>
  </si>
  <si>
    <t>241525, БРЯНСКАЯ ОБЛАСТЬ, Р-Н БРЯНСКИЙ, С ГЛИНИЩЕВО, УЛ БОЛЬНИЧНАЯ, Д. 4</t>
  </si>
  <si>
    <t>ИП ИЛЬЮШИН МИХАИЛ ВЛАДИМИРОВИЧ</t>
  </si>
  <si>
    <t>ИП МОРОЗОВ СЕРГЕЙ СЕРГЕЕВИЧ</t>
  </si>
  <si>
    <t>ИП ЛАЛАКОВ РУСЛАН ВИКТОРОВИЧ</t>
  </si>
  <si>
    <t>ИП КОНОВАЛОВ АЛЕКСАНДР ВЛАДИМИРОВИЧ</t>
  </si>
  <si>
    <t>ИП КАДЕТОВ ВЛАДИМИР НИКОЛАЕВИЧ</t>
  </si>
  <si>
    <t>ООО ПОТЕНЦИАЛ</t>
  </si>
  <si>
    <t>243240, БРЯНСКАЯ ОБЛАСТЬ, Г СТАРОДУБ, УЛ ГАГАРИНА, Д.17</t>
  </si>
  <si>
    <t>ИП ГРИШИН АЛЕКСАНДР ЛЕОНИДОВИЧ</t>
  </si>
  <si>
    <t>ИП ПОЗНЯКОВ ФЕДОР ВЛАДИМИРОВИЧ</t>
  </si>
  <si>
    <t>ИП СЕРЕДА ДЕНИС ГРИГОРЬЕВИЧ</t>
  </si>
  <si>
    <t>ИП ЭЙХЕЛЬБЕРГ ВИКТОР ВИКТОРОВИЧ</t>
  </si>
  <si>
    <t>ООО СОНАР</t>
  </si>
  <si>
    <t>241519, РОССИЯ, БРЯНСКАЯ ОБЛАСТЬ, М.Р-Н БРЯНСКИЙ, П ПУТЕВКА, С.П. СНЕЖСКОЕ, МКР. МЕГАПОЛИС-ПАРК, Д. 9, КВ. 65</t>
  </si>
  <si>
    <t>ИП ЧУКОВ АНДРЕЙ ВИКТОРОВИЧ</t>
  </si>
  <si>
    <t>ИП ЧУКОВА МАРГАРИТА ВИКТОРОВНА</t>
  </si>
  <si>
    <t>ИП ЛЕБЕДЬКО СЕРГЕЙ АЛЕКСАНДРОВИЧ</t>
  </si>
  <si>
    <t>ИП КОЖЕМЯКО АЛЕКСАНДР ПЕТРОВИЧ</t>
  </si>
  <si>
    <t>ИП КОЛОУСОВ АНДРЕЙ ВИКТОРОВИЧ</t>
  </si>
  <si>
    <t>ИП КОНЮШЕНКО ЕЛЕНА ИЛЬИНИЧНА</t>
  </si>
  <si>
    <t>ИП ГЕРАСЬКОВ МИХАИЛ ОЛЕГОВИЧ</t>
  </si>
  <si>
    <t>ИП ВЫСОЦКИЙ ИГОРЬ АЛЕКСАНДРОВИЧ</t>
  </si>
  <si>
    <t>ИП ОЛЕЙНИК СЕРГЕЙ ДМИТРИЕВИЧ</t>
  </si>
  <si>
    <t>БРАСОВСКОЕ РАЙПО</t>
  </si>
  <si>
    <t>242300, БРЯНСКАЯ ОБЛАСТЬ, Р-Н БРАСОВСКИЙ, РП ЛОКОТЬ, УЛ ЛИПОВАЯ АЛЛЕЯ, Д.58</t>
  </si>
  <si>
    <t>ИП КЛЮЕНКОВ ВАСИЛИЙ ВАСИЛЬЕВИЧ</t>
  </si>
  <si>
    <t>ИП Шустерова Светлана Львовна</t>
  </si>
  <si>
    <t>ИП ЕРМАКОВ СЕРГЕЙ ВАСИЛЬЕВИЧ</t>
  </si>
  <si>
    <t>ИП МАРЕИНА СВЕТЛАНА ДМИТРИЕВНА</t>
  </si>
  <si>
    <t>ИП ЧЕПЕЛИН СЕРГЕЙ АЛЕКСАНДРОВИЧ</t>
  </si>
  <si>
    <t>ООО КЛЕТНЯНСКАЯ НЕФТЕБАЗА</t>
  </si>
  <si>
    <t>242820, БРЯНСКАЯ ОБЛАСТЬ, Р-Н КЛЕТНЯНСКИЙ, П КЛЕТНЯ, УЛ ПАНФИЛОВА, Д.17</t>
  </si>
  <si>
    <t>ИП КОЗОДОЕВ СЕРГЕЙ АЛЕКСАНДРОВИЧ</t>
  </si>
  <si>
    <t>ИП ТУЖИЛИНА ЕЛЕНА ЮРЬЕВНА</t>
  </si>
  <si>
    <t>ИП КОЛБАС АЛЕКСАНДР СТЕПАНОВИЧ</t>
  </si>
  <si>
    <t>ИП КУРИЛЕНКО ВАЛЕРИЙ АЛЕКСАНДРОВИЧ</t>
  </si>
  <si>
    <t>ИП ПРОКОПЧЕНКО АЛЕКСАНДР АЛЕКСАНДРОВИЧ</t>
  </si>
  <si>
    <t>ИП НИЗИКОВ РУСЛАН ВИКТОРОВИЧ</t>
  </si>
  <si>
    <t>ИП ДОЛИНА ЕЛЕНА ЕГОРОВНА</t>
  </si>
  <si>
    <t>ИП ДЕБУШЕВСКИЙ ИГОРЬ НИКОЛАЕВИЧ</t>
  </si>
  <si>
    <t>ИП ФИНЧЕНКО МИХАИЛ ВИКТОРОВИЧ</t>
  </si>
  <si>
    <t>ООО МАГИСТРАЛЬ СЕРВИС</t>
  </si>
  <si>
    <t>241019, БРЯНСКАЯ ОБЛАСТЬ, Г БРЯНСК, УЛ КРАСНОАРМЕЙСКАЯ, Д.93, К.Б</t>
  </si>
  <si>
    <t>ООО БН-МОТОРС</t>
  </si>
  <si>
    <t>241050, БРЯНСКАЯ ОБЛАСТЬ, Г БРЯНСК, ПР-КТ СТАНКЕ ДИМИТРОВА, Д. 62</t>
  </si>
  <si>
    <t>ИП КУЗНЕЦОВ РОМАН ВАЛЕРЬЕВИЧ</t>
  </si>
  <si>
    <t>ИП ФИРСОВ ИВАН ВИКТОРОВИЧ</t>
  </si>
  <si>
    <t>ИП ЩУР АНДРЕЙ АНАТОЛЬЕВИЧ</t>
  </si>
  <si>
    <t>ООО ТЕХНОТРЕЙД</t>
  </si>
  <si>
    <t>Владимирская область</t>
  </si>
  <si>
    <t>601301, РОССИЯ, ВЛАДИМИРСКАЯ ОБЛАСТЬ, М.Р-Н КАМЕШКОВСКИЙ, Г КАМЕШКОВО, Г.П. ГОРОД КАМЕШКОВО, ПЛ КОМСОМОЛЬСКАЯ, Д. 23Б</t>
  </si>
  <si>
    <t>ООО АГЕЕС</t>
  </si>
  <si>
    <t>600009, РОССИЯ, ВЛАДИМИРСКАЯ ОБЛАСТЬ, Г.О. ГОРОД ВЛАДИМИР, Г ВЛАДИМИР, ПРОЕЗД 2-Й ПОЧАЕВСКИЙ, Д. 2, ОФИС 3</t>
  </si>
  <si>
    <t>ИП БАЛАКИРЕВ ВАДИМ ВЛАДИМИРОВИЧ</t>
  </si>
  <si>
    <t>ИП ЛАПИН ДЕНИС АЛЕКСЕЕВИЧ</t>
  </si>
  <si>
    <t>ИП ГЕРАСИМОВ ИГОРЬ ВЛАДИМИРОВИЧ</t>
  </si>
  <si>
    <t>ООО НПФ АДГЕЗИВ</t>
  </si>
  <si>
    <t>600016, ВЛАДИМИРСКАЯ ОБЛАСТЬ, Г ВЛАДИМИР, УЛ БОЛЬШАЯ НИЖЕГОРОДСКАЯ, Д. 77, К. ЛАБОРАТОРНЫЙ № 2, ЭТАЖ 2 ПОМЕЩЕНИЕ 25А</t>
  </si>
  <si>
    <t>ИП КОВАЛЕВ АЛЕКСАНДР ВЛАДИМИРОВИЧ</t>
  </si>
  <si>
    <t>ИП БЕРДИЧЕВСКИЙ ВЛАДИМИР ФЕЛИКСОВИЧ</t>
  </si>
  <si>
    <t>ИП ПАНЫШЕВ АНТОН ЕВГЕНЬЕВИЧ</t>
  </si>
  <si>
    <t>ИП НОВИКОВА ОЛЬГА ВЛАДИМИРОВНА</t>
  </si>
  <si>
    <t>ООО КОМАВТОЦЕНТР</t>
  </si>
  <si>
    <t>601900, ВЛАДИМИРСКАЯ ОБЛАСТЬ, Г КОВРОВ, УЛ МАЛЕЕВА, Д.1</t>
  </si>
  <si>
    <t>ООО ТД МЕТИЗТОРГ</t>
  </si>
  <si>
    <t>601911, ВЛАДИМИРСКАЯ ОБЛАСТЬ, Г КОВРОВ, УЛ ЛИЗЫ ЧАЙКИНОЙ, Д. 37, СТР. 1</t>
  </si>
  <si>
    <t>ИП ИВАНОВ АНТОН СЕРГЕЕВИЧ</t>
  </si>
  <si>
    <t>ООО МАТЕРИК-ПЛЮС</t>
  </si>
  <si>
    <t>601900, ВЛАДИМИРСКАЯ ОБЛАСТЬ, Г КОВРОВ, УЛ СВЕРДЛОВА, Д. 16</t>
  </si>
  <si>
    <t>ООО СТАРТУЛ</t>
  </si>
  <si>
    <t>601911, ВЛАДИМИРСКАЯ ОБЛАСТЬ, Г.О. ГОРОД КОВРОВ, Г КОВРОВ, УЛ ЛИЗЫ ЧАЙКИНОЙ, Д. 37, СТР. 1</t>
  </si>
  <si>
    <t>ИП КУЛИКОВ АЛЕКСЕЙ ЕВГЕНЬЕВИЧ</t>
  </si>
  <si>
    <t>ИП КЛИШКОВСКИЙ АЛЕКСАНДР НИКОЛАЕВИЧ</t>
  </si>
  <si>
    <t>ООО МУРОМ-АВТО</t>
  </si>
  <si>
    <t>602266, РОССИЯ, ВЛАДИМИРСКАЯ ОБЛАСТЬ, Г.О. ОКРУГ МУРОМ, Г МУРОМ, Ш ВЛАДИМИРСКОЕ, Д. 3</t>
  </si>
  <si>
    <t>ИП ИЛЬИНА ТАТЬЯНА НИКОЛАЕВНА</t>
  </si>
  <si>
    <t>ИП АКОПЯН ОГАНЕС ШАЛВОВИЧ</t>
  </si>
  <si>
    <t>ИП КЛЕВКО ВЛАДИМИР АНАТОЛЬЕВИЧ</t>
  </si>
  <si>
    <t>ИП ГОЛУБИН РОМАН ВЛАДИМИРОВИЧ</t>
  </si>
  <si>
    <t>ИП ШУРАЛЕВ ИВАН ИВАНОВИЧ</t>
  </si>
  <si>
    <t>ИП МУСИН МАРАТ МИНИРОВИЧ</t>
  </si>
  <si>
    <t>ООО НПП МИГРОС</t>
  </si>
  <si>
    <t>601021, РОССИЯ, ВЛАДИМИРСКАЯ ОБЛАСТЬ, М.Р-Н КИРЖАЧСКИЙ, Д ФЕДОРОВСКОЕ, С.П. ПЕРШИНСКОЕ, УЛ ЗАРЕЧНАЯ, Д. 3А, ПОМЕЩ. 1</t>
  </si>
  <si>
    <t>ИП МУРАТОВА ЕЛЕНА ВАЛЕРЬЕВНА</t>
  </si>
  <si>
    <t>ИП ШЕСТИПАЛОВА НАТАЛЬЯ АЛЕКСАНДРОВНА</t>
  </si>
  <si>
    <t>ИП СИНОТАГИН ДМИТРИЙ НИКОЛАЕВИЧ</t>
  </si>
  <si>
    <t>ИП ИГОЛКИН НИКИТА АНДРЕЕВИЧ</t>
  </si>
  <si>
    <t>ООО ГАЗНЕФТЬ-ОЙЛ</t>
  </si>
  <si>
    <t>601501, РОССИЯ, ВЛАДИМИРСКАЯ ОБЛАСТЬ, Г.О. ГОРОД ГУСЬ-ХРУСТАЛЬНЫЙ, Г ГУСЬ-ХРУСТАЛЬНЫЙ, УЛ ПРЯДИЛЬНАЯ, Д. 22</t>
  </si>
  <si>
    <t>ИП ИКОННИКОВ ИГОРЬ АНАТОЛЬЕВИЧ</t>
  </si>
  <si>
    <t>ИП ЩЕТИНИНА СВЕТЛАНА МИХАЙЛОВНА</t>
  </si>
  <si>
    <t>ИП БАКИРОВ РАМИЛЬ КАМИЛЬЕВИЧ</t>
  </si>
  <si>
    <t>ИП НИКОЛАЕВА АННА ВЛАДИМИРОВНА</t>
  </si>
  <si>
    <t>ООО ИЛЬМ</t>
  </si>
  <si>
    <t>601430, ВЛАДИМИРСКАЯ ОБЛАСТЬ, Р-Н ВЯЗНИКОВСКИЙ, Г ВЯЗНИКИ, УЛ ЮЖНАЯ (НОВОВЯЗНИКИ МКР.), Д. 11, КВ. 4</t>
  </si>
  <si>
    <t>ООО ГУС ТЕХЦЕНТР</t>
  </si>
  <si>
    <t>601506, ВЛАДИМИРСКАЯ ОБЛАСТЬ, Г ГУСЬ-ХРУСТАЛЬНЫЙ, УЛ ТРАНСПОРТНАЯ, Д. 41А</t>
  </si>
  <si>
    <t>ИП ЖУКОВ ДМИТРИЙ ВИКТОРОВИЧ</t>
  </si>
  <si>
    <t>ИП СМИРНОВ ДЕНИС ВАЛЕРЬЕВИЧ</t>
  </si>
  <si>
    <t>ИП СМИРНОВА ВАЛЕНТИНА ЮРЬЕВНА</t>
  </si>
  <si>
    <t>ИП САВЕЛЬЕВ ДМИТРИЙ МАКСИМОВИЧ</t>
  </si>
  <si>
    <t>ИП ЕРМОЛЕНКО НАТАЛЬЯ АНДРЕЕВНА</t>
  </si>
  <si>
    <t>ИП САВЕЛЬЕВ МИХАИЛ МИХАЙЛОВИЧ</t>
  </si>
  <si>
    <t>ИП СУТЯГИН АНДРЕЙ МИХАЙЛОВИЧ</t>
  </si>
  <si>
    <t>ИП ВЛАСЕНКО НИКОЛАЙ ВЛАДИМИРОВИЧ</t>
  </si>
  <si>
    <t>ИП ГРИГОРЬЕВА ОЛЬГА АЛЕКСАНДРОВНА</t>
  </si>
  <si>
    <t>ИП ИКОННИКОВ АЛЕКСАНДР НИКОЛАЕВИЧ</t>
  </si>
  <si>
    <t>ООО ТРАНССЕРВИСГРУПП</t>
  </si>
  <si>
    <t>601784, ВЛАДИМИРСКАЯ ОБЛАСТЬ, Р-Н КОЛЬЧУГИНСКИЙ, Г КОЛЬЧУГИНО, УЛ ЛУГОВАЯ, Д.14Б</t>
  </si>
  <si>
    <t>ИП НИКИТИНА НАДЕЖДА ВЛАДИМИРОВНА</t>
  </si>
  <si>
    <t>ИП НАГИЧЕВ СТАНИСЛАВ НИКОЛАЕВИЧ</t>
  </si>
  <si>
    <t>ИП ЗАЙЦЕВА ЛИЛИЯ АНАТОЛЬЕВНА</t>
  </si>
  <si>
    <t>ИП МАКАРОВ РУСЛАН НИКОЛАЕВИЧ</t>
  </si>
  <si>
    <t>ИП ЗАЛЕТИНА НАТАЛЬЯ НИКОЛАЕВНА</t>
  </si>
  <si>
    <t>ИП ПРОХОРОВА ЕЛЕНА ВЛАДИМИРОВНА</t>
  </si>
  <si>
    <t>ООО ГАЗНЕФТЬ</t>
  </si>
  <si>
    <t>601570, ВЛАДИМИРСКАЯ ОБЛАСТЬ, Р-Н ГУСЬ-ХРУСТАЛЬНЫЙ, Г КУРЛОВО, УЛ ЗАВОДСКАЯ, ЗД. 15А</t>
  </si>
  <si>
    <t>ИП Кожевников Андрей Рудольфович</t>
  </si>
  <si>
    <t>ООО РЕМАКС</t>
  </si>
  <si>
    <t>601010, ВЛАДИМИРСКАЯ ОБЛАСТЬ, Р-Н КИРЖАЧСКИЙ, Г КИРЖАЧ, УЛ ПРИВОКЗАЛЬНАЯ, Д. 21Б</t>
  </si>
  <si>
    <t>ИП МОРЕНОВ ДМИТРИЙ СЕРГЕЕВИЧ</t>
  </si>
  <si>
    <t>ООО МТК-33</t>
  </si>
  <si>
    <t>602103, ВЛАДИМИРСКАЯ ОБЛАСТЬ, М.О. МЕЛЕНКОВСКИЙ, Г МЕЛЕНКИ, УЛ АКАДЕМИКА КОРОЛЕВА, Д. 17, КВ. 2</t>
  </si>
  <si>
    <t>ИП СЕМЁНОВ ОЛЕГ НИКОЛАЕВИЧ</t>
  </si>
  <si>
    <t>ООО ОЙЛ МАСТЕР</t>
  </si>
  <si>
    <t>601280, РОССИЯ, ВЛАДИМИРСКАЯ ОБЛАСТЬ, М.Р-Н СУЗДАЛЬСКИЙ, С СНОВИЦЫ, С.П. НОВОАЛЕКСАНДРОВСКОЕ, УЛ РАДУЖНАЯ, Д. 3</t>
  </si>
  <si>
    <t>ООО ГАЗНЕФТЬ-ПРОМ</t>
  </si>
  <si>
    <t>601507, РОССИЯ, ВЛАДИМИРСКАЯ ОБЛАСТЬ, Г.О. ГОРОД ГУСЬ-ХРУСТАЛЬНЫЙ, Г ГУСЬ-ХРУСТАЛЬНЫЙ, УЛ КУРЛОВСКАЯ, Д. 40</t>
  </si>
  <si>
    <t>ООО ГАРАЖ-ПРОФИКС</t>
  </si>
  <si>
    <t>601651, ВЛАДИМИРСКАЯ ОБЛАСТЬ, Р-Н АЛЕКСАНДРОВСКИЙ, Г АЛЕКСАНДРОВ, УЛ КАРАБАНОВСКИЙ ТУПИК, Д. 4А, ПОМЕЩ. 1</t>
  </si>
  <si>
    <t>ООО ГРЕМЛОС</t>
  </si>
  <si>
    <t>600007, ВЛАДИМИРСКАЯ ОБЛАСТЬ, Г ВЛАДИМИР, УЛ ЭЛЕКТРОЗАВОДСКАЯ, Д. 7, ЭТАЖ 2, ОФИС 2</t>
  </si>
  <si>
    <t>ИП МЕЛЬНИКОВА ТАТЬЯНА ПЕТРОВНА</t>
  </si>
  <si>
    <t>ИП КАНАЕВ НИКОЛАЙ НИКОЛАЕВИЧ</t>
  </si>
  <si>
    <t>ИП КЛИМОВ РОМАН ДМИТРИЕВИЧ</t>
  </si>
  <si>
    <t>ИП БЕЛОВ ВИКТОР НИКОЛАЕВИЧ</t>
  </si>
  <si>
    <t>ООО АВТООПТТОРГ</t>
  </si>
  <si>
    <t>601443, ВЛАДИМИРСКАЯ ОБЛАСТЬ, М.Р-Н ВЯЗНИКОВСКИЙ, Г ВЯЗНИКИ, Г.П. ГОРОД ВЯЗНИКИ, УЛ ЖЕЛЕЗНОДОРОЖНАЯ, Д. 55</t>
  </si>
  <si>
    <t>ООО ДЕКОРСТАЙЛГЛАСС</t>
  </si>
  <si>
    <t>601507, ВЛАДИМИРСКАЯ ОБЛАСТЬ, Г ГУСЬ-ХРУСТАЛЬНЫЙ, УЛ КУРЛОВСКАЯ, Д.14А</t>
  </si>
  <si>
    <t>ООО ТД ДСГ</t>
  </si>
  <si>
    <t>601507, ВЛАДИМИРСКАЯ ОБЛАСТЬ, Г ГУСЬ-ХРУСТАЛЬНЫЙ, УЛ КУРЛОВСКАЯ, Д. 14А, ОФИС 1</t>
  </si>
  <si>
    <t>ИП ГЛАЗКОВА ЕЛЕНА АДОЛЬФОВНА</t>
  </si>
  <si>
    <t>ИП ТИТОВА СВЕТЛАНА ВЛАДИМИРОВНА</t>
  </si>
  <si>
    <t>ИП Беляев Валерий Владимирович</t>
  </si>
  <si>
    <t>ИП МЕРКУЛОВ ЕВГЕНИЙ ИВАНОВИЧ</t>
  </si>
  <si>
    <t>ИП ДРУГОВА СВЕТЛАНА ЕВГЕНЬЕВНА</t>
  </si>
  <si>
    <t>ИП ГОЛОВКИН АРТЁМ ВАЛЕНТИНОВИЧ</t>
  </si>
  <si>
    <t>ГБУСОВО СОБИНСКИЙ ДОМ СОЦИАЛЬНОГО ОБСЛУЖИВАНИЯ</t>
  </si>
  <si>
    <t>601202, РОССИЯ, ВЛАДИМИРСКАЯ ОБЛАСТЬ, М.О. СОБИНСКИЙ, Г СОБИНКА, УЛ ЛЕНИНА, Д. 100</t>
  </si>
  <si>
    <t>ИП СТРЕЛКОВА ЛЮДМИЛА ЛЕОНИДОВНА</t>
  </si>
  <si>
    <t>АО НОВОВЯЗНИКОВСКОЕ РТП</t>
  </si>
  <si>
    <t>601430, ВЛАДИМИРСКАЯ ОБЛАСТЬ, Р-Н ВЯЗНИКОВСКИЙ, Г ВЯЗНИКИ, УЛ МЕХАНИЗАТОРОВ (НОВОВЯЗНИКИ МКР.), Д. 90</t>
  </si>
  <si>
    <t>ИП ВОРОЖЕЙКИНА ЛИДИЯ ВАСИЛЬЕВНА</t>
  </si>
  <si>
    <t>ИП НИКОЛИН АНДРЕЙ АЛЕКСАНДРОВИЧ</t>
  </si>
  <si>
    <t>ИП СОБОЛЕВ ОЛЕГ НИКОЛАЕВИЧ</t>
  </si>
  <si>
    <t>ИП КАНЮКОВ СЕРГЕЙ АЛЕКСАНДРОВИЧ</t>
  </si>
  <si>
    <t>ИП МЕЛЬКУНОВА ЛЮДМИЛА ВИТАЛЬЕВНА</t>
  </si>
  <si>
    <t>ИП КЛИШКОВСКАЯ ОЛЬГА АЛЕКСАНДРОВНА</t>
  </si>
  <si>
    <t>ИП Симкин Виктор Алексеевич</t>
  </si>
  <si>
    <t>ООО МЕХАНИК</t>
  </si>
  <si>
    <t>601241, ВЛАДИМИРСКАЯ ОБЛАСТЬ, Р-Н СОБИНСКИЙ, Д ДЕМИДОВО, Д. 24, ПОМЕЩ. 4</t>
  </si>
  <si>
    <t>ООО ЕЛЕНА</t>
  </si>
  <si>
    <t>601215, ВЛАДИМИРСКАЯ ОБЛАСТЬ, Р-Н СОБИНСКИЙ, Д ВЫШМАНОВО, УЛ СЫСОЕВСКАЯ, Д. 18</t>
  </si>
  <si>
    <t>ИП ТИХОНОВА ТАТЬЯНА БОРИСОВНА</t>
  </si>
  <si>
    <t>ИП ИГНАТЬЕВ ВЛАДИМИР ВАСИЛЬЕВИЧ</t>
  </si>
  <si>
    <t>ИП КАЛИНИН ЕВГЕНИЙ МИХАЙЛОВИЧ</t>
  </si>
  <si>
    <t>ООО ВЛАДИМИР ТРЕЙД</t>
  </si>
  <si>
    <t>600001, РОССИЯ, ВЛАДИМИРСКАЯ ОБЛАСТЬ, Г.О. ГОРОД ВЛАДИМИР, Г ВЛАДИМИР, УЛ ОФИЦЕРСКАЯ, Д. 9А, ПОМЕЩ. 1</t>
  </si>
  <si>
    <t>ООО ТЕХНИЧЕСКИЙ ЦЕНТР ОПОЛЬЕ</t>
  </si>
  <si>
    <t>600007, ВЛАДИМИРСКАЯ ОБЛАСТЬ, Г ВЛАДИМИР, ПР-Д 2-Й ПОЧАЕВСКИЙ, Д.10-Б</t>
  </si>
  <si>
    <t>ИП БАЧЕРНИХИН ИГОРЬ ВАЛЕРЬЕВИЧ</t>
  </si>
  <si>
    <t>ООО АМТЕК ВЛАДИМИР</t>
  </si>
  <si>
    <t>600026, ВЛАДИМИРСКАЯ ОБЛАСТЬ, Г ВЛАДИМИР, УЛ ГАСТЕЛЛО, Д. 8А, ЭТАЖ АНТРЕСОЛЬ, ОФИС 207</t>
  </si>
  <si>
    <t>ООО РЕАЛГРУПП</t>
  </si>
  <si>
    <t>600026, РОССИЯ, ВЛАДИМИРСКАЯ ОБЛАСТЬ, Г.О. ГОРОД ВЛАДИМИР, Г ВЛАДИМИР, УЛ МОЛОДЁЖНАЯ, Д. 5, ОФИС 2</t>
  </si>
  <si>
    <t>ООО ФИРМА ЭКИПАЖ</t>
  </si>
  <si>
    <t>600020, ВЛАДИМИРСКАЯ ОБЛАСТЬ, Г ВЛАДИМИР, УЛ ЛУНАЧАРСКОГО, Д.31</t>
  </si>
  <si>
    <t>ООО ЦЕНТР ЛАДА</t>
  </si>
  <si>
    <t>600007, ВЛАДИМИРСКАЯ ОБЛАСТЬ, Г ВЛАДИМИР, УЛ ЭЛЕКТРОЗАВОДСКАЯ, Д.6А</t>
  </si>
  <si>
    <t>ИП ОЛЬГИН АНТОН ВЛАДИМИРОВИЧ</t>
  </si>
  <si>
    <t>ИП МОКЕЕВ АЛЕКСЕЙ АЛЕКСЕЕВИЧ</t>
  </si>
  <si>
    <t>ИП КОБЕЦ ОЛЬГА ВЛАДИМИРОВНА</t>
  </si>
  <si>
    <t>ООО ЛМС-АВТО</t>
  </si>
  <si>
    <t>600020, ВЛАДИМИРСКАЯ ОБЛАСТЬ, Г ВЛАДИМИР, УЛ БОЛЬШАЯ НИЖЕГОРОДСКАЯ, Д. 88А</t>
  </si>
  <si>
    <t>ИП КАЛАШНИКОВ ДМИТРИЙ НИКОЛАЕВИЧ</t>
  </si>
  <si>
    <t>ИП ФЕДОСЕЕВ ИГОРЬ ВЛАДИМИРОВИЧ</t>
  </si>
  <si>
    <t>ООО МЕРКУРИЙ-М</t>
  </si>
  <si>
    <t>602263, ВЛАДИМИРСКАЯ ОБЛАСТЬ, Г МУРОМ, УЛ ЛЕНИНА, Д.90, 80</t>
  </si>
  <si>
    <t>ООО ТРИО</t>
  </si>
  <si>
    <t>602332, РОССИЯ, ВЛАДИМИРСКАЯ ОБЛАСТЬ, М.Р-Н СЕЛИВАНОВСКИЙ, П КРАСНАЯ ГОРБАТКА, Г.П. ПОСЕЛОК КРАСНАЯ ГОРБАТКА, УЛ ОЗЕРНАЯ, Д. 1Б</t>
  </si>
  <si>
    <t>ИП ШАРТОН АНАСТАСИЯ АНДРЕЕВНА</t>
  </si>
  <si>
    <t>ИП КУБРИН ПАВЕЛ АЛЕКСАНДРОВИЧ</t>
  </si>
  <si>
    <t>ООО ДАСМОС</t>
  </si>
  <si>
    <t>600022, ВЛАДИМИРСКАЯ ОБЛАСТЬ, Г ВЛАДИМИР, ПР-КТ ЛЕНИНА, Д.64</t>
  </si>
  <si>
    <t>ООО ИНДЕВЕЛ ГРУПП</t>
  </si>
  <si>
    <t>600032, ВЛАДИМИРСКАЯ ОБЛАСТЬ, Г ВЛАДИМИР, УЛ ДОБРОСЕЛЬСКАЯ, Д. 219Б</t>
  </si>
  <si>
    <t>ООО РЕГИОНТЕХСНАБ</t>
  </si>
  <si>
    <t>600033, ВЛАДИМИРСКАЯ ОБЛАСТЬ, Г ВЛАДИМИР, УЛ ПРОИЗВОДСТВЕННАЯ, Д.3, ОФИС 38</t>
  </si>
  <si>
    <t>ООО ДЕТАЛИ УРАЛ</t>
  </si>
  <si>
    <t>600022, ВЛАДИМИРСКАЯ ОБЛАСТЬ, Г ВЛАДИМИР, УЛ СТАВРОВСКАЯ, Д. 10, ЛИТЕР В, ЭТАЖ 1, КАБИНЕТ 6А</t>
  </si>
  <si>
    <t>ИП ОДИНЦОВ АЛЕКСАНДР СЕРГЕЕВИЧ</t>
  </si>
  <si>
    <t>ООО ВЛАДАВТО</t>
  </si>
  <si>
    <t>600022, ВЛАДИМИРСКАЯ ОБЛАСТЬ, Г ВЛАДИМИР, УЛ ВЕРХНЯЯ ДУБРОВА, Д. 40Б</t>
  </si>
  <si>
    <t>600035, ВЛАДИМИРСКАЯ ОБЛАСТЬ, Г ВЛАДИМИР, УЛ КУЙБЫШЕВА, Д. 4, КАБИНЕТ 1</t>
  </si>
  <si>
    <t>ООО КОМПАНИЯ ИМИДЖ</t>
  </si>
  <si>
    <t>600026, ВЛАДИМИРСКАЯ ОБЛАСТЬ, Г ВЛАДИМИР, УЛ ГОРЬКОГО, Д. 74, ОФИС 3</t>
  </si>
  <si>
    <t>ООО СИТИ-ОЙЛ</t>
  </si>
  <si>
    <t>600017, ВЛАДИМИРСКАЯ ОБЛАСТЬ, Г ВЛАДИМИР, УЛ БАТУРИНА, Д. 39, К. 2, ОФИС 404</t>
  </si>
  <si>
    <t>ООО ЗЕЛЕНЫЙ СВЕТ-33</t>
  </si>
  <si>
    <t>600028, ВЛАДИМИРСКАЯ ОБЛАСТЬ, Г.О. ГОРОД ВЛАДИМИР, Г ВЛАДИМИР, УЛ ТОЛМАЧЁВСКАЯ, Д. 1А, ЭТАЖ 1, КОМ. 1</t>
  </si>
  <si>
    <t>600005, ВЛАДИМИРСКАЯ ОБЛАСТЬ, Г.О. ГОРОД ВЛАДИМИР, Г ВЛАДИМИР, ПРОЕЗД ЭЛЕКТРОПРИБОРОВСКИЙ, Д. 2А, ОФИС 24</t>
  </si>
  <si>
    <t>ИП ПУГАЧЕВ СЕРГЕЙ АНАТОЛЬЕВИЧ</t>
  </si>
  <si>
    <t>ИП ДОЦЕНКО АНДРЕЙ ВИКТОРОВИЧ</t>
  </si>
  <si>
    <t>ИП Кобец Инесса Вячеславовна</t>
  </si>
  <si>
    <t>ИП ГРАЧЕВА НАТАЛЬЯ КОНСТАНТИНОВНА</t>
  </si>
  <si>
    <t>ООО АВТО-МОТОРС</t>
  </si>
  <si>
    <t>600032, ВЛАДИМИРСКАЯ ОБЛАСТЬ, Г ВЛАДИМИР, УЛ РАСТОПЧИНА, Д. 1Ж</t>
  </si>
  <si>
    <t>ИП КОТОВА НАДЕЖДА СЕРГЕЕВНА</t>
  </si>
  <si>
    <t>ООО ИНДЕВЕЛ АВТО</t>
  </si>
  <si>
    <t>600032, ВЛАДИМИРСКАЯ ОБЛАСТЬ, Г ВЛАДИМИР, УЛ РАСТОПЧИНА, Д. 1Б, КАБИНЕТ 12</t>
  </si>
  <si>
    <t>ООО ДЖИ ЭН ТРЕЙД</t>
  </si>
  <si>
    <t>602332, РОССИЯ, ВЛАДИМИРСКАЯ ОБЛАСТЬ, М.Р-Н СЕЛИВАНОВСКИЙ, П КРАСНАЯ ГОРБАТКА, Г.П. ПОСЕЛОК КРАСНАЯ ГОРБАТКА, УЛ СВОБОДЫ, Д. 52, КВ. 17</t>
  </si>
  <si>
    <t>ИП ПЫНКОВ АЛЕКСЕЙ ИВАНОВИЧ</t>
  </si>
  <si>
    <t>ИП ЩЕТИНИН КОНСТАНТИН ВИТАЛЬЕВИЧ</t>
  </si>
  <si>
    <t>ИП ЧЕРНЯЕВ АЛЕКСЕЙ ЮРЬЕВИЧ</t>
  </si>
  <si>
    <t>ИП ПИГУЗОВА МАРИНА НИКОЛАЕВНА</t>
  </si>
  <si>
    <t>ИП МАЛИНИНА СВЕТЛАНА ГЕННАДЬЕВНА</t>
  </si>
  <si>
    <t>ИП КИКТЕВ АРСЕНИЙ ВИКТОРОВИЧ</t>
  </si>
  <si>
    <t>ИП Шилов Владимир Юрьевич</t>
  </si>
  <si>
    <t>ИП СИНИЦЫН НИКОЛАЙ ЕГОРОВИЧ</t>
  </si>
  <si>
    <t>ИП Шолохов Михаил Юрьевич</t>
  </si>
  <si>
    <t>ИП ЕГОРОВА ЛЮБОВЬ ИГОРЕВНА</t>
  </si>
  <si>
    <t>ИП КОЛОДЕЖНЫЙ АЛЕКСЕЙ ВЛАДИМИРОВИЧ</t>
  </si>
  <si>
    <t>ИП Самсонов Александр Иванович</t>
  </si>
  <si>
    <t>ИП ЛЕДНЕВ ОЛЕГ БОРИСОВИЧ</t>
  </si>
  <si>
    <t>ИП ГАПУСЕНКО ЕЛЕНА ВЛАДИМИРОВНА</t>
  </si>
  <si>
    <t>ИП СТРЕЛЬЦОВ АЛЕКСЕЙ АЛЕКСАНДРОВИЧ</t>
  </si>
  <si>
    <t>ИП БУДНИК СЕРГЕЙ ПАВЛОВИЧ</t>
  </si>
  <si>
    <t>ООО ТРИБОТЕХОЙЛ</t>
  </si>
  <si>
    <t>601655, ВЛАДИМИРСКАЯ ОБЛАСТЬ, Р-Н АЛЕКСАНДРОВСКИЙ, Г АЛЕКСАНДРОВ, УЛ ГАГАРИНА, Д. 2, СТР 8, ПОМЕЩ. 6</t>
  </si>
  <si>
    <t>ООО ТРИНИТИ</t>
  </si>
  <si>
    <t>600001, ВЛАДИМИРСКАЯ ОБЛАСТЬ, Г ВЛАДИМИР, УЛ СТУДЁНАЯ ГОРА, Д. 36, ЭТАЖ 2, ОФИС 001</t>
  </si>
  <si>
    <t>ООО КОНТУР-Н</t>
  </si>
  <si>
    <t>600901, ВЛАДИМИРСКАЯ ОБЛАСТЬ, Г ВЛАДИМИР, УЛ НОЯБРЬСКАЯ (ЮРЬЕВЕЦ МКР.), Д. 56</t>
  </si>
  <si>
    <t>ООО ВЛАД МОТОРС</t>
  </si>
  <si>
    <t>600028, РОССИЯ, ВЛАДИМИРСКАЯ ОБЛАСТЬ, Г.О. ГОРОД ВЛАДИМИР, Г ВЛАДИМИР, УЛ БАЛАКИРЕВА, Д. 26А, КВ. 26</t>
  </si>
  <si>
    <t>ИП РОГОВ АЛЕКСАНДР ВЯЧЕСЛАВОВИЧ</t>
  </si>
  <si>
    <t>ООО ВЛАДМАЗ</t>
  </si>
  <si>
    <t>600005, ВЛАДИМИРСКАЯ ОБЛАСТЬ, Г ВЛАДИМИР, УЛ ПОСЕЛКОВАЯ, Д. 1, ПОМЕЩ. 1</t>
  </si>
  <si>
    <t>ООО ГИДРОПРИВОД</t>
  </si>
  <si>
    <t>600901, ВЛАДИМИРСКАЯ ОБЛАСТЬ, Г ВЛАДИМИР, МКР ЮРЬЕВЕЦ, ПР-Д СТРОИТЕЛЬНЫЙ (ЮРЬЕВЕЦ МКР.), Д.28</t>
  </si>
  <si>
    <t>ООО ЛОЦМАН БИЗНЕС-ТЕХНОЛОГИЙ</t>
  </si>
  <si>
    <t>600015, ВЛАДИМИРСКАЯ ОБЛАСТЬ, Г ВЛАДИМИР, УЛ ЧАЙКОВСКОГО, Д.40А, 21</t>
  </si>
  <si>
    <t>ООО АГРЕМАН33</t>
  </si>
  <si>
    <t>600022, ВЛАДИМИРСКАЯ ОБЛАСТЬ, Г ВЛАДИМИР, Ш МОСКОВСКОЕ, Д. 5, ЛИТЕРА А, ПОМЕЩ. 53 СЕКЦИЯ 21</t>
  </si>
  <si>
    <t>ООО ТЕХЦЕНТР ГРАНД ВЕРИЗИНО</t>
  </si>
  <si>
    <t>600026, ВЛАДИМИРСКАЯ ОБЛАСТЬ, Г ВЛАДИМИР, УЛ ЛАКИНА, Д. 1А, ЭТАЖ 1, ПОМЕЩ. 6</t>
  </si>
  <si>
    <t>ООО ДЭМО</t>
  </si>
  <si>
    <t>600009, ВЛАДИМИРСКАЯ ОБЛАСТЬ, Г ВЛАДИМИР, УЛ 1-Я ПИОНЕРСКАЯ, Д. 80Б, КОМ. 15/1</t>
  </si>
  <si>
    <t>ООО АВТОСПЕЦЦЕНТР ВЛАДИМИР</t>
  </si>
  <si>
    <t>600001, ВЛАДИМИРСКАЯ ОБЛАСТЬ, Г ВЛАДИМИР, УЛ СТУДЁНАЯ ГОРА, Д. 44-А, ЭТАЖ МАНСАРДА, ПОМЕЩ. 25</t>
  </si>
  <si>
    <t>ООО ТТЦ У ПЕТРОВИЧА</t>
  </si>
  <si>
    <t>600005, ВЛАДИМИРСКАЯ ОБЛАСТЬ, Г ВЛАДИМИР, ПР-Д ПРОМЫШЛЕННЫЙ, Д. 5Ж</t>
  </si>
  <si>
    <t>ООО РЕГИОНАВТО</t>
  </si>
  <si>
    <t>600005, ВЛАДИМИРСКАЯ ОБЛАСТЬ, Г ВЛАДИМИР, УЛ ГОРЬКОГО, Д.56А, ОФИС 806</t>
  </si>
  <si>
    <t>ИП КАРОШИН ЕВГЕНИЙ ВЛАДИМИРОВИЧ</t>
  </si>
  <si>
    <t>ИП Ледовской Андрей Алексеевич</t>
  </si>
  <si>
    <t>ООО ЭНЕРГОРЕСУРС</t>
  </si>
  <si>
    <t>600014, ВЛАДИМИРСКАЯ ОБЛАСТЬ, Г ВЛАДИМИР, УЛ ЛАКИНА, Д. 4Г, ПОМЕЩ. 8</t>
  </si>
  <si>
    <t>ООО АВТОГЛОБУС</t>
  </si>
  <si>
    <t>600035, ВЛАДИМИРСКАЯ ОБЛАСТЬ, Г ВЛАДИМИР, УЛ СОКОЛОВА-СОКОЛЕНКА, Д.31</t>
  </si>
  <si>
    <t>ОООМАКС</t>
  </si>
  <si>
    <t>600035, ВЛАДИМИРСКАЯ ОБЛАСТЬ, Г ВЛАДИМИР, УЛ КОМИССАРОВА, Д. 3А, КВ. 158</t>
  </si>
  <si>
    <t>ООО АВТО-ВЛАДИМИР</t>
  </si>
  <si>
    <t>600018, ВЛАДИМИРСКАЯ ОБЛАСТЬ, Г ВЛАДИМИР, УЛ СОКОЛОВА-СОКОЛЕНКА, Д. 8, ЭТАЖ 1, ПОМЕЩ. VII</t>
  </si>
  <si>
    <t>ИП ОЛЬГИНА ЮЛИЯ МИХАЙЛОВНА</t>
  </si>
  <si>
    <t>ИП ГОЛУБЕВ НИКИТА АНДРЕЕВИЧ</t>
  </si>
  <si>
    <t>ИП СОЛОМКО ОЛЬГА ЛЕОНИДОВНА</t>
  </si>
  <si>
    <t>ИП БУМАГИН АЛЕКСАНДР МИХАЙЛОВИЧ</t>
  </si>
  <si>
    <t>ИП КУЗНЕЦОВ МИХАИЛ ВЛАДИМИРОВИЧ</t>
  </si>
  <si>
    <t>ИП ЛУКЬЯНОВ АЛЕКСАНДР МИХАЙЛОВИЧ</t>
  </si>
  <si>
    <t>ООО БЕСТ-ОЙЛ</t>
  </si>
  <si>
    <t>601443, РОССИЯ, ВЛАДИМИРСКАЯ ОБЛАСТЬ, М.Р-Н ВЯЗНИКОВСКИЙ, Г ВЯЗНИКИ, Г.П. ГОРОД ВЯЗНИКИ, УЛ УДОБНАЯ, ЗД. 5</t>
  </si>
  <si>
    <t>ООО СТРОМСТРОЙ</t>
  </si>
  <si>
    <t>601621, ВЛАДИМИРСКАЯ ОБЛАСТЬ, М.Р-Н АЛЕКСАНДРОВСКИЙ, Д СТАРАЯ, С.П. КРАСНОПЛАМЕНСКОЕ, УЛ ЦЕНТРАЛЬНАЯ, Д. 13</t>
  </si>
  <si>
    <t>ИП САВИНОВА ТАИСИЯ ЛЕОНИДОВНА</t>
  </si>
  <si>
    <t>ООО МЕГА +</t>
  </si>
  <si>
    <t>601122, ВЛАДИМИРСКАЯ ОБЛАСТЬ, Р-Н ПЕТУШИНСКИЙ, Г ПОКРОВ, УЛ ЛЕНИНА, Д.92</t>
  </si>
  <si>
    <t>ИП ТАРАКАШОВА ИРИНА ЮРЬЕВНА</t>
  </si>
  <si>
    <t>ООО ФОРТИС</t>
  </si>
  <si>
    <t>600033, ВЛАДИМИРСКАЯ ОБЛАСТЬ, Г ВЛАДИМИР, ПР-Д ЗАПАДНЫЙ, Д. 8, ЭТАЖ ЦОКОЛЬ, ПОМЕЩ. 12</t>
  </si>
  <si>
    <t>ООО КОМПЬЮТЕР-ИМИДЖ ПЛЮС</t>
  </si>
  <si>
    <t>600005, ВЛАДИМИРСКАЯ ОБЛАСТЬ, Г ВЛАДИМИР, УЛ 850-ЛЕТИЯ, Д. 1/46, ПОМЕЩ. 2</t>
  </si>
  <si>
    <t>ООО ЭКИПАЖ ПЛЮС</t>
  </si>
  <si>
    <t>ООО КОМПАНИЯ ВЛАДИМИРОВ И ПАРТНЕР</t>
  </si>
  <si>
    <t>600000, ВЛАДИМИРСКАЯ ОБЛАСТЬ, Г ВЛАДИМИР, УЛ 2-Я НИКОЛЬСКАЯ, Д.1</t>
  </si>
  <si>
    <t>ИП ГУДЗЕНКО МАРИЯ ВЛАДИМИРОВНА</t>
  </si>
  <si>
    <t>ООО НАШ РЕМОНТ</t>
  </si>
  <si>
    <t>600032, ВЛАДИМИРСКАЯ ОБЛАСТЬ, Г ВЛАДИМИР, УЛ РАСТОПЧИНА, Д. 14, ПГК СОЛНЕЧНЫЙ, ГАРАЖНЫЙ БОКС 1</t>
  </si>
  <si>
    <t>ИП КОНОПАТКИН НИКИТА КОНСТАНТИНОВИЧ</t>
  </si>
  <si>
    <t>ООО БЕСТВЕЙ-ЯРОСЛАВЛЬ</t>
  </si>
  <si>
    <t>600001, РОССИЯ, ВЛАДИМИРСКАЯ ОБЛАСТЬ, Г.О. ГОРОД ВЛАДИМИР, Г ВЛАДИМИР, ПРОЕЗД БЫКОВСКИЙ, Д. 3, ЭТАЖ ПОДВАЛ № 0, ПОМЕЩ. 4</t>
  </si>
  <si>
    <t>ООО ПРИМА</t>
  </si>
  <si>
    <t>601657, РОССИЯ, ВЛАДИМИРСКАЯ ОБЛАСТЬ, М.Р-Н АЛЕКСАНДРОВСКИЙ, Г АЛЕКСАНДРОВ, Г.П. ГОРОД АЛЕКСАНДРОВ, УЛ ДВОРИКОВСКОЕ ШОССЕ, Д. 58</t>
  </si>
  <si>
    <t>ИП МЕРИНОВ РОМАН ВЛАДИМИРОВИЧ</t>
  </si>
  <si>
    <t>Волгоградская область</t>
  </si>
  <si>
    <t>ИП ШТОМОВ РОМАН ВЛАДИСЛАВОВИЧ</t>
  </si>
  <si>
    <t>ИП АЛЕКСЕЕВ АЛЕКСАНДР АЛЕКСАНДРОВИЧ</t>
  </si>
  <si>
    <t>ИП ТЕКУТОВ СЕРГЕЙ ПЕТРОВИЧ</t>
  </si>
  <si>
    <t>ИП КОЧЕВА ЕЛЕНА АЛЕКСАНДРОВНА</t>
  </si>
  <si>
    <t>ООО ПКФ НИЖЕГОРОДЕЦ</t>
  </si>
  <si>
    <t>403732, ВОЛГОГРАДСКАЯ ОБЛАСТЬ, Р-Н ЕЛАНСКИЙ, РП ЕЛАНЬ, УЛ ПИОНЕРСКАЯ, Д.140</t>
  </si>
  <si>
    <t>ИП МАКЛАКОВ СЕРГЕЙ НИКОЛАЕВИЧ</t>
  </si>
  <si>
    <t>ИП БОБОВИЧ НИКОЛАЙ ДМИТРИЕВИЧ</t>
  </si>
  <si>
    <t>ИП ВЛАСОВ АНДРЕЙ ВЛАДИМИРОВИЧ</t>
  </si>
  <si>
    <t>ИП СИТНИКОВА ЮЛИЯ ВИКТОРОВНА</t>
  </si>
  <si>
    <t>ИП КОСТИН КОНСТАНТИН ВЛАДИМИРОВИЧ</t>
  </si>
  <si>
    <t>ИП ЧЕРЕДНИЧЕНКО СЕРГЕЙ ФЕДОРОВИЧ</t>
  </si>
  <si>
    <t>ИП БОНДАРЕВА ОЛЬГА ФЕДОРОВНА</t>
  </si>
  <si>
    <t>ИП ДАВЫДОВ ДМИТРИЙ АЛЕКСАНДРОВИЧ</t>
  </si>
  <si>
    <t>ГБУ ВО НОВОНИКОЛАЕВСКАЯ РАЙСББЖ</t>
  </si>
  <si>
    <t>403901, ВОЛГОГРАДСКАЯ ОБЛАСТЬ, Р-Н НОВОНИКОЛАЕВСКИЙ, РП НОВОНИКОЛАЕВСКИЙ, УЛ КОМСОМОЛЬСКАЯ, Д.1</t>
  </si>
  <si>
    <t>ИП ЯХЪЯЕВ АСЛАМБЕК МУХИДОВИЧ</t>
  </si>
  <si>
    <t>ИП ВОРОБЬЕВ ЕВГЕНИЙ ПЕТРОВИЧ</t>
  </si>
  <si>
    <t>ИП АМИРХАНОВ МАГОМЕД-САЛАМ ГАМИДОВИЧ</t>
  </si>
  <si>
    <t>ИП Филатов Александр Васильевич</t>
  </si>
  <si>
    <t>ИП НИКОГОСЯНЦ ТАТЬЯНА СЕРГЕЕВНА</t>
  </si>
  <si>
    <t>ИП КОРОТКОВА НАТАЛЬЯ НАЗАРОВНА</t>
  </si>
  <si>
    <t>ИП ЩЕГЛОВ РОМАН ВЛАДИМИРОВИЧ</t>
  </si>
  <si>
    <t>ИП Рыбин Никита Евгеньевич</t>
  </si>
  <si>
    <t>ИП ШЕРЕМЕТЬЕВ АНДРЕЙ ВИКТОРОВИЧ</t>
  </si>
  <si>
    <t>ИП ТРИШИНА СВЕТЛАНА РОМАНОВНА</t>
  </si>
  <si>
    <t>ИП СЛАДКОВ СЕРГЕЙ ПЕТРОВИЧ</t>
  </si>
  <si>
    <t>ООО ФИРМА КНИГА</t>
  </si>
  <si>
    <t>404507, ВОЛГОГРАДСКАЯ ОБЛАСТЬ, Р-Н КАЛАЧЕВСКИЙ, Г КАЛАЧ-НА-ДОНУ, УЛ КРАВЧЕНКО, Д. 12</t>
  </si>
  <si>
    <t>ИП ЕРЕМЕЕВ ДМИТРИЙ ЭДУАРДОВИЧ</t>
  </si>
  <si>
    <t>ИП КЛЕПИКОВ ДМИТРИЙ ВЛАДИМИРОВИЧ</t>
  </si>
  <si>
    <t>ИП ЩЕННИКОВ ВЯЧЕСЛАВ ГЕННАДЬЕВИЧ</t>
  </si>
  <si>
    <t>ИП ЗУЕВ ЕВГЕНИЙ ИГОРЕВИЧ</t>
  </si>
  <si>
    <t>ИП ГРИГОРЬЕВ КОНСТАНТИН МИХАЙЛОВИЧ</t>
  </si>
  <si>
    <t>ИП СЕРДЮКОВА ЛЮБОВЬ АЛЕКСЕЕВНА</t>
  </si>
  <si>
    <t>ИП МАТВЕЕВ ИВАН ИВАНОВИЧ</t>
  </si>
  <si>
    <t>ИП КРАВЧЕНКО АЛЕКСАНДР МИХАЙЛОВИЧ</t>
  </si>
  <si>
    <t>ИП ДАРИНСКИЙ МИХАИЛ АНАТОЛЬЕВИЧ</t>
  </si>
  <si>
    <t>ИП КАЛИНИЧЕВ ВЛАДИСЛАВ ЕВГЕНЬЕВИЧ</t>
  </si>
  <si>
    <t>ИП ЗВЕЗДИЛИН АЛЕКСАНДР ИЛЬИЧ</t>
  </si>
  <si>
    <t>ИП САМОХИНА СВЕТЛАНА СЕРГЕЕВНА</t>
  </si>
  <si>
    <t>ИП ДРАГУНОВА ВАЛЕНТИНА ВИКТОРОВНА</t>
  </si>
  <si>
    <t>ИП ЧЕЛИК ОЗАН</t>
  </si>
  <si>
    <t>ИП АБРАМЯН АЛЛА ЮРЬЕВНА</t>
  </si>
  <si>
    <t>ООО ВПО ВОЛГОХИМНЕФТЬ</t>
  </si>
  <si>
    <t>404171, ВОЛГОГРАДСКАЯ ОБЛАСТЬ, М.Р-Н СВЕТЛОЯРСКИЙ, РП СВЕТЛЫЙ ЯР, Г.П. СВЕТЛОЯРСКОЕ, УЛ. 1-Я ПРОМЗОНА, ЗД. 1</t>
  </si>
  <si>
    <t>ИП ЧЕРНЫХ ВАДИМ ИВАНОВИЧ</t>
  </si>
  <si>
    <t>ИП Зубарев Виктор Николаевич</t>
  </si>
  <si>
    <t>ИП БЫСТРОВА ЮЛИЯ АНАТОЛЬЕВНА</t>
  </si>
  <si>
    <t>ИП ПУШИН АЛЕКСЕЙ АЛЕКСАНДРОВИЧ</t>
  </si>
  <si>
    <t>ИП ФЕДОРЯЕВ ВИКТОР ВИКТОРОВИЧ</t>
  </si>
  <si>
    <t>ИП КИРСАНОВ АЛЕКСАНДР АЛЕКСАНДРОВИЧ</t>
  </si>
  <si>
    <t>ОБЩЕСТВО С ОГРАНИЧЕННОЙ ОТВЕТСТВЕННОСТЬЮ АВТО И КО</t>
  </si>
  <si>
    <t>404106, ВОЛГОГРАДСКАЯ ОБЛАСТЬ, Г ВОЛЖСКИЙ, ПР-КТ ИМ ЛЕНИНА, Д.232</t>
  </si>
  <si>
    <t>ИП КОННОВА СВЕТЛАНА ВИКТОРОВНА</t>
  </si>
  <si>
    <t>ГБУ ВО БЫКОВСКАЯ РАЙСББЖ</t>
  </si>
  <si>
    <t>404062, ВОЛГОГРАДСКАЯ ОБЛАСТЬ, Р-Н БЫКОВСКИЙ, РП БЫКОВО, УЛ ВОРОВСКОГО, Д. 26</t>
  </si>
  <si>
    <t>ИП ЖИНЖИКОВ НИКОЛАЙ СЕРГЕЕВИЧ</t>
  </si>
  <si>
    <t>ИП ГЕВОРГЯН АРЕВ ХАЖАКОВНА</t>
  </si>
  <si>
    <t>ИП ДОНЦОВ РОМАН ВИКТОРОВИЧ</t>
  </si>
  <si>
    <t>ИП КОБЛИКОВ АНДРЕЙ АНАТОЛЬЕВИЧ</t>
  </si>
  <si>
    <t>ИП Щербаков Виктор Александрович</t>
  </si>
  <si>
    <t>ИП Клевцов Валерий Александрович</t>
  </si>
  <si>
    <t>ИП ШЕВЦОВ АЛЕКСАНДР АНАТОЛЬЕВИЧ</t>
  </si>
  <si>
    <t>ИП Камнев Владимир Александрович</t>
  </si>
  <si>
    <t>ИП ЖЕВАК ДМИТРИЙ АНАТОЛЬЕВИЧ</t>
  </si>
  <si>
    <t>ИП Кобышев Игорь Алексеевич</t>
  </si>
  <si>
    <t>ИП ЧУЙКИН АЛЕКСАНДР СЕРГЕЕВИЧ</t>
  </si>
  <si>
    <t>ИП ТЮМЕНЕВ АЛЕКСЕЙ ХАЙДЯРОВИЧ</t>
  </si>
  <si>
    <t>ИП ДАШКИНА РУМИЯ ЗАРИФОВНА</t>
  </si>
  <si>
    <t>ИП АБУЛЬКИН РАШИД АЛИМЕДЖАНОВИЧ</t>
  </si>
  <si>
    <t>ИП РАДЫШЕВСКИЙ ВЯЧЕСЛАВ ВЛАДИМИРОВИЧ</t>
  </si>
  <si>
    <t>ИП САРАФАНОВ АНДРЕЙ ВАЛЕРЬЕВИЧ</t>
  </si>
  <si>
    <t>ИП ТАРАСОВА НАТАЛЬЯ ВЛАДИМИРОВНА</t>
  </si>
  <si>
    <t>ИП АРЕСТОВА ИРИНА ЮРЬЕВНА</t>
  </si>
  <si>
    <t>ИП САБЛИН АЛЕКСАНДР СЕРГЕЕВИЧ</t>
  </si>
  <si>
    <t>ИП ПУТИНЦЕВ АНТОН СЕРГЕЕВИЧ</t>
  </si>
  <si>
    <t>ИП БОГАЧЕВ ВАСИЛИЙ ВЛАДИМИРОВИЧ</t>
  </si>
  <si>
    <t>ИП Чечеткин Юрий Петрович</t>
  </si>
  <si>
    <t>ООО ВОЛЖСКИЙ ЛАДА</t>
  </si>
  <si>
    <t>404106, ВОЛГОГРАДСКАЯ ОБЛАСТЬ, Г ВОЛЖСКИЙ, ПР-КТ ИМ ЛЕНИНА, Д.310</t>
  </si>
  <si>
    <t>ГБССУ СО ГПВИ ВОЛЖСКИЙ ПНИ</t>
  </si>
  <si>
    <t>404110, ВОЛГОГРАДСКАЯ ОБЛАСТЬ, Г ВОЛЖСКИЙ, УЛ НАБЕРЕЖНАЯ, К.51</t>
  </si>
  <si>
    <t>ИП ШИШКИН ВЯЧЕСЛАВ НИКОЛАЕВИЧ</t>
  </si>
  <si>
    <t>ООО СЛИРТ АВТО</t>
  </si>
  <si>
    <t>404131, РОССИЯ, ВОЛГОГРАДСКАЯ ОБЛАСТЬ, Г.О. ГОРОД ВОЛЖСКИЙ, Г ВОЛЖСКИЙ, УЛ МИРА, Д. 57, КВ. 57</t>
  </si>
  <si>
    <t>АО АПО</t>
  </si>
  <si>
    <t>404116, РОССИЯ, ВОЛГОГРАДСКАЯ ОБЛАСТЬ, Г.О. ГОРОД ВОЛЖСКИЙ, Г ВОЛЖСКИЙ, УЛ ЛЕНИНСКАЯ, Д. 91, ОФИС 2.1</t>
  </si>
  <si>
    <t>ИП ГАРИБЯН ТИГРАН СПАРТАКОВИЧ</t>
  </si>
  <si>
    <t>ИП КАДЫКОВА НАТАЛИЯ АЛЕКСАНДРОВНА</t>
  </si>
  <si>
    <t>ИП Бобров Владимир Анатольевич</t>
  </si>
  <si>
    <t>ООО КЛОНДАЙК</t>
  </si>
  <si>
    <t>400137, ВОЛГОГРАДСКАЯ ОБЛАСТЬ, Г ВОЛГОГРАД, Б-Р 30-ЛЕТИЯ ПОБЕДЫ, Д.9А</t>
  </si>
  <si>
    <t>ООО КИТ</t>
  </si>
  <si>
    <t>404119, ВОЛГОГРАДСКАЯ ОБЛАСТЬ, Г ВОЛЖСКИЙ, УЛ ИМ Ф.Г.ЛОГИНОВА, ЗД. 107А</t>
  </si>
  <si>
    <t>ИП КАЛЁНОВ КОНСТАНТИН ВИКТОРОВИЧ</t>
  </si>
  <si>
    <t>ИП БУЗУЛУКОВ ИГОРЬ АЛЕКСАНДРОВИЧ</t>
  </si>
  <si>
    <t>ИП Клементьева Ольга Петровна</t>
  </si>
  <si>
    <t>ИП АНТОНЦЕВ ВЛАДИСЛАВ АНАТОЛЬЕВИЧ</t>
  </si>
  <si>
    <t>ИП ДЕМИДОВ ВИТАЛИЙ ВЛАДИМИРОВИЧ</t>
  </si>
  <si>
    <t>ИП АРТЕМОВА ВАЛЕНТИНА ИВАНОВНА</t>
  </si>
  <si>
    <t>ИП МАЛАХОВА НАТАЛИЯ АЛЕКСЕЕВНА</t>
  </si>
  <si>
    <t>ИП ПЕХТЕРЕВ КИРИЛЛ АЛЕКСАНДРОВИЧ</t>
  </si>
  <si>
    <t>ИП Конотобсков Алексей Иванович</t>
  </si>
  <si>
    <t>ИП НЕСТЕРОВ СЕРГЕЙ СЕРГЕЕВИЧ</t>
  </si>
  <si>
    <t>ООО ДОМОГРАФ</t>
  </si>
  <si>
    <t>400075, ВОЛГОГРАДСКАЯ ОБЛАСТЬ, Г ВОЛГОГРАД, ПР-Д ДОРОЖНИКОВ, Д.4</t>
  </si>
  <si>
    <t>ИП НИКУЛИН ДЕНИС ЮРЬЕВИЧ</t>
  </si>
  <si>
    <t>ООО АРБИТР</t>
  </si>
  <si>
    <t>400075, ВОЛГОГРАДСКАЯ ОБЛАСТЬ, Г.О. ГОРОД-ГЕРОЙ ВОЛГОГРАД, Г ВОЛГОГРАД, ПРОЕЗД НЕФТЯНИКОВ, Д. 14, ОФИС 18</t>
  </si>
  <si>
    <t>ИП ФИЛИНА ИРИНА ВЛАДИМИРОВНА</t>
  </si>
  <si>
    <t>ИП ЧЕРКАШИН ЯКОВ АЛЕКСАНДРОВИЧ</t>
  </si>
  <si>
    <t>ООО А.С.-АВТО</t>
  </si>
  <si>
    <t>400048, ВОЛГОГРАДСКАЯ ОБЛАСТЬ, Г ВОЛГОГРАД, УЛ ИМ. ЗЕМЛЯЧКИ, Д.11</t>
  </si>
  <si>
    <t>ООО ВОЛГОТЕХСНАБ</t>
  </si>
  <si>
    <t>400075, ВОЛГОГРАДСКАЯ ОБЛАСТЬ, Г ВОЛГОГРАД, УЛ МОТОРНАЯ (РАБОЧИЙ ПОСЕЛОК ГУМРАК ТЕР.), Д. 9Д</t>
  </si>
  <si>
    <t>ООО АРКОНТ В</t>
  </si>
  <si>
    <t>400117, ВОЛГОГРАДСКАЯ ОБЛАСТЬ, Г ВОЛГОГРАД, УЛ ИМ. ЗЕМЛЯЧКИ, Д.19Г</t>
  </si>
  <si>
    <t>ООО АРКОНТ Р</t>
  </si>
  <si>
    <t>ООО СОРОК ЯРДОВ</t>
  </si>
  <si>
    <t>400075, РОССИЯ, ВОЛГОГРАДСКАЯ ОБЛАСТЬ, Г.О. ГОРОД-ГЕРОЙ ВОЛГОГРАД, Г ВОЛГОГРАД, ПРОЕЗД НЕФТЯНИКОВ, Д. 14, ОФИС 24</t>
  </si>
  <si>
    <t>ООО РЕНАВТОЦЕНТР</t>
  </si>
  <si>
    <t>400048, ВОЛГОГРАДСКАЯ ОБЛАСТЬ, Г ВОЛГОГРАД, ПР-Д ТАЙШЕТСКИЙ, Д. 4, ОФИС 1</t>
  </si>
  <si>
    <t>ООО ФРЕШ МБ</t>
  </si>
  <si>
    <t>400010, ВОЛГОГРАДСКАЯ ОБЛАСТЬ, Г ВОЛГОГРАД, ПР-КТ ИМ. МАРШАЛА СОВЕТСКОГО СОЮЗА Г.К.ЖУКОВА, Д. 94Д, ЭТАЖ 2, ОФИС 20</t>
  </si>
  <si>
    <t>ИП ПЕТРОВ ДМИТРИЙ ЭДУАРДОВИЧ</t>
  </si>
  <si>
    <t>ООО ЮГ</t>
  </si>
  <si>
    <t>400075, ВОЛГОГРАДСКАЯ ОБЛАСТЬ, Г ВОЛГОГРАД, УЛ ИСТОРИЧЕСКАЯ, Д. 177</t>
  </si>
  <si>
    <t>400010, РОССИЯ, ВОЛГОГРАДСКАЯ ОБЛАСТЬ, Г.О. ГОРОД-ГЕРОЙ ВОЛГОГРАД, Г ВОЛГОГРАД, ПР-КТ ИМ. МАРШАЛА СОВЕТСКОГО СОЮЗА Г.К. ЖУКОВА, Д. 94Д, ЭТАЖ 2, ОФИС 26</t>
  </si>
  <si>
    <t>ООО ПРОБЕГСЕРВИС</t>
  </si>
  <si>
    <t>400075, РОССИЯ, ВОЛГОГРАДСКАЯ ОБЛАСТЬ, Г.О. ГОРОД-ГЕРОЙ ВОЛГОГРАД, Г ВОЛГОГРАД, УЛ ИСТОРИЧЕСКАЯ, ЗД. 170, ПОМЕЩ. 1</t>
  </si>
  <si>
    <t>ООО А-ПАРТС</t>
  </si>
  <si>
    <t>400048, РОССИЯ, ВОЛГОГРАДСКАЯ ОБЛАСТЬ, Г.О. ГОРОД-ГЕРОЙ ВОЛГОГРАД, Г ВОЛГОГРАД, УЛ АНГАРСКАЯ, Д. 178, ОФИС 1-8</t>
  </si>
  <si>
    <t>ИП Чубаров Андрей Петрович</t>
  </si>
  <si>
    <t>ООО АВТО-ПЛЮС</t>
  </si>
  <si>
    <t>400048, ВОЛГОГРАДСКАЯ ОБЛАСТЬ, Г ВОЛГОГРАД, УЛ АНГАРСКАЯ, Д. 145</t>
  </si>
  <si>
    <t>ООО АВТОЦЕНТР</t>
  </si>
  <si>
    <t>400075, ВОЛГОГРАДСКАЯ ОБЛАСТЬ, Г ВОЛГОГРАД, УЛ КРАСНОПОЛЯНСКАЯ, Д. 23</t>
  </si>
  <si>
    <t>ООО АРКОНТ ШИНА</t>
  </si>
  <si>
    <t>ООО АРКОНТ М</t>
  </si>
  <si>
    <t>400050, ВОЛГОГРАДСКАЯ ОБЛАСТЬ, Г ВОЛГОГРАД, УЛ ИМ. РОКОССОВСКОГО, Д. 56</t>
  </si>
  <si>
    <t>ООО ГАЛАКТИКА</t>
  </si>
  <si>
    <t>400050, ВОЛГОГРАДСКАЯ ОБЛАСТЬ, Г ВОЛГОГРАД, УЛ ИМ. ПАРХОМЕНКО, Д.47Б</t>
  </si>
  <si>
    <t>400005, ВОЛГОГРАДСКАЯ ОБЛАСТЬ, Г ВОЛГОГРАД, УЛ КОММУНИСТИЧЕСКАЯ, Д.34</t>
  </si>
  <si>
    <t>ООО АВТОДОМ</t>
  </si>
  <si>
    <t>404130, ВОЛГОГРАДСКАЯ ОБЛАСТЬ, Г ВОЛЖСКИЙ, УЛ ПУШКИНА, Д. 35И, ОФИС 1</t>
  </si>
  <si>
    <t>ООО ПРОП</t>
  </si>
  <si>
    <t>400050, РОССИЯ, ВОЛГОГРАДСКАЯ ОБЛАСТЬ, Г.О. ГОРОД-ГЕРОЙ ВОЛГОГРАД, Г ВОЛГОГРАД, УЛ ХИРОСИМЫ, ВЛД. 1, КВ. 47</t>
  </si>
  <si>
    <t>ИП ВОЛЧКОВА СВЕТЛАНА АЛЕКСАНДРОВНА</t>
  </si>
  <si>
    <t>403003, ВОЛГОГРАДСКАЯ ОБЛАСТЬ, Р-Н ГОРОДИЩЕНСКИЙ, РП ГОРОДИЩЕ, УЛ АВТОМОБИЛИСТОВ, Д.6</t>
  </si>
  <si>
    <t>ИП ТЕРЕНТЬЕВА ЛАРИСА АЛЕКСАНДРОВНА</t>
  </si>
  <si>
    <t>ООО АМК ВОЛГОГРАД</t>
  </si>
  <si>
    <t>400062, ВОЛГОГРАДСКАЯ ОБЛАСТЬ, Г ВОЛГОГРАД, УЛ ИМ. ЗЕВИНА, Д.3 Д</t>
  </si>
  <si>
    <t>400038, ВОЛГОГРАДСКАЯ ОБЛАСТЬ, Г ВОЛГОГРАД, УЛ ВОЛГОГРАДСКАЯ (РАБОЧИЙ ПОСЕЛОК ГОРЬКОВСКИЙ ТЕР.), Д.170 Б</t>
  </si>
  <si>
    <t>ИП ПОПОВ ДМИТРИЙ СЕРГЕЕВИЧ</t>
  </si>
  <si>
    <t>ИП КЛИМЕНКО МИХАИЛ ФИЛИППОВИЧ</t>
  </si>
  <si>
    <t>ИП ГЛУШЕНКО ВАДИМ НИКОЛАЕВИЧ</t>
  </si>
  <si>
    <t>ИП РЕШЕТНИКОВ ФЕДОР ВАСИЛЬЕВИЧ</t>
  </si>
  <si>
    <t>ИП ГРИВЕННЫЙ АЛЕКСЕЙ АЛЕКСАНДРОВИЧ</t>
  </si>
  <si>
    <t>ЗАО КАРБОН  ИНВЕСТ</t>
  </si>
  <si>
    <t>400029, ВОЛГОГРАДСКАЯ ОБЛАСТЬ, Г ВОЛГОГРАД, УЛ ВИЛЯНСКАЯ, Д.13К</t>
  </si>
  <si>
    <t>ООО ТЕХНОЛ</t>
  </si>
  <si>
    <t>400032, ВОЛГОГРАДСКАЯ ОБЛАСТЬ, Г ВОЛГОГРАД, УЛ ЛАЗОРЕВАЯ, ДВЛД. 335А</t>
  </si>
  <si>
    <t>ИП БЫЧКИНА НАТАЛИЯ АНДРЕЕВНА</t>
  </si>
  <si>
    <t>ИП ХАРЛАМОВ СЕРГЕЙ АЛЕКСАНДРОВИЧ</t>
  </si>
  <si>
    <t>ИП НЕРСЕСОВ ВЛАДИМИР СЕМЁНОВИЧ</t>
  </si>
  <si>
    <t>ООО СПЕЦТЕХАГРООЙЛ</t>
  </si>
  <si>
    <t>403003, ВОЛГОГРАДСКАЯ ОБЛАСТЬ, Р-Н ГОРОДИЩЕНСКИЙ, РП ГОРОДИЩЕ, УЛ ПРОМЫШЛЕННАЯ, Д. 9, ЭТАЖ ЦОКОЛЬНЫЙ, КОМ. 4</t>
  </si>
  <si>
    <t>ИП ТАНАСИЕНКО ИГОРЬ ВЛАДИМИРОВИЧ</t>
  </si>
  <si>
    <t>ООО МАГИСТРАЛЬ-34</t>
  </si>
  <si>
    <t>403003, ВОЛГОГРАДСКАЯ ОБЛАСТЬ, Р-Н ГОРОДИЩЕНСКИЙ, П ЦАРИЦЫН, ПЕР ТУПИКОВЫЙ, Д. 2, ОФИС 2</t>
  </si>
  <si>
    <t>ООО РАДИУС</t>
  </si>
  <si>
    <t>400065, ВОЛГОГРАДСКАЯ ОБЛАСТЬ, Г ВОЛГОГРАД, ПР-КТ ИМ. В.И. ЛЕНИНА, Д. 179, ОФИС ИНКОМОТОРС 1</t>
  </si>
  <si>
    <t>400009, ВОЛГОГРАДСКАЯ ОБЛАСТЬ, Г ВОЛГОГРАД, ПР-КТ ИМ. В.И. ЛЕНИНА, Д. 118 Б, ОФИС 2</t>
  </si>
  <si>
    <t>ООО ЭКСТРА-ОЙЛ</t>
  </si>
  <si>
    <t>404120, ВОЛГОГРАДСКАЯ ОБЛАСТЬ, Г ВОЛЖСКИЙ, УЛ ЭНГЕЛЬСА, Д. 22, КВ. 62</t>
  </si>
  <si>
    <t>ООО КАССНАБ</t>
  </si>
  <si>
    <t>404130, ВОЛГОГРАДСКАЯ ОБЛАСТЬ, Г ВОЛЖСКИЙ, УЛ ГОРЬКОГО, Д. 4, ОФИС 7</t>
  </si>
  <si>
    <t>ИП Жадаев Денис Николаевич</t>
  </si>
  <si>
    <t>ИП АРЕФЬЕВ АЛЕКСЕЙ ВИКТОРОВИЧ</t>
  </si>
  <si>
    <t>ИП МОСКАЛЕЦ СЕРГЕЙ НИКОЛАЕВИЧ</t>
  </si>
  <si>
    <t>ООО АРТЕК</t>
  </si>
  <si>
    <t>404121, ВОЛГОГРАДСКАЯ ОБЛАСТЬ, Г.О. ГОРОД ВОЛЖСКИЙ, Г ВОЛЖСКИЙ, ПРОЕЗД 1-Й ИНДУСТРИАЛЬНЫЙ, Д. 16А, ОФИС 5</t>
  </si>
  <si>
    <t>ИП Шайхутдинова Елена Васильевна</t>
  </si>
  <si>
    <t>ИП ГУГНИНСКАЯ ТАТЬЯНА ИВАНОВНА</t>
  </si>
  <si>
    <t>ООО АГРО-СЕРВИС-ЗАПЧАСТЬ</t>
  </si>
  <si>
    <t>403348, ВОЛГОГРАДСКАЯ ОБЛАСТЬ, Г МИХАЙЛОВКА, УЛ К.МАРКСА, ЗД. 26А</t>
  </si>
  <si>
    <t>ИП СКАЧКОВ РОМАН АНАТОЛЬЕВИЧ</t>
  </si>
  <si>
    <t>ИП Титоренко Владимир Васильевич</t>
  </si>
  <si>
    <t>ИП КУЦЕВ ВИТАЛИЙ ВИКТОРОВИЧ</t>
  </si>
  <si>
    <t>ООО ЭКО ПРОМ</t>
  </si>
  <si>
    <t>400039, ВОЛГОГРАДСКАЯ ОБЛАСТЬ, Г ВОЛГОГРАД, УЛ ЛАТОШИНСКАЯ, Д.93 Б</t>
  </si>
  <si>
    <t>ООО АКВА-СПОРТ</t>
  </si>
  <si>
    <t>400078, ВОЛГОГРАДСКАЯ ОБЛАСТЬ, Г ВОЛГОГРАД, ПР-КТ ИМ. В.И. ЛЕНИНА, Д. 98, ОФИС 215</t>
  </si>
  <si>
    <t>ИП КУРДЮКОВ НАТАН ТИМУРОВИЧ</t>
  </si>
  <si>
    <t>ИП САМАРИН ЭДУАРД СТАНИСЛАВОВИЧ</t>
  </si>
  <si>
    <t>ИП ПЕРШИН СЕРГЕЙ ФЕДОРОВИЧ</t>
  </si>
  <si>
    <t>ООО ЛАЗУРНЫЙ БЕРЕГ</t>
  </si>
  <si>
    <t>404130, ВОЛГОГРАДСКАЯ ОБЛАСТЬ, Г ВОЛЖСКИЙ, УЛ НАБЕРЕЖНАЯ, Д. 18, КВ. 3</t>
  </si>
  <si>
    <t>ООО ПРЕМИУМ</t>
  </si>
  <si>
    <t>400048, ВОЛГОГРАДСКАЯ ОБЛАСТЬ, Г.О. ГОРОД-ГЕРОЙ ВОЛГОГРАД, Г ВОЛГОГРАД, Ш АВИАТОРОВ, Д. 2А, ОФИС 2</t>
  </si>
  <si>
    <t>ООО ТОПАЗ</t>
  </si>
  <si>
    <t>400048, РОССИЯ, ВОЛГОГРАДСКАЯ ОБЛАСТЬ, Г.О. ГОРОД-ГЕРОЙ ВОЛГОГРАД, Г ВОЛГОГРАД, Ш АВИАТОРОВ, Д. 2А, ОФИС 3</t>
  </si>
  <si>
    <t>ИП ЛИТВИНОВА ЕКАТЕРИНА АЛЕКСАНДРОВНА</t>
  </si>
  <si>
    <t>ООО АКТИВ ПЛЮС</t>
  </si>
  <si>
    <t>400075, ВОЛГОГРАДСКАЯ ОБЛАСТЬ, Г.О. ГОРОД-ГЕРОЙ ВОЛГОГРАД, Г ВОЛГОГРАД, ПРОЕЗД НЕФТЯНИКОВ, Д. 14, ОФИС 6</t>
  </si>
  <si>
    <t>ООО А.С.-АВТО ЮГ</t>
  </si>
  <si>
    <t>ООО ТМГ</t>
  </si>
  <si>
    <t>400117, ВОЛГОГРАДСКАЯ ОБЛАСТЬ, Г ВОЛГОГРАД, УЛ ИМ. ЗЕМЛЯЧКИ, Д. 23Б, ОФИС 2</t>
  </si>
  <si>
    <t>ИП ЩЕГЛОВ СЕРГЕЙ ВЯЧЕСЛАВОВИЧ</t>
  </si>
  <si>
    <t>ООО ТЕХНОКАР</t>
  </si>
  <si>
    <t>400048, РОССИЯ, ВОЛГОГРАДСКАЯ ОБЛАСТЬ, Г.О. ГОРОД-ГЕРОЙ ВОЛГОГРАД, Г ВОЛГОГРАД, Ш АВИАТОРОВ, Д. 2А, ОФИС 39</t>
  </si>
  <si>
    <t>ООО АЛМА</t>
  </si>
  <si>
    <t>400048, РОССИЯ, ВОЛГОГРАДСКАЯ ОБЛАСТЬ, Г.О. ГОРОД-ГЕРОЙ ВОЛГОГРАД, Г ВОЛГОГРАД, УЛ ИМ. ЗЕМЛЯЧКИ, Д. 11</t>
  </si>
  <si>
    <t>ИП ГРАНКИН АЛЕКСАНДР МИХАЙЛОВИЧ</t>
  </si>
  <si>
    <t>ИП КАЛЯГИН АЛЕКСАНДР ВЛАДИМИРОВИЧ</t>
  </si>
  <si>
    <t>ИП СИДОРЕНКО КИРИЛЛ ЕВГЕНЬЕВИЧ</t>
  </si>
  <si>
    <t>ООО АРКОНТ Д</t>
  </si>
  <si>
    <t>400117, ВОЛГОГРАДСКАЯ ОБЛАСТЬ, Г ВОЛГОГРАД, УЛ ИМ. ЗЕМЛЯЧКИ, Д.19, К.Г</t>
  </si>
  <si>
    <t>ООО ВПП</t>
  </si>
  <si>
    <t>400075, ВОЛГОГРАДСКАЯ ОБЛАСТЬ, Г.О. ГОРОД-ГЕРОЙ ВОЛГОГРАД, Г ВОЛГОГРАД, УЛ КРАСНОПОЛЯНСКАЯ, Д. 55В, ОФИС 3</t>
  </si>
  <si>
    <t>ООО АКТИВ АВТО</t>
  </si>
  <si>
    <t>400075, ВОЛГОГРАДСКАЯ ОБЛАСТЬ, Г ВОЛГОГРАД, ПР-Д НЕФТЯНИКОВ, Д. 14</t>
  </si>
  <si>
    <t>ООО ТДМ</t>
  </si>
  <si>
    <t>400048, ВОЛГОГРАДСКАЯ ОБЛАСТЬ, Г ВОЛГОГРАД, ПР-Д ТАЙШЕТСКИЙ, Д. 8, ПОМЕЩ. 4</t>
  </si>
  <si>
    <t>ООО АГРОСНАБ</t>
  </si>
  <si>
    <t>400087, ВОЛГОГРАДСКАЯ ОБЛАСТЬ, Г ВОЛГОГРАД, УЛ НЕВСКАЯ, Д.13А, --, --</t>
  </si>
  <si>
    <t>ООО АВТОКОМПЛЕКТ 34</t>
  </si>
  <si>
    <t>400005, ВОЛГОГРАДСКАЯ ОБЛАСТЬ, Г ВОЛГОГРАД, УЛ СОВЕТСКАЯ, Д. 49, КОМ. 21</t>
  </si>
  <si>
    <t>ИП СЕРИКОВ ВАЛЕРИЙ ЮРЬЕВИЧ</t>
  </si>
  <si>
    <t>ООО ТД ГРАСС</t>
  </si>
  <si>
    <t>404143, РОССИЯ, ВОЛГОГРАДСКАЯ ОБЛАСТЬ, М.Р-Н СРЕДНЕАХТУБИНСКИЙ, РП СРЕДНЯЯ АХТУБА, Г.П. РАБОЧИЙ ПОСЕЛОК СРЕДНЯЯ АХТУБА, УЛ ПРОМЫШЛЕННАЯ, Д. 12</t>
  </si>
  <si>
    <t>ООО АГРО-СЕРВИС</t>
  </si>
  <si>
    <t>400075, ВОЛГОГРАДСКАЯ ОБЛАСТЬ, Г ВОЛГОГРАД, ПР-Д ТАЙМЫРСКИЙ (РАБОЧИЙ ПОСЕЛОК ГУМРАК ТЕР.), Д.10</t>
  </si>
  <si>
    <t>ЗАО КОМПАНИЯ АИСТ</t>
  </si>
  <si>
    <t>400011, ВОЛГОГРАДСКАЯ ОБЛАСТЬ, Г ВОЛГОГРАД, УЛ АНТРАЦИТНАЯ, Д. 2</t>
  </si>
  <si>
    <t>ИП НАЗАРЕНКО МАРИНА ЮРЬЕВНА</t>
  </si>
  <si>
    <t>ИП ВИЛЬЧИНСКИЙ ВИТАЛИЙ ВЛАДИМИРОВИЧ</t>
  </si>
  <si>
    <t>ИП БЕЛЬЦ АЛЕКСАНДР СЕРГЕЕВИЧ</t>
  </si>
  <si>
    <t>ИП ВОЛКОВА ЮЛИЯ НИКОЛАЕВНА</t>
  </si>
  <si>
    <t>ИП ПРОХОРОВ ЕВГЕНИЙ ИЛЬИЧ</t>
  </si>
  <si>
    <t>ИП КУЗЬМИН ВИТАЛИЙ ВЛАДИМИРОВИЧ</t>
  </si>
  <si>
    <t>ИП СТРИЛЬЧИК ВАЛЕРИЙ НИКОЛАЕВИЧ</t>
  </si>
  <si>
    <t>ООО ИНТЕСМО</t>
  </si>
  <si>
    <t>400029, ВОЛГОГРАДСКАЯ ОБЛАСТЬ, Г ВОЛГОГРАД, УЛ 40 ЛЕТ ВЛКСМ, Д.55</t>
  </si>
  <si>
    <t>ИП МИХАЛЬЦОВ НИКИТА ВЛАДИМИРОВИЧ</t>
  </si>
  <si>
    <t>ИП РЯБУХИНА ЕЛЕНА СЕРГЕЕВНА</t>
  </si>
  <si>
    <t>ИП МАСЛОВ МИХАИЛ ВАСИЛЬЕВИЧ</t>
  </si>
  <si>
    <t>ООО ВАШ ИНСТРУМЕНТ</t>
  </si>
  <si>
    <t>400105, ВОЛГОГРАДСКАЯ ОБЛАСТЬ, Г ВОЛГОГРАД, УЛ ИМ. ГЕНЕРАЛА ШТЕМЕНКО, Д.2, 40</t>
  </si>
  <si>
    <t>ООО ДОПАВТО</t>
  </si>
  <si>
    <t>400050, ВОЛГОГРАДСКАЯ ОБЛАСТЬ, Г ВОЛГОГРАД, УЛ ИМ. РОКОССОВСКОГО, Д. 72, ПОМЕЩ. 1</t>
  </si>
  <si>
    <t>ООО ЛАДА ЦЕНТР НА ЛЕНИНА</t>
  </si>
  <si>
    <t>400065, ВОЛГОГРАДСКАЯ ОБЛАСТЬ, Г.О. ГОРОД-ГЕРОЙ ВОЛГОГРАД, Г ВОЛГОГРАД, ПР-КТ ИМ. В.И. ЛЕНИНА, Д. 122, ОФИС 41</t>
  </si>
  <si>
    <t>ООО СИГМА</t>
  </si>
  <si>
    <t>400105, ВОЛГОГРАДСКАЯ ОБЛАСТЬ, Г ВОЛГОГРАД, УЛ БОГУНСКАЯ, Д. 8, ОФИС 423</t>
  </si>
  <si>
    <t>ИП СЕРКОВ СЕРГЕЙ ВАСИЛЬЕВИЧ</t>
  </si>
  <si>
    <t>ИП ПЕТРУШИНА ОЛЬГА ВИКТОРОВНА</t>
  </si>
  <si>
    <t>ИП Константинов Александр Валерьевич</t>
  </si>
  <si>
    <t>ИП Денисова Лира Федоровна</t>
  </si>
  <si>
    <t>ИП Полещук Жанна Михайловна</t>
  </si>
  <si>
    <t>ООО АДМИРАЛ</t>
  </si>
  <si>
    <t>404120, ВОЛГОГРАДСКАЯ ОБЛАСТЬ, Г ВОЛЖСКИЙ, УЛ ПУШКИНА, Д. 103Д</t>
  </si>
  <si>
    <t>ИП СПИРОВ ЯГОР САВВОВИЧ</t>
  </si>
  <si>
    <t>ООО 2РС</t>
  </si>
  <si>
    <t>404122, ВОЛГОГРАДСКАЯ ОБЛАСТЬ, Г ВОЛЖСКИЙ, УЛ КИРОВА, Д.19</t>
  </si>
  <si>
    <t>ИП МАКАРЕНКО АЛЕКСЕЙ АЛЕКСАНДРОВИЧ</t>
  </si>
  <si>
    <t>ИП ЕВСЕЕВ АЛЕКСАНДР НИКОЛАЕВИЧ</t>
  </si>
  <si>
    <t>ИП ТАБАШНИКОВА ЮЛИЯ ФЕДОРОВНА</t>
  </si>
  <si>
    <t>ИП ЛИ ГЕОРГИЙ МИХАЙЛОВИЧ</t>
  </si>
  <si>
    <t>ИП Чибирев Евгений Михайлович</t>
  </si>
  <si>
    <t>ООО ПИЛОН-АВТО</t>
  </si>
  <si>
    <t>403892, ВОЛГОГРАДСКАЯ ОБЛАСТЬ, Г КАМЫШИН, УЛ ПАРТИЗАНСКАЯ, Д.12</t>
  </si>
  <si>
    <t>ООО МИНЕРАЛАГРО-ВОЛГА</t>
  </si>
  <si>
    <t>400005, РОССИЯ, ВОЛГОГРАДСКАЯ ОБЛАСТЬ, Г.О. ГОРОД-ГЕРОЙ ВОЛГОГРАД, Г ВОЛГОГРАД, УЛ 7-Й ГВАРДЕЙСКОЙ, Д. 4А, ОФИС 301</t>
  </si>
  <si>
    <t>ИП МАЙНИНА НАТАЛЬЯ СЕРГЕЕВНА</t>
  </si>
  <si>
    <t>ИП ФИРСОВ НИКОЛАЙ ЮРЬЕВИЧ</t>
  </si>
  <si>
    <t>ИП КУЗЬМИН ВАЛЕРИЙ НИКОЛАЕВИЧ</t>
  </si>
  <si>
    <t>ИП САЗОНОВ МИХАИЛ СЕРГЕЕВИЧ</t>
  </si>
  <si>
    <t>ИП МУРОМЦЕВ АЛЕКСЕЙ АЛЕКСАНДРОВИЧ</t>
  </si>
  <si>
    <t>ООО КОНЦЕПТ СТ</t>
  </si>
  <si>
    <t>400006, ВОЛГОГРАДСКАЯ ОБЛАСТЬ, Г ВОЛГОГРАД, УЛ ВИЛЬНЮССКАЯ, Д.42</t>
  </si>
  <si>
    <t>ИП РЕПИН ВАДИМ МИХАЙЛОВИЧ</t>
  </si>
  <si>
    <t>ООО АВТО - ПРЕСТИЖ</t>
  </si>
  <si>
    <t>400064, ВОЛГОГРАДСКАЯ ОБЛАСТЬ, Г ВОЛГОГРАД, УЛ ИМ. МАРШАЛА ЕРЕМЕНКО, Д. 44, ПОМЕЩ. 23</t>
  </si>
  <si>
    <t>ИП МАЙОРНИКОВА МАРИЯ ГЕРМАНОВНА</t>
  </si>
  <si>
    <t>ООО АГАТВОЛГАСЕРВИС</t>
  </si>
  <si>
    <t>ООО АКЦЕНТ</t>
  </si>
  <si>
    <t>400048, ВОЛГОГРАДСКАЯ ОБЛАСТЬ, Г.О. ГОРОД-ГЕРОЙ ВОЛГОГРАД, Г ВОЛГОГРАД, Ш АВИАТОРОВ, Д. 2Г, ОФИС 33</t>
  </si>
  <si>
    <t>ООО ФОРМЕД-ВОЛГА</t>
  </si>
  <si>
    <t>400042, ВОЛГОГРАДСКАЯ ОБЛАСТЬ, Г ВОЛГОГРАД, Ш АВИАТОРОВ, Д.1</t>
  </si>
  <si>
    <t>ООО АРКОНТ ЯЛР</t>
  </si>
  <si>
    <t>400117, ВОЛГОГРАДСКАЯ ОБЛАСТЬ, Г ВОЛГОГРАД, УЛ ИМ. ЗЕМЛЯЧКИ, Д. 25</t>
  </si>
  <si>
    <t>ООО АКТИВ ОЙЛ</t>
  </si>
  <si>
    <t>400075, РОССИЯ, ВОЛГОГРАДСКАЯ ОБЛАСТЬ, Г.О. ГОРОД-ГЕРОЙ ВОЛГОГРАД, Г ВОЛГОГРАД, ПРОЕЗД НЕФТЯНИКОВ, Д. 14, ОФИС 4</t>
  </si>
  <si>
    <t>ООО СТЕЛЛА</t>
  </si>
  <si>
    <t>400048, РОССИЯ, ВОЛГОГРАДСКАЯ ОБЛАСТЬ, Г.О. ГОРОД-ГЕРОЙ ВОЛГОГРАД, Г ВОЛГОГРАД, Ш АВИАТОРОВ, Д. 2Г, ОФИС 33</t>
  </si>
  <si>
    <t>ООО ТОРГСЕРВИС 34</t>
  </si>
  <si>
    <t>400010, РОССИЯ, ВОЛГОГРАДСКАЯ ОБЛАСТЬ, Г.О. ГОРОД-ГЕРОЙ ВОЛГОГРАД, Г ВОЛГОГРАД, УЛ КАЧИНЦЕВ, Д. 87</t>
  </si>
  <si>
    <t>ООО БАГИРА</t>
  </si>
  <si>
    <t>400137, ВОЛГОГРАДСКАЯ ОБЛАСТЬ, Г ВОЛГОГРАД, УЛ 8-Й ВОЗДУШНОЙ АРМИИ, Д. 21А, ОФИС 10</t>
  </si>
  <si>
    <t>ООО СОЮЗ АВТО</t>
  </si>
  <si>
    <t>400048, РОССИЯ, ВОЛГОГРАДСКАЯ ОБЛАСТЬ, Г.О. ГОРОД-ГЕРОЙ ВОЛГОГРАД, Г ВОЛГОГРАД, Ш АВИАТОРОВ, Д. 2А, ОФИС 14</t>
  </si>
  <si>
    <t>ООО АРКОНТ ВВ</t>
  </si>
  <si>
    <t>ООО ИНСТИТУТ ПРОМЫШЛЕННОЙ ЭКОЛОГИИ</t>
  </si>
  <si>
    <t>400066, ВОЛГОГРАДСКАЯ ОБЛАСТЬ, Г ВОЛГОГРАД, УЛ СОВЕТСКАЯ, Д. 26, КВ. 72</t>
  </si>
  <si>
    <t>ИП САМОЙЛЕНКО АЛЕКСАНДР ЕВГЕНЬЕВИЧ</t>
  </si>
  <si>
    <t>ООО ВОЛЖСКИЙ ВЕТЕР</t>
  </si>
  <si>
    <t>400120, ВОЛГОГРАДСКАЯ ОБЛАСТЬ, Г ВОЛГОГРАД, УЛ ЧЕРЕПОВЕЦКАЯ, Д. 1Д, ОФИС 1</t>
  </si>
  <si>
    <t>ИП ОСИПОВ АНДРЕЙ ВИКТОРОВИЧ</t>
  </si>
  <si>
    <t>ИП САЗОНОВ АЛЕКСАНДР ВАСИЛЬЕВИЧ</t>
  </si>
  <si>
    <t>ИП СКУБИРО АЛЕКСАНДР ГЕННАДЬЕВИЧ</t>
  </si>
  <si>
    <t>ИП РЯСНОВ АНДРЕЙ ОЛЕГОВИЧ</t>
  </si>
  <si>
    <t>ИП СТОЛБА АННА АНАТОЛЬЕВНА</t>
  </si>
  <si>
    <t>ИП МАРЕНКОВ ВЛАДИМИР ВЛАДИМИРОВИЧ</t>
  </si>
  <si>
    <t>ИП КОСТЕНКОВ ВИКТОР ВАЛЕНТИНОВИЧ</t>
  </si>
  <si>
    <t>ИП САРЫЧЕВ ВИКТОР ВЛАДИМИРОВИЧ</t>
  </si>
  <si>
    <t>ИП ЛЕННИКОВ ВЛАДИМИР АЛЕКСАНДРОВИЧ</t>
  </si>
  <si>
    <t>ИП МЕРКУЛОВ АЛЕКСАНДР АНАТОЛЬЕВИЧ</t>
  </si>
  <si>
    <t>ИП ГАЛУШКИНА ТАТЬЯНА ВИКТОРОВНА</t>
  </si>
  <si>
    <t>ИП СУШКОВА НАТАЛЬЯ АЛЕКСАНДРОВНА</t>
  </si>
  <si>
    <t>ИП ИВАНОВА АННА СЕРГЕЕВНА</t>
  </si>
  <si>
    <t>ИП ВЕНДИН АЛЕКСАНДР ИГОРЕВИЧ</t>
  </si>
  <si>
    <t>ИП ГАЛУШКИН СЕРГЕЙ НИКОЛАЕВИЧ</t>
  </si>
  <si>
    <t>ИП ЯЦУК ДАНИИЛ ПАВЛОВИЧ</t>
  </si>
  <si>
    <t>ООО ПАЛЛАСОВСКИЕ НЕФТЕПРОДУКТЫ</t>
  </si>
  <si>
    <t>404264, ВОЛГОГРАДСКАЯ ОБЛАСТЬ, Р-Н ПАЛЛАСОВСКИЙ, Г ПАЛЛАСОВКА, УЛ СТАРОПОЛТАВСКАЯ, ЗД. 1А</t>
  </si>
  <si>
    <t>ИП ЛУКЕРЕНКО ЕВГЕНИЙ ЮРЬЕВИЧ</t>
  </si>
  <si>
    <t>ООО МИР</t>
  </si>
  <si>
    <t>400120, ВОЛГОГРАДСКАЯ ОБЛАСТЬ, Г ВОЛГОГРАД, УЛ ИМ. НЕЖДАНОВОЙ, Д. 21Д, ПОМЕЩ. 13</t>
  </si>
  <si>
    <t>ООО ОПЕНЗАП</t>
  </si>
  <si>
    <t>400119, ВОЛГОГРАДСКАЯ ОБЛАСТЬ, Г ВОЛГОГРАД, УЛ 25-ЛЕТИЯ ОКТЯБРЯ, Д. 1, СТР. 56, ПОМЕЩ. 4</t>
  </si>
  <si>
    <t>403003, РОССИЯ, ВОЛГОГРАДСКАЯ ОБЛАСТЬ, М.Р-Н ГОРОДИЩЕНСКИЙ, РП ГОРОДИЩЕ, Г.П. ГОРОДИЩЕНСКОЕ, УЛ ДОРОЖНИКОВ, СТР. 1, КОМ. 1</t>
  </si>
  <si>
    <t>ООО БОАТ ТРЕЙДЕР</t>
  </si>
  <si>
    <t>400120, РОССИЯ, ВОЛГОГРАДСКАЯ ОБЛАСТЬ, Г.О. ГОРОД-ГЕРОЙ ВОЛГОГРАД, Г ВОЛГОГРАД, УЛ ЧЕРЕПОВЕЦКАЯ, Д. 1Д, ОФИС 3</t>
  </si>
  <si>
    <t>ООО УНИВЕКО</t>
  </si>
  <si>
    <t>400119, ВОЛГОГРАДСКАЯ ОБЛАСТЬ, Г ВОЛГОГРАД, УЛ 25-ЛЕТИЯ ОКТЯБРЯ, Д. 1, КОМ. 2</t>
  </si>
  <si>
    <t>ООО РЕМЗОНА</t>
  </si>
  <si>
    <t>400120, ВОЛГОГРАДСКАЯ ОБЛАСТЬ, Г ВОЛГОГРАД, УЛ ЛЕНКОРАНСКАЯ, Д. 80</t>
  </si>
  <si>
    <t>ООО РЕТРАК ЮГ</t>
  </si>
  <si>
    <t>400038, РОССИЯ, ВОЛГОГРАДСКАЯ ОБЛАСТЬ, Г.О. ГОРОД-ГЕРОЙ ВОЛГОГРАД, Г ВОЛГОГРАД, ТЕР. РАБОЧИЙ ПОСЕЛОК ГОРЬКОВСКИЙ, УЛ ШИРОКАЯ, Д. 5</t>
  </si>
  <si>
    <t>ООО ГРЕМИ</t>
  </si>
  <si>
    <t>400026, ВОЛГОГРАДСКАЯ ОБЛАСТЬ, Г ВОЛГОГРАД, УЛ ПРОЛЕТАРСКАЯ, Д. 59</t>
  </si>
  <si>
    <t>ООО АВТО-ТРАНЗИТ</t>
  </si>
  <si>
    <t>400075, ВОЛГОГРАДСКАЯ ОБЛАСТЬ, Г ВОЛГОГРАД, УЛ КРАСНОПОЛЯНСКАЯ, Д. 55Г, ОФИС 8</t>
  </si>
  <si>
    <t>ООО АВЕРАНС В</t>
  </si>
  <si>
    <t>400117, ВОЛГОГРАДСКАЯ ОБЛАСТЬ, Г ВОЛГОГРАД, УЛ ИМ. ЗЕМЛЯЧКИ, ЗД. 31А, ОФИС 1-04</t>
  </si>
  <si>
    <t>ООО ДЖЕК КАРС</t>
  </si>
  <si>
    <t>400074, ВОЛГОГРАДСКАЯ ОБЛАСТЬ, Г ВОЛГОГРАД, УЛ КОЗЛОВСКАЯ, Д. 44А, ПОМЕЩЕНИЕ 1, ОФИС 1</t>
  </si>
  <si>
    <t>ООО ТЕХЦЕНТР КРАФТ</t>
  </si>
  <si>
    <t>400074, ВОЛГОГРАДСКАЯ ОБЛАСТЬ, Г ВОЛГОГРАД, УЛ ИМ. ЛАВОЧКИНА, Д. 7, КВ. 290</t>
  </si>
  <si>
    <t>ООО АВТОЮГ</t>
  </si>
  <si>
    <t>400067, ВОЛГОГРАДСКАЯ ОБЛАСТЬ, Г ВОЛГОГРАД, УЛ ИМ. КИРОВА, Д. 121 А, ОФИС 304</t>
  </si>
  <si>
    <t>ИП ТРУХАЧЁВ ИВАН АЛЕКСЕЕВИЧ</t>
  </si>
  <si>
    <t>ООО АКЦЕНТ- АВТО</t>
  </si>
  <si>
    <t>400048, ВОЛГОГРАДСКАЯ ОБЛАСТЬ, Г ВОЛГОГРАД, Ш АВИАТОРОВ, Д. 2Г</t>
  </si>
  <si>
    <t>ИП СЕМЕНЕНКО СТАНИСЛАВ АЛЕКСАНДРОВИЧ</t>
  </si>
  <si>
    <t>ИП Коберт Иван Рейнгольдович</t>
  </si>
  <si>
    <t>ИП Бондарев Николай Васильевич</t>
  </si>
  <si>
    <t>ИП Дементьева Елена Владимировна</t>
  </si>
  <si>
    <t>ИП ПРОКОПОВ МИХАИЛ ВАЛЕРЬЕВИЧ</t>
  </si>
  <si>
    <t>ИП ЧИРКОВ КОНСТАНТИН АЛЕКСАНДРОВИЧ</t>
  </si>
  <si>
    <t>ООО ТЕХНОСПОРТ</t>
  </si>
  <si>
    <t>400002, ВОЛГОГРАДСКАЯ ОБЛАСТЬ, Г.О. ГОРОД-ГЕРОЙ ВОЛГОГРАД, Г ВОЛГОГРАД, УЛ ИМ. КАПИТАНА МИЛИЦИИ НОВИКОВА, Д. 13, ПОМЕЩ. 1</t>
  </si>
  <si>
    <t>ИП МОРОЗОВ ВИТАЛИЙ ВАСИЛЬЕВИЧ</t>
  </si>
  <si>
    <t>ООО АВТОТИМ</t>
  </si>
  <si>
    <t>400075, РОССИЯ, ВОЛГОГРАДСКАЯ ОБЛАСТЬ, Г.О. ГОРОД-ГЕРОЙ ВОЛГОГРАД, Г ВОЛГОГРАД, ПРОЕЗД НЕФТЯНИКОВ, Д. 14, ОФИС 20</t>
  </si>
  <si>
    <t>ИП СОЙНОВ АЛЕКСАНДР МИХАЙЛОВИЧ</t>
  </si>
  <si>
    <t>ООО ТД БАСТИОН</t>
  </si>
  <si>
    <t>400048, РОССИЯ, ВОЛГОГРАДСКАЯ ОБЛАСТЬ, Г.О. ГОРОД-ГЕРОЙ ВОЛГОГРАД, Г ВОЛГОГРАД, УЛ АНГАРСКАЯ, Д. 153А, ПОМЕЩ. 2</t>
  </si>
  <si>
    <t>ООО АКТИВ ТРЕЙД</t>
  </si>
  <si>
    <t>ИП МОРГУН НАТАЛЬЯ ВЛАДИМИРОВНА</t>
  </si>
  <si>
    <t>ООО ВОЛГА-ЭНЕРДЖИ</t>
  </si>
  <si>
    <t>400011, РОССИЯ, ВОЛГОГРАДСКАЯ ОБЛАСТЬ, Г.О. ГОРОД-ГЕРОЙ ВОЛГОГРАД, Г ВОЛГОГРАД, УЛ ЭЛЕКТРОЛЕСОВСКАЯ, ЗД. 74Б, ЭТАЖ 2, ПОМЕЩ. 1</t>
  </si>
  <si>
    <t>ИП СМЕТАНИН ДМИТРИЙ ИГОРЕВИЧ</t>
  </si>
  <si>
    <t>403221, РОССИЯ, ВОЛГОГРАДСКАЯ ОБЛАСТЬ, М.Р-Н КИКВИДЗЕНСКИЙ, СТ-ЦА ПРЕОБРАЖЕНСКАЯ, С.П. ПРЕОБРАЖЕНСКОЕ, УЛ РЕЧНАЯ, Д. 3Б</t>
  </si>
  <si>
    <t>ИП ЭЛЬБЕРГ РОМАН ВЛАДИМИРОВИЧ</t>
  </si>
  <si>
    <t>403344, РОССИЯ, ВОЛГОГРАДСКАЯ ОБЛАСТЬ, М.О. ГОРОД МИХАЙЛОВКА, Г МИХАЙЛОВКА, УЛ ТИШАНСКАЯ, ДВЛД. 35, ОФИС 2</t>
  </si>
  <si>
    <t>ООО АГРОФРУТ</t>
  </si>
  <si>
    <t>Вологодская область</t>
  </si>
  <si>
    <t>162690, РОССИЯ, ВОЛОГОДСКАЯ ОБЛАСТЬ, М.Р-Н ЧЕРЕПОВЕЦКИЙ, Д ЯСНАЯ ПОЛЯНА, С.П. ТОНШАЛОВСКОЕ, УЛ ОСЕННЯЯ, Д. 10, ПОМЕЩ. 1</t>
  </si>
  <si>
    <t>ИП Данилов Владимир Николаевич</t>
  </si>
  <si>
    <t>ИП БАЗАНОВ ВЯЧЕСЛАВ СЕРГЕЕВИЧ</t>
  </si>
  <si>
    <t>ИП Имагожев Магомед Баширович</t>
  </si>
  <si>
    <t>ИП САДОВНИКОВ ПАВЕЛ ВАЛЕРИЕВИЧ</t>
  </si>
  <si>
    <t>ООО НИКОЛА</t>
  </si>
  <si>
    <t>162000, ВОЛОГОДСКАЯ ОБЛАСТЬ, Р-Н ГРЯЗОВЕЦКИЙ, Г ГРЯЗОВЕЦ, УЛ РУМЯНЦЕВОЙ, Д. 26, 6</t>
  </si>
  <si>
    <t>ИП ПОВАРОВА ВИКТОРИЯ ВАСИЛЬЕВНА</t>
  </si>
  <si>
    <t>ИП ПАХОЛКОВА НАДЕЖДА ОРЕСТОВНА</t>
  </si>
  <si>
    <t>ООО АВТОМАРКЕТ 222</t>
  </si>
  <si>
    <t>161440, РОССИЯ, ВОЛОГОДСКАЯ ОБЛАСТЬ, М.О. НИКОЛЬСКИЙ, Г НИКОЛЬСК, УЛ СТРОИТЕЛЕЙ, Д. 16Б</t>
  </si>
  <si>
    <t>ИП НАЗАРОВ РУСЛАН НИКОЛАЕВИЧ</t>
  </si>
  <si>
    <t>ИП ГУСЕВ ОЛЕГ ГРИГОРЬЕВИЧ</t>
  </si>
  <si>
    <t>ИП СОКОЛОВА ИРИНА ИВАНОВНА</t>
  </si>
  <si>
    <t>ИП СИДОРОВ АЛЕКСЕЙ ВАСИЛЬЕВИЧ</t>
  </si>
  <si>
    <t>ИП БЕЛЯЕВА АЛЕКСАНДРА ВАЛЕРИЕВНА</t>
  </si>
  <si>
    <t>ИП ЛЕУ ЕКАТЕРИНА ВАСИЛЬЕВНА</t>
  </si>
  <si>
    <t>ИП ПУСТОВАЛОВА АЛЕНА НИКОЛАЕВНА</t>
  </si>
  <si>
    <t>ИП ПУСТОВАЛОВ ВЯЧЕСЛАВ АЛЕКСАНДРОВИЧ</t>
  </si>
  <si>
    <t>ИП Голубев Николай Леонидович</t>
  </si>
  <si>
    <t>ИП САВИН АЛЕКСЕЙ РУДОЛЬФОВИЧ</t>
  </si>
  <si>
    <t>ИП Потапов Сергей Юрьевич</t>
  </si>
  <si>
    <t>ИП БАУШЕВ ИГОРЬ ГЕОРГИЕВИЧ</t>
  </si>
  <si>
    <t>ИП ДЫРКАЧ АНДРЕЙ ПЕТРОВИЧ</t>
  </si>
  <si>
    <t>ООО ТЕХНОРЕСУРС</t>
  </si>
  <si>
    <t>160028, ВОЛОГОДСКАЯ ОБЛАСТЬ, Р-Н ВОЛОГОДСКИЙ, П РУБЦОВО, СТР. 43, ПОМЕЩ. 1</t>
  </si>
  <si>
    <t>ООО САЛЬВЕ+</t>
  </si>
  <si>
    <t>160000, ВОЛОГОДСКАЯ ОБЛАСТЬ, Г ВОЛОГДА, УЛ СЕВЕРНАЯ, Д.22</t>
  </si>
  <si>
    <t>ИП КОЛЕСОВ АЛЕКСАНДР ВИКТОРОВИЧ</t>
  </si>
  <si>
    <t>ООО РЕСУРС-В</t>
  </si>
  <si>
    <t>160004, ВОЛОГОДСКАЯ ОБЛАСТЬ, Г ВОЛОГДА, УЛ МАЯКОВСКОГО, Д. 45, ОФИС 301</t>
  </si>
  <si>
    <t>ИП МИНАКОВА ЗОЯ АЛЕКСЕЕВНА</t>
  </si>
  <si>
    <t>ООО МАРТЕН</t>
  </si>
  <si>
    <t>160017, ВОЛОГОДСКАЯ ОБЛАСТЬ, Г ВОЛОГДА, УЛ ЛЕНИНГРАДСКАЯ, Д.77</t>
  </si>
  <si>
    <t>ООО ТД АВТОСТАНДАРТ</t>
  </si>
  <si>
    <t>160034, ВОЛОГОДСКАЯ ОБЛАСТЬ, Г ВОЛОГДА, УЛ ЛЕНИНГРАДСКАЯ, Д. 115, ПОМЕЩ. 1А</t>
  </si>
  <si>
    <t>ООО АВТОДРАЙВ</t>
  </si>
  <si>
    <t>160002, ВОЛОГОДСКАЯ ОБЛАСТЬ, Г ВОЛОГДА, УЛ ЛЕНИНГРАДСКАЯ, Д. 76А, КВ. 89</t>
  </si>
  <si>
    <t>ИП КУКЛИНА ПОЛИНА КИРИЛЛОВНА</t>
  </si>
  <si>
    <t>ИП ХАБАЛЕВА НАТАЛЬЯ ЛЕОНИДОВНА</t>
  </si>
  <si>
    <t>ООО КОМПАНИЯ ТЕХНОРЕСУРС</t>
  </si>
  <si>
    <t>160026, ВОЛОГОДСКАЯ ОБЛАСТЬ, Г ВОЛОГДА, УЛ ПРЕОБРАЖЕНСКОГО, Д. 30Б</t>
  </si>
  <si>
    <t>ООО ВОЛИНЖКОМПАНИ</t>
  </si>
  <si>
    <t>160026, ВОЛОГОДСКАЯ ОБЛАСТЬ, Г ВОЛОГДА, УЛ ПРЕОБРАЖЕНСКОГО, Д. 57, ОФИС 7</t>
  </si>
  <si>
    <t>ООО КОМПАНИЯ ГРАНДАВТО</t>
  </si>
  <si>
    <t>160028, РОССИЯ, ВОЛОГОДСКАЯ ОБЛАСТЬ, Г.О. ГОРОД ВОЛОГДА, Г ВОЛОГДА, УЛ ГАГАРИНА, Д. 87А, ОФИС 101В</t>
  </si>
  <si>
    <t>ИП ДОРОНШОЕВ АЗИМХОН МУЛКАМОНШОЕВИЧ</t>
  </si>
  <si>
    <t>ИП КОРЕПИНА АРИНА ВЛАДИМИРОВНА</t>
  </si>
  <si>
    <t>ООО МЕГА-ВОЛЬТ</t>
  </si>
  <si>
    <t>160034, ВОЛОГОДСКАЯ ОБЛАСТЬ, Г ВОЛОГДА, УЛ ЛЕНИНГРАДСКАЯ, Д. 97, ОФИС 225</t>
  </si>
  <si>
    <t>ООО БОБЁР</t>
  </si>
  <si>
    <t>160022, ВОЛОГОДСКАЯ ОБЛАСТЬ, Г ВОЛОГДА, УЛ ЯРОСЛАВСКАЯ, Д. 11А, ОФИС 1</t>
  </si>
  <si>
    <t>ООО ВОЛОГДАЛОГИСТИК</t>
  </si>
  <si>
    <t>160017, РОССИЯ, ВОЛОГОДСКАЯ ОБЛАСТЬ, Г.О. ГОРОД ВОЛОГДА, Г ВОЛОГДА, УЛ ЛЕНИНГРАДСКАЯ, Д. 71, ОФИС 710</t>
  </si>
  <si>
    <t>ИП ВЛАДИМИРОВА ЕЛЕНА НИКОЛАЕВНА</t>
  </si>
  <si>
    <t>ИП МОРОЗОВ АЛЕКСАНДР ИВАНОВИЧ</t>
  </si>
  <si>
    <t>ООО ЦИР ПРОМЕТЕЙ</t>
  </si>
  <si>
    <t>162107, ВОЛОГОДСКАЯ ОБЛАСТЬ, Р-Н СОКОЛЬСКИЙ, Г КАДНИКОВ, УЛ РОЗЫ ЛЮКСЕМБУРГ, Д. 59, КВ. 69</t>
  </si>
  <si>
    <t>ИП ПУПЫШЕВ ТИМОФЕЙ НИКОЛАЕВИЧ</t>
  </si>
  <si>
    <t>ИП КИСЕЛЕВА АНАСТАСИЯ АНДРЕЕВНА</t>
  </si>
  <si>
    <t>ИП БОГОВИК АНЖЕЛА АБДУКАРИМОВНА</t>
  </si>
  <si>
    <t>ИП ЗЕБАРЕВ ЕВГЕНИЙ ВЛАДИМИРОВИЧ</t>
  </si>
  <si>
    <t>ООО СЕВЕРСТАЛЬ-ВТОРЧЕРМЕТ</t>
  </si>
  <si>
    <t>162604, ВОЛОГОДСКАЯ ОБЛАСТЬ, Г ЧЕРЕПОВЕЦ, Ш СЕВЕРНОЕ, Д. 34</t>
  </si>
  <si>
    <t>ООО МИР ИНСТРУМЕНТОВ</t>
  </si>
  <si>
    <t>162603, ВОЛОГОДСКАЯ ОБЛАСТЬ, Г ЧЕРЕПОВЕЦ, УЛ БЕЛИНСКОГО, Д. 1/3, ПОМЕЩ. БЕЗ НОМЕРА</t>
  </si>
  <si>
    <t>ИП КУЗЬМИН АРСЕНИЙ ВЛАДИМИРОВИЧ</t>
  </si>
  <si>
    <t>ИП ОВЧИННИКОВ МИХАИЛ БОРИСОВИЧ</t>
  </si>
  <si>
    <t>ООО СТРОЙМАШ</t>
  </si>
  <si>
    <t>162623, ВОЛОГОДСКАЯ ОБЛАСТЬ, Г ЧЕРЕПОВЕЦ, УЛ КРАСНОДОНЦЕВ, Д. 130, КВ. 8</t>
  </si>
  <si>
    <t>ИП КИРИЛОВСКАЯ ЕЛЕНА ЮРЬЕВНА</t>
  </si>
  <si>
    <t>ИП ПОРТНОВ НИКОЛАЙ АЛЕКСАНДРОВИЧ</t>
  </si>
  <si>
    <t>ООО ПРАЙД ОПТ</t>
  </si>
  <si>
    <t>162611, РОССИЯ, ВОЛОГОДСКАЯ ОБЛАСТЬ, Г.О. ГОРОД ЧЕРЕПОВЕЦ, Г. ЧЕРЕПОВЕЦ, УЛ. УСТЮЖЕНСКАЯ, Д. 1А, ОФИС 7</t>
  </si>
  <si>
    <t>ООО АВТО-КОНТИНЕНТ</t>
  </si>
  <si>
    <t>162611, РОССИЯ, ВОЛОГОДСКАЯ ОБЛАСТЬ, Г.О. ГОРОД ЧЕРЕПОВЕЦ, Г. ЧЕРЕПОВЕЦ, УЛ. ЧКАЛОВА, Д. 20, КВ. 10</t>
  </si>
  <si>
    <t>ООО  ОЙЛ-ТРЕЙД</t>
  </si>
  <si>
    <t>160014, РОССИЯ, ВОЛОГОДСКАЯ ОБЛАСТЬ, Г.О. ГОРОД ВОЛОГДА, Г ВОЛОГДА, УЛ САММЕРА, Д. 53А, ОФИС 208</t>
  </si>
  <si>
    <t>ООО ПЕРВОМАЙСКИЙ ХЛЕБ</t>
  </si>
  <si>
    <t>161250, ВОЛОГОДСКАЯ ОБЛАСТЬ, Р-Н ВАШКИНСКИЙ, С ЛИПИН БОР, УЛ ПИОНЕРСКАЯ, Д. 41</t>
  </si>
  <si>
    <t>ИП КУЗНЕЦОВ АЛЕКСЕЙ ВИТАЛЬЕВИЧ</t>
  </si>
  <si>
    <t>ИП ПОДГОРНОВ СЕРГЕЙ АНАТОЛЬЕВИЧ</t>
  </si>
  <si>
    <t>ИП ХОЛИН ИЛЬЯ ВАДИМОВИЧ</t>
  </si>
  <si>
    <t>ИП СИЗЬМИНА ЕЛЕНА АЛЕКСАНДРОВНА</t>
  </si>
  <si>
    <t>ИП ЗУБОВ ВИКТОР ИВАНОВИЧ</t>
  </si>
  <si>
    <t>ИП ПОПОВ ДМИТРИЙ ПАВЛОВИЧ</t>
  </si>
  <si>
    <t>ИП МАРКОВ РОМАН АНАТОЛЬЕВИЧ</t>
  </si>
  <si>
    <t>ИП ПРИВАЛОВА ОЛЕСЯ СЕРГЕЕВНА</t>
  </si>
  <si>
    <t>ИП ШИЛЬНИКОВСКИЙ СЕРГЕЙ НИКОЛАЕВИЧ</t>
  </si>
  <si>
    <t>ИП Сазанов Анатолий Николаевич</t>
  </si>
  <si>
    <t>ИП ГУМАРОВ РАВКАТ КАМИЛОВИЧ</t>
  </si>
  <si>
    <t>ООО ДИЗЕЛЬ35</t>
  </si>
  <si>
    <t>160032, ВОЛОГОДСКАЯ ОБЛАСТЬ, Г ВОЛОГДА, УЛ ВОРКУТИНСКАЯ, Д.14</t>
  </si>
  <si>
    <t>ООО ТРАКТОРОЦЕНТР</t>
  </si>
  <si>
    <t>160002, ВОЛОГОДСКАЯ ОБЛАСТЬ, Г ВОЛОГДА, УЛ ГАГАРИНА, Д.83-А</t>
  </si>
  <si>
    <t>ООО МАРТЕН-АВТО 35 М</t>
  </si>
  <si>
    <t>160000, ВОЛОГОДСКАЯ ОБЛАСТЬ, Г ВОЛОГДА, УЛ ЛЕНИНГРАДСКАЯ, Д.77</t>
  </si>
  <si>
    <t>ИП ТЛЕНОВ ЕВГЕНИЙ НИКОЛАЕВИЧ</t>
  </si>
  <si>
    <t>ООО НАБИ</t>
  </si>
  <si>
    <t>160014, ВОЛОГОДСКАЯ ОБЛАСТЬ, Г ВОЛОГДА, УЛ ГИЛЯРОВСКОГО, Д. 50, ОФИС 206</t>
  </si>
  <si>
    <t>ИП МУРЫШЕВ РОМАН ВИКТОРОВИЧ</t>
  </si>
  <si>
    <t>ИП КАПУСТИН АНДРЕЙ ИЛЬИЧ</t>
  </si>
  <si>
    <t>ИП УТИНА СВЕТЛАНА ЕВГЕНЬЕВНА</t>
  </si>
  <si>
    <t>ИП КОМИССАРОВ ВЛАДИСЛАВ АЛЕКСАНДРОВИЧ</t>
  </si>
  <si>
    <t>ООО МБВ</t>
  </si>
  <si>
    <t>160019, ВОЛОГОДСКАЯ ОБЛАСТЬ, Г ВОЛОГДА, Ш СТАРОЕ, Д. 5, ОФИС 5</t>
  </si>
  <si>
    <t>ООО ТР-МАРКЕТ</t>
  </si>
  <si>
    <t>160028, ВОЛОГОДСКАЯ ОБЛАСТЬ, Р-Н ВОЛОГОДСКИЙ, П РУБЦОВО, СТР. 43, ПОМЕЩ. 3</t>
  </si>
  <si>
    <t>ООО ЛЕГИОН</t>
  </si>
  <si>
    <t>160012, ВОЛОГОДСКАЯ ОБЛАСТЬ, Г ВОЛОГДА, ПР-КТ СОВЕТСКИЙ, Д. 127</t>
  </si>
  <si>
    <t>ИП БУЛЫГА СЕРГЕЙ ВИКТОРОВИЧ</t>
  </si>
  <si>
    <t>ООО КАРГО МОБИЛ РУС</t>
  </si>
  <si>
    <t>160024, ВОЛОГОДСКАЯ ОБЛАСТЬ, Г ВОЛОГДА, УЛ ФРЯЗИНОВСКАЯ, Д. 29Б, КВ. 232</t>
  </si>
  <si>
    <t>ООО АМС-ТРАНС</t>
  </si>
  <si>
    <t>160028, ВОЛОГОДСКАЯ ОБЛАСТЬ, Г.О. ГОРОД ВОЛОГДА, Г ВОЛОГДА, УЛ КОПРЕЦОВСКАЯ, Д. 1, ОФИС 1</t>
  </si>
  <si>
    <t>ООО АТЛАС-ТРАНСКОМ</t>
  </si>
  <si>
    <t>160025, ВОЛОГОДСКАЯ ОБЛАСТЬ, Г ВОЛОГДА, Ш МОСКОВСКОЕ, Д. 6, ПОМЕЩ. 12</t>
  </si>
  <si>
    <t>160012, ВОЛОГОДСКАЯ ОБЛАСТЬ, Г ВОЛОГДА, ПР-КТ СОВЕТСКИЙ, Д. 115, ОФИС 10</t>
  </si>
  <si>
    <t>ООО ЭКСПЕРТАВТО</t>
  </si>
  <si>
    <t>160028, РОССИЯ, ВОЛОГОДСКАЯ ОБЛАСТЬ, Г.О. ГОРОД ВОЛОГДА, Г ВОЛОГДА, УЛ ГАГАРИНА, Д. 87А, ОФИС 101Б</t>
  </si>
  <si>
    <t>ООО АВТОСТАНДАРТ</t>
  </si>
  <si>
    <t>160028, ВОЛОГОДСКАЯ ОБЛАСТЬ, Г.О. ГОРОД ВОЛОГДА, Г ВОЛОГДА, Ш ОКРУЖНОЕ, Д. 8Д</t>
  </si>
  <si>
    <t>ООО АВИ АВТО</t>
  </si>
  <si>
    <t>162623, РОССИЯ, ВОЛОГОДСКАЯ ОБЛАСТЬ, Г.О. ГОРОД ЧЕРЕПОВЕЦ, Г. ЧЕРЕПОВЕЦ, УЛ. ОЛИМПИЙСКАЯ, Д. 52, ОФИС 1</t>
  </si>
  <si>
    <t>160002, ВОЛОГОДСКАЯ ОБЛАСТЬ, Г.О. ГОРОД ВОЛОГДА, Г ВОЛОГДА, УЛ ГАГАРИНА, Д. 64, ОФИС 4</t>
  </si>
  <si>
    <t>ООО АВТОХИМПРОДУКТ</t>
  </si>
  <si>
    <t>160028, РОССИЯ, ВОЛОГОДСКАЯ ОБЛАСТЬ, Г.О. ГОРОД ВОЛОГДА, Г ВОЛОГДА, УЛ ГАГАРИНА, Д. 89, ОФИС 1</t>
  </si>
  <si>
    <t>ИП ДИАНОВ АНАТОЛИЙ АЛЕКСАНДРОВИЧ</t>
  </si>
  <si>
    <t>ИП ДМИТРИЕВ ОЛЕГ ПЕТРОВИЧ</t>
  </si>
  <si>
    <t>ИП КИСЕЛЕВА ЕЛЕНА ВАЛЕНТИНОВНА</t>
  </si>
  <si>
    <t>ИП КУСТЫШЕВ РОАЛЬД РОАЛЬДОВИЧ</t>
  </si>
  <si>
    <t>ИП НЕМЦЕВ СЕРГЕЙ АЛЕКСЕЕВИЧ</t>
  </si>
  <si>
    <t>ИП БУРОВ СЕРГЕЙ ВАСИЛЬЕВИЧ</t>
  </si>
  <si>
    <t>ООО ЭНТИКОМ-ИНВЕСТ</t>
  </si>
  <si>
    <t>162601, РОССИЯ, ВОЛОГОДСКАЯ ОБЛАСТЬ, Г.О. ГОРОД ЧЕРЕПОВЕЦ, Г. ЧЕРЕПОВЕЦ, УЛ. АРХАНГЕЛЬСКАЯ, Д. 17, ОФИС 1</t>
  </si>
  <si>
    <t>ООО АВТООПТ</t>
  </si>
  <si>
    <t>162608, ВОЛОГОДСКАЯ ОБЛАСТЬ, Г ЧЕРЕПОВЕЦ, УЛ КОМАРОВА, Д. 10</t>
  </si>
  <si>
    <t>ИП МАЛЬКО ЕЛЕНА КОНСТАНТИНОВНА</t>
  </si>
  <si>
    <t>ООО ЭКСПЕРТ ОЙЛ</t>
  </si>
  <si>
    <t>162608, ВОЛОГОДСКАЯ ОБЛАСТЬ, Г ЧЕРЕПОВЕЦ, УЛ БОРШОДСКАЯ, Д. 50</t>
  </si>
  <si>
    <t>ООО ПЕРСПЕКТИВА</t>
  </si>
  <si>
    <t>162626, ВОЛОГОДСКАЯ ОБЛАСТЬ, Г ЧЕРЕПОВЕЦ, УЛ ГОДОВИКОВА, Д. 19</t>
  </si>
  <si>
    <t>162604, ВОЛОГОДСКАЯ ОБЛАСТЬ, Г ЧЕРЕПОВЕЦ, УЛ ЗАРЕЧНАЯ, Д. 3</t>
  </si>
  <si>
    <t>ИП ЗАХАРОВ АНДРЕЙ ВЛАДИМИРОВИЧ</t>
  </si>
  <si>
    <t>ИП ГУЛЯЕВ АРТЕМ АНДРЕЕВИЧ</t>
  </si>
  <si>
    <t>162604, ВОЛОГОДСКАЯ ОБЛАСТЬ, Г ЧЕРЕПОВЕЦ, Ш СЕВЕРНОЕ, ЗД. 43Б, ПОМЕЩ. 2</t>
  </si>
  <si>
    <t>ООО СЕРВИС+</t>
  </si>
  <si>
    <t>162623, ВОЛОГОДСКАЯ ОБЛАСТЬ, Г ЧЕРЕПОВЕЦ, УЛ ОЛИМПИЙСКАЯ, Д. 52, ПОМЕЩ. 1</t>
  </si>
  <si>
    <t>ООО АЙТИДА</t>
  </si>
  <si>
    <t>162626, ВОЛОГОДСКАЯ ОБЛАСТЬ, Г ЧЕРЕПОВЕЦ, УЛ РААХЕ, Д. 50, ОФИС 3</t>
  </si>
  <si>
    <t>ИП СМИРНОВА КСЕНИЯ ВЛАДИМИРОВНА</t>
  </si>
  <si>
    <t>ИП ДРЕСВЯНИН ОЛЕГ ГЕННАДЬЕВИЧ</t>
  </si>
  <si>
    <t>ООО САНТЕХХОЗТОРГ</t>
  </si>
  <si>
    <t>160014, РОССИЯ, ВОЛОГОДСКАЯ ОБЛАСТЬ, Г.О. ГОРОД ВОЛОГДА, Г ВОЛОГДА, УЛ САММЕРА, Д. 66А</t>
  </si>
  <si>
    <t>ИП СОКОЛОВ ДМИТРИЙ БОРИСОВИЧ</t>
  </si>
  <si>
    <t>ИП БАЛУКОВ АЛЕКСАНДР ВИКТОРОВИЧ</t>
  </si>
  <si>
    <t>ИП НЕФЕДОВ ЭДУАРД ОЛЕГОВИЧ</t>
  </si>
  <si>
    <t>ИП ГЛЕБКОВ ЕВГЕНИЙ СЕРГЕЕВИЧ</t>
  </si>
  <si>
    <t>ИП ОКАТОВ АЛЕКСАНДР НИКОЛАЕВИЧ</t>
  </si>
  <si>
    <t>ИП НЕКИПЕЛОВ РОМАН СЕРГЕЕВИЧ</t>
  </si>
  <si>
    <t>ИП ПАХОЛКОВ АЛЕКСАНДР ВЛАДИМИРОВИЧ</t>
  </si>
  <si>
    <t>ИП НОВГОРОДЦЕВА ОКСАНА НИКОЛАЕВНА</t>
  </si>
  <si>
    <t>ИП ЯСТРЕБОВА ИРИНА АНАТОЛЬЕВНА</t>
  </si>
  <si>
    <t>ПТ РЕЕВ С.Ф. И КО</t>
  </si>
  <si>
    <t>162250, РОССИЯ, ВОЛОГОДСКАЯ ОБЛАСТЬ, М.О. ХАРОВСКИЙ, Г ХАРОВСК, УЛ ЭНЕРГЕТИКОВ, Д. 4, ОФИС 3</t>
  </si>
  <si>
    <t>ИП КОЧКИНА АННА ВЛАДИМИРОВНА</t>
  </si>
  <si>
    <t>ИП Головин Александр Сергеевич</t>
  </si>
  <si>
    <t>ИП СМИРНОВА ВАСИЛИНА НИКОЛАЕВНА</t>
  </si>
  <si>
    <t>ИП РОЗДУХОВ МАКСИМ ЕВГЕНЬЕВИЧ</t>
  </si>
  <si>
    <t>ООО КАМАЗ ЦЕНТР</t>
  </si>
  <si>
    <t>160019, ВОЛОГОДСКАЯ ОБЛАСТЬ, Г ВОЛОГДА, Ш СТАРОЕ, Д. 5, ОФИС 6</t>
  </si>
  <si>
    <t>160034, ВОЛОГОДСКАЯ ОБЛАСТЬ, Г ВОЛОГДА, УЛ ЛЕНИНГРАДСКАЯ, Д.115</t>
  </si>
  <si>
    <t>162614, ВОЛОГОДСКАЯ ОБЛАСТЬ, Г ЧЕРЕПОВЕЦ, УЛ МАЯКОВСКОГО, Д. 26А</t>
  </si>
  <si>
    <t>ИП ПАРТЕНАДЗЕ ГЕОРГИЙ СЕЛВАНОВИЧ</t>
  </si>
  <si>
    <t>ИП ПЕТРОВ СЕРГЕЙ ВИКТОРОВИЧ</t>
  </si>
  <si>
    <t>ООО АГРОТЕХНИКА-ВОЛОГДА</t>
  </si>
  <si>
    <t>160025, ВОЛОГОДСКАЯ ОБЛАСТЬ, Г ВОЛОГДА, Ш МОСКОВСКОЕ, Д.50</t>
  </si>
  <si>
    <t>ИП ПУГАЧ ИВАН ИВАНОВИЧ</t>
  </si>
  <si>
    <t>ИП ВАСЕНДИН ДМИТРИЙ АЛЕКСАНДРОВИЧ</t>
  </si>
  <si>
    <t>ООО ВОЛТЕХ</t>
  </si>
  <si>
    <t>160002, ВОЛОГОДСКАЯ ОБЛАСТЬ, Г ВОЛОГДА, УЛ ГАГАРИНА, Д. 91, ОФИС 3</t>
  </si>
  <si>
    <t>ИП СТОЛЯРОВ АРТЁМ АНДРЕЕВИЧ</t>
  </si>
  <si>
    <t>ООО ТЭК ЗЕВС</t>
  </si>
  <si>
    <t>160019, ВОЛОГОДСКАЯ ОБЛАСТЬ, Г ВОЛОГДА, УЛ КАРЛА МАРКСА, Д. 11А, КВ. 14</t>
  </si>
  <si>
    <t>ООО ТОРГСЕРВИС 35</t>
  </si>
  <si>
    <t>160012, ВОЛОГОДСКАЯ ОБЛАСТЬ, Г ВОЛОГДА, ПР-КТ СОВЕТСКИЙ, Д. 131А, КАБИНЕТ 3</t>
  </si>
  <si>
    <t>ООО БМЗ</t>
  </si>
  <si>
    <t>160014, ВОЛОГОДСКАЯ ОБЛАСТЬ, Г.О. ГОРОД ВОЛОГДА, Г ВОЛОГДА, УЛ САММЕРА, Д. 60А</t>
  </si>
  <si>
    <t>160901, ВОЛОГОДСКАЯ ОБЛАСТЬ, Г ВОЛОГДА, УЛ МЕЛИОРАТОРОВ, Д. 32, КВ. 1</t>
  </si>
  <si>
    <t>ООО ТЕХНОКОМПЛЕКС</t>
  </si>
  <si>
    <t>160028, ВОЛОГОДСКАЯ ОБЛАСТЬ, Г ВОЛОГДА, УЛ ВОЗРОЖДЕНИЯ, Д. 82А, КВ. 725</t>
  </si>
  <si>
    <t>ООО 5 СИСТЕМ</t>
  </si>
  <si>
    <t>160000, ВОЛОГОДСКАЯ ОБЛАСТЬ, Г.О. ГОРОД ВОЛОГДА, Г ВОЛОГДА, УЛ ЛЕНИНА, Д. 7, ОФИС 2</t>
  </si>
  <si>
    <t>ООО ТАХОС</t>
  </si>
  <si>
    <t>160017, ВОЛОГОДСКАЯ ОБЛАСТЬ, Г ВОЛОГДА, УЛ ЛЕНИНГРАДСКАЯ, Д. 61, ОФИС 4</t>
  </si>
  <si>
    <t>ИП БЫКОВСКИЙ ИВАН НИКОЛАЕВИЧ</t>
  </si>
  <si>
    <t>ИП МИГАЛЬНИКОВ НИКОЛАЙ АЛЕКСАНДРОВИЧ</t>
  </si>
  <si>
    <t>ООО ПКП САЛЬВЕ</t>
  </si>
  <si>
    <t>ООО ЭНЕРГОСИСТЕМА</t>
  </si>
  <si>
    <t>162605, ВОЛОГОДСКАЯ ОБЛАСТЬ, Г ЧЕРЕПОВЕЦ, УЛ ПЕРВОМАЙСКАЯ, Д. 38А</t>
  </si>
  <si>
    <t>ООО ТОРГОВЫЙ ЦЕНТР ВИСТА</t>
  </si>
  <si>
    <t>162626, ВОЛОГОДСКАЯ ОБЛАСТЬ, Г ЧЕРЕПОВЕЦ, УЛ БАТЮШКОВА, Д. 7А</t>
  </si>
  <si>
    <t>ООО ВЕСТ-ФЛАГМАН</t>
  </si>
  <si>
    <t>162622, ВОЛОГОДСКАЯ ОБЛАСТЬ, Г ЧЕРЕПОВЕЦ, УЛ ЛЕНИНА, Д. 11, 6</t>
  </si>
  <si>
    <t>ИП МОТОРИН АЛЕКСАНДР ВАСИЛЬЕВИЧ</t>
  </si>
  <si>
    <t>ООО 2Х2</t>
  </si>
  <si>
    <t>162626, ВОЛОГОДСКАЯ ОБЛАСТЬ, Г ЧЕРЕПОВЕЦ, УЛ РААХЕ, Д. 50, ОФИС 1</t>
  </si>
  <si>
    <t>ООО ТМЧ</t>
  </si>
  <si>
    <t>162614, ВОЛОГОДСКАЯ ОБЛАСТЬ, Г ЧЕРЕПОВЕЦ, ПР-КТ ПОБЕДЫ, ЗД. 1А</t>
  </si>
  <si>
    <t>ИП КУТРУШЕНКО ЕВГЕНИЙ ПАВЛОВИЧ</t>
  </si>
  <si>
    <t>ИП ВОЛКОВ АЛЕКСЕЙ СЕРГЕЕВИЧ</t>
  </si>
  <si>
    <t>ООО РЕГИОН СЕВЕР</t>
  </si>
  <si>
    <t>162604, ВОЛОГОДСКАЯ ОБЛАСТЬ, Г ЧЕРЕПОВЕЦ, Ш СЕВЕРНОЕ, ЗД. 43Б, ПОМЕЩ. 1</t>
  </si>
  <si>
    <t>ООО МЕДВЕДЪ-ЧЕРЕПОВЕЦ</t>
  </si>
  <si>
    <t>162609, ВОЛОГОДСКАЯ ОБЛАСТЬ, Г ЧЕРЕПОВЕЦ, ПР-КТ ОКТЯБРЬСКИЙ, Д. 38, ОФИС 4</t>
  </si>
  <si>
    <t>ИП ПЕШНЯКОВ ВАСИЛИЙ ВАСИЛЬЕВИЧ</t>
  </si>
  <si>
    <t>ИП ИВАНОВА АЛИНА ЕВГЕНЬЕВНА</t>
  </si>
  <si>
    <t>ОБЩЕСТВО С ОГРАНИЧЕННОЙ ОТВЕТСТВЕННОСТЬЮ АВТОКОНТИНЕНТ</t>
  </si>
  <si>
    <t>ИП ИВАНОВСКАЯ ТАТЬЯНА ВАСИЛЬЕВНА</t>
  </si>
  <si>
    <t>ООО СФЕРА СЕВЕРО-ЗАПАД</t>
  </si>
  <si>
    <t>162900, ВОЛОГОДСКАЯ ОБЛАСТЬ, Р-Н ВЫТЕГОРСКИЙ, Г ВЫТЕГРА, ТРАКТ АРХАНГЕЛЬСКИЙ, Д. 35А</t>
  </si>
  <si>
    <t>160004, ВОЛОГОДСКАЯ ОБЛАСТЬ, Г.О. ГОРОД ВОЛОГДА, Г ВОЛОГДА, УЛ ЛЕНИНГРАДСКАЯ, Д. 14, ПОМЕЩ. 58</t>
  </si>
  <si>
    <t>ИП ЖУКОВ АНДРЕЙ ВАСИЛЬЕВИЧ</t>
  </si>
  <si>
    <t>ИП БЫКОВ ЮРИЙ МИХАЙЛОВИЧ</t>
  </si>
  <si>
    <t>ООО ЖИМ АВТО</t>
  </si>
  <si>
    <t>160019, РОССИЯ, ВОЛОГОДСКАЯ ОБЛАСТЬ, Г.О. ГОРОД ВОЛОГДА, Г ВОЛОГДА, УЛ ЧЕРНЫШЕВСКОГО, Д. 143, ПОМЕЩ. 1</t>
  </si>
  <si>
    <t>ИП НЕФЕДОВА АННА АЛЕКСАНДРОВНА</t>
  </si>
  <si>
    <t>ООО АЗК35</t>
  </si>
  <si>
    <t>162604, РОССИЯ, ВОЛОГОДСКАЯ ОБЛАСТЬ, Г.О. ГОРОД ЧЕРЕПОВЕЦ, Г. ЧЕРЕПОВЕЦ, Ш. СЕВЕРНОЕ, Д. 41А, ОФИС 1</t>
  </si>
  <si>
    <t>ООО МИР ФРУКТОВ</t>
  </si>
  <si>
    <t>162690, РОССИЯ, ВОЛОГОДСКАЯ ОБЛАСТЬ, М.Р-Н ЧЕРЕПОВЕЦКИЙ, Д ЯСНАЯ ПОЛЯНА, С.П. ТОНШАЛОВСКОЕ, УЛ ОСЕННЯЯ, Д. 10, ПОМЕЩ. 2</t>
  </si>
  <si>
    <t>ИП СОКОЛОВ ОЛЕГ АЛЕКСАНДРОВИЧ</t>
  </si>
  <si>
    <t>ИП Гаврилов Сергей Филиппович</t>
  </si>
  <si>
    <t>ООО СПОРТ-АВТО</t>
  </si>
  <si>
    <t>160028, ВОЛОГОДСКАЯ ОБЛАСТЬ, Г ВОЛОГДА, УЛ ИЛЬЮШИНА, Д. 28</t>
  </si>
  <si>
    <t>ООО МАРТЕН-АВТО СЕРВИС</t>
  </si>
  <si>
    <t>ООО МАРТЕН ВЕСТ</t>
  </si>
  <si>
    <t>ООО СЕРВИС-ТРАНС</t>
  </si>
  <si>
    <t>160000, ВОЛОГОДСКАЯ ОБЛАСТЬ, Г ВОЛОГДА, УЛ ГАГАРИНА, Д.90</t>
  </si>
  <si>
    <t>ООО ХОЛОДТРАНСАВТО</t>
  </si>
  <si>
    <t>160019, ВОЛОГОДСКАЯ ОБЛАСТЬ, Г ВОЛОГДА, УЛ ГРАНИЧНАЯ, Д. 32, СТР. 4, ОФИС 1</t>
  </si>
  <si>
    <t>ИП ДОЛГОДВОРОВ МИХАИЛ ЛЕОНИДОВИЧ</t>
  </si>
  <si>
    <t>ООО ПКК АТЛАНТ</t>
  </si>
  <si>
    <t>ИП ГАНИЧЕВ СЕРГЕЙ НИКОЛАЕВИЧ</t>
  </si>
  <si>
    <t>ИП ТОРГОВАНОВ МИХАИЛ ВЕНИАМИНОВИЧ</t>
  </si>
  <si>
    <t>ИП ПУСТОВАЛОВА ВАЛЕНТИНА АНАТОЛЬЕВНА</t>
  </si>
  <si>
    <t>ИП БОЛЬШАКОВА ЛЮДМИЛА СЕРГЕЕВНА</t>
  </si>
  <si>
    <t>ООО ТТК-ГРУПП</t>
  </si>
  <si>
    <t>160555, РОССИЯ, ВОЛОГОДСКАЯ ОБЛАСТЬ, Г.О. ГОРОД ВОЛОГДА, С МОЛОЧНОЕ, УЛ ЕМЕЛЬЯНОВА, Д. 10, КВ. 1</t>
  </si>
  <si>
    <t>ИП БОКОВ СТЕПАН ВЛАДИМИРОВИЧ</t>
  </si>
  <si>
    <t>Воронежская область</t>
  </si>
  <si>
    <t>ИП РЯЗАНОВ ОЛЕГ ВЯЧЕСЛАВОВИЧ</t>
  </si>
  <si>
    <t>ООО САДОВОЕ</t>
  </si>
  <si>
    <t>396226, ВОРОНЕЖСКАЯ ОБЛАСТЬ, Р-Н АННИНСКИЙ, С САДОВОЕ, УЛ КРАСНАЯ ПЛОЩАДЬ, Д.33, -, -</t>
  </si>
  <si>
    <t>ИП НЕМЧЕНКО СЕРГЕЙ ВЛАДИМИРОВИЧ</t>
  </si>
  <si>
    <t>ИП СВЕЖЕНЦЕВ ВСЕВОЛОД ОЛЕГОВИЧ</t>
  </si>
  <si>
    <t>ООО ШИШОВСКОЕ</t>
  </si>
  <si>
    <t>397732, ВОРОНЕЖСКАЯ ОБЛАСТЬ, Р-Н БОБРОВСКИЙ, С ШИШОВКА, УЛ БОЛЬШАЯ СОВЕТСКАЯ, Д. 105, ОФИС 2</t>
  </si>
  <si>
    <t>ИП ВИКУЛИНА ЛИЛИЯ ВИКТОРОВНА</t>
  </si>
  <si>
    <t>ИП ВИКУЛИНА ВАЛЕНТИНА ВАСИЛЬЕВНА</t>
  </si>
  <si>
    <t>ООО СКС-Н</t>
  </si>
  <si>
    <t>397165, ВОРОНЕЖСКАЯ ОБЛАСТЬ, Р-Н БОРИСОГЛЕБСКИЙ, Г БОРИСОГЛЕБСК, УЛ МАТРОСОВСКАЯ, Д.127, -, ОФИС 401</t>
  </si>
  <si>
    <t>397165, РОССИЯ, ВОРОНЕЖСКАЯ ОБЛАСТЬ, Г.О. БОРИСОГЛЕБСКИЙ, Г БОРИСОГЛЕБСК, УЛ МАТРОСОВСКАЯ, ЗД. 129</t>
  </si>
  <si>
    <t>ООО БОРАВТО К</t>
  </si>
  <si>
    <t>394020, ВОРОНЕЖСКАЯ ОБЛАСТЬ, Г ВОРОНЕЖ, УЛ 9 ЯНВАРЯ, Д. 221Д, ОФИС 211</t>
  </si>
  <si>
    <t>ИП Никулин Андрей Александрович</t>
  </si>
  <si>
    <t>ИП БОЛДЫРЕВА ЛЮБОВЬ ИВАНОВНА</t>
  </si>
  <si>
    <t>ИП КАЛИН ВИКТОР ВАСИЛЬЕВИЧ</t>
  </si>
  <si>
    <t>ИП МАРЯНЯН СЕРОБ РУБЕНОВИЧ</t>
  </si>
  <si>
    <t>397163, ВОРОНЕЖСКАЯ ОБЛАСТЬ, Г.О. БОРИСОГЛЕБСКИЙ, Г БОРИСОГЛЕБСК, УЛ МАТРОСОВСКАЯ, ЗД. 84Б</t>
  </si>
  <si>
    <t>ИП ЛОГВИН ВИКТОР ВАСИЛЬЕВИЧ</t>
  </si>
  <si>
    <t>ИП МЯЧИНА ЕЛЕНА ИВАНОВНА</t>
  </si>
  <si>
    <t>ИП КРАЕВ АЛЕКСЕЙ ЮРЬЕВИЧ</t>
  </si>
  <si>
    <t>ИП МЕЩЕРЯКОВ АНДРЕЙ НИКОЛАЕВИЧ</t>
  </si>
  <si>
    <t>ИП КОННОВ ВАДИМ СЕРГЕЕВИЧ</t>
  </si>
  <si>
    <t>ООО ТРАК 36</t>
  </si>
  <si>
    <t>397165, РОССИЯ, ВОРОНЕЖСКАЯ ОБЛАСТЬ, Г.О. БОРИСОГЛЕБСКИЙ, Г БОРИСОГЛЕБСК, УЛ МАТРОСОВСКАЯ, ЗД. 129К</t>
  </si>
  <si>
    <t>ООО ТД АГРО-МЁД</t>
  </si>
  <si>
    <t>397160, РОССИЯ, ВОРОНЕЖСКАЯ ОБЛАСТЬ, Г.О. БОРИСОГЛЕБСКИЙ, Г БОРИСОГЛЕБСК, ПРОЕЗД ПОВОРИНСКИЙ, Д. 4Б, КВ. 6</t>
  </si>
  <si>
    <t>ООО АГРОСОЮЗ</t>
  </si>
  <si>
    <t>396420, ВОРОНЕЖСКАЯ ОБЛАСТЬ, Р-Н ПАВЛОВСКИЙ, Г ПАВЛОВСК, УЛ СТРОИТЕЛЬНАЯ, Д.8 А</t>
  </si>
  <si>
    <t>ИП КУРБАТОВА ТАТЬЯНА ИВАНОВНА</t>
  </si>
  <si>
    <t>ООО АГРОЭЛЕМЕНТ</t>
  </si>
  <si>
    <t>394028, ВОРОНЕЖСКАЯ ОБЛАСТЬ, Г ВОРОНЕЖ, УЛ ДИМИТРОВА, Д. 156, ЭТАЖ 3 ОФИС 13</t>
  </si>
  <si>
    <t>ИП ПОПОВА СВЕТЛАНА НИКОЛАЕВНА</t>
  </si>
  <si>
    <t>ИП Трунов Сергей Николаевич</t>
  </si>
  <si>
    <t>ИП ВИШНЯКОВ АНДРЕЙ АЛЕКСЕЕВИЧ</t>
  </si>
  <si>
    <t>ИП МАЛИКОВ НИКОЛАЙ ВЛАДИМИРОВИЧ</t>
  </si>
  <si>
    <t>ИП МАЛИК ТАТЬЯНА ВЛАДИМИРОВНА</t>
  </si>
  <si>
    <t>ИП Падалкина Татьяна Павловна</t>
  </si>
  <si>
    <t>ИП КРАСИКОВ НИКОЛАЙ ПАВЛОВИЧ</t>
  </si>
  <si>
    <t>ООО ТД ВЕГА</t>
  </si>
  <si>
    <t>394038, ВОРОНЕЖСКАЯ ОБЛАСТЬ, Г ВОРОНЕЖ, УЛ ПИРОГОВА, Д. 87, ПОМЕЩ. 4</t>
  </si>
  <si>
    <t>ИП ЖИГУЛЬСКАЯ ЮЛИЯ АЛЕКСЕЕВНА</t>
  </si>
  <si>
    <t>ИП ХУДОВА НАТАЛИЯ ЗАХАРОВНА</t>
  </si>
  <si>
    <t>ИП ЗАДОРОЖНИЙ БОРИС ВИКТОРОВИЧ</t>
  </si>
  <si>
    <t>ИП ЧЕБОТАРЕВ АЛЕКСАНДР ГЕННАДЬЕВИЧ</t>
  </si>
  <si>
    <t>ИП РИК ВЛАДИМИР НИКОЛАЕВИЧ</t>
  </si>
  <si>
    <t>ИП ХЛЕБНИКОВ ВИТАЛИЙ ВЛАДИМИРОВИЧ</t>
  </si>
  <si>
    <t>ИП ФЕТИСОВ АЛЕКСАНДР ЛЕОНИДОВИЧ</t>
  </si>
  <si>
    <t>ИП ЗЕЛЕНИН ВАЛЕРИЙ ВАСИЛЬЕВИЧ</t>
  </si>
  <si>
    <t>ООО РОССОШЬСЕРВИСМАРКЕТ</t>
  </si>
  <si>
    <t>396658, ВОРОНЕЖСКАЯ ОБЛАСТЬ, Р-Н РОССОШАНСКИЙ, Г РОССОШЬ, УЛ МИРА, Д. 140А, ЭТАЖ 2, ОФИС 1</t>
  </si>
  <si>
    <t>ООО АЛГРЕЙТ</t>
  </si>
  <si>
    <t>396659, ВОРОНЕЖСКАЯ ОБЛАСТЬ, М.Р-Н РОССОШАНСКИЙ, Г РОССОШЬ, Г.П. ГОРОД РОССОШЬ, УЛ РОСТОВСКОЕ ШОССЕ, ЗД. 40, ОФИС 7</t>
  </si>
  <si>
    <t>ИП ФИСЕНКО ДМИТРИЙ СЕРГЕЕВИЧ</t>
  </si>
  <si>
    <t>ИП ТЫНЯНСКАЯ НАТАЛЬЯ НИКОЛАЕВНА</t>
  </si>
  <si>
    <t>ИП АБРАМОВА ИРИНА СЕРГЕЕВНА</t>
  </si>
  <si>
    <t>ООО АГРОПРОМ-ВРН</t>
  </si>
  <si>
    <t>394038, РОССИЯ, ВОРОНЕЖСКАЯ ОБЛАСТЬ, Г.О. ГОРОД ВОРОНЕЖ, Г ВОРОНЕЖ, УЛ ПЕШЕ-СТРЕЛЕЦКАЯ, Д. 54Б, ПОМЕЩ. 3, ОФИС 300А</t>
  </si>
  <si>
    <t>ИП МЫЛЬНИКОВ ЭДУАРД АЛЕКСАНДРОВИЧ</t>
  </si>
  <si>
    <t>ИП ХОЛОДНАЯ ВИКТОРИЯ ВЛАДИМИРОВНА</t>
  </si>
  <si>
    <t>ИП АЛЕШНИКОВА ВЕРА АЛЕКСАНДРОВНА</t>
  </si>
  <si>
    <t>ООО ДЕТАЛИЗАЦИЯ</t>
  </si>
  <si>
    <t>397855, РОССИЯ, ВОРОНЕЖСКАЯ ОБЛАСТЬ, М.Р-Н ОСТРОГОЖСКИЙ, Г ОСТРОГОЖСК, Г.П. ГОРОД ОСТРОГОЖСК, УЛ ПРОХОРЕНКО, ЗД. 144, ПОМЕЩ. 1А, ОФИС 3</t>
  </si>
  <si>
    <t>ООО БИЗНЕС КАР ВОРОНЕЖ</t>
  </si>
  <si>
    <t>396005, ВОРОНЕЖСКАЯ ОБЛАСТЬ, Р-Н РАМОНСКИЙ, П СОЛНЕЧНЫЙ, УЛ МОСКОВСКОЕ ШОССЕ, Д. 22</t>
  </si>
  <si>
    <t>ООО ГАНЗА</t>
  </si>
  <si>
    <t>394002, ВОРОНЕЖСКАЯ ОБЛАСТЬ, Г ВОРОНЕЖ, УЛ УРЫВСКОГО, Д. 17Д, КВ. 94</t>
  </si>
  <si>
    <t>ИП ЗЕЛЕНСКАЯ ЕКАТЕРИНА СЕРГЕЕВНА</t>
  </si>
  <si>
    <t>ИП Губарев Андрей Владимирович</t>
  </si>
  <si>
    <t>ИП Маслова Лариса Вячеславовна</t>
  </si>
  <si>
    <t>ИП ШИШКИН АЛЕКСЕЙ НИКОЛАЕВИЧ</t>
  </si>
  <si>
    <t>ИП ГРЕБЕНЬЩИКОВ ЮРИЙ ВИКТОРОВИЧ</t>
  </si>
  <si>
    <t>ИП МИХАЛЬЦОВА ИРИНА НИКОЛАЕВНА</t>
  </si>
  <si>
    <t>ООО ЭСМО</t>
  </si>
  <si>
    <t>394026, ВОРОНЕЖСКАЯ ОБЛАСТЬ, Г ВОРОНЕЖ, УЛ 45 СТРЕЛКОВОЙ ДИВИЗИИ, Д. 234, ОФИС 1</t>
  </si>
  <si>
    <t>ООО АВТОСИЛА</t>
  </si>
  <si>
    <t>396002, ВОРОНЕЖСКАЯ ОБЛАСТЬ, М.Р-Н РАМОНСКИЙ, С.П. АЙДАРОВСКОЕ, ТЕР. ПРОМЫШЛЕННАЯ, УЛ 4-Я ПРОМЫШЛЕННАЯ ЗОНА, ЗД. 33</t>
  </si>
  <si>
    <t>ООО АГРО-ЛИДЕР</t>
  </si>
  <si>
    <t>394033, ВОРОНЕЖСКАЯ ОБЛАСТЬ, Г ВОРОНЕЖ, УЛ ВИТРУКА, Д.15А</t>
  </si>
  <si>
    <t>ООО ТРАНССИЛА</t>
  </si>
  <si>
    <t>394026, ВОРОНЕЖСКАЯ ОБЛАСТЬ, Г ВОРОНЕЖ, ПР-КТ ТРУДА, Д.48, К.Г</t>
  </si>
  <si>
    <t>ООО ВТБ</t>
  </si>
  <si>
    <t>394068, ВОРОНЕЖСКАЯ ОБЛАСТЬ, Г ВОРОНЕЖ, УЛ ШИШКОВА, Д. 75Б, ОФИС 3</t>
  </si>
  <si>
    <t>ИП СОКОЛОВ ДМИТРИЙ ВИНАИЛОВИЧ</t>
  </si>
  <si>
    <t>ООО СКЛАДТЕХНИКА-СЕРВИС</t>
  </si>
  <si>
    <t>394026, ВОРОНЕЖСКАЯ ОБЛАСТЬ, Г ВОРОНЕЖ, ПР-КТ ТРУДА, Д.48 Г</t>
  </si>
  <si>
    <t>ООО ЦЕНТР ОЙЛ</t>
  </si>
  <si>
    <t>394016, ВОРОНЕЖСКАЯ ОБЛАСТЬ, Г ВОРОНЕЖ, УЛ 45 СТРЕЛКОВОЙ ДИВИЗИИ, Д. 234/23, ОФИС 35</t>
  </si>
  <si>
    <t>ИП ГУСЕВ ВЛАДИМИР НИКОЛАЕВИЧ</t>
  </si>
  <si>
    <t>ООО СТАЛЬНОЙ</t>
  </si>
  <si>
    <t>394016, ВОРОНЕЖСКАЯ ОБЛАСТЬ, Г ВОРОНЕЖ, УЛ 45 СТРЕЛКОВОЙ ДИВИЗИИ, Д.234/14, ОФИС 302</t>
  </si>
  <si>
    <t>ООО ЕВРО ТРЕЙД</t>
  </si>
  <si>
    <t>396335, ВОРОНЕЖСКАЯ ОБЛАСТЬ, Р-Н НОВОУСМАНСКИЙ, П ОТРАДНОЕ, УЛ ПРИДОРОЖНАЯ, Д. 28А, ОФИС 1</t>
  </si>
  <si>
    <t>ООО ТАКТИКА</t>
  </si>
  <si>
    <t>394026, РОССИЯ, ВОРОНЕЖСКАЯ ОБЛАСТЬ, Г.О. ГОРОД ВОРОНЕЖ, Г ВОРОНЕЖ, УЛ СОЛНЕЧНАЯ, Д. 31О, СТР. 1, ОФИС 1</t>
  </si>
  <si>
    <t>394016, ВОРОНЕЖСКАЯ ОБЛАСТЬ, Г.О. ГОРОД ВОРОНЕЖ, Г ВОРОНЕЖ, ПР-КТ МОСКОВСКИЙ, Д. 42Б, ПОМЕЩ. 1, ОФИС 99</t>
  </si>
  <si>
    <t>ИП СЕКРЕТАРЁВ МИХАИЛ ЮРЬЕВИЧ</t>
  </si>
  <si>
    <t>ООО ПЕТРОПРАЙМ</t>
  </si>
  <si>
    <t>394029, ВОРОНЕЖСКАЯ ОБЛАСТЬ, Г ВОРОНЕЖ, УЛ ЦИОЛКОВСКОГО, Д. 34/1, ОФИС 303</t>
  </si>
  <si>
    <t>ИП МАГОМЕДОВ ЮСУП ГАДЖИЕВИЧ</t>
  </si>
  <si>
    <t>ООО ЕВРОТРАКСЕРВИС</t>
  </si>
  <si>
    <t>397903, РОССИЯ, ВОРОНЕЖСКАЯ ОБЛАСТЬ, М.Р-Н ЛИСКИНСКИЙ, Г ЛИСКИ, Г.П. ГОРОД ЛИСКИ, УЛ ФЕСТИВАЛЬНАЯ, Д. 20, ОФИС 6</t>
  </si>
  <si>
    <t>ПК АВТОМЕХАНИКА</t>
  </si>
  <si>
    <t>396335, ВОРОНЕЖСКАЯ ОБЛАСТЬ, Р-Н НОВОУСМАНСКИЙ, П ОТРАДНОЕ, УЛ АВТОДОРОЖНАЯ, ЗД. 7, ОФИС 68</t>
  </si>
  <si>
    <t>ООО ГРУЗАВТО-МБ</t>
  </si>
  <si>
    <t>396335, РОССИЯ, ВОРОНЕЖСКАЯ ОБЛАСТЬ, М.Р-Н НОВОУСМАНСКИЙ, П ОТРАДНОЕ, С.П. ОТРАДНЕНСКОЕ, УЛ АВТОДОРОЖНАЯ, ЗД. 7Б, ОФИС 1</t>
  </si>
  <si>
    <t>ООО М4 ТРЕЙД</t>
  </si>
  <si>
    <t>396335, РОССИЯ, ВОРОНЕЖСКАЯ ОБЛАСТЬ, М.Р-Н НОВОУСМАНСКИЙ, П ОТРАДНОЕ, С.П. ОТРАДНЕНСКОЕ, УЛ АВТОДОРОЖНАЯ, ЗД. 7, ОФИС 704, ПОМЕЩ. 701-713</t>
  </si>
  <si>
    <t>ИП ГРАЧЕВ АЛЕКСЕЙ ЛЕОНИДОВИЧ</t>
  </si>
  <si>
    <t>ИП ПОГИБЕЛЬНЫЙ НИКОЛАЙ ВЛАДИМИРОВИЧ</t>
  </si>
  <si>
    <t>ООО ПТП АГРОПРОМСНАБ</t>
  </si>
  <si>
    <t>396420, ВОРОНЕЖСКАЯ ОБЛАСТЬ, Р-Н ПАВЛОВСКИЙ, Г ПАВЛОВСК, УЛ СТРОИТЕЛЬНАЯ, Д.8, К.А, ---</t>
  </si>
  <si>
    <t>ИП ЖИЛЯКОВ ВИТАЛИЙ ИВАНОВИЧ</t>
  </si>
  <si>
    <t>ИП ЛОБАНОВ АЛЕКСАНДР АНАТОЛЬЕВИЧ</t>
  </si>
  <si>
    <t>ИП СЕРГИЕНКО ПАВЕЛ АНАТОЛЬЕВИЧ</t>
  </si>
  <si>
    <t>ИП БУРДУЛИ КИРИЛЛ МИХАЙЛОВИЧ</t>
  </si>
  <si>
    <t>ИП ПРОСКУРИНА ЕКАТЕРИНА АНАТОЛЬЕВНА</t>
  </si>
  <si>
    <t>ИП СБРОДОВ СТАНИСЛАВ НИКОЛАЕВИЧ</t>
  </si>
  <si>
    <t>ИП ПАНИКАРЬ ИРИНА ПЕТРОВНА</t>
  </si>
  <si>
    <t>ИП АЛЕШНИКОВ СЕРГЕЙ ФЕДОРОВИЧ</t>
  </si>
  <si>
    <t>ИП ШАПАРЕНКО ЕВГЕНИЙ АЛЕКСАНДРОВИЧ</t>
  </si>
  <si>
    <t>396310, ВОРОНЕЖСКАЯ ОБЛАСТЬ, М.Р-Н НОВОУСМАНСКИЙ, С НОВАЯ УСМАНЬ, С.П. УСМАНСКОЕ 1-Е, УЛ ЛЕНИНА, ЗД. 228В, ОФИС 211</t>
  </si>
  <si>
    <t>394033, РОССИЯ, ВОРОНЕЖСКАЯ ОБЛАСТЬ, Г.О. ГОРОД ВОРОНЕЖ, Г ВОРОНЕЖ, ПР-КТ ЛЕНИНСКИЙ, Д. 156Н, ПОМЕЩ. 1 ОФИС 18/1</t>
  </si>
  <si>
    <t>ООО ХОПЕР ИНСТРУМЕНТ</t>
  </si>
  <si>
    <t>394033, ВОРОНЕЖСКАЯ ОБЛАСТЬ, Г ВОРОНЕЖ, УЛ ЗЕМЛЯЧКИ, Д. 19, ОФИС 183</t>
  </si>
  <si>
    <t>ИП КУРАСОВА СОФЬЯ МИХАЙЛОВНА</t>
  </si>
  <si>
    <t>ООО АКЦЕНТ ОЙЛ</t>
  </si>
  <si>
    <t>394033, РОССИЯ, ВОРОНЕЖСКАЯ ОБЛАСТЬ, Г.О. ГОРОД ВОРОНЕЖ, Г ВОРОНЕЖ, ПР-КТ ЛЕНИНСКИЙ, Д. 119А, ОФИС 217</t>
  </si>
  <si>
    <t>ИП РЫЖКОВ ДМИТРИЙ НИКОЛАЕВИЧ</t>
  </si>
  <si>
    <t>ИП СУРОВИКИН АЛЕКСАНДР НИКОЛАЕВИЧ</t>
  </si>
  <si>
    <t>ИП ФЕДОТОВ АЛЕКСАНДР ЕВГЕНЬЕВИЧ</t>
  </si>
  <si>
    <t>ООО СМС РУС</t>
  </si>
  <si>
    <t>394014, ВОРОНЕЖСКАЯ ОБЛАСТЬ, Г.О. ГОРОД ВОРОНЕЖ, Г ВОРОНЕЖ, УЛ МЕНДЕЛЕЕВА, Д. 1Б, ОФИС 207</t>
  </si>
  <si>
    <t>ИП ДОЛЖЕНКОВ ДМИТРИЙ АЛЕКСАНДРОВИЧ</t>
  </si>
  <si>
    <t>ИП МАРКИНА НАТАЛЬЯ ВИКТОРОВНА</t>
  </si>
  <si>
    <t>ООО РМС ЧЕРНОЗЕМЬЕ</t>
  </si>
  <si>
    <t>394019, РОССИЯ, ВОРОНЕЖСКАЯ ОБЛАСТЬ, Г.О. ГОРОД ВОРОНЕЖ, Г ВОРОНЕЖ, УЛ ЕРЕМЕЕВА, Д. 22Д, ОФИС 39</t>
  </si>
  <si>
    <t>ИП ПЕРЕСЛАВЦЕВ СЕРГЕЙ СЕРГЕЕВИЧ</t>
  </si>
  <si>
    <t>ИП СЫЧЕВА ЕЛЕНА ОЛЕГОВНА</t>
  </si>
  <si>
    <t>ИП ПОТАПОВА МАРИНА АЛЕКСАНДРОВНА</t>
  </si>
  <si>
    <t>ИП МОСКАЛЕВА ОЛЬГА АЛЕКСАНДРОВНА</t>
  </si>
  <si>
    <t>ООО СОЗВЕЗДИЕ</t>
  </si>
  <si>
    <t>394026, РОССИЯ, ВОРОНЕЖСКАЯ ОБЛАСТЬ, Г.О. ГОРОД ВОРОНЕЖ, Г ВОРОНЕЖ, УЛ СОЛНЕЧНАЯ, Д. 27А, ОФИС 38</t>
  </si>
  <si>
    <t>ООО ГРУЗЛАЙН</t>
  </si>
  <si>
    <t>394005, РОССИЯ, ВОРОНЕЖСКАЯ ОБЛАСТЬ, Г.О. ГОРОД ВОРОНЕЖ, Г ВОРОНЕЖ, УЛ МОРДАСОВОЙ, Д. 7, КВ. 31</t>
  </si>
  <si>
    <t>ООО ОЙЛ СЕРВИС</t>
  </si>
  <si>
    <t>394016, РОССИЯ, ВОРОНЕЖСКАЯ ОБЛАСТЬ, Г.О. ГОРОД ВОРОНЕЖ, Г ВОРОНЕЖ, УЛ 45 СТРЕЛКОВОЙ ДИВИЗИИ, Д. 247Е, КВ. 114</t>
  </si>
  <si>
    <t>394088, РОССИЯ, ВОРОНЕЖСКАЯ ОБЛАСТЬ, Г.О. ГОРОД ВОРОНЕЖ, Г ВОРОНЕЖ, УЛ ВЛАДИМИРА НЕВСКОГО, Д. 14, ПОМЕЩ. 401</t>
  </si>
  <si>
    <t>394019, ВОРОНЕЖСКАЯ ОБЛАСТЬ, Г.О. ГОРОД ВОРОНЕЖ, Г ВОРОНЕЖ, УЛ СОЛНЕЧНАЯ, Д. 19, ОФИС 9Г</t>
  </si>
  <si>
    <t>ООО БОРАВТО</t>
  </si>
  <si>
    <t>397165, ВОРОНЕЖСКАЯ ОБЛАСТЬ, Р-Н БОРИСОГЛЕБСКИЙ, Г БОРИСОГЛЕБСК, УЛ МАТРОСОВСКАЯ, Д.127, -, -</t>
  </si>
  <si>
    <t>ИП КОНДРАШОВА НАТАЛИЯ АЛЕКСАНДРОВНА</t>
  </si>
  <si>
    <t>ООО СТРОЙИДЕЯ</t>
  </si>
  <si>
    <t>397165, ВОРОНЕЖСКАЯ ОБЛАСТЬ, Р-Н БОРИСОГЛЕБСКИЙ, Г БОРИСОГЛЕБСК, УЛ МАТРОСОВСКАЯ, Д. 131, ОФИС 303</t>
  </si>
  <si>
    <t>ИП ПАЖИТНОВ АЛЕКСЕЙ ИГОРЕВИЧ</t>
  </si>
  <si>
    <t>ИП ТЫРНОВ СЕРГЕЙ НИКОЛАЕВИЧ</t>
  </si>
  <si>
    <t>ИП БОРОВИКОВА НАТАЛЬЯ ПЕТРОВНА</t>
  </si>
  <si>
    <t>396460, ВОРОНЕЖСКАЯ ОБЛАСТЬ, Р-Н ВЕРХНЕМАМОНСКИЙ, С ВЕРХНИЙ МАМОН, УЛ СТРОИТЕЛЬНАЯ, Д.3</t>
  </si>
  <si>
    <t>ИП РЕТЮНСКИЙ АЛЕКСАНДР ВЯЧЕСЛАВОВИЧ</t>
  </si>
  <si>
    <t>ИП Ванюкова Расмигуль Махсутовна</t>
  </si>
  <si>
    <t>ООО АГРОЦЕНТРЛИСКИ</t>
  </si>
  <si>
    <t>РОССИЯ, ВОРОНЕЖСКАЯ ОБЛАСТЬ, М.Р-Н ЛИСКИНСКИЙ, С СРЕДНИЙ ИКОРЕЦ, С.П. СРЕДНЕИКОРЕЦКОЕ, УЛ 30 ЛЕТ ПОБЕДЫ, ЗД. 30А/1</t>
  </si>
  <si>
    <t>ООО ДАРНИЦА</t>
  </si>
  <si>
    <t>397903, РОССИЯ, ВОРОНЕЖСКАЯ ОБЛАСТЬ, М.Р-Н ЛИСКИНСКИЙ, Г ЛИСКИ, Г.П. ГОРОД ЛИСКИ, УЛ ФЕСТИВАЛЬНАЯ, Д. 4А, ОФИС 8</t>
  </si>
  <si>
    <t>ООО СМ-АГРО</t>
  </si>
  <si>
    <t>396302, ВОРОНЕЖСКАЯ ОБЛАСТЬ, Р-Н НОВОУСМАНСКИЙ, С НЕЧАЕВКА, УЛ ОЗЕРНАЯ, Д. 1/1А</t>
  </si>
  <si>
    <t>ИП ДОРОХИН ГЕННАДИЙ ДАНИЛОВИЧ</t>
  </si>
  <si>
    <t>ООО Л1</t>
  </si>
  <si>
    <t>396302, ВОРОНЕЖСКАЯ ОБЛАСТЬ, М.Р-Н НОВОУСМАНСКИЙ, С НОВАЯ УСМАНЬ, С.П. УСМАНСКОЕ 1-Е, УЛ РОСТОВСКАЯ, Д. 2Б, ПОМЕЩ. 3, 4</t>
  </si>
  <si>
    <t>ООО ДОРПАРТС-ГРУПП</t>
  </si>
  <si>
    <t>396302, ВОРОНЕЖСКАЯ ОБЛАСТЬ, Р-Н НОВОУСМАНСКИЙ, С НОВАЯ УСМАНЬ, УЛ ДОРОЖНАЯ, ЗД. 57, ОФИС 2</t>
  </si>
  <si>
    <t>ООО ЭКОХИМ</t>
  </si>
  <si>
    <t>394088, ВОРОНЕЖСКАЯ ОБЛАСТЬ, Г.О. ГОРОД ВОРОНЕЖ, Г ВОРОНЕЖ, УЛ ВЛАДИМИРА НЕВСКОГО, Д. 13, ОФИС 4, ПОМЕЩ. IV</t>
  </si>
  <si>
    <t>ИП ПОПОВА ИРИНА ПЕТРОВНА</t>
  </si>
  <si>
    <t>ИП Мариненко Владимир Борисович</t>
  </si>
  <si>
    <t>ИП ГОНЧАРОВ АЛЕКСЕЙ ВИКТОРОВИЧ</t>
  </si>
  <si>
    <t>ИП СТЕПАНОВ ДМИТРИЙ ВЛАДИМИРОВИЧ</t>
  </si>
  <si>
    <t>ООО КИФА</t>
  </si>
  <si>
    <t>396005, ВОРОНЕЖСКАЯ ОБЛАСТЬ, М.Р-Н РАМОНСКИЙ, С ЯМНОЕ, С.П. ЯМЕНСКОЕ, УЛ ОЛЬХОВАЯ, Д. 17А, ПОМЕЩ. 1</t>
  </si>
  <si>
    <t>ИП ПЛУГАТЫРЕВ ЛЕОНИД ИВАНОВИЧ</t>
  </si>
  <si>
    <t>ООО САМИС</t>
  </si>
  <si>
    <t>396659, ВОРОНЕЖСКАЯ ОБЛАСТЬ, Р-Н РОССОШАНСКИЙ, Г РОССОШЬ, ПЛ ОКТЯБРЬСКАЯ, Д.118, -, -</t>
  </si>
  <si>
    <t>ИП АВДЕЕВ ОЛЕГ НИКОЛАЕВИЧ</t>
  </si>
  <si>
    <t>ИП ПУТИЛИНА ЛЮБОВЬ АНДРЕЕВНА</t>
  </si>
  <si>
    <t>ИП МАРКОВ ДЕНИС ВЛАДИМИРОВИЧ</t>
  </si>
  <si>
    <t>ИП Кодинцев Валерий Николаевич</t>
  </si>
  <si>
    <t>ООО БКР-АГРО</t>
  </si>
  <si>
    <t>397903, ВОРОНЕЖСКАЯ ОБЛАСТЬ, Р-Н ЛИСКИНСКИЙ, Г ЛИСКИ, УЛ 40 ЛЕТ ОКТЯБРЯ, Д. 25, КВ. 1</t>
  </si>
  <si>
    <t>ИП ПИРОГОВ ВИКТОР АЛЕКСАНДРОВИЧ</t>
  </si>
  <si>
    <t>ООО ВОРОНЕЖАВТОГАЗСЕРВИС</t>
  </si>
  <si>
    <t>394042, ВОРОНЕЖСКАЯ ОБЛАСТЬ, Г ВОРОНЕЖ, УЛ ЛЕНИНГРАДСКАЯ, Д. 2А</t>
  </si>
  <si>
    <t>ООО СКС+ПЛЮС</t>
  </si>
  <si>
    <t>394033, ВОРОНЕЖСКАЯ ОБЛАСТЬ, Г ВОРОНЕЖ, УЛ ОСТУЖЕВА, Д. 41</t>
  </si>
  <si>
    <t>ООО ВОРОНЕЖСПЕЦТЕХНИКА</t>
  </si>
  <si>
    <t>394042, РОССИЯ, ВОРОНЕЖСКАЯ ОБЛАСТЬ, Г.О. ГОРОД ВОРОНЕЖ, Г ВОРОНЕЖ, УЛ ПЕРЕВЕРТКИНА, Д. 1/4, КВ. 76</t>
  </si>
  <si>
    <t>ИП СИЗИНЦЕВ МАКСИМ МИХАЙЛОВИЧ</t>
  </si>
  <si>
    <t>ООО ТЕХКОМ</t>
  </si>
  <si>
    <t>394033, РОССИЯ, ВОРОНЕЖСКАЯ ОБЛАСТЬ, Г.О. ГОРОД ВОРОНЕЖ, Г ВОРОНЕЖ, УЛ ОСТУЖЕВА, Д. 66А, ОФИС А2</t>
  </si>
  <si>
    <t>ООО СТАНКОПРОМ</t>
  </si>
  <si>
    <t>394033, ВОРОНЕЖСКАЯ ОБЛАСТЬ, Г ВОРОНЕЖ, ПР-КТ ЛЕНИНСКИЙ, Д. 160, ОФИС 133</t>
  </si>
  <si>
    <t>ИП МИЛЛЕР ЮРИЙ ВЛАДИМИРОВИЧ</t>
  </si>
  <si>
    <t>ИП Ким Андрей Александрович</t>
  </si>
  <si>
    <t>ИП ДИКОВА НАТАЛЬЯ АЛЕКСАНДРОВНА</t>
  </si>
  <si>
    <t>ИП ЖУРАВЛЕВ ВСЕВОЛОД ВИКТОРОВИЧ</t>
  </si>
  <si>
    <t>ИП ЛОКТЕВА ВАЛЕНТИНА ГРИГОРЬЕВНА</t>
  </si>
  <si>
    <t>ООО ТЕХНО ОЙЛ</t>
  </si>
  <si>
    <t>394005, ВОРОНЕЖСКАЯ ОБЛАСТЬ, Г ВОРОНЕЖ, ПР-КТ МОСКОВСКИЙ, Д.133, 62</t>
  </si>
  <si>
    <t>ИП КУРЛОВИЧ АРТЕМ ВЛАДИМИРОВИЧ</t>
  </si>
  <si>
    <t>ООО МОСКВОРЕЧЬЕ-ВОРОНЕЖ</t>
  </si>
  <si>
    <t>394026, ВОРОНЕЖСКАЯ ОБЛАСТЬ, Г ВОРОНЕЖ, ПР-КТ МОСКОВСКИЙ, Д. 11В, ПОМЕЩ. III</t>
  </si>
  <si>
    <t>ООО АЛМАЗ МГ</t>
  </si>
  <si>
    <t>394088, ВОРОНЕЖСКАЯ ОБЛАСТЬ, Г ВОРОНЕЖ, УЛ АНТОНОВА-ОВСЕЕНКО, Д.8</t>
  </si>
  <si>
    <t>ИП ДОЛЖЕНКОВ СЕРГЕЙ АЛЕКСАНДРОВИЧ</t>
  </si>
  <si>
    <t>ИП ГОНЧАРУК ПАВЕЛ ВАЛЕРИЕВИЧ</t>
  </si>
  <si>
    <t>ООО БИГКАР</t>
  </si>
  <si>
    <t>394005, ВОРОНЕЖСКАЯ ОБЛАСТЬ, Г ВОРОНЕЖ, УЛ ВЛАДИМИРА НЕВСКОГО, Д. 81, КВ. 37</t>
  </si>
  <si>
    <t>ООО МП-СТРОЙ</t>
  </si>
  <si>
    <t>394018, ВОРОНЕЖСКАЯ ОБЛАСТЬ, Г ВОРОНЕЖ, УЛ СВОБОДЫ, Д. 75, ЛИТЕР Ф, ОФИС 216</t>
  </si>
  <si>
    <t>ООО АЛМАЗОЙЛ</t>
  </si>
  <si>
    <t>394026, РОССИЯ, ВОРОНЕЖСКАЯ ОБЛАСТЬ, Г.О. ГОРОД ВОРОНЕЖ, Г ВОРОНЕЖ, УЛ АНТОНОВА-ОВСЕЕНКО, СТР. 8, ОФИС 3</t>
  </si>
  <si>
    <t>ИП РЕВИЧ АННА ДМИТРИЕВНА</t>
  </si>
  <si>
    <t>ИП Шаталина Елена Юрьевна</t>
  </si>
  <si>
    <t>ИП ТОНКИХ ВЛАДИМИР ВАСИЛЬЕВИЧ</t>
  </si>
  <si>
    <t>ООО ФИРМА ЧИРОЛ</t>
  </si>
  <si>
    <t>394033, ВОРОНЕЖСКАЯ ОБЛАСТЬ, Г ВОРОНЕЖ, ПР-КТ ЛЕНИНСКИЙ, Д.174 Р</t>
  </si>
  <si>
    <t>ИП ГРЕКОВ АЛЕКСЕЙ ПЕТРОВИЧ</t>
  </si>
  <si>
    <t>ООО СРТП ГИДРОПРИВОД</t>
  </si>
  <si>
    <t>396336, ВОРОНЕЖСКАЯ ОБЛАСТЬ, Р-Н НОВОУСМАНСКИЙ, П ОТРАДНОЕ, УЛ ПРОМЫШЛЕННАЯ, ЗД. 2</t>
  </si>
  <si>
    <t>ООО УК ЦИТАДЕЛЬ</t>
  </si>
  <si>
    <t>394028, ВОРОНЕЖСКАЯ ОБЛАСТЬ, Г.О. ГОРОД ВОРОНЕЖ, Г ВОРОНЕЖ, УЛ ДИМИТРОВА, Д. 124, ОФИС 208</t>
  </si>
  <si>
    <t>ООО ТРАНС ОЙЛ ЧЕРНОЗЕМЬЕ</t>
  </si>
  <si>
    <t>394048, РОССИЯ, ВОРОНЕЖСКАЯ ОБЛАСТЬ, Г.О. ГОРОД ВОРОНЕЖ, Г ВОРОНЕЖ, УЛ ИНЖЕНЕРНАЯ, Д. 12</t>
  </si>
  <si>
    <t>ИП БРАЖНИКОВ СЕРГЕЙ ВИКТОРОВИЧ</t>
  </si>
  <si>
    <t>ИП РЯЗАНЦЕВА НАДЕЖДА ЛЕОНИДОВНА</t>
  </si>
  <si>
    <t>ООО ЦХС</t>
  </si>
  <si>
    <t>394033, ВОРОНЕЖСКАЯ ОБЛАСТЬ, Г.О. ГОРОД ВОРОНЕЖ, Г ВОРОНЕЖ, УЛ УРЫВСКОГО, Д. 2В, СТР. 1, ПОМЕЩ. 201</t>
  </si>
  <si>
    <t>ИП ЧУРЮМОВ РОМАН СЕРГЕЕВИЧ</t>
  </si>
  <si>
    <t>394028, РОССИЯ, ВОРОНЕЖСКАЯ ОБЛАСТЬ, Г.О. ГОРОД ВОРОНЕЖ, Г ВОРОНЕЖ, УЛ ВОЛГОГРАДСКАЯ, Д. 32, ОФИС 1</t>
  </si>
  <si>
    <t>ИП БУЛЬБА ИВАН НИКОЛАЕВИЧ</t>
  </si>
  <si>
    <t>ИП АЛЁХИНА АЛЕВТИНА БОРИСОВНА</t>
  </si>
  <si>
    <t>ИП КАНУННИКОВ ОЛЕГ АЛЕКСАНДРОВИЧ</t>
  </si>
  <si>
    <t>ИП ПОЛИТОВА ЮЛИЯ СЕРГЕЕВНА</t>
  </si>
  <si>
    <t>ООО М-ТРАСТ</t>
  </si>
  <si>
    <t>394028, ВОРОНЕЖСКАЯ ОБЛАСТЬ, Г ВОРОНЕЖ, УЛ ЧЕБЫШЕВА, Д.36, ОФИС 83</t>
  </si>
  <si>
    <t>ООО АВТОЛЮКС-ВОРОНЕЖ</t>
  </si>
  <si>
    <t>394035, ВОРОНЕЖСКАЯ ОБЛАСТЬ, Г ВОРОНЕЖ, УЛ ВЫБОРГСКАЯ, Д.132</t>
  </si>
  <si>
    <t>ИП НОВИЧИХИНА ЕКАТЕРИНА НИКОЛАЕВНА</t>
  </si>
  <si>
    <t>ООО ТРАНСАГРОСОЮЗ</t>
  </si>
  <si>
    <t>394014, РОССИЯ, ВОРОНЕЖСКАЯ ОБЛАСТЬ, Г.О. ГОРОД ВОРОНЕЖ, Г ВОРОНЕЖ, УЛ МЕНДЕЛЕЕВА, Д. 1Б, ОФИС 109</t>
  </si>
  <si>
    <t>ООО ТОРГСЕРВИС 36</t>
  </si>
  <si>
    <t>394018, РОССИЯ, ВОРОНЕЖСКАЯ ОБЛАСТЬ, Г.О. ГОРОД ВОРОНЕЖ, Г ВОРОНЕЖ, УЛ СВОБОДЫ, Д. 73, ОФИС 512</t>
  </si>
  <si>
    <t>ООО АЗИМУТАВТО</t>
  </si>
  <si>
    <t>394052, РОССИЯ, ВОРОНЕЖСКАЯ ОБЛАСТЬ, Г.О. ГОРОД ВОРОНЕЖ, Г ВОРОНЕЖ, УЛ ОСТРОГОЖСКАЯ, Д. 144Д, ОФИС 2</t>
  </si>
  <si>
    <t>ИП БАСКАКОВ ИГОРЬ МИХАЙЛОВИЧ</t>
  </si>
  <si>
    <t>ООО АВТОРВ</t>
  </si>
  <si>
    <t>394019, ВОРОНЕЖСКАЯ ОБЛАСТЬ, Г ВОРОНЕЖ, УЛ 9 ЯНВАРЯ, Д.231, К.А</t>
  </si>
  <si>
    <t>ИП ПАНЁВИН КОНСТАНТИН ВИКТОРОВИЧ</t>
  </si>
  <si>
    <t>ООО АВТОСКАЙ ПЛЮС</t>
  </si>
  <si>
    <t>394038, ВОРОНЕЖСКАЯ ОБЛАСТЬ, Г ВОРОНЕЖ, УЛ ГЕРОЕВ СИБИРЯКОВ, Д. 3Б, ОФИС 101</t>
  </si>
  <si>
    <t>ИП ПОДРЕЗОВ АЛЕКСАНДР ЕВГЕНЬЕВИЧ</t>
  </si>
  <si>
    <t>ООО ТПК СТРОЙМАШСЕРВИС</t>
  </si>
  <si>
    <t>394065, ВОРОНЕЖСКАЯ ОБЛАСТЬ, Г.О. ГОРОД ВОРОНЕЖ, Г ВОРОНЕЖ, ПР-КТ ПАТРИОТОВ, Д. 53А, ОФИС 2</t>
  </si>
  <si>
    <t>ООО МОТО 36</t>
  </si>
  <si>
    <t>394092, ВОРОНЕЖСКАЯ ОБЛАСТЬ, Г ВОРОНЕЖ, УЛ ЧЕРЕМУШКИ, Д. 13</t>
  </si>
  <si>
    <t>ООО ТД АР-ДИСТРИБЬЮШЕН</t>
  </si>
  <si>
    <t>394019, ВОРОНЕЖСКАЯ ОБЛАСТЬ, Г.О. ГОРОД ВОРОНЕЖ, Г ВОРОНЕЖ, УЛ 9 ЯНВАРЯ, Д. 107А, ПОМЕЩ. 6</t>
  </si>
  <si>
    <t>ООО ШЭ</t>
  </si>
  <si>
    <t>394038, ВОРОНЕЖСКАЯ ОБЛАСТЬ, Г ВОРОНЕЖ, УЛ КОСМОНАВТОВ, Д. 2, СК 2, ОФИС 1</t>
  </si>
  <si>
    <t>ООО ДСО</t>
  </si>
  <si>
    <t>394052, РОССИЯ, ВОРОНЕЖСКАЯ ОБЛАСТЬ, Г.О. ГОРОД ВОРОНЕЖ, Г ВОРОНЕЖ, УЛ КРИВОШЕИНА, Д. 13, ОФИС 307</t>
  </si>
  <si>
    <t>ООО ПРОФИТ</t>
  </si>
  <si>
    <t>394020, РОССИЯ, ВОРОНЕЖСКАЯ ОБЛАСТЬ, Г.О. ГОРОД ВОРОНЕЖ, Г ВОРОНЕЖ, УЛ 9 ЯНВАРЯ, Д. 241/14, КВ. 76</t>
  </si>
  <si>
    <t>ООО СИСТЕМА</t>
  </si>
  <si>
    <t>394026, РОССИЯ, ВОРОНЕЖСКАЯ ОБЛАСТЬ, Г.О. ГОРОД ВОРОНЕЖ, Г ВОРОНЕЖ, УЛ СОЛНЕЧНАЯ, Д. 31О, ОФИС 1</t>
  </si>
  <si>
    <t>ООО ВЕРТЕКС ГРУПП</t>
  </si>
  <si>
    <t>394088, РОССИЯ, ВОРОНЕЖСКАЯ ОБЛАСТЬ, Г.О. ГОРОД ВОРОНЕЖ, Г ВОРОНЕЖ, УЛ ВЛАДИМИРА НЕВСКОГО, Д. 25Д, ПОМЕЩ. 1, ОФИС 19</t>
  </si>
  <si>
    <t>ООО ВЕЛЛГРОС</t>
  </si>
  <si>
    <t>394052, РОССИЯ, ВОРОНЕЖСКАЯ ОБЛАСТЬ, Г.О. ГОРОД ВОРОНЕЖ, Г ВОРОНЕЖ, УЛ КРИВОШЕИНА, Д. 13, ОФИС 12/2</t>
  </si>
  <si>
    <t>ООО КСМ</t>
  </si>
  <si>
    <t>394092, РОССИЯ, ВОРОНЕЖСКАЯ ОБЛАСТЬ, Г.О. ГОРОД ВОРОНЕЖ, Г ВОРОНЕЖ, УЛ ЧЕРЕМУШКИ, Д. 13</t>
  </si>
  <si>
    <t>ИП ВОСКОБОЙНИКОВ СЕРГЕЙ ВАСИЛЬЕВИЧ</t>
  </si>
  <si>
    <t>ИП КИСЕЛЕВ ЛЕОНИД ЛЕОНТЬЕВИЧ</t>
  </si>
  <si>
    <t>АУ ВО ОЦРДП ПАРУС НАДЕЖДЫ</t>
  </si>
  <si>
    <t>394018, ВОРОНЕЖСКАЯ ОБЛАСТЬ, Г ВОРОНЕЖ, УЛ ПЛЕХАНОВСКАЯ, Д.10А</t>
  </si>
  <si>
    <t>ИП ПОПОВ РОМАН ЮРЬЕВИЧ</t>
  </si>
  <si>
    <t>ООО ИК ЭНКОР</t>
  </si>
  <si>
    <t>394018, ВОРОНЕЖСКАЯ ОБЛАСТЬ, Г ВОРОНЕЖ, ПЛ ЛЕНИНА, Д. 8, КАБИНЕТ 272</t>
  </si>
  <si>
    <t>ООО ТОРГОВЫЙ ДОМ НАЯДА</t>
  </si>
  <si>
    <t>394029, ВОРОНЕЖСКАЯ ОБЛАСТЬ, Г ВОРОНЕЖ, УЛ ГЕРОЕВ СТРАТОСФЕРЫ, Д.22, К.Г</t>
  </si>
  <si>
    <t>ООО АВРОРААВТО</t>
  </si>
  <si>
    <t>394038, ВОРОНЕЖСКАЯ ОБЛАСТЬ, Г ВОРОНЕЖ, УЛ ДОРОЖНАЯ, Д.12</t>
  </si>
  <si>
    <t>ООО ЭНКОР-ИНСТРУМЕНТ-ВОРОНЕЖ</t>
  </si>
  <si>
    <t>394026, ВОРОНЕЖСКАЯ ОБЛАСТЬ, Г ВОРОНЕЖ, УЛ ТЕКСТИЛЬЩИКОВ, Д. 2Д, КАБИНЕТ 17</t>
  </si>
  <si>
    <t>ООО А-ДРАЙВ УЛЬТРА</t>
  </si>
  <si>
    <t>394038, ВОРОНЕЖСКАЯ ОБЛАСТЬ, Г ВОРОНЕЖ, УЛ ДОРОЖНАЯ, Д. 8, ОФИС 11</t>
  </si>
  <si>
    <t>ООО ТВИНС</t>
  </si>
  <si>
    <t>394036, РОССИЯ, ВОРОНЕЖСКАЯ ОБЛАСТЬ, Г.О. ГОРОД ВОРОНЕЖ, Г ВОРОНЕЖ, УЛ КАРЛА МАРКСА, Д. 40А, КВ. 153</t>
  </si>
  <si>
    <t>ООО МКЦ</t>
  </si>
  <si>
    <t>ВОРОНЕЖСКАЯ ОБЛАСТЬ, М.Р-Н РАМОНСКИЙ, С.П. НОВОЖИВОТИННОВСКОЕ, ТЕР. НОВОЖИВОТИННОЕ, ЗД. 52/4, ПОМЕЩ. 9</t>
  </si>
  <si>
    <t>ИП БОКОВА АННА ЮРЬЕВНА</t>
  </si>
  <si>
    <t>ИП МИНАКОВ ГЕННАДИЙ АЛЕКСАНДРОВИЧ</t>
  </si>
  <si>
    <t>ИП ШИПИЛОВА ЕЛЕНА АЛЕКСАНДРОВНА</t>
  </si>
  <si>
    <t>ООО ПРЕДПРИЯТИЕ ПОЛИХИМ-ВОРОНЕЖ</t>
  </si>
  <si>
    <t>394033, ВОРОНЕЖСКАЯ ОБЛАСТЬ, Г.О. ГОРОД ВОРОНЕЖ, Г ВОРОНЕЖ, УЛ ОСТУЖЕВА, Д. 43А, ОФИС 2.3</t>
  </si>
  <si>
    <t>ИП ЮДАКОВ АНАТОЛИЙ ВАЛЕНТИНОВИЧ</t>
  </si>
  <si>
    <t>ИП МАЛЕВ СЕРГЕЙ ВАСИЛЬЕВИЧ</t>
  </si>
  <si>
    <t>394028, РОССИЯ, ВОРОНЕЖСКАЯ ОБЛАСТЬ, Г.О. ГОРОД ВОРОНЕЖ, Г ВОРОНЕЖ, УЛ ДИМИТРОВА, Д. 124</t>
  </si>
  <si>
    <t>ООО ГЛОБАЛ ТРЕЙД</t>
  </si>
  <si>
    <t>394029, ВОРОНЕЖСКАЯ ОБЛАСТЬ, Г ВОРОНЕЖ, УЛ ЛЕНИНГРАДСКАЯ, Д. 132В, ОФИС 14</t>
  </si>
  <si>
    <t>ООО ДАЙНАВА-ЦЕНТР</t>
  </si>
  <si>
    <t>394028, ВОРОНЕЖСКАЯ ОБЛАСТЬ, Г ВОРОНЕЖ, УЛ ДИМИТРОВА, Д.134 Б</t>
  </si>
  <si>
    <t>ИП ХОЛОДОВ ВИТАЛИЙ АЛЕКСЕЕВИЧ</t>
  </si>
  <si>
    <t>ИП МАСЛОВ СЕРГЕЙ НИКОЛАЕВИЧ</t>
  </si>
  <si>
    <t>394028, РОССИЯ, ВОРОНЕЖСКАЯ ОБЛАСТЬ, Г.О. ГОРОД ВОРОНЕЖ, Г ВОРОНЕЖ, УЛ ВОЛГОГРАДСКАЯ, Д. 32, ОФИС 3</t>
  </si>
  <si>
    <t>ООО ТОРГОВЫЙ ДОМ ВЕКТОР ПРО</t>
  </si>
  <si>
    <t>394033, РОССИЯ, ВОРОНЕЖСКАЯ ОБЛАСТЬ, Г.О. ГОРОД ВОРОНЕЖ, Г ВОРОНЕЖ, УЛ ЗЕМЛЯЧКИ, Д. 15, ОФИС 20</t>
  </si>
  <si>
    <t>ООО ФОРТЕЛЬ</t>
  </si>
  <si>
    <t>394004, РОССИЯ, ВОРОНЕЖСКАЯ ОБЛАСТЬ, Г.О. ГОРОД ВОРОНЕЖ, Г ВОРОНЕЖ, НАБ АВИАСТРОИТЕЛЕЙ, Д. 28, КВ. 26</t>
  </si>
  <si>
    <t>396310, РОССИЯ, ВОРОНЕЖСКАЯ ОБЛАСТЬ, М.Р-Н НОВОУСМАНСКИЙ, С НОВАЯ УСМАНЬ, С.П. УСМАНСКОЕ 1-Е, ПЕР ТИХИЙ, Д. 2, КВ. 1</t>
  </si>
  <si>
    <t>ИП МЯСНИКОВ СЕРГЕЙ МИХАЙЛОВИЧ</t>
  </si>
  <si>
    <t>ИП РОМАНОВ АЛЕКСАНДР ЕВГЕНЬЕВИЧ</t>
  </si>
  <si>
    <t>ИП ВОЛОХИНА ЕКАТЕРИНА АЛЕКСАНДРОВНА</t>
  </si>
  <si>
    <t>ИП АСЕССОРОВА НАТАЛЬЯ АЛЕКСАНДРОВНА</t>
  </si>
  <si>
    <t>ФКУ ГБ МСЭ ПО ВОРОНЕЖСКОЙ ОБЛАСТИ МИНТРУДА РОССИИ</t>
  </si>
  <si>
    <t>394043, ВОРОНЕЖСКАЯ ОБЛАСТЬ, Г ВОРОНЕЖ, УЛ ЛЕНИНА, Д. 104Б</t>
  </si>
  <si>
    <t>ИП ЛУНЕВ СЕРГЕЙ ИВАНОВИЧ</t>
  </si>
  <si>
    <t>ИП Корнюхина Галина Васильевна</t>
  </si>
  <si>
    <t>ООО РУСТРЕЙД</t>
  </si>
  <si>
    <t>394018, РОССИЯ, ВОРОНЕЖСКАЯ ОБЛАСТЬ, Г.О. ГОРОД ВОРОНЕЖ, Г ВОРОНЕЖ, УЛ СВОБОДЫ, Д. 75, ОФИС 520А</t>
  </si>
  <si>
    <t>ООО КАЧ</t>
  </si>
  <si>
    <t>394026, ВОРОНЕЖСКАЯ ОБЛАСТЬ, Г.О. ГОРОД ВОРОНЕЖ, Г ВОРОНЕЖ, УЛ АНТОНОВА-ОВСЕЕНКО, Д. 7, ОФИС 407</t>
  </si>
  <si>
    <t>ООО ВЕДУГА-АЛКО</t>
  </si>
  <si>
    <t>394033, РОССИЯ, ВОРОНЕЖСКАЯ ОБЛАСТЬ, Г.О. ГОРОД ВОРОНЕЖ, Г ВОРОНЕЖ, УЛ ПЛАНЕТНАЯ, Д. 26, ОФИС 304</t>
  </si>
  <si>
    <t>ИП БАСКАКОВА ЛАРИСА АЛЕКСАНДРОВНА</t>
  </si>
  <si>
    <t>ИП ГАВРИЛОЧЕВ ЮРИЙ АНАТОЛЬЕВИЧ</t>
  </si>
  <si>
    <t>ООО А-ДРАЙВ ЦЕНТР</t>
  </si>
  <si>
    <t>394038, ВОРОНЕЖСКАЯ ОБЛАСТЬ, Г ВОРОНЕЖ, УЛ ДОРОЖНАЯ, Д.8</t>
  </si>
  <si>
    <t>ООО ОЙЛ ТРЕЙД</t>
  </si>
  <si>
    <t>394038, ВОРОНЕЖСКАЯ ОБЛАСТЬ, Г ВОРОНЕЖ, УЛ ДОРОЖНАЯ, Д.24</t>
  </si>
  <si>
    <t>ООО ТОП КОНЦЕПТ</t>
  </si>
  <si>
    <t>394028, ВОРОНЕЖСКАЯ ОБЛАСТЬ, Г.О. ГОРОД ВОРОНЕЖ, Г ВОРОНЕЖ, УЛ ДИМИТРОВА, Д. 140А, ОФИС 3</t>
  </si>
  <si>
    <t>ООО ИМПУЛЬС</t>
  </si>
  <si>
    <t>396002, ВОРОНЕЖСКАЯ ОБЛАСТЬ, Р-Н РАМОНСКИЙ, УЛ 4-Я ПРОМЫШЛЕННАЯ ЗОНА (ПРОМЫШЛЕННАЯ ТЕР.), ЗД. 31В</t>
  </si>
  <si>
    <t>ИП ПЕРУНОВ ВЛАДИМИР НИКОЛАЕВИЧ</t>
  </si>
  <si>
    <t>ИП ЧЕРНОУСОВ АНДРЕЙ ЕГОРОВИЧ</t>
  </si>
  <si>
    <t>ИП ТАРНАКИН ГЕННАДИЙ ВЛАДИМИРОВИЧ</t>
  </si>
  <si>
    <t>ИП КАЗЬМИН АНДРЕЙ АЛЕКСАНДРОВИЧ</t>
  </si>
  <si>
    <t>ИП ХАЙДИНА ЯНИНА СЕРГЕЕВНА</t>
  </si>
  <si>
    <t>ИП ЛЕБЕДИНСКАЯ ЛЮДМИЛА ВЛАДИМИРОВНА</t>
  </si>
  <si>
    <t>ИП ЛАУТ НАТАЛЬЯ АЛЕКСАНДРОВНА</t>
  </si>
  <si>
    <t>ИП АРСЕНТЬЕВ МИХАИЛ СЕРГЕЕВИЧ</t>
  </si>
  <si>
    <t>ООО ВОРОНЕЖ-АВТО-СИТИ</t>
  </si>
  <si>
    <t>394018, ВОРОНЕЖСКАЯ ОБЛАСТЬ, Г ВОРОНЕЖ, УЛ КАРЛА МАРКСА, Д.68, ОФИС 202</t>
  </si>
  <si>
    <t>ООО АВТО-СПУТНИК ИМПОРТ</t>
  </si>
  <si>
    <t>394033, ВОРОНЕЖСКАЯ ОБЛАСТЬ, Г ВОРОНЕЖ, ПР-КТ ЛЕНИНСКИЙ, Д. 172Ж, ПОМЕЩ. 4</t>
  </si>
  <si>
    <t>ООО АГРО-ВЭЙ</t>
  </si>
  <si>
    <t>394033, ВОРОНЕЖСКАЯ ОБЛАСТЬ, Г ВОРОНЕЖ, ПР-КТ ЛЕНИНСКИЙ, Д. 172Ж, ПОМЕЩ IV, ОФИС 103</t>
  </si>
  <si>
    <t>ООО АВТОСИЛА ПЛЮС</t>
  </si>
  <si>
    <t>394054, ВОРОНЕЖСКАЯ ОБЛАСТЬ, Г.О. ГОРОД ВОРОНЕЖ, Г ВОРОНЕЖ, УЛ ШИШКОВА, Д. 146, ПОМ. III</t>
  </si>
  <si>
    <t>ООО КЕНТАВР</t>
  </si>
  <si>
    <t>394019, ВОРОНЕЖСКАЯ ОБЛАСТЬ, Г.О. ГОРОД ВОРОНЕЖ, Г ВОРОНЕЖ, УЛ СОЛНЕЧНАЯ, Д. 19, ОФИС 9В</t>
  </si>
  <si>
    <t>ООО БИ АЙ РЕШЕНИЯ</t>
  </si>
  <si>
    <t>394043, ВОРОНЕЖСКАЯ ОБЛАСТЬ, Г ВОРОНЕЖ, УЛ ГЕРОЕВ КРАСНОЙ АРМИИ, Д. 6, ОФИС 707</t>
  </si>
  <si>
    <t>ООО БЕКПАРТС</t>
  </si>
  <si>
    <t>394033, РОССИЯ, ВОРОНЕЖСКАЯ ОБЛАСТЬ, Г.О. ГОРОД ВОРОНЕЖ, Г ВОРОНЕЖ, УЛ ВИТРУКА, Д. 7, ОФИС 2</t>
  </si>
  <si>
    <t>ИП ЦЫГАНОВ ВЛАДИМИР АЛЕКСАНДРОВИЧ</t>
  </si>
  <si>
    <t>ИП БОЕВА ЕКАТЕРИНА МИХАЙЛОВНА</t>
  </si>
  <si>
    <t>ИП КОЗЛОВА ЕЛЕНА ГЕННАДЬЕВНА</t>
  </si>
  <si>
    <t>ООО ГЛОБАЛ СИСТЕМЗ</t>
  </si>
  <si>
    <t>394033, ВОРОНЕЖСКАЯ ОБЛАСТЬ, Г ВОРОНЕЖ, УЛ ИЗЫСКАТЕЛЕЙ, Д.39, ОФИС 15</t>
  </si>
  <si>
    <t>ИП ЯКОВЛЕВ СЕРГЕЙ ГЕННАДЬЕВИЧ</t>
  </si>
  <si>
    <t>ООО ЕВРОСКЛАД</t>
  </si>
  <si>
    <t>394026, ВОРОНЕЖСКАЯ ОБЛАСТЬ, Г ВОРОНЕЖ, УЛ ЭЛЕКТРОСИГНАЛЬНАЯ, Д. 19В, ОФИС 12</t>
  </si>
  <si>
    <t>ИП ПЕТРЯЕВА НАТАЛЬЯ СЕРГЕЕВНА</t>
  </si>
  <si>
    <t>ООО СПЕКТР АВТОЭМАЛИ 36</t>
  </si>
  <si>
    <t>394026, ВОРОНЕЖСКАЯ ОБЛАСТЬ, Г ВОРОНЕЖ, УЛ АНТОНОВА-ОВСЕЕНКО, Д. 17Б, ОФИС 1</t>
  </si>
  <si>
    <t>ООО АЛИГАТОР</t>
  </si>
  <si>
    <t>394019, ВОРОНЕЖСКАЯ ОБЛАСТЬ, Г ВОРОНЕЖ, УЛ СОЛНЕЧНАЯ, Д. 7Д, ОФИС 1</t>
  </si>
  <si>
    <t>ООО ОЛИМП АВТО</t>
  </si>
  <si>
    <t>394019, ВОРОНЕЖСКАЯ ОБЛАСТЬ, Г.О. ГОРОД ВОРОНЕЖ, Г ВОРОНЕЖ, УЛ СОЛНЕЧНАЯ, Д. 15, ОФ. 5</t>
  </si>
  <si>
    <t>ООО АВТО-ТРАК</t>
  </si>
  <si>
    <t>394019, ВОРОНЕЖСКАЯ ОБЛАСТЬ, Г ВОРОНЕЖ, УЛ КРАСНЫХ ЗОРЬ, Д. 38, ПОМЕЩЕНИЕ III, ОФИС 3А</t>
  </si>
  <si>
    <t>ООО ОЙЛАВТО</t>
  </si>
  <si>
    <t>394026, РОССИЯ, ВОРОНЕЖСКАЯ ОБЛАСТЬ, Г.О. ГОРОД ВОРОНЕЖ, Г ВОРОНЕЖ, УЛ ДРУЖИННИКОВ, Д. 5А, ОФИС 418</t>
  </si>
  <si>
    <t>ООО БАРС</t>
  </si>
  <si>
    <t>394026, РОССИЯ, ВОРОНЕЖСКАЯ ОБЛАСТЬ, Г.О. ГОРОД ВОРОНЕЖ, Г ВОРОНЕЖ, УЛ ЭЛЕКТРОСИГНАЛЬНАЯ, Д. 17, ОФИС 25</t>
  </si>
  <si>
    <t>ООО АВЕ ОЙЛ</t>
  </si>
  <si>
    <t>394061, РОССИЯ, ВОРОНЕЖСКАЯ ОБЛАСТЬ, Г.О. ГОРОД ВОРОНЕЖ, Г ВОРОНЕЖ, УЛ ВАРЕЙКИСА, Д. 68, КВ. 47</t>
  </si>
  <si>
    <t>ООО АВТО</t>
  </si>
  <si>
    <t>394005, РОССИЯ, ВОРОНЕЖСКАЯ ОБЛАСТЬ, Г.О. ГОРОД ВОРОНЕЖ, Г ВОРОНЕЖ, УЛ МИРОНОВА, Д. 37/1, ОФИС 131Б</t>
  </si>
  <si>
    <t>ИП МАСЛЕННИКОВА ВАЛЕРИЯ АНТОНОВНА</t>
  </si>
  <si>
    <t>ИП Ударов Роман Олегович</t>
  </si>
  <si>
    <t>ИП ЖЕЛТУХИН МАКСИМ ОЛЕГОВИЧ</t>
  </si>
  <si>
    <t>ИП ДУДКИНА НАТАЛИЯ НИКОЛАЕВНА</t>
  </si>
  <si>
    <t>ООО АВТОГРАД ПЛЮС</t>
  </si>
  <si>
    <t>394033, ВОРОНЕЖСКАЯ ОБЛАСТЬ, Г.О. ГОРОД ВОРОНЕЖ, Г ВОРОНЕЖ, ПР-КТ ЛЕНИНСКИЙ, Д. 156, ОФИС 1</t>
  </si>
  <si>
    <t>394038, ВОРОНЕЖСКАЯ ОБЛАСТЬ, Г ВОРОНЕЖ, УЛ ДОРОЖНАЯ, Д. 22Б, ПОМЕЩ. 5</t>
  </si>
  <si>
    <t>ООО ГРУЗАВТО-36</t>
  </si>
  <si>
    <t>396335, ВОРОНЕЖСКАЯ ОБЛАСТЬ, М.Р-Н НОВОУСМАНСКИЙ, П ОТРАДНОЕ, С.П. ОТРАДНЕНСКОЕ, УЛ АВТОДОРОЖНАЯ, ЗД. 7, ПОМЕЩ. 701-713, ОФИС 707</t>
  </si>
  <si>
    <t>ООО ОПТИМУМ</t>
  </si>
  <si>
    <t>394029, ВОРОНЕЖСКАЯ ОБЛАСТЬ, Г.О. ГОРОД ВОРОНЕЖ, Г ВОРОНЕЖ, УЛ ЛЕНИНГРАДСКАЯ, Д. 132В, ОФИС 11</t>
  </si>
  <si>
    <t>ООО СОКРАТ</t>
  </si>
  <si>
    <t>394028, ВОРОНЕЖСКАЯ ОБЛАСТЬ, Г ВОРОНЕЖ, УЛ ВОЛГОГРАДСКАЯ, Д. 40, ОФИС 58</t>
  </si>
  <si>
    <t>ООО КАРДАН СЕРВИС</t>
  </si>
  <si>
    <t>394014, ВОРОНЕЖСКАЯ ОБЛАСТЬ, Г.О. ГОРОД ВОРОНЕЖ, Г ВОРОНЕЖ, УЛ МЕНДЕЛЕЕВА, Д. 1В, ОФИС 23</t>
  </si>
  <si>
    <t>ИП САПЕЛКИНА ТАТЬЯНА ВЛАДИМИРОВНА</t>
  </si>
  <si>
    <t>394033, РОССИЯ, ВОРОНЕЖСКАЯ ОБЛАСТЬ, Г.О. ГОРОД ВОРОНЕЖ, Г ВОРОНЕЖ, УЛ ВИТРУКА, Д. 13, ОФИС 201</t>
  </si>
  <si>
    <t>ООО ЭКОНЕФТЬ</t>
  </si>
  <si>
    <t>394033, РОССИЯ, ВОРОНЕЖСКАЯ ОБЛАСТЬ, Г.О. ГОРОД ВОРОНЕЖ, Г ВОРОНЕЖ, УЛ ОСТУЖЕВА, Д. 43И, ОФИС 7</t>
  </si>
  <si>
    <t>ООО ПРОММАСЛА</t>
  </si>
  <si>
    <t>394021, РОССИЯ, ВОРОНЕЖСКАЯ ОБЛАСТЬ, Г.О. ГОРОД ВОРОНЕЖ, Г ВОРОНЕЖ, УЛ МИНСКАЯ, Д. 59, КВ. 12</t>
  </si>
  <si>
    <t>ИП ЗАЙЦЕВ РОМАН АЛЕКСАНДРОВИЧ</t>
  </si>
  <si>
    <t>ИП ЗАСТРОЖНОВ ОЛЕГ АЛЕКСАНДРОВИЧ</t>
  </si>
  <si>
    <t>ООО ФИЛЬТР-ОЙЛ</t>
  </si>
  <si>
    <t>394030, ВОРОНЕЖСКАЯ ОБЛАСТЬ, Г ВОРОНЕЖ, ПЕР СПЕЦИАЛИСТОВ, Д.1</t>
  </si>
  <si>
    <t>ИП Чеховских Алексей Павлович</t>
  </si>
  <si>
    <t>ИП КОРЗИНОВ АЛЕКСЕЙ ВЛАДИМИРОВИЧ</t>
  </si>
  <si>
    <t>ООО АРТ-АВТОСЕРВИС</t>
  </si>
  <si>
    <t>394018, ВОРОНЕЖСКАЯ ОБЛАСТЬ, Г ВОРОНЕЖ, УЛ РЕВОЛЮЦИИ 1905 ГОДА, Д. 82И, ОФИС 1</t>
  </si>
  <si>
    <t>ИП ПЕТРОВА ИННА ВЛАДИМИРОВНА</t>
  </si>
  <si>
    <t>ООО ВОРОНЕЖКОМПЛЕКТ</t>
  </si>
  <si>
    <t>394038, ВОРОНЕЖСКАЯ ОБЛАСТЬ, Г ВОРОНЕЖ, УЛ ДОРОЖНАЯ, Д.36, КОРПУС И</t>
  </si>
  <si>
    <t>ИП ГРЕВЦОВ РУСЛАН АЛЕКСАНДРОВИЧ</t>
  </si>
  <si>
    <t>ООО А-ДРАЙВ СЕРВИС</t>
  </si>
  <si>
    <t>ООО А-ДРАЙВ СПОРТ</t>
  </si>
  <si>
    <t>394038, ВОРОНЕЖСКАЯ ОБЛАСТЬ, Г ВОРОНЕЖ, УЛ ДОРОЖНАЯ, Д. 8В</t>
  </si>
  <si>
    <t>ООО АВТОДОСТАВКА</t>
  </si>
  <si>
    <t>394026, ВОРОНЕЖСКАЯ ОБЛАСТЬ, Г.О. ГОРОД ВОРОНЕЖ, Г ВОРОНЕЖ, ПР-КТ ТРУДА, Д. 48, ПОМЕЩ. 1/1</t>
  </si>
  <si>
    <t>ООО СВС АВТО ГРУПП</t>
  </si>
  <si>
    <t>394055, ВОРОНЕЖСКАЯ ОБЛАСТЬ, Г ВОРОНЕЖ, УЛ ЛЕТЧИКА КОЛЕСНИЧЕНКО, Д. 42, КВ. 60</t>
  </si>
  <si>
    <t>ООО СЕЛЕКТ</t>
  </si>
  <si>
    <t>394055, ВОРОНЕЖСКАЯ ОБЛАСТЬ, Г.О. ГОРОД ВОРОНЕЖ, Г ВОРОНЕЖ, УЛ ДЕПУТАТСКАЯ, Д. 11А, ПОМЕЩ. VI, ОФИС 1</t>
  </si>
  <si>
    <t>ООО АВТОМАКС</t>
  </si>
  <si>
    <t>394065, ВОРОНЕЖСКАЯ ОБЛАСТЬ, Г.О. ГОРОД ВОРОНЕЖ, Г ВОРОНЕЖ, ПР-КТ ПАТРИОТОВ, Д. 11/3, ОФИС 15</t>
  </si>
  <si>
    <t>ИП БАЖОРА ЮЛИЯ ГРИГОРЬЕВНА</t>
  </si>
  <si>
    <t>ООО ДАЙНАВА-АВТО</t>
  </si>
  <si>
    <t>394028, ВОРОНЕЖСКАЯ ОБЛАСТЬ, Г ВОРОНЕЖ, УЛ ДИМИТРОВА, Д. 134Б</t>
  </si>
  <si>
    <t>ООО КОМПАНИЯ ЭНКОР</t>
  </si>
  <si>
    <t>394035, ВОРОНЕЖСКАЯ ОБЛАСТЬ, Г ВОРОНЕЖ, УЛ СОФЬИ ПЕРОВСКОЙ, Д. 65А, ПОМЕЩ. 8</t>
  </si>
  <si>
    <t>ООО АВТОЭЛЕМЕНТ</t>
  </si>
  <si>
    <t>394036, ВОРОНЕЖСКАЯ ОБЛАСТЬ, Г ВОРОНЕЖ, УЛ ЦЮРУПЫ, Д. 18, ОФИС 15</t>
  </si>
  <si>
    <t>ИП КАРИМБАЕВ РУСЛАН РАВИЛЬЕВИЧ</t>
  </si>
  <si>
    <t>ИП СТАРЦЕВ МИХАИЛ СЕРГЕЕВИЧ</t>
  </si>
  <si>
    <t>ИП НИЦУК НИКОЛАЙ ИВАНОВИЧ</t>
  </si>
  <si>
    <t>ИП Шаркунова Людмила Ивановна</t>
  </si>
  <si>
    <t>ИП ОКУНЕВ АЛЕКСАНДР ФЕДОРОВИЧ</t>
  </si>
  <si>
    <t>397172, ВОРОНЕЖСКАЯ ОБЛАСТЬ, Р-Н БОРИСОГЛЕБСКИЙ, Г БОРИСОГЛЕБСК, УЛ ЧКАЛОВА, ЗД. 74А</t>
  </si>
  <si>
    <t>ИП ЛОГВИНА ИРИНА АНАТОЛЬЕВНА</t>
  </si>
  <si>
    <t>ИП ПЕШКОВ АЛЕКСЕЙ ВЛАДИМИРОВИЧ</t>
  </si>
  <si>
    <t>ИП ВОЛКОВ ИЛЬЯ АЛЕКСЕЕВИЧ</t>
  </si>
  <si>
    <t>ИП АРТЁМЕНКО ЕЛЕНА НИКОЛАЕВНА</t>
  </si>
  <si>
    <t>ИП ШЕРГАНОВ ЮРИЙ ВАСИЛЬЕВИЧ</t>
  </si>
  <si>
    <t>396650, ВОРОНЕЖСКАЯ ОБЛАСТЬ, Р-Н РОССОШАНСКИЙ, Г РОССОШЬ, УЛ МАЛИНОВСКОГО, Д. 3А, КОМ. 1</t>
  </si>
  <si>
    <t>ИП ТАБАКОВ СЕРГЕЙ АЛЕКСАНДРОВИЧ</t>
  </si>
  <si>
    <t>ИП КОВАЛЕВА ЕЛЕНА НИКОЛАЕВНА</t>
  </si>
  <si>
    <t>ООО 4 ТАКТА</t>
  </si>
  <si>
    <t>394033, ВОРОНЕЖСКАЯ ОБЛАСТЬ, Г ВОРОНЕЖ, ПР-КТ ЛЕНИНСКИЙ, Д. 119А, НЕЖ. ПОМ. XIX ОФИС 19</t>
  </si>
  <si>
    <t>ООО КОМПАНИЯ АРКОНА</t>
  </si>
  <si>
    <t>394088, РОССИЯ, ВОРОНЕЖСКАЯ ОБЛАСТЬ, Г.О. ГОРОД ВОРОНЕЖ, Г ВОРОНЕЖ, УЛ ГЕНЕРАЛА ЛИЗЮКОВА, Д. 101, КВ. 69</t>
  </si>
  <si>
    <t>ООО СКС - ЛАДА</t>
  </si>
  <si>
    <t>394075, ВОРОНЕЖСКАЯ ОБЛАСТЬ, Г ВОРОНЕЖ, УЛ НЕЗАВИСИМОСТИ, Д.84А</t>
  </si>
  <si>
    <t>ИП ОСПИЩЕВА ЕКАТЕРИНА АЛЕКСЕЕВНА</t>
  </si>
  <si>
    <t>394016, ВОРОНЕЖСКАЯ ОБЛАСТЬ, Г.О. ГОРОД ВОРОНЕЖ, Г ВОРОНЕЖ, ПР-КТ МОСКОВСКИЙ, Д. 42Б, ПОМЕЩ. 1, ОФИС 114</t>
  </si>
  <si>
    <t>ООО АВТОСИЛА СТО</t>
  </si>
  <si>
    <t>394026, ВОРОНЕЖСКАЯ ОБЛАСТЬ, Г ВОРОНЕЖ, УЛ ТЕКСТИЛЬЩИКОВ, Д. 2В, ОФИС 1</t>
  </si>
  <si>
    <t>ООО САТ СЕРВИС</t>
  </si>
  <si>
    <t>394066, РОССИЯ, ВОРОНЕЖСКАЯ ОБЛАСТЬ, Г.О. ГОРОД ВОРОНЕЖ, Г ВОРОНЕЖ, ПР-КТ МОСКОВСКИЙ, Д. 179/8, КВ. 106</t>
  </si>
  <si>
    <t>ИП ВОРОТИЛИН НИКИТА АНДРЕЕВИЧ</t>
  </si>
  <si>
    <t>ООО А-ДРАЙВ ВОЙЯ ВОРОНЕЖ</t>
  </si>
  <si>
    <t>394038, РОССИЯ, ВОРОНЕЖСКАЯ ОБЛАСТЬ, Г.О. ГОРОД ВОРОНЕЖ, Г ВОРОНЕЖ, УЛ ДОРОЖНАЯ, Д. 8В, ОФИС 2</t>
  </si>
  <si>
    <t>ООО ТИТАН ЛУБРИКАНТС</t>
  </si>
  <si>
    <t>394052, РОССИЯ, ВОРОНЕЖСКАЯ ОБЛАСТЬ, Г.О. ГОРОД ВОРОНЕЖ, Г ВОРОНЕЖ, УЛ КРАСНОЗНАМЕННАЯ, Д. 57/3, КВ. 35</t>
  </si>
  <si>
    <t>ООО ЭКОНИВА - ЧЕРНОЗЕМЬЕ</t>
  </si>
  <si>
    <t>397954, РОССИЯ, ВОРОНЕЖСКАЯ ОБЛАСТЬ, М.Р-Н ЛИСКИНСКИЙ, С ДОБРИНО, С.П. ТРЕСОРУКОВСКОЕ, ТЕР. ЭКОНИВА-ЧЕРНОЗЕМЬЕ, ЗД. 1, ОФИС 1</t>
  </si>
  <si>
    <t>ИП ДИМОВ ВИТАЛИЙ ИВАНОВИЧ</t>
  </si>
  <si>
    <t>ИП ПОПОВА АНАСТАСИЯ АЛЕКСАНДРОВНА</t>
  </si>
  <si>
    <t>ИП ВЕТРОВА ЮЛИЯ ВЯЧЕСЛАВОВНА</t>
  </si>
  <si>
    <t>ИП СЕРГЕЕВ АЛЕКСЕЙ ЕВГЕНЬЕВИЧ</t>
  </si>
  <si>
    <t>Ивановская область</t>
  </si>
  <si>
    <t>ООО ИВОПТИ</t>
  </si>
  <si>
    <t>155800, РОССИЯ, ИВАНОВСКАЯ ОБЛАСТЬ, Г.О. КИНЕШМА, Г КИНЕШМА, УЛ ИМ ОСТРОВСКОГО, Д. 6, ПОМЕЩ. 1010</t>
  </si>
  <si>
    <t>ИП ВЕРШИНИН ИВАН ВЛАДИМИРОВИЧ</t>
  </si>
  <si>
    <t>ИП МАЛИНКИН СЕРГЕЙ ПАВЛОВИЧ</t>
  </si>
  <si>
    <t>ИП АНДРЕЕВ ДМИТРИЙ ВЛАДИМИРОВИЧ</t>
  </si>
  <si>
    <t>ООО ДИЗЕЛЬ</t>
  </si>
  <si>
    <t>153002, РОССИЯ, ИВАНОВСКАЯ ОБЛАСТЬ, Г.О. ИВАНОВО, Г ИВАНОВО, ПЕР ПОГРАНИЧНЫЙ, Д. 13, ОФИС 1</t>
  </si>
  <si>
    <t>ИП ДАНИЛОВА ЕЛЕНА НИКОЛАЕВНА</t>
  </si>
  <si>
    <t>ООО ПРОМИНДУСТРИЯ ПЛЮС</t>
  </si>
  <si>
    <t>153003, ИВАНОВСКАЯ ОБЛАСТЬ, Г ИВАНОВО, УЛ ЛЕНИНГРАДСКАЯ, Д. 4Б, ОФИС 1</t>
  </si>
  <si>
    <t>ИП Напалков Андрей Алексеевич</t>
  </si>
  <si>
    <t>ООО АВТО-ИВАНОВО</t>
  </si>
  <si>
    <t>153003, ИВАНОВСКАЯ ОБЛАСТЬ, Г ИВАНОВО, УЛ КРАСНЫХ ЗОРЬ, Д. 6, ПОМЕЩ. 1006</t>
  </si>
  <si>
    <t>ООО АМТЕК ИВАНОВО</t>
  </si>
  <si>
    <t>153008, ИВАНОВСКАЯ ОБЛАСТЬ, Г ИВАНОВО, УЛ 2-Я ЛЕЖНЕВСКАЯ, Д. 5, ОФИС 5</t>
  </si>
  <si>
    <t>ООО ЭЛ-ОЙЛ</t>
  </si>
  <si>
    <t>153002, ИВАНОВСКАЯ ОБЛАСТЬ, Г ИВАНОВО, УЛ ГРОМОБОЯ, Д. 1, ОФИС 19</t>
  </si>
  <si>
    <t>ООО ПЛЮС У</t>
  </si>
  <si>
    <t>153006, ИВАНОВСКАЯ ОБЛАСТЬ, Г ИВАНОВО, УЛ СМИРНОВА, Д. 98, ОФИС 1</t>
  </si>
  <si>
    <t>ООО ПОГРУЗЧИКЦЕНТР</t>
  </si>
  <si>
    <t>153002, ИВАНОВСКАЯ ОБЛАСТЬ, Г ИВАНОВО, УЛ 9 ЯНВАРЯ, Д. 7А, ОФИС 506</t>
  </si>
  <si>
    <t>ООО РАДАР-СЕВЕРНЫЙ</t>
  </si>
  <si>
    <t>153007, ИВАНОВСКАЯ ОБЛАСТЬ, Г ИВАНОВО, УЛ ФРУНЗЕ, Д. 90, ПОМЕЩ. 25</t>
  </si>
  <si>
    <t>ООО РАДАР-ЗАПАД</t>
  </si>
  <si>
    <t>153007, ИВАНОВСКАЯ ОБЛАСТЬ, Г ИВАНОВО, УЛ ФРУНЗЕ, Д. 92, ПОМЕЩ. 55</t>
  </si>
  <si>
    <t>АО ФОРВАРД ПРОД</t>
  </si>
  <si>
    <t>153029, РОССИЯ, ИВАНОВСКАЯ ОБЛАСТЬ, Г.О. ИВАНОВО, Г ИВАНОВО, УЛ МИНСКАЯ, Д. 7, ПОМЕЩ. 16</t>
  </si>
  <si>
    <t>ООО ТИМАСАН</t>
  </si>
  <si>
    <t>153038, РОССИЯ, ИВАНОВСКАЯ ОБЛАСТЬ, Г.О. ИВАНОВО, Г ИВАНОВО, ПР-КТ ТЕКСТИЛЬЩИКОВ, Д. 36</t>
  </si>
  <si>
    <t>АО САПФИР</t>
  </si>
  <si>
    <t>153007, РОССИЯ, ИВАНОВСКАЯ ОБЛАСТЬ, Г.О. ИВАНОВО, Г ИВАНОВО, УЛ ФРУНЗЕ, Д. 66, ПОМЕЩ. 15</t>
  </si>
  <si>
    <t>ИП ЧИКАЛИН АЛЕКСАНДР ИГОРЕВИЧ</t>
  </si>
  <si>
    <t>ИП КУЧИНА НАТАЛЬЯ ЛЕОНИДОВНА</t>
  </si>
  <si>
    <t>ООО ВИТАН</t>
  </si>
  <si>
    <t>153003, ИВАНОВСКАЯ ОБЛАСТЬ, Г ИВАНОВО, УЛ СОЮЗНАЯ, Д.8</t>
  </si>
  <si>
    <t>ООО ИНТЕР</t>
  </si>
  <si>
    <t>153032, ИВАНОВСКАЯ ОБЛАСТЬ, Г ИВАНОВО, УЛ СТАНКОСТРОИТЕЛЕЙ, Д.1-Г</t>
  </si>
  <si>
    <t>ООО ДИСА-ТЕКС</t>
  </si>
  <si>
    <t>153025, ИВАНОВСКАЯ ОБЛАСТЬ, Г ИВАНОВО, УЛ ФРОЛОВА, ДОМ 35/48</t>
  </si>
  <si>
    <t>ООО КОМПАНИЯ МОТОР-АВТО</t>
  </si>
  <si>
    <t>153032, ИВАНОВСКАЯ ОБЛАСТЬ, Г ИВАНОВО, УЛ СТАНКОСТРОИТЕЛЕЙ, ДОМ 3А, СТРОЕНИЕ 1</t>
  </si>
  <si>
    <t>ИП ГОЛУБЕВ АНДРЕЙ СЕРГЕЕВИЧ</t>
  </si>
  <si>
    <t>ООО НЕФТЬ-ТРАНЗИТ-ПЛЮС</t>
  </si>
  <si>
    <t>155805, ИВАНОВСКАЯ ОБЛАСТЬ, Г КИНЕШМА, УЛ ВИЧУГСКАЯ, Д. 140Б</t>
  </si>
  <si>
    <t>ИП АЛЕКСЕЕВА ВЕРА ЕВГЕНЬЕВНА</t>
  </si>
  <si>
    <t>ООО АКВА - РАУТ</t>
  </si>
  <si>
    <t>155813, ИВАНОВСКАЯ ОБЛАСТЬ, Г КИНЕШМА, УЛ САВИНСКАЯ, Д.17А</t>
  </si>
  <si>
    <t>ИП Грязнов Евгений Владимирович</t>
  </si>
  <si>
    <t>ИП Тихонов Виктор Васильевич</t>
  </si>
  <si>
    <t>ООО НЕФТЬ-ТОРГ ПЛЮС</t>
  </si>
  <si>
    <t>153032, РОССИЯ, ИВАНОВСКАЯ ОБЛАСТЬ, Г.О. ИВАНОВО, Г ИВАНОВО, УЛ ЛЕЖНЕВСКАЯ, Д. 160А</t>
  </si>
  <si>
    <t>ИП МАЛИНИН АЛЕКСАНДР ИГОРЕВИЧ</t>
  </si>
  <si>
    <t>ИП НЕЧАЕВ АНДРЕЙ АЛЕКСАНДРОВИЧ</t>
  </si>
  <si>
    <t>ИП ШЕБЕРСТОВА ЕКАТЕРИНА ВИКТОРОВНА</t>
  </si>
  <si>
    <t>ИП СИНИЦЫН АЛЕКСЕЙ ВАДИМОВИЧ</t>
  </si>
  <si>
    <t>ИП ЖУРАВЛЕВ АЛЕКСАНДР ГЕННАДЬЕВИЧ</t>
  </si>
  <si>
    <t>ИП СКАТОВ АЛЕКСЕЙ АЛЕКСАНДРОВИЧ</t>
  </si>
  <si>
    <t>ООО ТОРГСЕРВИС 37</t>
  </si>
  <si>
    <t>153000, РОССИЯ, ИВАНОВСКАЯ ОБЛАСТЬ, Г.О. ИВАНОВО, Г ИВАНОВО, УЛ ВАРЕНЦОВОЙ, Д. 9/18</t>
  </si>
  <si>
    <t>ООО БСГ ЦЕНТР</t>
  </si>
  <si>
    <t>153003, ИВАНОВСКАЯ ОБЛАСТЬ, Г ИВАНОВО, УЛ ПАРИЖСКОЙ КОММУНЫ, Д. 13, КВ. 229</t>
  </si>
  <si>
    <t>ООО РАДАР-ЮЖНЫЙ</t>
  </si>
  <si>
    <t>153007, ИВАНОВСКАЯ ОБЛАСТЬ, Г.О. ИВАНОВО, Г ИВАНОВО, УЛ ПОГРАНИЧНИКА РЫЖИКОВА, Д. 36</t>
  </si>
  <si>
    <t>ООО РАДАР-ВОСТОК</t>
  </si>
  <si>
    <t>153007, ИВАНОВСКАЯ ОБЛАСТЬ, Г ИВАНОВО, УЛ ФРУНЗЕ, Д. 92, ПОМЕЩ. 63</t>
  </si>
  <si>
    <t>ООО КИТПАРТС</t>
  </si>
  <si>
    <t>153012, РОССИЯ, ИВАНОВСКАЯ ОБЛАСТЬ, Г.О. ИВАНОВО, Г ИВАНОВО, УЛ СОВЕТСКАЯ, Д. 50, КВ. 33</t>
  </si>
  <si>
    <t>ИП КОРОТКОВ ДЕНИС СЕРГЕЕВИЧ</t>
  </si>
  <si>
    <t>ИП АФАНАСЬЕВА АННА АЛЕКСАНДРОВНА</t>
  </si>
  <si>
    <t>ИП КУЛАКОВ ВЯЧЕСЛАВ ЮРЬЕВИЧ</t>
  </si>
  <si>
    <t>ИП БУЛКИН АЛЕКСАНДР ЮРЬЕВИЧ</t>
  </si>
  <si>
    <t>153051, ИВАНОВСКАЯ ОБЛАСТЬ, Г.О. ИВАНОВО, Г ИВАНОВО, УЛ ДОМОСТРОИТЕЛЕЙ, Д. 34Г, ПОМЕЩ. 2</t>
  </si>
  <si>
    <t>ООО АНДРОМЕДА</t>
  </si>
  <si>
    <t>ИП МАХАНЬКО АНТОН ВАДИМОВИЧ</t>
  </si>
  <si>
    <t>ИП КАРПОВ ИВАН АЛЕКСЕЕВИЧ</t>
  </si>
  <si>
    <t>ИП ТАТАРИНОВ МИХАИЛ АЛЕКСЕЕВИЧ</t>
  </si>
  <si>
    <t>ИП ВЕРАКСА АЛЕКСАНДР АЛЕКСАНДРОВИЧ</t>
  </si>
  <si>
    <t>ИП ПЯТАЕВ ПАВЕЛ ВАЛЕРЬЕВИЧ</t>
  </si>
  <si>
    <t>ИП КОЧНЕВА ДАРЬЯ ВАСИЛЬЕВНА</t>
  </si>
  <si>
    <t>ИП ЖУКОВ ВЛАДИМИР АЛЕКСАНДРОВИЧ</t>
  </si>
  <si>
    <t>ООО АВТОПЛЮС</t>
  </si>
  <si>
    <t>153037, РОССИЯ, ИВАНОВСКАЯ ОБЛАСТЬ, Г.О. ИВАНОВО, Г ИВАНОВО, ПР-КТ ШЕРЕМЕТЕВСКИЙ, Д. 95, ОФИС 84</t>
  </si>
  <si>
    <t>ИП Киселев Александр Викторович</t>
  </si>
  <si>
    <t>ИП КАЛАБАШКИН АЛЕКСЕЙ ВЛАДИМИРОВИЧ</t>
  </si>
  <si>
    <t>153051, ИВАНОВСКАЯ ОБЛАСТЬ, Г.О. ИВАНОВО, Г ИВАНОВО, УЛ ДОМОСТРОИТЕЛЕЙ, Д. 4, ПОМЕЩ. 26</t>
  </si>
  <si>
    <t>ООО РАДАР ЛАДА</t>
  </si>
  <si>
    <t>155813, ИВАНОВСКАЯ ОБЛАСТЬ, Г КИНЕШМА, УЛ САВИНСКАЯ, Д. 17Б</t>
  </si>
  <si>
    <t>ООО РЕПАРТ</t>
  </si>
  <si>
    <t>153032, ИВАНОВСКАЯ ОБЛАСТЬ, Г.О. ИВАНОВО, Г ИВАНОВО, УЛ СТАНКОСТРОИТЕЛЕЙ, Д. 12</t>
  </si>
  <si>
    <t>ООО НОВАХИМ</t>
  </si>
  <si>
    <t>153025, ИВАНОВСКАЯ ОБЛАСТЬ, Г.О. ИВАНОВО, Г ИВАНОВО, УЛ ФРОЛОВА, Д. 17, ПОМЕЩ. 1</t>
  </si>
  <si>
    <t>ООО ГИПЕРМАРКЕТ № 1</t>
  </si>
  <si>
    <t>153008, ИВАНОВСКАЯ ОБЛАСТЬ, Г ИВАНОВО, УЛ ТИПОГРАФСКАЯ, Д. 6, ПОМЕЩ. 21</t>
  </si>
  <si>
    <t>ООО ГРАНД ОЙЛ</t>
  </si>
  <si>
    <t>ООО МИН-КАР</t>
  </si>
  <si>
    <t>153003, РОССИЯ, ИВАНОВСКАЯ ОБЛАСТЬ, Г.О. ИВАНОВО, Г ИВАНОВО, УЛ КУЗНЕЦОВА, Д. 69, ОФИС 5</t>
  </si>
  <si>
    <t>ООО ЛАДА ИВАНОВО</t>
  </si>
  <si>
    <t>153007, РОССИЯ, ИВАНОВСКАЯ ОБЛАСТЬ, Г.О. ИВАНОВО, Г ИВАНОВО, УЛ ФРУНЗЕ, Д. 96</t>
  </si>
  <si>
    <t>153009, РОССИЯ, ИВАНОВСКАЯ ОБЛАСТЬ, Г.О. ИВАНОВО, Г ИВАНОВО, УЛ КУДРЯШОВА, Д. 84, КВ. 25</t>
  </si>
  <si>
    <t>ООО ВНЕШТОРГ-А</t>
  </si>
  <si>
    <t>153020, РОССИЯ, ИВАНОВСКАЯ ОБЛАСТЬ, Г.О. ИВАНОВО, Г ИВАНОВО, УЛ ОКУЛОВОЙ, Д. 70, ПОМЕЩ. 4</t>
  </si>
  <si>
    <t>ИП КОЧНЕВ БОГДАН ЕВГЕНЬЕВИЧ</t>
  </si>
  <si>
    <t>ИП Румянцев Александр Геннадьевич</t>
  </si>
  <si>
    <t>ООО ТД АГРОЛИДЕР</t>
  </si>
  <si>
    <t>153020, ИВАНОВСКАЯ ОБЛАСТЬ, Г ИВАНОВО, УЛ 12-Я СОСНЕВСКАЯ, Д. 3, ОФИС 1</t>
  </si>
  <si>
    <t>153013, ИВАНОВСКАЯ ОБЛАСТЬ, Г ИВАНОВО, ПР-КТ СТРОИТЕЛЕЙ, Д. 122, ПОМЕЩ. 58</t>
  </si>
  <si>
    <t>ИП ЧЕХЛОВ ДЕНИС ВЛАДИМИРОВИЧ</t>
  </si>
  <si>
    <t>ИП КАРЦЕВ ЕВГЕНИЙ НИКОЛАЕВИЧ</t>
  </si>
  <si>
    <t>ООО ИНДУСТРИАЛ ГРУПП</t>
  </si>
  <si>
    <t>153000, ИВАНОВСКАЯ ОБЛАСТЬ, Г ИВАНОВО, УЛ 10 АВГУСТА, Д. 64/19, ОФИС 2</t>
  </si>
  <si>
    <t>ИП ВОРОНИН МИХАИЛ АЛЕКСАНДРОВИЧ</t>
  </si>
  <si>
    <t>ИП ГОББЕЛЬ ЕВГЕНИЙ АЛЕКСАНДРОВИЧ</t>
  </si>
  <si>
    <t>ИП БОБЫЛЕВ МАКСИМ НИКОЛАЕВИЧ</t>
  </si>
  <si>
    <t>ИП СОКОЛОВА ЕЛЕНА НИКОЛАЕВНА</t>
  </si>
  <si>
    <t>ООО ОСА</t>
  </si>
  <si>
    <t>153002, ИВАНОВСКАЯ ОБЛАСТЬ, Г.О. ИВАНОВО, Г ИВАНОВО, УЛ КАЛИНИНА, Д. 17, ПОМЕЩ. 1002</t>
  </si>
  <si>
    <t>ООО АВСЕРВИС</t>
  </si>
  <si>
    <t>155331, ИВАНОВСКАЯ ОБЛАСТЬ, Г.О. ВИЧУГА, Г ВИЧУГА, УЛ КИНЕШЕМСКАЯ, Д. 32</t>
  </si>
  <si>
    <t>ИП ТРОФИМОВ АЛЕКСАНДР ВАЛЕРЬЕВИЧ</t>
  </si>
  <si>
    <t>ИП ТЕТЕРИН ВЯЧЕСЛАВ ГЕРМАНОВИЧ</t>
  </si>
  <si>
    <t>ИП РЯБИКОВ АЛЕКСЕЙ ВАДИМОВИЧ</t>
  </si>
  <si>
    <t>ООО АВТОСТИЛЬ</t>
  </si>
  <si>
    <t>155908, РОССИЯ, ИВАНОВСКАЯ ОБЛАСТЬ, Г.О. ШУЯ, Г ШУЯ, УЛ СВЕРДЛОВА, Д. 110, СТР. 1</t>
  </si>
  <si>
    <t>ИП ФЕДОРОВ ЕВГЕНИЙ АЛЕКСАНДРОВИЧ</t>
  </si>
  <si>
    <t>ИП КОБРИН ВЯЧЕСЛАВ ГРИГОРЬЕВИЧ</t>
  </si>
  <si>
    <t>ИП ПУГАНОВ НИКИТА АЛЕКСЕЕВИЧ</t>
  </si>
  <si>
    <t>ИП КУЗНЕЦОВ МИХАИЛ АНАТОЛЬЕВИЧ</t>
  </si>
  <si>
    <t>ИП ХАЙРЕТДИНОВ РЕНАТ АБДЛКАБИРОВИЧ</t>
  </si>
  <si>
    <t>ИП РОГАНОВА ЛЮБОВЬ ЮРЬЕВНА</t>
  </si>
  <si>
    <t>ИП НОГТЕВ ДМИТРИЙ ЮРЬЕВИЧ</t>
  </si>
  <si>
    <t>ИП Антонов Александр Романович</t>
  </si>
  <si>
    <t>ИП СИДОРОВ ВЯЧЕСЛАВ АЛЕКСАНДРОВИЧ</t>
  </si>
  <si>
    <t>ИП БАЛОВ РОМАН ВЛАДИМИРОВИЧ</t>
  </si>
  <si>
    <t>ИП КАЛИНИНА ГАЛИНА НИКОЛАЕВНА</t>
  </si>
  <si>
    <t>ООО ИВАНОВСКИЙ АВТОЦЕНТР КАМАЗ</t>
  </si>
  <si>
    <t>153015, ИВАНОВСКАЯ ОБЛАСТЬ, Г ИВАНОВО, УЛ 13-Я БЕРЕЗНИКОВСКАЯ, Д.1А</t>
  </si>
  <si>
    <t>ИП Латкова Елена Валентиновна</t>
  </si>
  <si>
    <t>ИП КУКИНА АННА ЕВГЕНЬЕВНА</t>
  </si>
  <si>
    <t>ИП КУЛИГИН ВАЛЕРИЙ СЕРГЕЕВИЧ</t>
  </si>
  <si>
    <t>ООО АГРО</t>
  </si>
  <si>
    <t>155000, ИВАНОВСКАЯ ОБЛАСТЬ, Р-Н ГАВРИЛОВО-ПОСАДСКИЙ, Г ГАВРИЛОВ ПОСАД, УЛ СОВЕТСКАЯ, Д.78</t>
  </si>
  <si>
    <t>ИП ПОЦЕЛУЕВ ОЛЕГ ГЕННАДЬЕВИЧ</t>
  </si>
  <si>
    <t>ООО КДС</t>
  </si>
  <si>
    <t>153511, ИВАНОВСКАЯ ОБЛАСТЬ, Г КОХМА, УЛ ИВАНОВСКАЯ, Д. 83, ОФИС 21</t>
  </si>
  <si>
    <t>ИП Загуляев Александр Викторович</t>
  </si>
  <si>
    <t>ИП СЕМЕНОВА НАТАЛЬЯ НИКОЛАЕВНА</t>
  </si>
  <si>
    <t>ИП КАДЫНИН НИКОЛАЙ СЕРГЕЕВИЧ</t>
  </si>
  <si>
    <t>ИП НОВИЧКОВА ВЕРА ТИМОФЕЕВНА</t>
  </si>
  <si>
    <t>ИП МАЛЫГИН ВИКТОР АЛЕКСАНДРОВИЧ</t>
  </si>
  <si>
    <t>ИП ИВАНОВА ЕКАТЕРИНА ИГОРЕВНА</t>
  </si>
  <si>
    <t>ИП Шеберстов Виктор Юрьевич</t>
  </si>
  <si>
    <t>ИП СМИРНОВ АНДРЕЙ МИХАЙЛОВИЧ</t>
  </si>
  <si>
    <t>ИП ЖУКОВ НИКОЛАЙ ВАЛЕРЬЕВИЧ</t>
  </si>
  <si>
    <t>ИП ДЖАБИЕВ РУСЛАН ТЕЙЮБ ОГЛЫ</t>
  </si>
  <si>
    <t>ООО СЕЛЕНА-ПЛЮС</t>
  </si>
  <si>
    <t>155912, ИВАНОВСКАЯ ОБЛАСТЬ, Г.О. ШУЯ, Г ШУЯ, УЛ ПЕРВОМАЙСКАЯ 3-Я, Д. 33</t>
  </si>
  <si>
    <t>ИП СИМАКОВ ОЛЕГ ВЛАДИМИРОВИЧ</t>
  </si>
  <si>
    <t>ИП МОРОЗОВ ИВАН ВЛАДИМИРОВИЧ</t>
  </si>
  <si>
    <t>ИП ВИНОГРАДОВ ОЛЕГ КОНСТАНТИНОВИЧ</t>
  </si>
  <si>
    <t>ИП ШЕСТАКОВ ЮРИЙ ВЛАДИМИРОВИЧ</t>
  </si>
  <si>
    <t>ИП СЕМЕНОВА ЛЮДМИЛА АНАТОЛЬЕВНА</t>
  </si>
  <si>
    <t>ИП ДМИТРИЕВ СЕРГЕЙ ВЛАДИМИРОВИЧ</t>
  </si>
  <si>
    <t>ИП Макаров Борис Федорович</t>
  </si>
  <si>
    <t>ООО ТРАССА</t>
  </si>
  <si>
    <t>155136, ИВАНОВСКАЯ ОБЛАСТЬ, Р-Н КОМСОМОЛЬСКИЙ, Д КУЗНЕЦОВКА</t>
  </si>
  <si>
    <t>ИП СКАКУН ДМИТРИЙ ВАЛЕРЬЕВИЧ</t>
  </si>
  <si>
    <t>ИП КОРОБОВА ЕЛЕНА ВАДИМОВНА</t>
  </si>
  <si>
    <t>ООО ТЗК-ЮЖА</t>
  </si>
  <si>
    <t>155630, ИВАНОВСКАЯ ОБЛАСТЬ, Р-Н ЮЖСКИЙ, Г ЮЖА, УЛ СОВЕТСКАЯ, Д.26-А</t>
  </si>
  <si>
    <t>ИП ВАРГАНОВ ВЯЧЕСЛАВ ВЛАДИМИРОВИЧ</t>
  </si>
  <si>
    <t>ФКПОУ ИВРТТИ МИНТРУДА РОССИИ</t>
  </si>
  <si>
    <t>153043, ИВАНОВСКАЯ ОБЛАСТЬ, Г ИВАНОВО, УЛ МУЗЫКАЛЬНАЯ, Д.4</t>
  </si>
  <si>
    <t>ООО РЕСПЕКТ</t>
  </si>
  <si>
    <t>153003, ИВАНОВСКАЯ ОБЛАСТЬ, Г ИВАНОВО, УЛ КРАСНЫХ ЗОРЬ, Д.15А, 224</t>
  </si>
  <si>
    <t>ООО ХОЗСТРОЙТОВАРЫ</t>
  </si>
  <si>
    <t>153027, ИВАНОВСКАЯ ОБЛАСТЬ, Г ИВАНОВО, УЛ 1-Я САНАТОРНАЯ, Д.24</t>
  </si>
  <si>
    <t>ИП ЛОПАТИН ВАЛЕРИЙ ВЛАДИМИРОВИЧ</t>
  </si>
  <si>
    <t>ИП ВАСИЛЬЕВ АЛЕКСАНДР ВАДИМОВИЧ</t>
  </si>
  <si>
    <t>ООО ОЙЛ37</t>
  </si>
  <si>
    <t>153002, ИВАНОВСКАЯ ОБЛАСТЬ, Г ИВАНОВО, УЛ КОМСОМОЛЬСКАЯ, Д. 12, КВ. 46</t>
  </si>
  <si>
    <t>ИП ЛИСИТЧЕНКО ЕВГЕНИЙ ВИКТОРОВИЧ</t>
  </si>
  <si>
    <t>ИП Киселев Сергей Леонидович</t>
  </si>
  <si>
    <t>ИП МАСОВА АННА ВАЛЕНТИНОВНА</t>
  </si>
  <si>
    <t>ИП СОЛОВЬЕВ АЛЕКСЕЙ СЕРГЕЕВИЧ</t>
  </si>
  <si>
    <t>МБОУ ПЕСТЯКОВСКАЯ СШ</t>
  </si>
  <si>
    <t>155650, ИВАНОВСКАЯ ОБЛАСТЬ, Р-Н ПЕСТЯКОВСКИЙ, П ПЕСТЯКИ, УЛ СОЦИАЛИСТИЧЕСКАЯ, Д.15</t>
  </si>
  <si>
    <t>АО ИВХИМПРОМ</t>
  </si>
  <si>
    <t>153021, ИВАНОВСКАЯ ОБЛАСТЬ, Г ИВАНОВО, УЛ КУЗНЕЦОВА, Д.116</t>
  </si>
  <si>
    <t>ИП КСЕНОФОНТОВ СЕРГЕЙ АЛЕКСАНДРОВИЧ</t>
  </si>
  <si>
    <t>ИП РЕЙСАР ВАЛЕРИЙ ВИКТОРОВИЧ</t>
  </si>
  <si>
    <t>Иркутская область</t>
  </si>
  <si>
    <t>ИП ПОПОВ КОНСТАНТИН АЛЕКСАНДРОВИЧ</t>
  </si>
  <si>
    <t>ООО СИБ-ОЙЛ</t>
  </si>
  <si>
    <t>665814, ИРКУТСКАЯ ОБЛАСТЬ, Г АНГАРСК, КВ-Л 3 (ЮЖНЫЙ МАССИВ ТЕР.), СТР. 1</t>
  </si>
  <si>
    <t>ООО КВАНТ</t>
  </si>
  <si>
    <t>ООО ТД ИРКУТСКПРОМТЕХНИКА</t>
  </si>
  <si>
    <t>665816, ИРКУТСКАЯ ОБЛАСТЬ, Г АНГАРСК, МКР 33, Д. 7, КВ. 80</t>
  </si>
  <si>
    <t>ИП Коневец Иван Владимирович</t>
  </si>
  <si>
    <t>664024, ИРКУТСКАЯ ОБЛАСТЬ, Г ИРКУТСК, УЛ ТРАКТОВАЯ, Д. 22А</t>
  </si>
  <si>
    <t>ООО БРАТСКИЙ БЕНЗИН</t>
  </si>
  <si>
    <t>665708, РОССИЯ, ИРКУТСКАЯ ОБЛАСТЬ, Г.О. ГОРОД БРАТСК, Г БРАТСК, П/Р П 06, СТР. 82/2</t>
  </si>
  <si>
    <t>ИП Житов Андрей Анатольевич</t>
  </si>
  <si>
    <t>ООО СИСТЕМА БРК</t>
  </si>
  <si>
    <t>665708, РОССИЯ, ИРКУТСКАЯ ОБЛАСТЬ, Г.О. ГОРОД БРАТСК, Г БРАТСК, Ж/Р ЦЕНТРАЛЬНЫЙ, ТУП КРЫЛАТЫЙ, Д. 1, КВ. 58</t>
  </si>
  <si>
    <t>ООО ГИДРОСФЕРА</t>
  </si>
  <si>
    <t>665708, РОССИЯ, ИРКУТСКАЯ ОБЛАСТЬ, Г.О. ГОРОД БРАТСК, Г БРАТСК, Ж/Р ЦЕНТРАЛЬНЫЙ, УЛ ОБРУЧЕВА, Д. 38, КВ. 8</t>
  </si>
  <si>
    <t>ИП ВАЛЬТЕР ВАДИМ ЮРЬЕВИЧ</t>
  </si>
  <si>
    <t>ИП Кислицын Виктор Николаевич</t>
  </si>
  <si>
    <t>ООО КОМПАНИЯ ОЙЛ</t>
  </si>
  <si>
    <t>665700, РОССИЯ, ИРКУТСКАЯ ОБЛАСТЬ, Г.О. ГОРОД БРАТСК, Г БРАТСК, П/Р П 17, СООР. 33/1</t>
  </si>
  <si>
    <t>ООО ЕКИМ</t>
  </si>
  <si>
    <t>665709, ИРКУТСКАЯ ОБЛАСТЬ, Г БРАТСК, УЛ НАЙМУШИНА (ЭНЕРГЕТИК Ж/Р), Д. 5, 27</t>
  </si>
  <si>
    <t>ИП КУКЛИНА НАТАЛИЯ ГЕОРГИЕВНА</t>
  </si>
  <si>
    <t>ИП ВЯЗЬМИНОВА АЛЁНА АЛЕКСАНДРОВНА</t>
  </si>
  <si>
    <t>ИП ПАЦЕЙ ОЛЬГА ПАВЛОВНА</t>
  </si>
  <si>
    <t>ООО ППГ МС И СОЖИ</t>
  </si>
  <si>
    <t>664019, ИРКУТСКАЯ ОБЛАСТЬ, Г.О. ГОРОД ИРКУТСК, Г ИРКУТСК, УЛ БАРРИКАД, Д. 26, ПАВ. 41Ц</t>
  </si>
  <si>
    <t>ООО БАЙКАЛ МОТОРС</t>
  </si>
  <si>
    <t>664050, ИРКУТСКАЯ ОБЛАСТЬ, Г ИРКУТСК, УЛ ДЫБОВСКОГО, Д.10</t>
  </si>
  <si>
    <t>ИП ЕШТОКИН ДМИТРИЙ ИВАНОВИЧ</t>
  </si>
  <si>
    <t>ИП СОРОЧЕНКОВ СЕРГЕЙ МИХАЙЛОВИЧ</t>
  </si>
  <si>
    <t>ИП БОЙКОВА СВЕТЛАНА ВЛАДИМИРОВНА</t>
  </si>
  <si>
    <t>ООО ИРМАГ</t>
  </si>
  <si>
    <t>664013, ИРКУТСКАЯ ОБЛАСТЬ, Г ИРКУТСК, ПЕР ВОСТОЧНЫЙ, Д. 8</t>
  </si>
  <si>
    <t>ООО БАЙКАЛИТ-СКЦ</t>
  </si>
  <si>
    <t>664084, ИРКУТСКАЯ ОБЛАСТЬ, М.Р-Н ИРКУТСКИЙ, ЗАИМКА ВДОВИНА, С.П. МАМОНСКОЕ, УЛ ДОРОЖНАЯ, СТР. 96/1</t>
  </si>
  <si>
    <t>АО ИРКУТСКНЕФТЕПРОДУКТ</t>
  </si>
  <si>
    <t>664007, ИРКУТСКАЯ ОБЛАСТЬ, Г ИРКУТСК, УЛ ОКТЯБРЬСКОЙ РЕВОЛЮЦИИ, Д.5</t>
  </si>
  <si>
    <t>ИП ПЕРЕЛЫГИН ВАЛЕРИЙ АЛЕКСАНДРОВИЧ</t>
  </si>
  <si>
    <t>ООО КАПРАЛ</t>
  </si>
  <si>
    <t>665813, ИРКУТСКАЯ ОБЛАСТЬ, Г АНГАРСК, КВ-Л 35 (ВТОРОЙ ПРОМЫШЛЕННЫЙ МАССИВ ТЕР.), СТР. 60</t>
  </si>
  <si>
    <t>ООО РЕМБЫТТЕХНИКА</t>
  </si>
  <si>
    <t>665830, ИРКУТСКАЯ ОБЛАСТЬ, Г АНГАРСК, КВ-Л 124, СТР. 12</t>
  </si>
  <si>
    <t>ООО ЭНРОН ГРУПП</t>
  </si>
  <si>
    <t>665831, ИРКУТСКАЯ ОБЛАСТЬ, Г АНГАРСК, КВ-Л 257, СТР. 10/2, ПОМЕЩ. 8</t>
  </si>
  <si>
    <t>ООО КОНЦЕПТ-ОЙЛ</t>
  </si>
  <si>
    <t>665801, ИРКУТСКАЯ ОБЛАСТЬ, Г АНГАРСК, КВ-Л 252, СТР. 22, ОФИС 17</t>
  </si>
  <si>
    <t>ООО ДОМСТИЛЬ</t>
  </si>
  <si>
    <t>665413, РОССИЯ, ИРКУТСКАЯ ОБЛАСТЬ, Г.О. ГОРОД ЧЕРЕМХОВО, Г ЧЕРЕМХОВО, УЛ ЛЕНИНА, Д. 124А</t>
  </si>
  <si>
    <t>ООО АВТОБОСС</t>
  </si>
  <si>
    <t>665420, РОССИЯ, ИРКУТСКАЯ ОБЛАСТЬ, Г.О. ГОРОД СВИРСК, Г СВИРСК, УЛ МОЛОДЕЖНАЯ, Д. 6, КВ. 88</t>
  </si>
  <si>
    <t>ИП ШИПЕЛОВ ДЕНИС ЕВГЕНЬЕВИЧ</t>
  </si>
  <si>
    <t>ООО САЗ-ИРКУТСК</t>
  </si>
  <si>
    <t>665816, ИРКУТСКАЯ ОБЛАСТЬ, Г АНГАРСК, КВ-Л 177, Д. 1, КВ. 20</t>
  </si>
  <si>
    <t>ООО ИСТ ТРЕЙД СМ</t>
  </si>
  <si>
    <t>664007, ИРКУТСКАЯ ОБЛАСТЬ, Г.О. ГОРОД ИРКУТСК, Г ИРКУТСК, УЛ КРАСНОКАЗАЧЬЯ, СТР. 16</t>
  </si>
  <si>
    <t>ООО СТК</t>
  </si>
  <si>
    <t>666902, ИРКУТСКАЯ ОБЛАСТЬ, М.Р-Н БОДАЙБИНСКИЙ, Г БОДАЙБО, Г.П. БОДАЙБИНСКОЕ, УЛ АРТЕМА СЕРГЕЕВА, Д. 9А</t>
  </si>
  <si>
    <t>ИП МАЛЬГИН АЛЕКСАНДР ВИКТОРОВИЧ</t>
  </si>
  <si>
    <t>ООО ПАРМА</t>
  </si>
  <si>
    <t>665726, ИРКУТСКАЯ ОБЛАСТЬ, Г.О. ГОРОД БРАТСК, Г БРАТСК, Ж/Р ЦЕНТРАЛЬНЫЙ, УЛ КОСАЧЕНКО, Д. 4</t>
  </si>
  <si>
    <t>ООО СТО МАСТЕР</t>
  </si>
  <si>
    <t>664024, РОССИЯ, ИРКУТСКАЯ ОБЛАСТЬ, Г.О. ГОРОД ИРКУТСК, Г ИРКУТСК, УЛ ТРАКТОВАЯ, Д. 22А</t>
  </si>
  <si>
    <t>ИП МАЛИНОВСКИЙ АРТЕМ ВАЛЕРЬЕВИЧ</t>
  </si>
  <si>
    <t>ИП Поляков Сергей Михайлович</t>
  </si>
  <si>
    <t>ИП САПЕГА АЛЕКСЕЙ ВИКТОРОВИЧ</t>
  </si>
  <si>
    <t>ИП Скороходова Юлия Андреевна</t>
  </si>
  <si>
    <t>665700, РОССИЯ, ИРКУТСКАЯ ОБЛАСТЬ, Г.О. ГОРОД БРАТСК, Г БРАТСК, П/Р П 26, СТР. 147/1, ПОМЕЩ. 1</t>
  </si>
  <si>
    <t>665717, ИРКУТСКАЯ ОБЛАСТЬ, Г БРАТСК, УЛ ЮЖНАЯ (ЦЕНТРАЛЬНЫЙ Ж/Р), Д. 19, ОФИС 2</t>
  </si>
  <si>
    <t>ИП Волнина Алёна Витальевна</t>
  </si>
  <si>
    <t>ИП БЕЛОМЕСТНЫХ ОЛЕГ ВИКТОРОВИЧ</t>
  </si>
  <si>
    <t>ООО ЭН+ ТОРГОВЫЙ ДОМ</t>
  </si>
  <si>
    <t>664007, ИРКУТСКАЯ ОБЛАСТЬ, Г ИРКУТСК, УЛ РАБОЧАЯ, Д. 22, ОФИС 509</t>
  </si>
  <si>
    <t>ООО АВТО-СПУТНИК</t>
  </si>
  <si>
    <t>664014, ИРКУТСКАЯ ОБЛАСТЬ, Г ИРКУТСК, УЛ ТРАКТОВАЯ, Д.22, К.А</t>
  </si>
  <si>
    <t>ООО АВТОКОМФОРТ+</t>
  </si>
  <si>
    <t>664075, ИРКУТСКАЯ ОБЛАСТЬ, Г ИРКУТСК, УЛ ДАЛЬНЕВОСТОЧНАЯ, Д. 164/3, КВ. 7</t>
  </si>
  <si>
    <t>ООО СНАБСЕРВИС</t>
  </si>
  <si>
    <t>664022, ИРКУТСКАЯ ОБЛАСТЬ, Г ИРКУТСК, УЛ СОВЕТСКАЯ, Д. 24, ОФИС 5</t>
  </si>
  <si>
    <t>АО ИРКУТ БКТ</t>
  </si>
  <si>
    <t>664024, ИРКУТСКАЯ ОБЛАСТЬ, Г ИРКУТСК, УЛ ТРАКТОВАЯ, Д. 21/1</t>
  </si>
  <si>
    <t>ИП ТКАЧ ВАРДАНУШ ТАТЕВОСОВНА</t>
  </si>
  <si>
    <t>ООО САНТ И К</t>
  </si>
  <si>
    <t>664014, ИРКУТСКАЯ ОБЛАСТЬ, Г.О. ГОРОД ИРКУТСК, Г ИРКУТСК, УЛ ТРАКТОВАЯ, СТР. 21/2</t>
  </si>
  <si>
    <t>ИП БОРИСОВА АНАСТАСИЯ СЕРГЕЕВНА</t>
  </si>
  <si>
    <t>ООО ДСТ-ИРКУТСК</t>
  </si>
  <si>
    <t>664040, ИРКУТСКАЯ ОБЛАСТЬ, Г ИРКУТСК, УЛ БЛЮХЕРА, Д. 12, КАБ 307</t>
  </si>
  <si>
    <t>ООО ТЕХЦЕНТР СЕВЕРНЫЙ</t>
  </si>
  <si>
    <t>664024, ИРКУТСКАЯ ОБЛАСТЬ, Г ИРКУТСК, УЛ ТРАКТОВАЯ, Д.13, К.А</t>
  </si>
  <si>
    <t>666021, ИРКУТСКАЯ ОБЛАСТЬ, Р-Н ШЕЛЕХОВСКИЙ, С БАКЛАШИ, ПЕР ОЗЕРНЫЙ, Д. 3 Б</t>
  </si>
  <si>
    <t>ООО АНГАРАТРЕЙД</t>
  </si>
  <si>
    <t>664043, ИРКУТСКАЯ ОБЛАСТЬ, Г.О. ГОРОД ИРКУТСК, Г ИРКУТСК, УЛ СЕРГЕЕВА, СТР. 3А, ОФИС 305</t>
  </si>
  <si>
    <t>ИП ГРИЩЕНКО ЛЮБОВЬ НИКОЛАЕВНА</t>
  </si>
  <si>
    <t>ИП ЧУТЧЕНКО ОЛЕГ ВАЛЕРЬЕВИЧ</t>
  </si>
  <si>
    <t>ИП ШИТИН ЕВГЕНИЙ СЕРГЕЕВИЧ</t>
  </si>
  <si>
    <t>ИП БАШКИРОВ ДМИТРИЙ АЛЕКСАНДРОВИЧ</t>
  </si>
  <si>
    <t>ИП ГУСАКОВА ЕКАТЕРИНА ВИТАЛЬЕВНА</t>
  </si>
  <si>
    <t>ИП БОРЮШКИН ДМИТРИЙ ЮРЬЕВИЧ</t>
  </si>
  <si>
    <t>ООО ТК-ИРКУТСК</t>
  </si>
  <si>
    <t>664014, ИРКУТСКАЯ ОБЛАСТЬ, Г ИРКУТСК, УЛ ТРАКТОВАЯ, СТР. 18</t>
  </si>
  <si>
    <t>ООО ЭЛАНД</t>
  </si>
  <si>
    <t>664048, ИРКУТСКАЯ ОБЛАСТЬ, Г ИРКУТСК, УЛ ЯРОСЛАВСКОГО, Д.302</t>
  </si>
  <si>
    <t>ООО ФОРКС</t>
  </si>
  <si>
    <t>664013, ИРКУТСКАЯ ОБЛАСТЬ, Г ИРКУТСК, УЛ РОЗЫ ЛЮКСЕМБУРГ, Д.97</t>
  </si>
  <si>
    <t>ИП Шаповалов Евгений Эдуардович</t>
  </si>
  <si>
    <t>ИП СЕДЛОВА МАРИНА ВИТАЛЬЕВНА</t>
  </si>
  <si>
    <t>ООО ЭЛАРА</t>
  </si>
  <si>
    <t>ИП ФИЛИППОВА МАРИЯ ВЛАДИМИРОВНА</t>
  </si>
  <si>
    <t>ИП РОДИОНОВА АННА НИКОЛАЕВНА</t>
  </si>
  <si>
    <t>ИП ШИЦ АНДРЕЙ ЛЕОНИДОВИЧ</t>
  </si>
  <si>
    <t>ООО БРАТСК-АВТОСЕРВИС</t>
  </si>
  <si>
    <t>665717, ИРКУТСКАЯ ОБЛАСТЬ, Г БРАТСК, УЛ КУРЧАТОВА (ЦЕНТРАЛЬНЫЙ Ж/Р), Д.4</t>
  </si>
  <si>
    <t>ИП ИОНИЧЕВА ЕЛЕНА НИКОЛАЕВНА</t>
  </si>
  <si>
    <t>ИП Мяссарова Елена Витальевна</t>
  </si>
  <si>
    <t>ИП ЕШТОКИНА ЕКАТЕРИНА ГЕННАДЬЕВНА</t>
  </si>
  <si>
    <t>ООО ЛП-ТЕХНО</t>
  </si>
  <si>
    <t>666673, РОССИЯ, ИРКУТСКАЯ ОБЛАСТЬ, Г.О. ГОРОД УСТЬ-ИЛИМСК, Г УСТЬ-ИЛИМСК, УЛ ЛЕНИНА, Д. 13, КВ. 47</t>
  </si>
  <si>
    <t>ИП КУЛИНИЧ ДМИТРИЙ АЛЕКСАНДРОВИЧ</t>
  </si>
  <si>
    <t>ООО ТД БЭМ; ООО ТД БЕНЗОЭЛЕКТРОМАСТЕР; ООО ТОРГОВЫЙ ДОМ БЕНЗОЭЛЕКТРОМАСТЕР</t>
  </si>
  <si>
    <t>664022, ИРКУТСКАЯ ОБЛАСТЬ, Г.О. ГОРОД ИРКУТСК, Г ИРКУТСК, ПЕР СТРОИТЕЛЬНЫЙ, Д. 8/1, КВ. 90</t>
  </si>
  <si>
    <t>ООО ИРКУТСК-АВТОВАЗ</t>
  </si>
  <si>
    <t>664003, ИРКУТСКАЯ ОБЛАСТЬ, Г ИРКУТСК, УЛ КАРЛА МАРКСА, Д.22, 50</t>
  </si>
  <si>
    <t>ООО АСГАРД</t>
  </si>
  <si>
    <t>666904, ИРКУТСКАЯ ОБЛАСТЬ, Г БОДАЙБО, УЛ ТРУДА, Д. 18</t>
  </si>
  <si>
    <t>ООО ИНСТРУМЕНТ</t>
  </si>
  <si>
    <t>664014, ИРКУТСКАЯ ОБЛАСТЬ, Г ИРКУТСК, УЛ 1-Я МОСКОВСКАЯ, Д. 1, ПОМЕЩ. 7</t>
  </si>
  <si>
    <t>ООО МИКС ОЙЛ +</t>
  </si>
  <si>
    <t>664011, ИРКУТСКАЯ ОБЛАСТЬ, Г ИРКУТСК, ПЕР КООПЕРАТИВНЫЙ, Д.4, 19</t>
  </si>
  <si>
    <t>ООО ЖЕЛЕЗО</t>
  </si>
  <si>
    <t>664003, ИРКУТСКАЯ ОБЛАСТЬ, Г ИРКУТСК, УЛ ЛЕНИНА, Д. 25, КВ. 37</t>
  </si>
  <si>
    <t>ООО СТС</t>
  </si>
  <si>
    <t>664014, РОССИЯ, ИРКУТСКАЯ ОБЛАСТЬ, Г.О. ГОРОД ИРКУТСК, Г ИРКУТСК, УЛ ПОКРЫШКИНА, Д. 74, ПОМЕЩ. 303</t>
  </si>
  <si>
    <t>666511, РОССИЯ, ИРКУТСКАЯ ОБЛАСТЬ, М.Р-Н КАЗАЧИНСКО-ЛЕНСКИЙ, С КАЗАЧИНСКОЕ, С.П. КАЗАЧИНСКОЕ, ПЕР ЗАПАДНЫЙ, Д. 2</t>
  </si>
  <si>
    <t>ООО ГТК</t>
  </si>
  <si>
    <t>664522, РОССИЯ, ИРКУТСКАЯ ОБЛАСТЬ, М.Р-Н ИРКУТСКИЙ, С МАКСИМОВЩИНА, С.П. МАКСИМОВСКОЕ, УЛ МОЛОДЕЖНАЯ, Д. 9</t>
  </si>
  <si>
    <t>ИП ЕЛИФАНТЬЕВА ЮЛИЯ СЕРГЕЕВНА</t>
  </si>
  <si>
    <t>ИП Гахвердиев Ильгар Ислам Оглы</t>
  </si>
  <si>
    <t>ИП АНИСИХИН СЕРГЕЙ ГЕННАДЬЕВИЧ</t>
  </si>
  <si>
    <t>ИП Искулова Елена Юрьевна</t>
  </si>
  <si>
    <t>ООО ГЛОБАЛ ИМПОРТ</t>
  </si>
  <si>
    <t>664014, РОССИЯ, ИРКУТСКАЯ ОБЛАСТЬ, Г.О. ГОРОД ИРКУТСК, Г ИРКУТСК, УЛ ГЕНЕРАЛА ДОВАТОРА, Д. 41</t>
  </si>
  <si>
    <t>ИП ШИШКИНА НАТАЛЬЯ МИХАЙЛОВНА</t>
  </si>
  <si>
    <t>ИП МИГАЛИНА ЕЛЕНА МИХАЙЛОВНА</t>
  </si>
  <si>
    <t>ООО АЛЬТАИР</t>
  </si>
  <si>
    <t>664014, ИРКУТСКАЯ ОБЛАСТЬ, Г ИРКУТСК, УЛ ОЛЕГА КОШЕВОГО, Д. 65, К. ЭТАЖ 1</t>
  </si>
  <si>
    <t>ИП БАХАЕВА МЭРИ ЛАЗАРЕВНА</t>
  </si>
  <si>
    <t>ИП ТИХОНРАВОВ ЮРИЙ ВЯЧЕСЛАВОВИЧ</t>
  </si>
  <si>
    <t>ИП Константинов Сергей Александрович</t>
  </si>
  <si>
    <t>664009, ИРКУТСКАЯ ОБЛАСТЬ, Г ИРКУТСК, УЛ ШИРЯМОВА, Д. 2/1</t>
  </si>
  <si>
    <t>ИП МОСКВИТИН АРТЁМ ВАЛЕРЬЕВИЧ</t>
  </si>
  <si>
    <t>ИП ЗУЕВ ЕВГЕНИЙ АЛЕКСАНДРОВИЧ</t>
  </si>
  <si>
    <t>ИП ФЕДУРИНА НАДЕЖДА ВИКТОРОВНА</t>
  </si>
  <si>
    <t>ООО ОПТИС</t>
  </si>
  <si>
    <t>664081, ИРКУТСКАЯ ОБЛАСТЬ, Г ИРКУТСК, УЛ ШИРЯМОВА, Д. 24/2, ОФИС 2</t>
  </si>
  <si>
    <t>664075, ИРКУТСКАЯ ОБЛАСТЬ, Г.О. ГОРОД ИРКУТСК, Г ИРКУТСК, УЛ ДАЛЬНЕВОСТОЧНАЯ, Д. 166/4, КВ. 22</t>
  </si>
  <si>
    <t>ООО ТРАНСМИССИЯ</t>
  </si>
  <si>
    <t>664075, ИРКУТСКАЯ ОБЛАСТЬ, Г ИРКУТСК, УЛ БАЙКАЛЬСКАЯ, Д. 244/6</t>
  </si>
  <si>
    <t>ИП СУРОДИНА ИРИНА ВЛАДИМИРОВНА</t>
  </si>
  <si>
    <t>ИП ВЛАСЕНКО ИВАН ИВАНОВИЧ</t>
  </si>
  <si>
    <t>ИП ХИСМАТУЛИН РАДИК АБДУЛХАКОВИЧ</t>
  </si>
  <si>
    <t>ООО АСК РУСАВТО</t>
  </si>
  <si>
    <t>664014, ИРКУТСКАЯ ОБЛАСТЬ, Г.О. ГОРОД ИРКУТСК, Г ИРКУТСК, УЛ ТРАКТОВАЯ, СТР. 18</t>
  </si>
  <si>
    <t>ИП ЖИТОВ ДЕНИС АНАТОЛЬЕВИЧ</t>
  </si>
  <si>
    <t>ООО ТИМБЕРМАШ БАЙКАЛ</t>
  </si>
  <si>
    <t>664035, ИРКУТСКАЯ ОБЛАСТЬ, Г ИРКУТСК, УЛ ШЕВЦОВА, СТР. 1/2</t>
  </si>
  <si>
    <t>ИП БОБУЧЕНКО ВЛАДИМИР АЛЕКСАНДРОВИЧ</t>
  </si>
  <si>
    <t>ООО АЛЬФАТЕХ</t>
  </si>
  <si>
    <t>664024, ИРКУТСКАЯ ОБЛАСТЬ, Г ИРКУТСК, УЛ ГЛАВНАЯ КИРОВСКАЯ, Д. 47Г</t>
  </si>
  <si>
    <t>ИП ЛИТВИНОВ АЛЕКСАНДР ПАВЛОВИЧ</t>
  </si>
  <si>
    <t>ИП ПОГОДАЕВА ГАЛИНА ВАЛЕНТИНОВНА</t>
  </si>
  <si>
    <t>ООО БАЗА ЭКОНОМ</t>
  </si>
  <si>
    <t>664043, РОССИЯ, ИРКУТСКАЯ ОБЛАСТЬ, Г.О. ГОРОД ИРКУТСК, Г ИРКУТСК, УЛ БЕРЕЗОВАЯ РОЩА, Д. 1, ОФИС 111</t>
  </si>
  <si>
    <t>ИП ЗЕЛЕНЮК ВАЛЕРИЙ КОНСТАНТИНОВИЧ</t>
  </si>
  <si>
    <t>ИП ВЫСОЦКАЯ АНАСТАСИЯ ДМИТРИЕВНА</t>
  </si>
  <si>
    <t>ИП ВИШНЯКОВА ЕЛЕНА НИКОЛАЕВНА</t>
  </si>
  <si>
    <t>ООО СЕЛЬХОЗТЕХНИКА</t>
  </si>
  <si>
    <t>666322, ИРКУТСКАЯ ОБЛАСТЬ, Р-Н ЗАЛАРИНСКИЙ, РП ЗАЛАРИ, УЛ ПОБЕДЫ, Д.50</t>
  </si>
  <si>
    <t>ИП ЮРИНСКАЯ ЕКАТЕРИНА ВЛАДИМИРОВНА</t>
  </si>
  <si>
    <t>ИП ПЕТРОВ ВАДИМ ГЕННАДЬЕВИЧ</t>
  </si>
  <si>
    <t>ИП Целищева Галина Александровна</t>
  </si>
  <si>
    <t>ИП ЕВСЮНИНА АННА ВАСИЛЬЕВНА</t>
  </si>
  <si>
    <t>ООО РЕГИОН-АВТО</t>
  </si>
  <si>
    <t>ИРКУТСКАЯ ОБЛАСТЬ, Г.О. ГОРОД УСТЬ-ИЛИМСК, Г УСТЬ-ИЛИМСК, ТЕР ПРОМПЛОЩАДКА УИ ЛПК, ЗД. 020303/95</t>
  </si>
  <si>
    <t>ИП РЮМКИНА ЕКАТЕРИНА ВАСИЛЬЕВНА</t>
  </si>
  <si>
    <t>ИП МЕЛЬНИКОВА ЕЛЕНА АЛЕКСЕЕВНА</t>
  </si>
  <si>
    <t>ИП АТАНОВА ИРИНА ЮРЬЕВНА</t>
  </si>
  <si>
    <t>ИП ГЛАДУНЦОВА ТАТЬЯНА ВЛАДИМИРОВНА</t>
  </si>
  <si>
    <t>ИП ПСЯДЛО ОЛЬГА АНАТОЛЬЕВНА</t>
  </si>
  <si>
    <t>ИП САФОНОВ ЕВГЕНИЙ ИГОРЕВИЧ</t>
  </si>
  <si>
    <t>ИП ЕШТОКИН АЛЕКСАНДР ИВАНОВИЧ</t>
  </si>
  <si>
    <t>ИП ПОСКОТИН ДМИТРИЙ КОНСТАНТИНОВИЧ</t>
  </si>
  <si>
    <t>ИП ЧАЧИН СЕРГЕЙ РЕВОВИЧ</t>
  </si>
  <si>
    <t>ООО ДИСА ПЛЮС</t>
  </si>
  <si>
    <t>664011, ИРКУТСКАЯ ОБЛАСТЬ, Г ИРКУТСК, УЛ ГОРЬКОГО, Д. 27А, ОФИС 12</t>
  </si>
  <si>
    <t>ООО РОССО-ТРАСТ</t>
  </si>
  <si>
    <t>664075, ИРКУТСКАЯ ОБЛАСТЬ, Г.О. ГОРОД ИРКУТСК, Г ИРКУТСК, УЛ БАЙКАЛЬСКАЯ, Д. 252А</t>
  </si>
  <si>
    <t>ООО БЕСТОЙЛ</t>
  </si>
  <si>
    <t>664022, ИРКУТСКАЯ ОБЛАСТЬ, Г ИРКУТСК, УЛ СОВЕТСКАЯ, Д. 24, ОФИС 4</t>
  </si>
  <si>
    <t>ООО КАПИТАН</t>
  </si>
  <si>
    <t>664014, ИРКУТСКАЯ ОБЛАСТЬ, Г ИРКУТСК, УЛ ПОЛЯРНАЯ, Д. 75/1</t>
  </si>
  <si>
    <t>ООО АВАС ГРУПП</t>
  </si>
  <si>
    <t>664075, ИРКУТСКАЯ ОБЛАСТЬ, Г.О. ГОРОД ИРКУТСК, Г ИРКУТСК, УЛ ВЕРХНЯЯ НАБЕРЕЖНАЯ, Д. 173/1</t>
  </si>
  <si>
    <t>ООО КАСКАД</t>
  </si>
  <si>
    <t>664013, ИРКУТСКАЯ ОБЛАСТЬ, Г ИРКУТСК, УЛ ТОМСОНА, Д. 9</t>
  </si>
  <si>
    <t>ИП ПАРФЕНТЬЕВ ДМИТРИЙ ПАВЛОВИЧ</t>
  </si>
  <si>
    <t>ИП КУЗНЕЦОВ СЕРГЕЙ ИГОРЕВИЧ</t>
  </si>
  <si>
    <t>ИП ЕШТОКИН ПАВЕЛ ДМИТРИЕВИЧ</t>
  </si>
  <si>
    <t>664046, ИРКУТСКАЯ ОБЛАСТЬ, Г ИРКУТСК, УЛ ДАЛЬНЕВОСТОЧНАЯ, Д. 57А, КВ. 5</t>
  </si>
  <si>
    <t>ООО ЗА РУЛЕМ</t>
  </si>
  <si>
    <t>ИП ИВАСЕНКО ИГОРЬ ЭДУАРДОВИЧ</t>
  </si>
  <si>
    <t>АО ИРКУТСК-АВТОВАЗ</t>
  </si>
  <si>
    <t>664043, ИРКУТСКАЯ ОБЛАСТЬ, Г ИРКУТСК, УЛ АРГУНОВА, Д.2</t>
  </si>
  <si>
    <t>ООО ЮНИК</t>
  </si>
  <si>
    <t>664024, ИРКУТСКАЯ ОБЛАСТЬ, Г.О. ГОРОД ИРКУТСК, Г ИРКУТСК, УЛ ТРАКТОВАЯ, СТР. 14/15</t>
  </si>
  <si>
    <t>ООО  АРЛАН-СИБИРЬ</t>
  </si>
  <si>
    <t>ООО БИГ-ОЙЛ</t>
  </si>
  <si>
    <t>664081, ИРКУТСКАЯ ОБЛАСТЬ, Г ИРКУТСК, УЛ КРАСНОКАЗАЧЬЯ, Д. 133/5</t>
  </si>
  <si>
    <t>ООО БИТАЙР</t>
  </si>
  <si>
    <t>664043, ИРКУТСКАЯ ОБЛАСТЬ, Г ИРКУТСК, УЛ РАКИТНАЯ, Д. 20</t>
  </si>
  <si>
    <t>ООО ИКСОЙЛ</t>
  </si>
  <si>
    <t>664013, РОССИЯ, ИРКУТСКАЯ ОБЛАСТЬ, Г.О. ГОРОД ИРКУТСК, Г ИРКУТСК, УЛ РОЗЫ ЛЮКСЕМБУРГ, Д. 7Д, КВ. 4</t>
  </si>
  <si>
    <t>ООО ГРАНД</t>
  </si>
  <si>
    <t>664017, ИРКУТСКАЯ ОБЛАСТЬ, Г ИРКУТСК, УЛ ГЕОЛОГОВ, Д. 20, КВ. 6</t>
  </si>
  <si>
    <t>ИП АВХОДЕЕВ ЕВГЕНИЙ РАШИДОВИЧ</t>
  </si>
  <si>
    <t>ИП ШИНКАРЕВ АЛЕКСАНДР СЕРГЕЕВИЧ</t>
  </si>
  <si>
    <t>ИП МОСЕЕВА ЕЛЕНА АЛЕКСАНДРОВНА</t>
  </si>
  <si>
    <t>ИП ХОХЛОВ АРТЕМ ВЛАДИСЛАВОВИЧ</t>
  </si>
  <si>
    <t>ИП ЛИТВИНОВА АНАСТАСИЯ ВАЛЕРЬЕВНА</t>
  </si>
  <si>
    <t>ООО РЕКОНСТРУКЦИЯ</t>
  </si>
  <si>
    <t>664050, РОССИЯ, ИРКУТСКАЯ ОБЛАСТЬ, Г.О. ГОРОД ИРКУТСК, Г ИРКУТСК, УЛ БАЙКАЛЬСКАЯ, Д. 318/2, КВ. 16</t>
  </si>
  <si>
    <t>ИП МАШУКОВ СЕРГЕЙ ВЛАДИМИРОВИЧ</t>
  </si>
  <si>
    <t>ООО ТРАКМОЛЛАВТО</t>
  </si>
  <si>
    <t>664024, РОССИЯ, ИРКУТСКАЯ ОБЛАСТЬ, Г.О. ГОРОД ИРКУТСК, Г ИРКУТСК, УЛ ГЛАВНАЯ КИРОВСКАЯ, Д. 47/7, ОФИС 29</t>
  </si>
  <si>
    <t>ИП БЯКОВ НИКИТА ЕВГЕНЬЕВИЧ</t>
  </si>
  <si>
    <t>ИП ЖЕЛТИЙ ЯН ПЕТРОВИЧ</t>
  </si>
  <si>
    <t>ИП ИЛЬЮШИН ДМИТРИЙ ВЛАДИМИРОВИЧ</t>
  </si>
  <si>
    <t>ИП УСТЮЖАНИН МАКСИМ ВАЛЕРЬЕВИЧ</t>
  </si>
  <si>
    <t>665256, ИРКУТСКАЯ ОБЛАСТЬ, Г ТУЛУН, УЛ ГИДРОЛИЗНАЯ, ЗД. 35А</t>
  </si>
  <si>
    <t>ИП НЕКРАСОВ ВЛАДИМИР ДМИТРИЕВИЧ</t>
  </si>
  <si>
    <t>ИП ТЕЙМУРОВА ЕЛЕНА ВАЛЕРЬЕВНА</t>
  </si>
  <si>
    <t>ИП СТАРНОВСКИЙ АЛЕКСАНДР АЛЕКСАНДРОВИЧ</t>
  </si>
  <si>
    <t>ИП КАЮДЕНКО СЕРГЕЙ АЛЕКСАНДРОВИЧ</t>
  </si>
  <si>
    <t>ООО СОФТСЕРВИС</t>
  </si>
  <si>
    <t>665451, ИРКУТСКАЯ ОБЛАСТЬ, Г УСОЛЬЕ-СИБИРСКОЕ, УЛ ИНТЕРНАЦИОНАЛЬНАЯ, Д. 87</t>
  </si>
  <si>
    <t>ИП РУДАКОВ АЛЕКСАНДР ЯКОВЛЕВИЧ</t>
  </si>
  <si>
    <t>ИП МУРАДЯН ВАГАН ВРЕЖОВИЧ</t>
  </si>
  <si>
    <t>ИП РАЧЕНКО ОЛЕГ ВАЛЕРЬЕВИЧ</t>
  </si>
  <si>
    <t>ИП ГУСЕВ АНДРЕЙ АВЕРЬЕВИЧ</t>
  </si>
  <si>
    <t>ИП КОЦУРБА ВАДИМ ФЁДОРОВИЧ</t>
  </si>
  <si>
    <t>ООО АВТОТРАКСИБИРЬ</t>
  </si>
  <si>
    <t>665726, РОССИЯ, ИРКУТСКАЯ ОБЛАСТЬ, Г.О. ГОРОД БРАТСК, Г БРАТСК, Ж/Р ЦЕНТРАЛЬНЫЙ, УЛ ГАГАРИНА, Д. 95, КВ. 127</t>
  </si>
  <si>
    <t>ИП БОЛОТОВ БУЛАТ БАИР-МУНКУЕВИЧ</t>
  </si>
  <si>
    <t>ИП АНТОНОВ АРТЁМ ВАЛЕРЬЕВИЧ</t>
  </si>
  <si>
    <t>ИП КУРИКАЛОВ МИХАИЛ АНДРЕЕВИЧ</t>
  </si>
  <si>
    <t>ООО СИБ-АВТОТРАК</t>
  </si>
  <si>
    <t>664024, ИРКУТСКАЯ ОБЛАСТЬ, Г ИРКУТСК, УЛ ТРАКТОВАЯ, Д. 4</t>
  </si>
  <si>
    <t>ИП ЗАЙДЫКОВ АЛЕКСЕЙ ВИТАЛЬЕВИЧ</t>
  </si>
  <si>
    <t>ИП АГАФОНОВА НАТАЛИЯ НИКОЛАЕВНА</t>
  </si>
  <si>
    <t>ИП ПОЛОНСКИЙ АЛЕКСАНДР АНАТОЛЬЕВИЧ</t>
  </si>
  <si>
    <t>ИП НАУМОВ КОНСТАНТИН ЮРЬЕВИЧ</t>
  </si>
  <si>
    <t>ООО КОМПАНИЯ  ФИЛЬТР</t>
  </si>
  <si>
    <t>664022, ИРКУТСКАЯ ОБЛАСТЬ, Г ИРКУТСК, УЛ БАЙКАЛЬСКАЯ, Д.58, К.Г, -</t>
  </si>
  <si>
    <t>ООО АНГАРА</t>
  </si>
  <si>
    <t>ООО АВТОСТОП</t>
  </si>
  <si>
    <t>664043, ИРКУТСКАЯ ОБЛАСТЬ, Г ИРКУТСК, УЛ РАКИТНАЯ, Д. 18, ОФИС 1</t>
  </si>
  <si>
    <t>ООО ЛЕСОТЕХНИКА</t>
  </si>
  <si>
    <t>664540, ИРКУТСКАЯ ОБЛАСТЬ, Р-Н ИРКУТСКИЙ, С ХОМУТОВО, УЛ ЧАПАЕВА, ЗД. 1, ОФИС 39</t>
  </si>
  <si>
    <t>ООО БСК</t>
  </si>
  <si>
    <t>664025, ИРКУТСКАЯ ОБЛАСТЬ, Г ИРКУТСК, УЛ СУРИКОВА, Д. 6</t>
  </si>
  <si>
    <t>ИП БОДНАРЮК АЛЕКСЕЙ НИКОЛАЕВИЧ</t>
  </si>
  <si>
    <t>664022, ИРКУТСКАЯ ОБЛАСТЬ, Г ИРКУТСК, УЛ СОВЕТСКАЯ, Д. 24, ОФИС 3</t>
  </si>
  <si>
    <t>ООО БРАТСКМАНСЕРВИС</t>
  </si>
  <si>
    <t>664022, ИРКУТСКАЯ ОБЛАСТЬ, Г ИРКУТСК, УЛ ДАЛЬНЕВОСТОЧНАЯ, Д. 1</t>
  </si>
  <si>
    <t>ООО КСК-АВТОЗАПЧАСТИ</t>
  </si>
  <si>
    <t>664019, ИРКУТСКАЯ ОБЛАСТЬ, Г ИРКУТСК, УЛ БАРРИКАД, Д. 119</t>
  </si>
  <si>
    <t>ООО МС</t>
  </si>
  <si>
    <t>664022, РОССИЯ, ИРКУТСКАЯ ОБЛАСТЬ, Г.О. ГОРОД ИРКУТСК, Г ИРКУТСК, УЛ СЕДОВА, СТР. 42/2, ОФИС 306</t>
  </si>
  <si>
    <t>ИП КУЗНЕЦОВ ИГОРЬ ЮРЬЕВИЧ</t>
  </si>
  <si>
    <t>ООО АВТОЗАПЧАСТЬ-ХОЛДИНГ</t>
  </si>
  <si>
    <t>664035, ИРКУТСКАЯ ОБЛАСТЬ, Г ИРКУТСК, УЛ СУРНОВА, Д.56</t>
  </si>
  <si>
    <t>ООО АВТОТРЕЙД-ИРК</t>
  </si>
  <si>
    <t>664043, ИРКУТСКАЯ ОБЛАСТЬ, Г ИРКУТСК, УЛ РАКИТНАЯ, Д. 18</t>
  </si>
  <si>
    <t>ООО АВТОТРЕЙД-ТК</t>
  </si>
  <si>
    <t>ИП БАННОВА НЭЛЯ ЕФИМОВНА</t>
  </si>
  <si>
    <t>ИП ГОЛЬКИНА АНАСТАСИЯ АЛЕКСАНДРОВНА</t>
  </si>
  <si>
    <t>ООО ХАРДПАРТС</t>
  </si>
  <si>
    <t>664014, ИРКУТСКАЯ ОБЛАСТЬ, Г.О. ГОРОД ИРКУТСК, Г ИРКУТСК, УЛ ГЕНЕРАЛА ДОВАТОРА, Д. 27, ПОМЕЩ. 2</t>
  </si>
  <si>
    <t>ИП ШНИПЕРОВА ЭЛЕОНОРА АЛЕКСЕЕВНА</t>
  </si>
  <si>
    <t>ИП ХОРЕВ КОНСТАНТИН ВАЛЕРЬЕВИЧ</t>
  </si>
  <si>
    <t>ИП Шибаев Борис Викторович</t>
  </si>
  <si>
    <t>ООО САЯНСКИЙ БРОЙЛЕР</t>
  </si>
  <si>
    <t>666302, ИРКУТСКАЯ ОБЛАСТЬ, Г.О. ГОРОД САЯНСК, ТЕР АГРОПРОМЫШЛЕННЫЙ КОМПЛЕКС КВАРТАЛ 2 ПТИЦЕФАБРИКА, Д. 2, ОФИС ПТИЦЕФАБРИКА № 2</t>
  </si>
  <si>
    <t>ИП КАРПОВ АЛЕКСЕЙ НИКОЛАЕВИЧ</t>
  </si>
  <si>
    <t>ИП БАРАБАНОВА ТАТЬЯНА ЮРЬЕВНА</t>
  </si>
  <si>
    <t>ИП КОСТЮШ СТЕПАН АЛЕКСАНДРОВИЧ</t>
  </si>
  <si>
    <t>ИП ДЕНИСОВА ОКСАНА АЛЕКСАНДРОВНА</t>
  </si>
  <si>
    <t>ИП РУСИНОВА НАТАЛЬЯ ИВАНОВНА</t>
  </si>
  <si>
    <t>ИП Филиппова Валентина Александровна</t>
  </si>
  <si>
    <t>ООО АЗС-1</t>
  </si>
  <si>
    <t>665253, ИРКУТСКАЯ ОБЛАСТЬ, Г.О. ГОРОД ТУЛУН, Г ТУЛУН, УЛ ГИДРОЛИЗНАЯ, Д. 18</t>
  </si>
  <si>
    <t>ИП КАНАРИК ОЛЬГА ВЛАДИМИРОВНА</t>
  </si>
  <si>
    <t>ООО ТК СНЕЖНЫЙ БАРС</t>
  </si>
  <si>
    <t>666686, ИРКУТСКАЯ ОБЛАСТЬ, Г УСТЬ-ИЛИМСК, ПР-КТ МИРА, Д.62, 1</t>
  </si>
  <si>
    <t>ИП ЛЕГЕЙДА ДЕНИС ВАЛЕНТИНОВИЧ</t>
  </si>
  <si>
    <t>ИП РУБИС АЛЕКСАНДР РУСЛАНОВИЧ</t>
  </si>
  <si>
    <t>ИП Морозова Людмила Иннокентьевна</t>
  </si>
  <si>
    <t>ИП МОРОЗОВ АНТОН АЛЕКСАНДРОВИЧ</t>
  </si>
  <si>
    <t>ИП Холодилов Александр Николаевич</t>
  </si>
  <si>
    <t>ИП БЕРЕЗОВСКИЙ ТИМОФЕЙ АЛЕКСАНДРОВИЧ</t>
  </si>
  <si>
    <t>ИП БОБРОВСКАЯ АНАСТАСИЯ АНАТОЛЬЕВНА</t>
  </si>
  <si>
    <t>ИП Разницын Дмитрий Владимирович</t>
  </si>
  <si>
    <t>ИП ИЛЬЮШИНА ЕЛЕНА АЛЕКСАНДРОВНА</t>
  </si>
  <si>
    <t>ИП ПОДОПРЫГОРОВА ИРИНА НИКОЛАЕВНА</t>
  </si>
  <si>
    <t>ИП МАККОВЕЕВ ОЛЕГ ИВАНОВИЧ</t>
  </si>
  <si>
    <t>ИП ФОМИН ПАВЕЛ ГЕННАДЬЕВИЧ</t>
  </si>
  <si>
    <t>ИП СУВОРОВ ВЛАДИМИР АНАТОЛЬЕВИЧ</t>
  </si>
  <si>
    <t>ИП Смолянинова Нина Борисовна</t>
  </si>
  <si>
    <t>ИП РОДНИНА НАТАЛЬЯ ВАЛЕНТИНОВНА</t>
  </si>
  <si>
    <t>ИП ИЛЬЧУК СВЕТЛАНА АЛЕКСАНДРОВНА</t>
  </si>
  <si>
    <t>ИП ПОЛОВИНКИН ИВАН ГЕННАДЬЕВИЧ</t>
  </si>
  <si>
    <t>ИП ПИЛЬТЯЙ ДМИТРИЙ ВИКТОРОВИЧ</t>
  </si>
  <si>
    <t>664001, ИРКУТСКАЯ ОБЛАСТЬ, Р-Н ИРКУТСКИЙ, З-КА ПОЛИВАНИХА, УЛ ТРАКТОВАЯ, Д. 4</t>
  </si>
  <si>
    <t>ООО АТ ЦЕНТР</t>
  </si>
  <si>
    <t>664540, ИРКУТСКАЯ ОБЛАСТЬ, Р-Н ИРКУТСКИЙ, С ХОМУТОВО, УЛ КИРОВА, Д.33</t>
  </si>
  <si>
    <t>ООО КОМПАНИЯ ФИЛЬТР-АНГАРА</t>
  </si>
  <si>
    <t>664038, ИРКУТСКАЯ ОБЛАСТЬ, М.Р-Н ИРКУТСКИЙ, П МОЛОДЕЖНЫЙ, С.П. МОЛОДЕЖНОЕ, УЛ ТРАКТОВАЯ, ЗД. 5/1</t>
  </si>
  <si>
    <t>ООО АВТОКОМФОРТ ИРКУТСК</t>
  </si>
  <si>
    <t>664521, ИРКУТСКАЯ ОБЛАСТЬ, Р-Н ИРКУТСКИЙ, УЛ ЦЕНТРАЛЬНАЯ (БИРЮСИНКА ТЕР. СНТ), Д. 298</t>
  </si>
  <si>
    <t>ИП Казаков Дмитрий Владиленович</t>
  </si>
  <si>
    <t>ИП ТРИФОНОВ ГЕННАДИЙ СЕРГЕЕВИЧ</t>
  </si>
  <si>
    <t>ИП КРАВЧЕНКО СЕРГЕЙ ВИКТОРОВИЧ</t>
  </si>
  <si>
    <t>ООО РСК</t>
  </si>
  <si>
    <t>664043, РОССИЯ, ИРКУТСКАЯ ОБЛАСТЬ, Г.О. ГОРОД ИРКУТСК, Г ИРКУТСК, УЛ БЕРЕЗОВАЯ РОЩА, Д. 1</t>
  </si>
  <si>
    <t>ООО ДВЕ СЕСТРЫ</t>
  </si>
  <si>
    <t>666034, ИРКУТСКАЯ ОБЛАСТЬ, Г ШЕЛЕХОВ, КВ-Л 4-Й, Д. 17, КВ. 14</t>
  </si>
  <si>
    <t>ООО ТЕХ ГАРАНТ</t>
  </si>
  <si>
    <t>664035, ИРКУТСКАЯ ОБЛАСТЬ, Г ИРКУТСК, УЛ РАБОЧЕГО ШТАБА, Д. 1/5, ОФИС 9</t>
  </si>
  <si>
    <t>ООО ФИЛТЭКС</t>
  </si>
  <si>
    <t>664053, РОССИЯ, ИРКУТСКАЯ ОБЛАСТЬ, М.Р-Н ИРКУТСКИЙ, С МАМОНЫ, С.П. МАМОНСКОЕ, МКР. ЮЖНЫЙ, УЛ АНГАРСКАЯ, ЗД. 52, СТР. 1</t>
  </si>
  <si>
    <t>ООО БАЙКАЛ ТРЕЙД</t>
  </si>
  <si>
    <t>664019, РОССИЯ, ИРКУТСКАЯ ОБЛАСТЬ, Г.О. ГОРОД ИРКУТСК, Г ИРКУТСК, УЛ БАРРИКАД, Д. 62/11, КВ. 104</t>
  </si>
  <si>
    <t>ИП ПАК ЕЛЕНА МИХАЙЛОВНА</t>
  </si>
  <si>
    <t>ИП ЛЕВЧЕНКО СЕРГЕЙ НИКОЛАЕВИЧ</t>
  </si>
  <si>
    <t>ООО ЦЕНТРАЛЬНЫЙ СКЛАД СИБИРИ</t>
  </si>
  <si>
    <t>664528, ИРКУТСКАЯ ОБЛАСТЬ, Р-Н ИРКУТСКИЙ, РП МАРКОВА, УЛ ПРОМЫШЛЕННАЯ, Д. 5В</t>
  </si>
  <si>
    <t>ИП Слесарев Сергей Григорьевич</t>
  </si>
  <si>
    <t>ПО КИРЕНСКИЙ КЗПХ</t>
  </si>
  <si>
    <t>666700, ИРКУТСКАЯ ОБЛАСТЬ, Г КИРЕНСК, УЛ КОМАРОВА (ЦЕНТРАЛЬНЫЙ МКР.), Д.35</t>
  </si>
  <si>
    <t>ИП ПРОШУТИНСКИЙ ЕВГЕНИЙ МИХАЙЛОВИЧ</t>
  </si>
  <si>
    <t>ИП Кузьменко Татьяна Ивановна</t>
  </si>
  <si>
    <t>ИП ПАВЛОВЕЦ СВЕТЛАНА ЛЕОНИДОВНА</t>
  </si>
  <si>
    <t>ИП СИЛЬНЯГИНА СВЕТЛАНА АНДРЕЕВНА</t>
  </si>
  <si>
    <t>ИП Мясников Сергей Геннадьевич</t>
  </si>
  <si>
    <t>ООО АДС</t>
  </si>
  <si>
    <t>664019, ИРКУТСКАЯ ОБЛАСТЬ, Г ИРКУТСК, УЛ БАРРИКАД, СТР. 88Г, ПОМЕЩ. 5</t>
  </si>
  <si>
    <t>ИП КОНДУР КРИСТИНА ИГОРЕВНА</t>
  </si>
  <si>
    <t>ООО ДЕЛО</t>
  </si>
  <si>
    <t>664035, ИРКУТСКАЯ ОБЛАСТЬ, Г ИРКУТСК, УЛ МАЛО-ЯКУТСКАЯ, Д. 19</t>
  </si>
  <si>
    <t>ООО АДК-ИРКУТСК</t>
  </si>
  <si>
    <t>664035, ИРКУТСКАЯ ОБЛАСТЬ, Г ИРКУТСК, УЛ РАБОЧЕГО ШТАБА, Д. 1/4</t>
  </si>
  <si>
    <t>ООО ТЕХСЕРВИС-ИРКУТСК</t>
  </si>
  <si>
    <t>664043, ИРКУТСКАЯ ОБЛАСТЬ, Г ИРКУТСК, УЛ РАКИТНАЯ, СТР. 12Б/1</t>
  </si>
  <si>
    <t>ООО ГЛОБАЛ МАЙНИНГ</t>
  </si>
  <si>
    <t>664075, РОССИЯ, ИРКУТСКАЯ ОБЛАСТЬ, Г.О. ГОРОД ИРКУТСК, Г ИРКУТСК, УЛ БАЙКАЛЬСКАЯ, Д. 208, ПОМЕЩ. 4 28/К</t>
  </si>
  <si>
    <t>ООО САРМАТ</t>
  </si>
  <si>
    <t>664075, РОССИЯ, ИРКУТСКАЯ ОБЛАСТЬ, Г.О. ГОРОД ИРКУТСК, Г ИРКУТСК, УЛ БАЙКАЛЬСКАЯ, Д. 236Б/4, КВ. 66</t>
  </si>
  <si>
    <t>ООО ОЙЛСЕРВИС</t>
  </si>
  <si>
    <t>665835, РОССИЯ, ИРКУТСКАЯ ОБЛАСТЬ, Г.О. АНГАРСКИЙ, Г АНГАРСК, МКР. 29, Д. 28, ПОМЕЩ. 198</t>
  </si>
  <si>
    <t>ИП ПАНИЩЕВ ВЛАДИМИР АЛЕКСАНДРОВИЧ</t>
  </si>
  <si>
    <t>ИП ФЕДОСЕЕВ АЛЕКСЕЙ АЛЕКСАНДРОВИЧ</t>
  </si>
  <si>
    <t>ИП МОНОЕВ ИВАН ВАСИЛЬЕВИЧ</t>
  </si>
  <si>
    <t>ИП Сороковиков Андрей Геннадьевич</t>
  </si>
  <si>
    <t>ИП СТЕПАНОВ АЛЬБЕРТ ВАЛЕНТИНОВИЧ</t>
  </si>
  <si>
    <t>ИП БАГДУЕВА ЕЛЕНА БОРИСОВНА</t>
  </si>
  <si>
    <t>ИП БУБАЕВА ЭРЖЕНА ИГНАТЬЕВНА</t>
  </si>
  <si>
    <t>ИП ПОНЕВЕЖСКИЙ СЕРГЕЙ СЕМЕНОВИЧ</t>
  </si>
  <si>
    <t>ИП ГОРБУНОВ НИКИТА АНАТОЛЬЕВИЧ</t>
  </si>
  <si>
    <t>ИП ГАЛАНЦОВ АНДРЕЙ ВАСИЛЬЕВИЧ</t>
  </si>
  <si>
    <t>ИП КУКЛИН ГЕННАДИЙ ПЕТРОВИЧ</t>
  </si>
  <si>
    <t>ООО ГОРИЗОНТ+</t>
  </si>
  <si>
    <t>664514, ИРКУТСКАЯ ОБЛАСТЬ, Р-Н ИРКУТСКИЙ, С ХОМУТОВО, УЛ БЕРЕЗОВАЯ, Д. 11</t>
  </si>
  <si>
    <t>ИП ФЕДОТКИН АЛЕКСЕЙ МИХАЙЛОВИЧ</t>
  </si>
  <si>
    <t>ИП МАРКОВ АЛЕКСЕЙ ИВАНОВИЧ</t>
  </si>
  <si>
    <t>ИП ВАСИЛЕНКО НИКОЛАЙ МИХАЙЛОВИЧ</t>
  </si>
  <si>
    <t>ИП СКЛАДНЕВ ДМИТРИЙ ВАЛЕРЬЕВИЧ</t>
  </si>
  <si>
    <t>ИП АНТОНЕНКО ОЛЬГА ВЛАДИМИРОВНА</t>
  </si>
  <si>
    <t>ИП ШКЛЯЕВ ДАНИИЛ СЕРГЕЕВИЧ</t>
  </si>
  <si>
    <t>ООО АТЗ</t>
  </si>
  <si>
    <t>666504, РОССИЯ, ИРКУТСКАЯ ОБЛАСТЬ, М.Р-Н КАЗАЧИНСКО-ЛЕНСКИЙ, РП МАГИСТРАЛЬНЫЙ, Г.П. МАГИСТРАЛЬНИНСКОЕ, УЛ РОССИЙСКАЯ, ЗД. 19</t>
  </si>
  <si>
    <t>664075, ИРКУТСКАЯ ОБЛАСТЬ, Г ИРКУТСК, УЛ БАЙКАЛЬСКАЯ, Д. 203А, ОФИС 14/1-2</t>
  </si>
  <si>
    <t>ООО ЭКСПЕРТ</t>
  </si>
  <si>
    <t>664007, РОССИЯ, ИРКУТСКАЯ ОБЛАСТЬ, Г.О. ГОРОД ИРКУТСК, Г ИРКУТСК, УЛ ПОЛЕНОВА, Д. 1/1, ОФИС 513</t>
  </si>
  <si>
    <t>ООО КАТ</t>
  </si>
  <si>
    <t>664022, РОССИЯ, ИРКУТСКАЯ ОБЛАСТЬ, Г.О. ГОРОД ИРКУТСК, Г ИРКУТСК, УЛ ЛЫТКИНА, Д. 9/4, КВ. 8</t>
  </si>
  <si>
    <t>ООО ФОРТА 38</t>
  </si>
  <si>
    <t>664035, РОССИЯ, ИРКУТСКАЯ ОБЛАСТЬ, Г.О. ГОРОД ИРКУТСК, Г ИРКУТСК, УЛ ЧЕЛЯБИНСКАЯ, Д. 26</t>
  </si>
  <si>
    <t>ООО БОЙЦОВЫ</t>
  </si>
  <si>
    <t>665451, ИРКУТСКАЯ ОБЛАСТЬ, Г УСОЛЬЕ-СИБИРСКОЕ, УЛ ИНТЕРНАЦИОНАЛЬНАЯ, Д. 34, КВ. 36</t>
  </si>
  <si>
    <t>ИП МИНАКОВ ЕВГЕНИЙ ВИКТОРОВИЧ</t>
  </si>
  <si>
    <t>ИП ГЛАЗКОВ АНАТОЛИЙ ИВАНОВИЧ</t>
  </si>
  <si>
    <t>ИП ВЛАСОВА КРИСТИНА СЕРГЕЕВНА</t>
  </si>
  <si>
    <t>ИП Ванчук Алексей Михайлович</t>
  </si>
  <si>
    <t>ИП МЕНЬШИКОВ ЕВГЕНИЙ ВАЛЕНТИНОВИЧ</t>
  </si>
  <si>
    <t>ИП МИХАЛЬЧЕНКОВ ДМИТРИЙ ФЕДОРОВИЧ</t>
  </si>
  <si>
    <t>ООО МОНОЛИТ</t>
  </si>
  <si>
    <t>664007, РОССИЯ, ИРКУТСКАЯ ОБЛАСТЬ, Г.О. ГОРОД ИРКУТСК, Г ИРКУТСК, УЛ ФРИДРИХА ЭНГЕЛЬСА, СТР. 8, ОФИС 405</t>
  </si>
  <si>
    <t>ИП ОБРУБОВ ИЛЬЯ АНДРЕЕВИЧ</t>
  </si>
  <si>
    <t>ИП АКСАМЕНТОВА ТАТЬЯНА НИКОЛАЕВНА</t>
  </si>
  <si>
    <t>ООО ЛОДЖИСТИК</t>
  </si>
  <si>
    <t>666037, РОССИЯ, ИРКУТСКАЯ ОБЛАСТЬ, М.Р-Н ШЕЛЕХОВСКИЙ, Г ШЕЛЕХОВ, Г.П. ШЕЛЕХОВСКОЕ, ПР-КТ СТРОИТЕЛЕЙ И МОНТАЖНИКОВ, Д. 18</t>
  </si>
  <si>
    <t>664022, ИРКУТСКАЯ ОБЛАСТЬ, Г ИРКУТСК, УЛ ТРИЛИССЕРА, Д. 41</t>
  </si>
  <si>
    <t>ИП БАРДЮГОВА ИРИНА АНАТОЛЬЕВНА</t>
  </si>
  <si>
    <t>ООО БАЙКАЛ-АВТОТРАК-СЕРВИС</t>
  </si>
  <si>
    <t>664043, ИРКУТСКАЯ ОБЛАСТЬ, Г ИРКУТСК, УЛ РАКИТНАЯ, Д.15</t>
  </si>
  <si>
    <t>ООО СК ЕВА</t>
  </si>
  <si>
    <t>664020, РОССИЯ, ИРКУТСКАЯ ОБЛАСТЬ, Г.О. ГОРОД ИРКУТСК, Г ИРКУТСК, ТЕР. БОКОВО, УЛ ТРАКТОВАЯ, СТР. 1/2</t>
  </si>
  <si>
    <t>ООО ОКВ СИБИРЬ</t>
  </si>
  <si>
    <t>664024, РОССИЯ, ИРКУТСКАЯ ОБЛАСТЬ, Г.О. ГОРОД ИРКУТСК, Г ИРКУТСК, УЛ ТРАКТОВАЯ, Д. 20, ОФИС 302</t>
  </si>
  <si>
    <t>ИП Пахтусов Николай Александрович</t>
  </si>
  <si>
    <t>ИП САДЧИКОВ СЕРГЕЙ ЕВГЕНЬЕВИЧ</t>
  </si>
  <si>
    <t>ООО СНН</t>
  </si>
  <si>
    <t>664006, ИРКУТСКАЯ ОБЛАСТЬ, Р-Н ИРКУТСКИЙ, Д ГРАНОВЩИНА, УЛ ОБЪЕЗДНАЯ, ПАВ. 124А</t>
  </si>
  <si>
    <t>ИП КОЛЕСНИКОВ АЛЕКСЕЙ ИННОКЕНТЬЕВИЧ</t>
  </si>
  <si>
    <t>ООО ТРЕЙД ОЙЛ</t>
  </si>
  <si>
    <t>ООО МЕГА</t>
  </si>
  <si>
    <t>664005, ИРКУТСКАЯ ОБЛАСТЬ, Г.О. ГОРОД ИРКУТСК, Г ИРКУТСК, УЛ 4-Я ЖЕЛЕЗНОДОРОЖНАЯ, Д. 25, КВ. 100</t>
  </si>
  <si>
    <t>ООО УСК</t>
  </si>
  <si>
    <t>664075, ИРКУТСКАЯ ОБЛАСТЬ, Г ИРКУТСК, УЛ БАЙКАЛЬСКАЯ, СТР. 236, ОФИС 22</t>
  </si>
  <si>
    <t>ИП ЛЯКИН ЕВГЕНИЙ ВЛАДИМИРОВИЧ</t>
  </si>
  <si>
    <t>Калининградская область</t>
  </si>
  <si>
    <t>ИП ЛАЗАРЕВ СЕРГЕЙ ВЛАДИМИРОВИЧ</t>
  </si>
  <si>
    <t>ООО АВАНТАЖ</t>
  </si>
  <si>
    <t>236003, КАЛИНИНГРАДСКАЯ ОБЛАСТЬ, Г.О. ГОРОД КАЛИНИНГРАД, Г КАЛИНИНГРАД, ПР-КТ МОСКОВСКИЙ, Д. 233</t>
  </si>
  <si>
    <t>ИП НИКАНОВ ДЕНИС СЕРГЕЕВИЧ</t>
  </si>
  <si>
    <t>ИП ДЕРЕВЯНКО ВИКТОР АНДРЕЕВИЧ</t>
  </si>
  <si>
    <t>ИП НЕЧУШКИН ИГОРЬ ВЯЧЕСЛАВОВИЧ</t>
  </si>
  <si>
    <t>ИП КУБЕ СЕРГЕЙ НИКОЛАЕВИЧ</t>
  </si>
  <si>
    <t>ООО АЙ СИ ЛАЙФ</t>
  </si>
  <si>
    <t>236004, КАЛИНИНГРАДСКАЯ ОБЛАСТЬ, Г КАЛИНИНГРАД, УЛ АЛЛЕЯ СМЕЛЫХ, Д. 80, ПОМЕЩ. 14</t>
  </si>
  <si>
    <t>ИП КАЛИНИНА ИРИНА ВИТАЛЬЕВНА</t>
  </si>
  <si>
    <t>ООО АКВА-Н</t>
  </si>
  <si>
    <t>236016, РОССИЯ, КАЛИНИНГРАДСКАЯ ОБЛАСТЬ, Г.О. ГОРОД КАЛИНИНГРАД, Г КАЛИНИНГРАД, УЛ Ю.ГАГАРИНА, Д. 15А, КВ. 20</t>
  </si>
  <si>
    <t>ООО ЛАЙФ</t>
  </si>
  <si>
    <t>236011, РОССИЯ, КАЛИНИНГРАДСКАЯ ОБЛАСТЬ, Г.О. ГОРОД КАЛИНИНГРАД, Г КАЛИНИНГРАД, УЛ СУДОСТРОИТЕЛЬНАЯ, ЗД. 75Е, ПОМЕЩ. 220</t>
  </si>
  <si>
    <t>ООО СИ ЭС ЭМ ПЛЮС</t>
  </si>
  <si>
    <t>236010, РОССИЯ, КАЛИНИНГРАДСКАЯ ОБЛАСТЬ, Г.О. ГОРОД КАЛИНИНГРАД, Г КАЛИНИНГРАД, УЛ МЛЕЧНАЯ, Д. 3, КВ. 1</t>
  </si>
  <si>
    <t>ООО МИРОЙЛ</t>
  </si>
  <si>
    <t>236013, РОССИЯ, КАЛИНИНГРАДСКАЯ ОБЛАСТЬ, Г.О. ГОРОД КАЛИНИНГРАД, Г КАЛИНИНГРАД, Ш БАЛТИЙСКОЕ, Д. 102</t>
  </si>
  <si>
    <t>ИП ЦЕЛМИНЬШ ВОЛДЕМАР МАТЕУШЕВИЧ</t>
  </si>
  <si>
    <t>ИП ПОЛЯКОВА ИРИНА ВОЛДЕМАРОВНА</t>
  </si>
  <si>
    <t>ИП ПОВЗУН ЕЛЕНА АЛЕКСАНДРОВНА</t>
  </si>
  <si>
    <t>ИП САФРОНОВА СВЕТЛАНА МИХАЙЛОВНА</t>
  </si>
  <si>
    <t>ИП ЛОСЬ НАТАЛЬЯ ВАЛЕРЬЕВНА</t>
  </si>
  <si>
    <t>236038, КАЛИНИНГРАДСКАЯ ОБЛАСТЬ, Г.О. ГОРОД КАЛИНИНГРАД, Г КАЛИНИНГРАД, УЛ ПРИГОРОДНАЯ, Д. 20, ПОМЕЩ. 2</t>
  </si>
  <si>
    <t>ИП ВОРОШИЛОВА ЭЛЬНАРА ИЛГАМОВНА</t>
  </si>
  <si>
    <t>ИП ВЕТОШКИНА СОФИЯ МИХАЙЛОВНА</t>
  </si>
  <si>
    <t>ООО ЮНИФАРМ</t>
  </si>
  <si>
    <t>236010, КАЛИНИНГРАДСКАЯ ОБЛАСТЬ, Г КАЛИНИНГРАД, УЛ КРАСНОСЕЛЬСКАЯ, Д. 2-6, ЛИТЕР I, ЭТАЖ 1</t>
  </si>
  <si>
    <t>236006, КАЛИНИНГРАДСКАЯ ОБЛАСТЬ, Г КАЛИНИНГРАД, УЛ МАРШАЛА БАГРАМЯНА, Д. 36</t>
  </si>
  <si>
    <t>ООО ВИКТОРИЯ БАЛТИЯ</t>
  </si>
  <si>
    <t>236003, КАЛИНИНГРАДСКАЯ ОБЛАСТЬ, Г КАЛИНИНГРАД, ПР-КТ МОСКОВСКИЙ, Д. 183А</t>
  </si>
  <si>
    <t>ИП МАЗУР ЕВГЕНИЙ АЛЕКСАНДРОВИЧ</t>
  </si>
  <si>
    <t>ООО СИНТЕТИЧЕСКИЕ ТЕХНОЛОГИИ</t>
  </si>
  <si>
    <t>236014, КАЛИНИНГРАДСКАЯ ОБЛАСТЬ, Г КАЛИНИНГРАД, УЛ ВЕЛИЖСКАЯ, Д. 36</t>
  </si>
  <si>
    <t>ИП КАЛИНИН СЕРГЕЙ ГЕННАДЬЕВИЧ</t>
  </si>
  <si>
    <t>ИП ЛАЗАРЕВ АНАТОЛИЙ НИКОЛАЕВИЧ</t>
  </si>
  <si>
    <t>ИП ЗАЙЦЕВ АЛЕКСАНДР АЛЕКСАНДРОВИЧ</t>
  </si>
  <si>
    <t>ИП КРУТСКИХ ЕВГЕНИЙ СЕМЕНОВИЧ</t>
  </si>
  <si>
    <t>ООО КАРДАНБАЛТ</t>
  </si>
  <si>
    <t>238310, РОССИЯ, КАЛИНИНГРАДСКАЯ ОБЛАСТЬ, М.О. ГУРЬЕВСКИЙ, П МАЛОЕ ИСАКОВО, УЛ ГУРЬЕВСКАЯ, ЗД. 2В, СТР. 1, ОФИС 103</t>
  </si>
  <si>
    <t>ИП ЖАРКОВ ДИНАР МАРАТОВИЧ</t>
  </si>
  <si>
    <t>ИП АБРАМОВ КОНСТАНТИН ИГОРЕВИЧ</t>
  </si>
  <si>
    <t>ООО МСК</t>
  </si>
  <si>
    <t>236029, КАЛИНИНГРАДСКАЯ ОБЛАСТЬ, Г КАЛИНИНГРАД, УЛ КОЛЬЦОВА, Д. 32, ЛИТЕР А, ПОМЕЩ. 5</t>
  </si>
  <si>
    <t>ООО КАЛИНИНГРАДНЕФТЕПРОДУКТ</t>
  </si>
  <si>
    <t>236022, КАЛИНИНГРАДСКАЯ ОБЛАСТЬ, Г КАЛИНИНГРАД, УЛ КОМСОМОЛЬСКАЯ, Д.22Б</t>
  </si>
  <si>
    <t>ООО АКАДЕМИЯ ХОЛОДА ТОРГ</t>
  </si>
  <si>
    <t>236005, КАЛИНИНГРАДСКАЯ ОБЛАСТЬ, Г.О. ГОРОД КАЛИНИНГРАД, Г КАЛИНИНГРАД, ТУП ТРАНСПОРТНЫЙ, Д. 14, ЛИТЕРА А, КАБИНЕТ 3</t>
  </si>
  <si>
    <t>ООО ЭРА-ТРАК</t>
  </si>
  <si>
    <t>238522, РОССИЯ, КАЛИНИНГРАДСКАЯ ОБЛАСТЬ, М.О. ГУРЬЕВСКИЙ, П ДОРОЖНОЕ, УЛ ПРИОЗЕРНАЯ, ЗД. 13, ОФИС 2</t>
  </si>
  <si>
    <t>ООО ЭЛИКС ГРУПП</t>
  </si>
  <si>
    <t>238434, РОССИЯ, КАЛИНИНГРАДСКАЯ ОБЛАСТЬ, М.О. ГУРЬЕВСКИЙ, П ЛЕСНОЕ, УЛ БАГРАТИОНОВСКАЯ, Д. 24, КВ. 8</t>
  </si>
  <si>
    <t>ООО НИКАВТО</t>
  </si>
  <si>
    <t>238310, РОССИЯ, КАЛИНИНГРАДСКАЯ ОБЛАСТЬ, М.О. ГУРЬЕВСКИЙ, П МАЛОЕ ИСАКОВО, УЛ МЕЛИОРАТИВНАЯ, ЗД. 7</t>
  </si>
  <si>
    <t>ИП ХАРЛАМОВА ОЛЬГА ИВАНОВНА</t>
  </si>
  <si>
    <t>ООО ТЕХНОГАММА</t>
  </si>
  <si>
    <t>236022, КАЛИНИНГРАДСКАЯ ОБЛАСТЬ, Г КАЛИНИНГРАД, УЛ ШИЛЛЕРА, Д. 4А, КВ. 8</t>
  </si>
  <si>
    <t>ООО ЭЛИАС РУС</t>
  </si>
  <si>
    <t>236017, КАЛИНИНГРАДСКАЯ ОБЛАСТЬ, Г.О. ГОРОД КАЛИНИНГРАД, Г КАЛИНИНГРАД, УЛ Д.ДОНСКОГО, Д. 47</t>
  </si>
  <si>
    <t>ООО ТОБИС КАЛИНИНГРАД</t>
  </si>
  <si>
    <t>236022, КАЛИНИНГРАДСКАЯ ОБЛАСТЬ, Г КАЛИНИНГРАД, ПР-КТ СОВЕТСКИЙ, Д. 40 Г</t>
  </si>
  <si>
    <t>ИП КРИВЧЕНКО СЕРГЕЙ ВАЛЕРЬЕВИЧ</t>
  </si>
  <si>
    <t>ИП ПРОКАЕВА АНАСТАСИЯ НИКОЛАЕВНА</t>
  </si>
  <si>
    <t>ИП СНЕГИРЕВ ЮРИЙ АНАТОЛЬЕВИЧ</t>
  </si>
  <si>
    <t>ИП ГОЛОВЕШНИКОВА ОЛЬГА АЛЕКСАНДРОВНА</t>
  </si>
  <si>
    <t>ИП ИВАЩЕНКО КОНСТАНТИН АНАТОЛЬЕВИЧ</t>
  </si>
  <si>
    <t>ИП ШКИРАНДО АЛЕКСАНДР НИКОЛАЕВИЧ</t>
  </si>
  <si>
    <t>ИП ЛАНДАРЬ АЛЕКСАНДР АЛЕКСАНДРОВИЧ</t>
  </si>
  <si>
    <t>ИП БУКОВЕЦКАЯ МАРИНА СТАНИСЛАВОВНА</t>
  </si>
  <si>
    <t>236038, КАЛИНИНГРАДСКАЯ ОБЛАСТЬ, Р-Н ГУРЬЕВСКИЙ, П НЕВСКОЕ, УЛ ГАГАРИНА, ЗД. 235</t>
  </si>
  <si>
    <t>ООО БРАМО ИНЖЕНИРИНГ СТУДИО</t>
  </si>
  <si>
    <t>238434, КАЛИНИНГРАДСКАЯ ОБЛАСТЬ, Р-Н БАГРАТИОНОВСКИЙ, П НИВЕНСКОЕ, УЛ КАПИТАНА ЗАХАРОВА, ЗД. 38В</t>
  </si>
  <si>
    <t>ООО КОНТЭК-КАЛИНИНГРАД</t>
  </si>
  <si>
    <t>236019, КАЛИНИНГРАДСКАЯ ОБЛАСТЬ, Г КАЛИНИНГРАД, УЛ ДОКУКА, Д. 31 В, КВ. 59</t>
  </si>
  <si>
    <t>ООО ПРУСОЙЛ</t>
  </si>
  <si>
    <t>236029, КАЛИНИНГРАДСКАЯ ОБЛАСТЬ, Г КАЛИНИНГРАД, УЛ ОЗЕРНАЯ, Д.43</t>
  </si>
  <si>
    <t>ООО ДЕЛ ИМПОРТ</t>
  </si>
  <si>
    <t>236034, КАЛИНИНГРАДСКАЯ ОБЛАСТЬ, Г.О. ГОРОД КАЛИНИНГРАД, Г КАЛИНИНГРАД, УЛ ЭНЕРГЕТИКОВ, Д. 9, КАБИНЕТ 10</t>
  </si>
  <si>
    <t>ООО ОРИЗ</t>
  </si>
  <si>
    <t>236039, КАЛИНИНГРАДСКАЯ ОБЛАСТЬ, Г КАЛИНИНГРАД, УЛ НАНСЕНА, Д. 68, КВ. 40</t>
  </si>
  <si>
    <t>ООО СУДОВОЕ СНАБЖЕНИЕ</t>
  </si>
  <si>
    <t>238310, КАЛИНИНГРАДСКАЯ ОБЛАСТЬ, М.О. ГУРЬЕВСКИЙ, П ВАСИЛЬКОВО, УЛ 4-Я БОЛЬШАЯ ОКРУЖНАЯ, Д. 61А, ПОМЕЩ. 11</t>
  </si>
  <si>
    <t>ООО ФЕМИСТО</t>
  </si>
  <si>
    <t>236006, КАЛИНИНГРАДСКАЯ ОБЛАСТЬ, Г КАЛИНИНГРАД, ПР-КТ МОСКОВСКИЙ, Д. 253, ОФИС 3</t>
  </si>
  <si>
    <t>ООО АГРОБОНУМ</t>
  </si>
  <si>
    <t>238435, КАЛИНИНГРАДСКАЯ ОБЛАСТЬ, Р-Н БАГРАТИОНОВСКИЙ, П ГВАРДЕЙСКОЕ, УЛ ШКОЛЬНАЯ, Д. 19, ОФИС 4</t>
  </si>
  <si>
    <t>ООО МСК-ОЙЛ</t>
  </si>
  <si>
    <t>236029, КАЛИНИНГРАДСКАЯ ОБЛАСТЬ, Г КАЛИНИНГРАД, УЛ КОЛЬЦОВА, Д. 32, ЛИТЕР А, ПОМЕЩ. 7</t>
  </si>
  <si>
    <t>ООО МСКА-ТРЕЙД</t>
  </si>
  <si>
    <t>238340, РОССИЯ, КАЛИНИНГРАДСКАЯ ОБЛАСТЬ, Г.О. СВЕТЛОВСКИЙ, Г СВЕТЛЫЙ, УЛ КАЛИНИНГРАДСКАЯ, Д. 9, КВ. 66</t>
  </si>
  <si>
    <t>ИП ГРИНИШИНА МАРИНА ВЛАДИМИРОВНА</t>
  </si>
  <si>
    <t>ИП СВЕТЛЕЙЦИХ ИГОРЬ ВЛАДИМИРОВИЧ</t>
  </si>
  <si>
    <t>ИП НАУМЕНКО ПАВЕЛ ВИТАЛЬЕВИЧ</t>
  </si>
  <si>
    <t>ИП МАРЦЕНЮК МАРК ВАЛЕНТИНОВИЧ</t>
  </si>
  <si>
    <t>ИП ПОНОМАРЕВ АНДРЕЙ ВЛАДИМИРОВИЧ</t>
  </si>
  <si>
    <t>ИП САРКИСОВ АЛЕКСЕЙ ВЛАДИМИРОВИЧ</t>
  </si>
  <si>
    <t>ООО БАЛТОЙЛТРЕЙД</t>
  </si>
  <si>
    <t>236010, КАЛИНИНГРАДСКАЯ ОБЛАСТЬ, Г КАЛИНИНГРАД, УЛ МЕНДЕЛЕЕВА, ЗД. 84, ЛИТЕР А, ОФИС 4</t>
  </si>
  <si>
    <t>ИП СНЕГИРЕВА АЛЕКСАНДРА ЮРЬЕВНА</t>
  </si>
  <si>
    <t>ИП ПОДДУБНАЯ АННА ОЛЕГОВНА</t>
  </si>
  <si>
    <t>ИП СОЛОДКОВ ОЛЕГ ЕВГЕНЬЕВИЧ</t>
  </si>
  <si>
    <t>ИП БУКОВЕЦКАЯ ОЛЬГА ИОСИФОВНА</t>
  </si>
  <si>
    <t>ООО РЕГИОН - СНАБЖЕНИЕ</t>
  </si>
  <si>
    <t>236006, КАЛИНИНГРАДСКАЯ ОБЛАСТЬ, Г КАЛИНИНГРАД, НАБ ПРАВАЯ, Д. 10, ЛИТЕР Г1 ЭТАЖ 1, ПОМЕЩ. 5</t>
  </si>
  <si>
    <t>ИП РЕМНЕВ ПАВЕЛ ЮРЬЕВИЧ</t>
  </si>
  <si>
    <t>ИП ИГНАТЕНКО ВАЛЕНТИНА ФЕДОРОВНА</t>
  </si>
  <si>
    <t>ООО АВТОМОБИЛЬНЫЙ ДОМ</t>
  </si>
  <si>
    <t>236029, КАЛИНИНГРАДСКАЯ ОБЛАСТЬ, Г КАЛИНИНГРАД, УЛ БОЛЬШАЯ ОКРУЖНАЯ, Д. 19</t>
  </si>
  <si>
    <t>ООО ФОРМУЛА-СЕРВИС</t>
  </si>
  <si>
    <t>236029, КАЛИНИНГРАДСКАЯ ОБЛАСТЬ, Г КАЛИНИНГРАД, УЛ ОЗЕРНАЯ, Д.38, 15</t>
  </si>
  <si>
    <t>ООО АВТОЗАП</t>
  </si>
  <si>
    <t>236029, КАЛИНИНГРАДСКАЯ ОБЛАСТЬ, Г КАЛИНИНГРАД, УЛ ГОРЬКОГО, Д. 85, ПОМЕЩ. 1</t>
  </si>
  <si>
    <t>ИП ХАСАНОВА АНАСТАСИЯ ОЛЕГОВНА</t>
  </si>
  <si>
    <t>ИП МОРГУН ВЛАДИМИР НИКОЛАЕВИЧ</t>
  </si>
  <si>
    <t>ООО АС КАЛИНИНГРАД</t>
  </si>
  <si>
    <t>236003, КАЛИНИНГРАДСКАЯ ОБЛАСТЬ, Г КАЛИНИНГРАД, ПР-КТ МОСКОВСКИЙ, Д.252, НЕТ, НЕТ</t>
  </si>
  <si>
    <t>ООО ДОМ У МОРЯ</t>
  </si>
  <si>
    <t>236022, КАЛИНИНГРАДСКАЯ ОБЛАСТЬ, Г КАЛИНИНГРАД, УЛ ЧКАЛОВА, Д. 51А</t>
  </si>
  <si>
    <t>ООО ДЕЛФИН ДИСТРИБЬЮШЕН КАЛИНИНГРАД</t>
  </si>
  <si>
    <t>236022, КАЛИНИНГРАДСКАЯ ОБЛАСТЬ, Г КАЛИНИНГРАД, УЛ КОСМОНАВТА ЛЕОНОВА, Д. 35, КВ. 11</t>
  </si>
  <si>
    <t>ООО ВАЛТЕК КЛД</t>
  </si>
  <si>
    <t>236023, КАЛИНИНГРАДСКАЯ ОБЛАСТЬ, Г КАЛИНИНГРАД, ПР-Д 3-Я ЛИНИЯ (НЕСКУЧНОЕ ТЕР. СНТ), Д. 19, УЧАСТОК 19</t>
  </si>
  <si>
    <t>ООО БАЛТИК АВТО ЛОГИСТИКА</t>
  </si>
  <si>
    <t>236004, КАЛИНИНГРАДСКАЯ ОБЛАСТЬ, Г КАЛИНИНГРАД, УЛ ДЗЕРЖИНСКОГО, Д. 31, ЛИТЕР В</t>
  </si>
  <si>
    <t>ООО ПРУССИЯ-АГРО</t>
  </si>
  <si>
    <t>236016, КАЛИНИНГРАДСКАЯ ОБЛАСТЬ, Г КАЛИНИНГРАД, УЛ 9 АПРЕЛЯ, Д. 88А, КВ. 68</t>
  </si>
  <si>
    <t>ООО ЮПИТЕР-СЕРВИС</t>
  </si>
  <si>
    <t>236006, КАЛИНИНГРАДСКАЯ ОБЛАСТЬ, Г КАЛИНИНГРАД, ПР-КТ МОСКОВСКИЙ, Д. 253</t>
  </si>
  <si>
    <t>ИП Соловьев Александр Валерьевич</t>
  </si>
  <si>
    <t>ООО РУТЕНИЙ</t>
  </si>
  <si>
    <t>238434, КАЛИНИНГРАДСКАЯ ОБЛАСТЬ, Р-Н ГУРЬЕВСКИЙ, П МАЛОЕ ЛЕСНОЕ, УЛ КЕДРОВАЯ, Д.6</t>
  </si>
  <si>
    <t>ООО ОЛТА-ПЛЮС</t>
  </si>
  <si>
    <t>236004, КАЛИНИНГРАДСКАЯ ОБЛАСТЬ, Г КАЛИНИНГРАД, УЛ ЛЁТНАЯ, Д. 3</t>
  </si>
  <si>
    <t>ООО КОНТИНЕЛ ТРАК СЕРВИС</t>
  </si>
  <si>
    <t>238522, КАЛИНИНГРАДСКАЯ ОБЛАСТЬ, Р-Н ГУРЬЕВСКИЙ, П ДОРОЖНОЕ, УЛ ПРИОЗЕРНАЯ, ЗД. 13</t>
  </si>
  <si>
    <t>ИП ДАРАСЕВИЧ ВЯЧЕСЛАВ ВАЛЕНТИНОВИЧ</t>
  </si>
  <si>
    <t>236034, КАЛИНИНГРАДСКАЯ ОБЛАСТЬ, Г КАЛИНИНГРАД, УЛ ДЗЕРЖИНСКОГО, Д. 242, VII ИЗ ЛИТЕР Б,Б</t>
  </si>
  <si>
    <t>ООО БАЛТИК-ДЕТАЛЬ</t>
  </si>
  <si>
    <t>238310, РОССИЯ, КАЛИНИНГРАДСКАЯ ОБЛАСТЬ, М.О. ГУРЬЕВСКИЙ, П ВАСИЛЬКОВО, УЛ 4-Я БОЛЬШАЯ ОКРУЖНАЯ, Д. 61А, ПОМЕЩ. 11</t>
  </si>
  <si>
    <t>ООО АЛЕКС АВТО</t>
  </si>
  <si>
    <t>236044, КАЛИНИНГРАДСКАЯ ОБЛАСТЬ, Г.О. ГОРОД КАЛИНИНГРАД, Г КАЛИНИНГРАД, Б-Р Л.ШЕВЦОВОЙ, Д. 42, ПОМЕЩ. I, ЭТАЖ 1</t>
  </si>
  <si>
    <t>ИП ТРИБУНСКИЙ МАКСИМ ГЕННАДЬЕВИЧ</t>
  </si>
  <si>
    <t>ИП КОЦУБА ИННА ГЛЕБОВНА</t>
  </si>
  <si>
    <t>ИП МАЗКОВ АЛЕКСАНДР АЛЕКСАНДРОВИЧ</t>
  </si>
  <si>
    <t>ИП ТУКОЕВА ЛУИЗА АНДРЕЕВНА</t>
  </si>
  <si>
    <t>ООО  ЮРИСТ-КОНСАЛТИНГ</t>
  </si>
  <si>
    <t>238750, КАЛИНИНГРАДСКАЯ ОБЛАСТЬ, Г СОВЕТСК, УЛ БОЛЬНИЧНАЯ, Д. 2, КВ. 29</t>
  </si>
  <si>
    <t>ИП КАПРАНОВА ИРИНА АЛЕКСАНДРОВНА</t>
  </si>
  <si>
    <t>ИП РИМКУС АРТЕМ АНТОНОВИЧ</t>
  </si>
  <si>
    <t>ООО ТОРГСЕРВИС 39</t>
  </si>
  <si>
    <t>238758, КАЛИНИНГРАДСКАЯ ОБЛАСТЬ, Г СОВЕТСК, УЛ АЛЕКСАНДРА НЕВСКОГО, Д. 2Г, ЭТАЖ 1, ОФИС 2</t>
  </si>
  <si>
    <t>ИП ЛЫСЕНКО ИРИНА ВИКТОРОВНА</t>
  </si>
  <si>
    <t>ИП ФИЛИППОВ ФИЛИПП ВИКТОРОВИЧ</t>
  </si>
  <si>
    <t>ИП СВИРИДОВА ЛЮДМИЛА АЛЕКСАНДРОВНА</t>
  </si>
  <si>
    <t>ИП КОРОТКЕВИЧ МАРИЯ АЛЕКСАНДРОВНА</t>
  </si>
  <si>
    <t>ИП МАРИНЧЕНКО НИКОЛАЙ НИКОЛАЕВИЧ</t>
  </si>
  <si>
    <t>ИП ЖУКОВ СЕРГЕЙ ВЛАДИМИРОВИЧ</t>
  </si>
  <si>
    <t>ИП Лабецкий Дмитрий Сергеевич</t>
  </si>
  <si>
    <t>ИП ГЗИРЯН РАФИК ВААГНОВИЧ</t>
  </si>
  <si>
    <t>ИП БРЮХНЕВИЧ ЭДУАРД ВЛАДИМИРОВИЧ</t>
  </si>
  <si>
    <t>ИП БОЖЕНОВ АРТУР НИКОЛАЕВИЧ</t>
  </si>
  <si>
    <t>ООО БРИТИШ ПРЕМИУМ</t>
  </si>
  <si>
    <t>236029, КАЛИНИНГРАДСКАЯ ОБЛАСТЬ, Г КАЛИНИНГРАД, УЛ БОЛЬШАЯ ОКРУЖНАЯ, Д. 19, ОФИС 2</t>
  </si>
  <si>
    <t>ООО КАТАНА КАЛИНИНГРАД</t>
  </si>
  <si>
    <t>236004, КАЛИНИНГРАДСКАЯ ОБЛАСТЬ, Г КАЛИНИНГРАД, УЛ ПОЛТАВСКАЯ, Д. 2, ЛИТЕР А</t>
  </si>
  <si>
    <t>ООО РУС МОТОРС ТРЕЙД</t>
  </si>
  <si>
    <t>236003, КАЛИНИНГРАДСКАЯ ОБЛАСТЬ, Г.О. ГОРОД КАЛИНИНГРАД, Г КАЛИНИНГРАД, ПР-КТ МОСКОВСКИЙ, Д. 203А, ПОМЕЩ. 1-27</t>
  </si>
  <si>
    <t>ООО ТЕХНОПРОМ</t>
  </si>
  <si>
    <t>236003, КАЛИНИНГРАДСКАЯ ОБЛАСТЬ, Г КАЛИНИНГРАД, УЛ ЯЛТИНСКАЯ, Д. 129, ОФИС 13</t>
  </si>
  <si>
    <t>ООО БК-КАЛИНИНГРАД</t>
  </si>
  <si>
    <t>236006, КАЛИНИНГРАДСКАЯ ОБЛАСТЬ, Г КАЛИНИНГРАД, ПР-КТ МОСКОВСКИЙ, Д. 40, ПОМЕЩ. CXXVI</t>
  </si>
  <si>
    <t>ООО ЕВРОСЕРВИС</t>
  </si>
  <si>
    <t>238546, КАЛИНИНГРАДСКАЯ ОБЛАСТЬ, Р-Н ЗЕЛЕНОГРАДСКИЙ, П ХОЛМОГОРОВКА, УЛ НОВОСТРОЕВСКАЯ, Д.23</t>
  </si>
  <si>
    <t>ИП ПРОКАЕВ СЕРГЕЙ ВЛАДИМИРОВИЧ</t>
  </si>
  <si>
    <t>ИП ЛУКЬЯНОВА ТАТЬЯНА ВАЛЕНТИНОВНА</t>
  </si>
  <si>
    <t>ИП ТРОШИНА МАРИНА ЮРЬЕВНА</t>
  </si>
  <si>
    <t>ИП ФАДЕЕВ АЛЕКСАНДР ПАВЛОВИЧ</t>
  </si>
  <si>
    <t>ООО ЕОА</t>
  </si>
  <si>
    <t>238751, РОССИЯ, КАЛИНИНГРАДСКАЯ ОБЛАСТЬ, Г.О. СОВЕТСКИЙ, Г СОВЕТСК, УЛ МАЯКОВСКОГО, Д. 5, ЭТАЖ 2, ПОМЕЩ. 3</t>
  </si>
  <si>
    <t>ООО РИТЕЙЛ 39</t>
  </si>
  <si>
    <t>238750, РОССИЯ, КАЛИНИНГРАДСКАЯ ОБЛАСТЬ, Г.О. СОВЕТСКИЙ, Г СОВЕТСК, УЛ ИСКРЫ, ЗД. 16А</t>
  </si>
  <si>
    <t>ИП Зейналов Тофиг Мухтар Оглы</t>
  </si>
  <si>
    <t>ИП ЛАВРОВ ОЛЕГ АЛЕКСЕЕВИЧ</t>
  </si>
  <si>
    <t>ООО ВАЛЕРИЯ</t>
  </si>
  <si>
    <t>238520, РОССИЯ, КАЛИНИНГРАДСКАЯ ОБЛАСТЬ, Г.О. БАЛТИЙСКИЙ, Г БАЛТИЙСК, УЛ САДОВАЯ, Д. 35, КВ. 4</t>
  </si>
  <si>
    <t>ИП ПОПОВ АЛЕКСЕЙ ВЛАДИМИРОВИЧ</t>
  </si>
  <si>
    <t>ИП КЛАССЕН ДИНА АНАТОЛЬЕВНА</t>
  </si>
  <si>
    <t>ИП МАРИНЧЕНКО НАТАЛИЯ СЕРГЕЕВНА</t>
  </si>
  <si>
    <t>ИП ВАСИЛЬЕВ ВАДИМ ЕВГЕНЬЕВИЧ</t>
  </si>
  <si>
    <t>ООО ЕВРОПАРТ КНГ</t>
  </si>
  <si>
    <t>238522, РОССИЯ, КАЛИНИНГРАДСКАЯ ОБЛАСТЬ, М.О. ГУРЬЕВСКИЙ, П ПОДДУБНОЕ, УЛ МАЙСКАЯ, Д. 32, ЭТАЖ 1</t>
  </si>
  <si>
    <t>ООО ДАР.РУ</t>
  </si>
  <si>
    <t>238530, КАЛИНИНГРАДСКАЯ ОБЛАСТЬ, Р-Н ЗЕЛЕНОГРАДСКИЙ, Г ЗЕЛЕНОГРАДСК, УЛ ЛЕНИНА, Д. 3Б, ПОМЕЩ. 71</t>
  </si>
  <si>
    <t>ИП МАРТИНКЕВИЧ ТАТЬЯНА ЭДВАРДОВНА</t>
  </si>
  <si>
    <t>ИП РЫЛЬСКИЙ МАКСИМ АЛЕКСАНДРОВИЧ</t>
  </si>
  <si>
    <t>ООО ТЕХНОФРАНЦ</t>
  </si>
  <si>
    <t>238651, КАЛИНИНГРАДСКАЯ ОБЛАСТЬ, Р-Н ПОЛЕССКИЙ, П СЛАВЯНСКОЕ, УЛ КАШТАНОВАЯ, Д. 9, КВ. 1</t>
  </si>
  <si>
    <t>ИП БАКУТИН АНДРЕЙ СЕРГЕЕВИЧ</t>
  </si>
  <si>
    <t>ИП ЛЕБЕДЕВ СЕРГЕЙ НИКОЛАЕВИЧ</t>
  </si>
  <si>
    <t>ИП АНТЮХОВ СЕРГЕЙ ЮРЬЕВИЧ</t>
  </si>
  <si>
    <t>ИП ОСИПЦОВА ТАТЬЯНА ВЛАДИМИРОВНА</t>
  </si>
  <si>
    <t>ООО С-ТЕХ</t>
  </si>
  <si>
    <t>236004, КАЛИНИНГРАДСКАЯ ОБЛАСТЬ, Г КАЛИНИНГРАД, УЛ АЛЛЕЯ СМЕЛЫХ, Д.31 Г</t>
  </si>
  <si>
    <t>ООО ТК ЗАПАДНЕФТЕПРОДУКТ</t>
  </si>
  <si>
    <t>236006, КАЛИНИНГРАДСКАЯ ОБЛАСТЬ, Г КАЛИНИНГРАД, УЛ ОКТЯБРЬСКАЯ, Д. 8, ОФИС 412</t>
  </si>
  <si>
    <t>ООО ЯР-ТРЕЙД</t>
  </si>
  <si>
    <t>ООО ДЕЛО ТЕХНИКИ</t>
  </si>
  <si>
    <t>236023, РОССИЯ, КАЛИНИНГРАДСКАЯ ОБЛАСТЬ, Г.О. ГОРОД КАЛИНИНГРАД, Г КАЛИНИНГРАД, УЛ ТРЕТЬЯКОВСКАЯ, Д. 2, ЭТАЖ/ПОМЕЩ. 2/217</t>
  </si>
  <si>
    <t>ООО ДАКС-ТРЕЙД</t>
  </si>
  <si>
    <t>236006, КАЛИНИНГРАДСКАЯ ОБЛАСТЬ, Г КАЛИНИНГРАД, УЛ МАРШАЛА БАГРАМЯНА, Д. 36, ОФИС VII</t>
  </si>
  <si>
    <t>ООО СИ ЭС ЭМ</t>
  </si>
  <si>
    <t>236022, РОССИЯ, КАЛИНИНГРАДСКАЯ ОБЛАСТЬ, Г.О. ГОРОД КАЛИНИНГРАД, Г КАЛИНИНГРАД, УЛ СЕРЖАНТА КОЛОСКОВА, Д. 8, КВ. 84</t>
  </si>
  <si>
    <t>ООО ТОРГОВЫЙ ДОМ ПРУССИЯ</t>
  </si>
  <si>
    <t>ИП ДЕХТЯРУК ЮРИЙ ВЯЧЕСЛАВОВИЧ</t>
  </si>
  <si>
    <t>ООО ГРИН</t>
  </si>
  <si>
    <t>236010, КАЛИНИНГРАДСКАЯ ОБЛАСТЬ, Г КАЛИНИНГРАД, УЛ БАССЕЙНАЯ, Д. 8, КВ. 11</t>
  </si>
  <si>
    <t>ИП САРАЕВА ГАЛИНА ВАСИЛЬЕВНА</t>
  </si>
  <si>
    <t>АО РПК РЫБФЛОТ-ФОР</t>
  </si>
  <si>
    <t>236039, КАЛИНИНГРАДСКАЯ ОБЛАСТЬ, Г КАЛИНИНГРАД, УЛ А.СУВОРОВА, Д. 57, КАБ. 401 А</t>
  </si>
  <si>
    <t>ИП ГУРНЯК АЛЕКСЕЙ ВЛАДИМИРОВИЧ</t>
  </si>
  <si>
    <t>ИП ТРОСТЯНСКИЙ ВАДИМ ВИКТОРОВИЧ</t>
  </si>
  <si>
    <t>ИП ЯСИЛЕВИЧ ГЕННАДИЙ НИКОЛАЕВИЧ</t>
  </si>
  <si>
    <t>ООО МАСЛО 39</t>
  </si>
  <si>
    <t>238755, КАЛИНИНГРАДСКАЯ ОБЛАСТЬ, Г.О. СОВЕТСКИЙ, Г СОВЕТСК, УЛ САДОВАЯ, Д. 1В</t>
  </si>
  <si>
    <t>ИП ЖУМАР КРИСТИНА ВЛАДИСЛАВОВНА</t>
  </si>
  <si>
    <t>ООО РЕКОРД-СЕРВИС</t>
  </si>
  <si>
    <t>236029, КАЛИНИНГРАДСКАЯ ОБЛАСТЬ, Г КАЛИНИНГРАД, УЛ ГОРЬКОГО, Д. 85, ПОМЕЩ. 2</t>
  </si>
  <si>
    <t>ИП КИРИЛЕНКО ИРИНА ЕВГЕНЬЕВНА</t>
  </si>
  <si>
    <t>238325, КАЛИНИНГРАДСКАЯ ОБЛАСТЬ, Р-Н ГУРЬЕВСКИЙ, П РОЩИНО, УЛ СЕЛЬСКАЯ, Д. 2</t>
  </si>
  <si>
    <t>ООО СТ ЛУБРИКАНТС</t>
  </si>
  <si>
    <t>238300, КАЛИНИНГРАДСКАЯ ОБЛАСТЬ, Р-Н ГУРЬЕВСКИЙ, Г ГУРЬЕВСК, УЛ КАЛИНИНГРАДСКОЕ ШОССЕ, Д. 19, ОФИС 1</t>
  </si>
  <si>
    <t>ООО СПЕЦОЙЛ</t>
  </si>
  <si>
    <t>236010, КАЛИНИНГРАДСКАЯ ОБЛАСТЬ, Г КАЛИНИНГРАД, УЛ РЕМЕСЛЕННАЯ, Д.1</t>
  </si>
  <si>
    <t>ООО КТИ</t>
  </si>
  <si>
    <t>ИП КОКОРИН АНДРЕЙ МИХАЙЛОВИЧ</t>
  </si>
  <si>
    <t>ИП БУГАЕВА АКСИНИЯ ВИТАЛЬЕВНА</t>
  </si>
  <si>
    <t>ИП ВАРЕНКО ЛЮДМИЛА НИКОЛАЕВНА</t>
  </si>
  <si>
    <t>ИП ШИШКАНЕВ ОЛЕГ ВЛАДИМИРОВИЧ</t>
  </si>
  <si>
    <t>ИП ЯКОВЛЕВ СЕРГЕЙ ЕВГЕНЬЕВИЧ</t>
  </si>
  <si>
    <t>ООО  СВ МАШИНЫ</t>
  </si>
  <si>
    <t>238312, КАЛИНИНГРАДСКАЯ ОБЛАСТЬ, Р-Н ГУРЬЕВСКИЙ, П ПРИБРЕЖНОЕ, УЛ ГЕРОЯ РОССИИ КАТЕРИНИЧЕВА, ЗД. 2, КАБИНЕТ 1</t>
  </si>
  <si>
    <t>ИП КАРПОВ ДЕНИС ИГОРЕВИЧ</t>
  </si>
  <si>
    <t>ИП ТЕСТЕШНИКОВ ОЛЕГ НИКОЛАЕВИЧ</t>
  </si>
  <si>
    <t>ИП ПЫШКИН ВАЛЕРИЙ АЛЕКСАНДРОВИЧ</t>
  </si>
  <si>
    <t>ИП РАПА ЕЛЕНА ДМИТРИЕВНА</t>
  </si>
  <si>
    <t>ИП ШИБАКОВА МАРИЯ АНДРЕЕВНА</t>
  </si>
  <si>
    <t>ООО ПРУСОЙЛСНАБ</t>
  </si>
  <si>
    <t>236029, КАЛИНИНГРАДСКАЯ ОБЛАСТЬ, Г.О. ГОРОД КАЛИНИНГРАД, Г КАЛИНИНГРАД, УЛ ОЗЕРНАЯ, Д. 31А, ЭТ./ПОМЕЩ. 1/III  ИЗ ЛИТЕР Д</t>
  </si>
  <si>
    <t>ООО ТРИАДА</t>
  </si>
  <si>
    <t>236034, КАЛИНИНГРАДСКАЯ ОБЛАСТЬ, Г КАЛИНИНГРАД, ПЕР НОВИНСКИЙ, Д.10, 2</t>
  </si>
  <si>
    <t>ООО АВТОРЕСТАВРАЦИЯ39</t>
  </si>
  <si>
    <t>236016, КАЛИНИНГРАДСКАЯ ОБЛАСТЬ, Г КАЛИНИНГРАД, УЛ ЕЛОВАЯ АЛЛЕЯ, Д. 8А, ОФИС 7</t>
  </si>
  <si>
    <t>ОООСП ГЕРМИД ОЙЛ</t>
  </si>
  <si>
    <t>236029, КАЛИНИНГРАДСКАЯ ОБЛАСТЬ, Г КАЛИНИНГРАД, УЛ БОЛЬШАЯ ОКРУЖНАЯ 4-Я, Д. 31А, ЭТАЖ 1, ПОМЕЩ. 7</t>
  </si>
  <si>
    <t>ИП СОСИН ЕВГЕНИЙ ВАЛЕРЬЕВИЧ</t>
  </si>
  <si>
    <t>ООО ЛАЛ-АВТО</t>
  </si>
  <si>
    <t>236003, КАЛИНИНГРАДСКАЯ ОБЛАСТЬ, Г.О. ГОРОД КАЛИНИНГРАД, Г КАЛИНИНГРАД, ПР-КТ МОСКОВСКИЙ, Д. 195</t>
  </si>
  <si>
    <t>ИП СТРЕЛЬНИКОВА ОЛЬГА АЛЕКСАНДРОВНА</t>
  </si>
  <si>
    <t>ИП МАМУТОВА НАТАЛЬЯ НИКОЛАЕВНА</t>
  </si>
  <si>
    <t>ООО АБРАЗИВ ЭКСПЕРТ</t>
  </si>
  <si>
    <t>236034, КАЛИНИНГРАДСКАЯ ОБЛАСТЬ, Г КАЛИНИНГРАД, УЛ ДЗЕРЖИНСКОГО, Д.136, 2</t>
  </si>
  <si>
    <t>ООО САЛЕКС</t>
  </si>
  <si>
    <t>238300, РОССИЯ, КАЛИНИНГРАДСКАЯ ОБЛАСТЬ, М.О. ГУРЬЕВСКИЙ, Г. ГУРЬЕВСК, Б-Р КРАКОВСКИЙ, Д. 8, КВ. 44</t>
  </si>
  <si>
    <t>ООО СИМ ГРУПП</t>
  </si>
  <si>
    <t>236004, КАЛИНИНГРАДСКАЯ ОБЛАСТЬ, Г.О. ГОРОД КАЛИНИНГРАД, Г КАЛИНИНГРАД, УЛ МУКОМОЛЬНАЯ, Д. 12А, КВ. 14</t>
  </si>
  <si>
    <t>ООО СПЕЦОЙЛ ПЛЮС</t>
  </si>
  <si>
    <t>ИП ЖУКОВА ОЛЬГА ВАСИЛЬЕВНА</t>
  </si>
  <si>
    <t>ООО БАУЦЕНТР РУС</t>
  </si>
  <si>
    <t>236029, КАЛИНИНГРАДСКАЯ ОБЛАСТЬ, Г КАЛИНИНГРАД, УЛ А.НЕВСКОГО, Д. 205</t>
  </si>
  <si>
    <t>ИП СТРАХАРСКИЙ АНДРЕЙ ЛЕОНИДОВИЧ</t>
  </si>
  <si>
    <t>Калужская область</t>
  </si>
  <si>
    <t>ИП КУЗНЕЦОВ ОЛЕГ АЛЕКСАНДРОВИЧ</t>
  </si>
  <si>
    <t>ИП НИКИТИН ВЛАДИМИР АЛЕКСАНДРОВИЧ</t>
  </si>
  <si>
    <t>ИП БЕЗРУКОВ ДМИТРИЙ НИКОЛАЕВИЧ</t>
  </si>
  <si>
    <t>ИП МАЛХАСЯН ДАВИД МИШИКОВИЧ</t>
  </si>
  <si>
    <t>ИП БЕЛОУСОВ ДЕНИС ЮРЬЕВИЧ</t>
  </si>
  <si>
    <t>ООО КОМПЛЕКС СНАБ</t>
  </si>
  <si>
    <t>249038, РОССИЯ, КАЛУЖСКАЯ ОБЛАСТЬ, Г.О. ГОРОД ОБНИНСК, Г ОБНИНСК, УЛ КОМАРОВА, Д. 3А, ПОМЕЩ. 2Б</t>
  </si>
  <si>
    <t>ИП КУЗИЛИН СЕРГЕЙ СЕРГЕЕВИЧ</t>
  </si>
  <si>
    <t>ИП ЗАХАРОВ ИВАН СТАНИСЛАВОВИЧ</t>
  </si>
  <si>
    <t>ООО НПО ТПП</t>
  </si>
  <si>
    <t>249017, РОССИЯ, КАЛУЖСКАЯ ОБЛАСТЬ, М.Р-Н БОРОВСКИЙ, Д СЕРЕДИНСКОЕ, С.П. ДЕРЕВНЯ АСЕНЬЕВСКОЕ, УЛ ЗАРЕЧНАЯ, ДВЛД. 1А</t>
  </si>
  <si>
    <t>ИП Овчинников Алексей Васильевич</t>
  </si>
  <si>
    <t>РОССИЯ, КАЛУЖСКАЯ ОБЛАСТЬ, Г.О. ГОРОД КАЛУГА, Г КАЛУГА, УЛ МОСКОВСКАЯ, Д. 334, СТР. 1, ПОМЕЩ. 12</t>
  </si>
  <si>
    <t>ООО ЮПЕК ДИСТРИБЬЮШН - ЦЕНТР</t>
  </si>
  <si>
    <t>249035, РОССИЯ, КАЛУЖСКАЯ ОБЛАСТЬ, Г.О. ГОРОД ОБНИНСК, Г ОБНИНСК, Ш КИЕВСКОЕ, Д. 60</t>
  </si>
  <si>
    <t>ИП Савин Александр Михайлович</t>
  </si>
  <si>
    <t>ИП КАУРКИН ВАЛЕРИЙ ЮРЬЕВИЧ</t>
  </si>
  <si>
    <t>ИП БАЗЕЛЕВ АЛЕКСЕЙ ВИКТОРОВИЧ</t>
  </si>
  <si>
    <t>ООО УЮТ</t>
  </si>
  <si>
    <t>249010, КАЛУЖСКАЯ ОБЛАСТЬ, Р-Н БОРОВСКИЙ, Г БОРОВСК, УЛ ЛЕНИНА, Д. 4</t>
  </si>
  <si>
    <t>ООО ТЕРМОСНАБПАРТНЕР</t>
  </si>
  <si>
    <t>249025, КАЛУЖСКАЯ ОБЛАСТЬ, Р-Н БОРОВСКИЙ, Д КАБИЦЫНО, УЛ ОБНИНСКАЯ, Д. 1Б, ПОМЕЩ. 6</t>
  </si>
  <si>
    <t>ИП НИКОЛАЕВ АНДРЕЙ НИКОЛАЕВИЧ</t>
  </si>
  <si>
    <t>ИП ПЕЧКУРОВ АНДРЕЙ МИХАЙЛОВИЧ</t>
  </si>
  <si>
    <t>ИП ПОБЕГАЙЛО ОКСАНА МИХАЙЛОВНА</t>
  </si>
  <si>
    <t>ИП АПАРИН АЛЕКСЕЙ МИХАЙЛОВИЧ</t>
  </si>
  <si>
    <t>ООО АГРОКОМПЛЕКС ПОБЕДА</t>
  </si>
  <si>
    <t>249167, КАЛУЖСКАЯ ОБЛАСТЬ, Р-Н ЖУКОВСКИЙ, С СОВХОЗ ПОБЕДА, УЛ ЦЕНТРАЛЬНАЯ, ВЛД. 15, ЛИТЕРА А</t>
  </si>
  <si>
    <t>ООО АГР</t>
  </si>
  <si>
    <t>248926, КАЛУЖСКАЯ ОБЛАСТЬ, Г КАЛУГА, УЛ АВТОМОБИЛЬНАЯ, Д. 1</t>
  </si>
  <si>
    <t>ООО ТС</t>
  </si>
  <si>
    <t>248016, РОССИЯ, КАЛУЖСКАЯ ОБЛАСТЬ, Г.О. ГОРОД КАЛУГА, Г КАЛУГА, УЛ ЧИЖЕВСКОГО, Д. 23, КВ. 115</t>
  </si>
  <si>
    <t>ООО АДМ</t>
  </si>
  <si>
    <t>249123, РОССИЯ, КАЛУЖСКАЯ ОБЛАСТЬ, М.Р-Н ПЕРЕМЫШЛЬСКИЙ, Д ХОТИСИНО, С.П. ДЕРЕВНЯ ХОТИСИНО, Д. 90</t>
  </si>
  <si>
    <t>ИП ОВЧИННИКОВ ЕГОР ИВАНОВИЧ</t>
  </si>
  <si>
    <t>ООО ТОРГОВАЯ СФЕРА</t>
  </si>
  <si>
    <t>249034, КАЛУЖСКАЯ ОБЛАСТЬ, Г ОБНИНСК, УЛ ПОЛЕНОВА, Д. 11, ПОМЕЩ. 4</t>
  </si>
  <si>
    <t>ИП СУХАНОВ МИХАИЛ НИКОЛАЕВИЧ</t>
  </si>
  <si>
    <t>ИП САВЕЛЬЕВ НИКОЛАЙ ВЕНИАМИНОВИЧ</t>
  </si>
  <si>
    <t>ИП АКУЛИЧ НИКОЛАЙ СЕРГЕЕВИЧ</t>
  </si>
  <si>
    <t>ИП ЖУРАХОВСКИЙ НИКОЛАЙ НИКОЛАЕВИЧ</t>
  </si>
  <si>
    <t>ИП КУЛАКОВА АЛЕНА НИКОЛАЕВНА</t>
  </si>
  <si>
    <t>ИП КУКАРЦЕВ СЕРГЕЙ ЮРЬЕВИЧ</t>
  </si>
  <si>
    <t>ИП ОРЛОВ ТИМОФЕЙ АНАТОЛЬЕВИЧ</t>
  </si>
  <si>
    <t>ИП КОСОЛАПОВА ИРИНА ЮРЬЕВНА</t>
  </si>
  <si>
    <t>ИП КУРДЮКОВ СЕРГЕЙ СЕРГЕЕВИЧ</t>
  </si>
  <si>
    <t>ИП АНИЧИНА ЕЛЕНА АНАТОЛЬЕВНА</t>
  </si>
  <si>
    <t>ИП ЕМАНОВА ЕЛИЗАВЕТА ВЛАДИМИРОВНА</t>
  </si>
  <si>
    <t>249440, КАЛУЖСКАЯ ОБЛАСТЬ, Р-Н КИРОВСКИЙ, Г КИРОВ, УЛ ПРОЛЕТАРСКАЯ, Д. 174Б</t>
  </si>
  <si>
    <t>ООО АГРОАВТОДЕТАЛЬ</t>
  </si>
  <si>
    <t>249440, КАЛУЖСКАЯ ОБЛАСТЬ, Р-Н КИРОВСКИЙ, Г КИРОВ, УЛ ПРОЛЕТАРСКАЯ, Д. 21</t>
  </si>
  <si>
    <t>ИП ЗАХАРОВА ОЛЬГА АНАТОЛЬЕВНА</t>
  </si>
  <si>
    <t>ИП АСТАХОВ АНДРЕЙ ВАСИЛЬЕВИЧ</t>
  </si>
  <si>
    <t>ИП НОВИКОВА ТАТЬЯНА АЛЕКСАНДРОВНА</t>
  </si>
  <si>
    <t>ИП СОКОЛОВ АЛЕКСАНДР СЕРГЕЕВИЧ</t>
  </si>
  <si>
    <t>ИП ТИТОВА ЛЮБОВЬ АЛЕКСЕЕВНА</t>
  </si>
  <si>
    <t>ИП Степичев Александр Владимирович</t>
  </si>
  <si>
    <t>ИП ЗИНОВКИНА ЕКАТЕРИНА ВАСИЛЬЕВНА</t>
  </si>
  <si>
    <t>ИП Бояринцев Александр Григорьевич</t>
  </si>
  <si>
    <t>ООО ПОРТ</t>
  </si>
  <si>
    <t>249032, КАЛУЖСКАЯ ОБЛАСТЬ, Г.О. ГОРОД ОБНИНСК, Г ОБНИНСК, УЛ КУРЧАТОВА, Д. 25/3, ПОМЕЩ. 12</t>
  </si>
  <si>
    <t>ИП Дешин Алексей Александрович</t>
  </si>
  <si>
    <t>ООО КОМПАНИЯ ДИАПАЗОН</t>
  </si>
  <si>
    <t>249010, КАЛУЖСКАЯ ОБЛАСТЬ, Р-Н БОРОВСКИЙ, Д УВАРОВСКОЕ, УЛ ПОБЕДЫ, Д. 64</t>
  </si>
  <si>
    <t>ООО БНМ-ОБНИНСК</t>
  </si>
  <si>
    <t>249035, КАЛУЖСКАЯ ОБЛАСТЬ, Г.О. ГОРОД ОБНИНСК, Г ОБНИНСК, Ш КИЕВСКОЕ, ЗД. 21, К. 2</t>
  </si>
  <si>
    <t>ООО АЙТИ СЕРВИС</t>
  </si>
  <si>
    <t>249035, КАЛУЖСКАЯ ОБЛАСТЬ, Г.О. ГОРОД ОБНИНСК, Г ОБНИНСК, УЛ ДОЛГИНИНСКАЯ, Д. 6, КВ. 15</t>
  </si>
  <si>
    <t>ООО ЮНАЙТЕД ПЕТРОКЕМИКАЛС</t>
  </si>
  <si>
    <t>249032, КАЛУЖСКАЯ ОБЛАСТЬ, Г ОБНИНСК, Ш КИЕВСКОЕ, Д. 63</t>
  </si>
  <si>
    <t>ООО СИНТЕК ЛУБРИКАНТС</t>
  </si>
  <si>
    <t>249030, КАЛУЖСКАЯ ОБЛАСТЬ, Г ОБНИНСК, Ш КИЕВСКОЕ, Д. 41, СТР. 1, ПОМЕЩ. 13</t>
  </si>
  <si>
    <t>ИП БУРТОВАЯ ЛЮДМИЛА ВАЛЕРЬЕВНА</t>
  </si>
  <si>
    <t>ИП СОБЧУК ДМИТРИЙ СЕРГЕЕВИЧ</t>
  </si>
  <si>
    <t>ООО АВТОМОБИЛИ</t>
  </si>
  <si>
    <t>248016, КАЛУЖСКАЯ ОБЛАСТЬ, Г КАЛУГА, УЛ ЧИЖЕВСКОГО, Д. 25, -</t>
  </si>
  <si>
    <t>ООО ЗВОХ</t>
  </si>
  <si>
    <t>248000, КАЛУЖСКАЯ ОБЛАСТЬ, Г КАЛУГА, УЛ ДЗЕРЖИНСКОГО, Д. 58, ----------</t>
  </si>
  <si>
    <t>ИП ЛУБЕНСКИЙ ВЯЧЕСЛАВ ВЛАДИСЛАВОВИЧ</t>
  </si>
  <si>
    <t>ИП ПУХОВ ЮРИЙ ВИКТОРОВИЧ</t>
  </si>
  <si>
    <t>ЗАО КАЛУЖСКИЙ АВТОЦЕНТР КАМАЗ</t>
  </si>
  <si>
    <t>248000, КАЛУЖСКАЯ ОБЛАСТЬ, Г КАЛУГА, УЛ ДОСТОЕВСКОГО, Д. 41, -</t>
  </si>
  <si>
    <t>ООО ТАНДЕМ ПЛЮС</t>
  </si>
  <si>
    <t>248008, КАЛУЖСКАЯ ОБЛАСТЬ, Г КАЛУГА, УЛ МЕХАНИЗАТОРОВ, Д. 38</t>
  </si>
  <si>
    <t>ООО АВТОСАЛОН ПРЕСТИЖ</t>
  </si>
  <si>
    <t>248009, КАЛУЖСКАЯ ОБЛАСТЬ, Г КАЛУГА, УЛ ЗЕРНОВАЯ, Д. 52</t>
  </si>
  <si>
    <t>ООО ЦЕНТР ИТ</t>
  </si>
  <si>
    <t>248001, КАЛУЖСКАЯ ОБЛАСТЬ, Г КАЛУГА, УЛ ЛЕНИНА, Д. 81, 527</t>
  </si>
  <si>
    <t>ООО РЕМТРАНСАВТО</t>
  </si>
  <si>
    <t>248007, КАЛУЖСКАЯ ОБЛАСТЬ, Г КАЛУГА, УЛ АННЕНКИ, Д. 25, ЧАСТЬ 1</t>
  </si>
  <si>
    <t>ИП ШАРАПОВ АЛЕКСЕЙ ВЯЧЕСЛАВОВИЧ</t>
  </si>
  <si>
    <t>ООО СПЕЦЗАПЧАСТЬ40</t>
  </si>
  <si>
    <t>248017, РОССИЯ, КАЛУЖСКАЯ ОБЛАСТЬ, Г.О. ГОРОД КАЛУГА, Г КАЛУГА, УЛ АЗАРОВСКАЯ, Д. 38, КОМ. 8</t>
  </si>
  <si>
    <t>ИП МАРЕЕВА ИРИНА ВЛАДИМИРОВНА</t>
  </si>
  <si>
    <t>ИП ШУРАЛЕВ АЛЕКСАНДР ВЛАДИМИРОВИЧ</t>
  </si>
  <si>
    <t>ИП МАРТЫШОВ ЕВГЕНИЙ АНАТОЛЬЕВИЧ</t>
  </si>
  <si>
    <t>ИП ФУГИН МАКСИМ АЛЕКСАНДРОВИЧ</t>
  </si>
  <si>
    <t>ООО ПРОФМАСЛА</t>
  </si>
  <si>
    <t>248025, КАЛУЖСКАЯ ОБЛАСТЬ, Г КАЛУГА, ПЕР СЕЛЬСКИЙ, Д. 2А</t>
  </si>
  <si>
    <t>ИП ФРОЛОВА РАИСА ИВАНОВНА</t>
  </si>
  <si>
    <t>ИП СИТНИКОВА АННА АЛЕКСАНДРОВНА</t>
  </si>
  <si>
    <t>ИП СПИЦЫН АЛЕКСЕЙ ВЛАДИМИРОВИЧ</t>
  </si>
  <si>
    <t>ООО ЦЕНТРСПЕЦТЕХНИКИ</t>
  </si>
  <si>
    <t>248025, КАЛУЖСКАЯ ОБЛАСТЬ, Г КАЛУГА, УЛ ЗЕРНОВАЯ, Д. 21, ПОМЕЩ. 1</t>
  </si>
  <si>
    <t>ИП ЮРЧЕНКО СВЕТЛАНА РАФКАТОВНА</t>
  </si>
  <si>
    <t>ИП ОНОФРЕЙЧУК АЛЕКСЕЙ АНАТОЛЬЕВИЧ</t>
  </si>
  <si>
    <t>ИП БАНДУРОВА ВАЛЕНТИНА АРСЕНТЬЕВНА</t>
  </si>
  <si>
    <t>ИП ГУКАСЯН КАРЕН ХАЧАТУРОВИЧ</t>
  </si>
  <si>
    <t>ООО ГАММА</t>
  </si>
  <si>
    <t>248016, КАЛУЖСКАЯ ОБЛАСТЬ, Г КАЛУГА, УЛ ЧИЖЕВСКОГО, Д. 29</t>
  </si>
  <si>
    <t>ИП МИЩЕНКО ЛЮДМИЛА ВАЛЕРЬЕВНА</t>
  </si>
  <si>
    <t>ИП ИНКИНА ТАТЬЯНА АНАТОЛЬЕВНА</t>
  </si>
  <si>
    <t>ИП ЦУРКАН ОЛЬГА АЛЕКСЕЕВНА</t>
  </si>
  <si>
    <t>ИП КРЕМЕНЕВ АЛЕКСАНДР СЕРГЕЕВИЧ</t>
  </si>
  <si>
    <t>ИП Викулов Александр Георгиевич</t>
  </si>
  <si>
    <t>ИП АЛДОШИН ИГОРЬ ВИКТОРОВИЧ</t>
  </si>
  <si>
    <t>ИП Зайцев Владимир Эдуардович</t>
  </si>
  <si>
    <t>ИП САФРОНОВА ЕЛЕНА АЛЕКСАНДРОВНА</t>
  </si>
  <si>
    <t>ИП Аброськина Наталья Сергеевна</t>
  </si>
  <si>
    <t>ИП АБРОСЬКИНА ДАРЬЯ СЕРГЕЕВНА</t>
  </si>
  <si>
    <t>ИП Кузьмичев Евгений Николаевич</t>
  </si>
  <si>
    <t>ИП НИКИШКИН КОНСТАНТИН АЛЕКСАНДРОВИЧ</t>
  </si>
  <si>
    <t>ИП ЧЕРНОВ АЛЕКСАНДР ЮРЬЕВИЧ</t>
  </si>
  <si>
    <t>ИП БЕСКРОВНЫЙ МАКСИМ ВЛАДИМИРОВИЧ</t>
  </si>
  <si>
    <t>ИП МАЦЕНКО ЛАРИСА НИКОЛАЕВНА</t>
  </si>
  <si>
    <t>АО ОБНИНСКОРГСИНТЕЗ</t>
  </si>
  <si>
    <t>249030, КАЛУЖСКАЯ ОБЛАСТЬ, Г ОБНИНСК, Ш КИЕВСКОЕ, Д. 57</t>
  </si>
  <si>
    <t>ООО СПАРК</t>
  </si>
  <si>
    <t>249030, КАЛУЖСКАЯ ОБЛАСТЬ, Г ОБНИНСК, Ш КИЕВСКОЕ, Д.9, ЛИТЕРА А</t>
  </si>
  <si>
    <t>ИП ГОРДЕЕВ ВЛАДИМИР ВЛАДИМИРОВИЧ</t>
  </si>
  <si>
    <t>ООО АПК-СЕРВИС</t>
  </si>
  <si>
    <t>248018, КАЛУЖСКАЯ ОБЛАСТЬ, Г КАЛУГА, Ш ГРАБЦЕВСКОЕ, ЗД. 4Б</t>
  </si>
  <si>
    <t>ООО РЕГИОН ОЙЛ</t>
  </si>
  <si>
    <t>248000, КАЛУЖСКАЯ ОБЛАСТЬ, Г КАЛУГА, УЛ ГАГАРИНА, Д. 13</t>
  </si>
  <si>
    <t>ИП КРЕПАК АЛЕКСАНДР АЛЕКСАНДРОВИЧ</t>
  </si>
  <si>
    <t>ИП КРАВЧЕНКО ОЛЬГА ВЯЧЕСЛАВНА</t>
  </si>
  <si>
    <t>ИП ЛУЦЕНКО ИРИНА ПЕТРОВНА</t>
  </si>
  <si>
    <t>ИП ПАХОМОВА МАРИНА ВИТАЛЬЕВНА</t>
  </si>
  <si>
    <t>ООО ЦЕНТР АВТОМАСЕЛ</t>
  </si>
  <si>
    <t>248021, КАЛУЖСКАЯ ОБЛАСТЬ, Г КАЛУГА, УЛ МОСКОВСКАЯ, Д. 231</t>
  </si>
  <si>
    <t>ООО ПОДШИПНИК</t>
  </si>
  <si>
    <t>248017, РОССИЯ, КАЛУЖСКАЯ ОБЛАСТЬ, Г.О. ГОРОД КАЛУГА, Г КАЛУГА, УЛ МОСКОВСКАЯ, Д. 304, ПОМЕЩ. 8</t>
  </si>
  <si>
    <t>ООО АВТОРАМА</t>
  </si>
  <si>
    <t>248017, КАЛУЖСКАЯ ОБЛАСТЬ, Г КАЛУГА, УЛ АЗАРОВСКАЯ, Д. 28</t>
  </si>
  <si>
    <t>ООО ТИСКИ</t>
  </si>
  <si>
    <t>248021, КАЛУЖСКАЯ ОБЛАСТЬ, Г.О. ГОРОД КАЛУГА, Г КАЛУГА, УЛ МОСКОВСКАЯ, Д. 84</t>
  </si>
  <si>
    <t>ИП СТАНКЕВИЧ ИГОРЬ ИГОРЕВИЧ</t>
  </si>
  <si>
    <t>АО КАЛУГАНЕФТЕПРОДУКТ</t>
  </si>
  <si>
    <t>248035, РОССИЯ, КАЛУЖСКАЯ ОБЛАСТЬ, Г.О. ГОРОД КАЛУГА, Г КАЛУГА, Ш ГРАБЦЕВСКОЕ, Д. 178</t>
  </si>
  <si>
    <t>ООО АЛЬТ ЛОГИСТИК</t>
  </si>
  <si>
    <t>248003, КАЛУЖСКАЯ ОБЛАСТЬ, Г КАЛУГА, ПЕР 1-Й ПЕСТЕЛЯ, Д. 28, КВ. 2</t>
  </si>
  <si>
    <t>ООО ДЕКАГРОУП</t>
  </si>
  <si>
    <t>248031, КАЛУЖСКАЯ ОБЛАСТЬ, Г КАЛУГА, УЛ КАЛУЖСКОГО ОПОЛЧЕНИЯ, Д. 3, КВ. 137</t>
  </si>
  <si>
    <t>ООО БЕСТ ОЙЛ 40</t>
  </si>
  <si>
    <t>248017, РОССИЯ, КАЛУЖСКАЯ ОБЛАСТЬ, Г.О. ГОРОД КАЛУГА, Г КАЛУГА, УЛ МОСКОВСКАЯ, Д. 310, ПОМЕЩ. 2</t>
  </si>
  <si>
    <t>ООО ФЛЕГМА ОЙЛ</t>
  </si>
  <si>
    <t>248016, РОССИЯ, КАЛУЖСКАЯ ОБЛАСТЬ, Г.О. ГОРОД КАЛУГА, Г КАЛУГА, УЛ КАРЛА ЛИБКНЕХТА, Д. 29, ОФИС 206</t>
  </si>
  <si>
    <t>ИП ГУРЬЕВ ПАВЕЛ СЕРГЕЕВИЧ</t>
  </si>
  <si>
    <t>ИП ТРУНОВ ДЕНИС ВИКТОРОВИЧ</t>
  </si>
  <si>
    <t>ИП МОИСЕЕНКОВ ПАВЕЛ ВЛАДИМИРОВИЧ</t>
  </si>
  <si>
    <t>ИП ЦЫЦЫН АНАТОЛИЙ АНАТОЛЬЕВИЧ</t>
  </si>
  <si>
    <t>ИП ДИАНКИНА НАТАЛЬЯ АЛЕКСЕЕВНА</t>
  </si>
  <si>
    <t>ИП АЛЕНИЧЕВ ИВАН ВАДИМОВИЧ</t>
  </si>
  <si>
    <t>ИП КРЕМЕНЕВ СЕРГЕЙ ФЕДОРОВИЧ</t>
  </si>
  <si>
    <t>ИП КРЕМЕНЁВ РОМАН СЕРГЕЕВИЧ</t>
  </si>
  <si>
    <t>ИП ХАИТОВ АЗИЗДЖОН ХАСАНДЖОНОВИЧ</t>
  </si>
  <si>
    <t>ИП Смирнов Михаил Геннадьевич</t>
  </si>
  <si>
    <t>ООО КАЛИНОВ КУСТ</t>
  </si>
  <si>
    <t>249271, КАЛУЖСКАЯ ОБЛАСТЬ, М.Р-Н СУХИНИЧСКИЙ, С.П. ДЕРЕВНЯ БОРДУКОВО, ТЕР. АВТОДОРОГА М-3 УКРАИНА, КМ 249-ЫЙ, ЗД. 3</t>
  </si>
  <si>
    <t>ИП ГУСАКОВ ВИКТОР ВИКТОРОВИЧ</t>
  </si>
  <si>
    <t>ИП ГУБАРЕВ ВАЛЕРИЙ ВАЛЕРЬЕВИЧ</t>
  </si>
  <si>
    <t>ИП КУЗНЕЦОВ АНАТОЛИЙ МИХАЙЛОВИЧ</t>
  </si>
  <si>
    <t>ИП Копцева Виктория Александровна</t>
  </si>
  <si>
    <t>ИП ЛЕБЕДЕВ ИГОРЬ ГЕННАДЬЕВИЧ</t>
  </si>
  <si>
    <t>ИП КАРАСЕВ ДМИТРИЙ СЕРГЕЕВИЧ</t>
  </si>
  <si>
    <t>ИП Оникиенко Николай Иванович</t>
  </si>
  <si>
    <t>ИП АНИСИМОВ АНАТОЛИЙ АЛЕКСЕЕВИЧ</t>
  </si>
  <si>
    <t>ООО ПО МЕТАЛЛИСТ</t>
  </si>
  <si>
    <t>249020, КАЛУЖСКАЯ ОБЛАСТЬ, М.Р-Н БОРОВСКИЙ, Д ДОБРИНО, С.П. СЕЛО ВОРСИНО, ПР-Д 2-Й ВОСТОЧНЫЙ, ВЛД. 2</t>
  </si>
  <si>
    <t>ООО МОТОРТЕХЦЕНТР</t>
  </si>
  <si>
    <t>249039, КАЛУЖСКАЯ ОБЛАСТЬ, Г ОБНИНСК, ПР-КТ МАРКСА, Д. 128</t>
  </si>
  <si>
    <t>ООО ВКУСНАЯ ЛИНИЯ</t>
  </si>
  <si>
    <t>249035, КАЛУЖСКАЯ ОБЛАСТЬ, Г ОБНИНСК, ПР-КТ МАРКСА, Д. 34, ПОМЕЩ. 226</t>
  </si>
  <si>
    <t>ООО АМЛ</t>
  </si>
  <si>
    <t>249034, РОССИЯ, КАЛУЖСКАЯ ОБЛАСТЬ, Г.О. ГОРОД ОБНИНСК, Г ОБНИНСК, УЛ ПОЛЕНОВА, Д. 11, ПОМЕЩ. 5</t>
  </si>
  <si>
    <t>ООО РОДНИКИ</t>
  </si>
  <si>
    <t>248017, КАЛУЖСКАЯ ОБЛАСТЬ, Г.О. ГОРОД КАЛУГА, Г КАЛУГА, УЛ ПАРАЛЛЕЛЬНАЯ, Д. 1</t>
  </si>
  <si>
    <t>ИП ВЕРБОВСКАЯ КСЕНИЯ ИВАНОВНА</t>
  </si>
  <si>
    <t>ООО КОМТРАНС</t>
  </si>
  <si>
    <t>248000, КАЛУЖСКАЯ ОБЛАСТЬ, Г КАЛУГА, ПЕР ВОСКРЕСЕНСКИЙ, Д. 29, 301</t>
  </si>
  <si>
    <t>ООО ГК СТРОЙМАШ</t>
  </si>
  <si>
    <t>248002, КАЛУЖСКАЯ ОБЛАСТЬ, Г.О. ГОРОД КАЛУГА, Г КАЛУГА, УЛ БОЛДИНА, Д. 57</t>
  </si>
  <si>
    <t>ООО ТК ПАРТНЕР</t>
  </si>
  <si>
    <t>248033, КАЛУЖСКАЯ ОБЛАСТЬ, Г.О. ГОРОД КАЛУГА, Г КАЛУГА, УЛ АКАДЕМИЧЕСКАЯ, Д. 4, ОФИС 107</t>
  </si>
  <si>
    <t>ООО АЙЭР 40</t>
  </si>
  <si>
    <t>248002, РОССИЯ, КАЛУЖСКАЯ ОБЛАСТЬ, Г.О. ГОРОД КАЛУГА, Г КАЛУГА, УЛ ФРИДРИХА ЭНГЕЛЬСА, Д. 113, КВ. 2</t>
  </si>
  <si>
    <t>248017, КАЛУЖСКАЯ ОБЛАСТЬ, Г КАЛУГА, Б-Р ЭНТУЗИАСТОВ, Д. 7, КВ. 94</t>
  </si>
  <si>
    <t>248017, КАЛУЖСКАЯ ОБЛАСТЬ, Г КАЛУГА, УЛ АЗАРОВСКАЯ, Д. 28, ОФИС 3</t>
  </si>
  <si>
    <t>ИП ХАН МИХАИЛ ВИССАРИОНОВИЧ</t>
  </si>
  <si>
    <t>ИП АЛИСТАРФОВ СЕРГЕЙ НИКОЛАЕВИЧ</t>
  </si>
  <si>
    <t>ИП ШУРАЛЕВ ВЛАДИМИР ВИКТОРОВИЧ</t>
  </si>
  <si>
    <t>ИП ЧЕРВЯКОВ СЕРГЕЙ ВИКТОРОВИЧ</t>
  </si>
  <si>
    <t>ИП КАРИЖСКИЙ ОЛЕГ ЕВГЕНЬЕВИЧ</t>
  </si>
  <si>
    <t>ИП ЕВТЕЕВ ЕВГЕНИЙ ЮРЬЕВИЧ</t>
  </si>
  <si>
    <t>ИП КОМЗИН СЕРГЕЙ ВЛАДИМИРОВИЧ</t>
  </si>
  <si>
    <t>ИП ТЯЖЛОВ ВИКТОР АНАТОЛЬЕВИЧ</t>
  </si>
  <si>
    <t>ООО ФУКС ОЙЛ</t>
  </si>
  <si>
    <t>248903, КАЛУЖСКАЯ ОБЛАСТЬ, Г КАЛУГА, С РОСВА, ТЕР ИНДУСТРИАЛЬНЫЙ ПАРК РОСВА</t>
  </si>
  <si>
    <t>ИП Трошина Светлана Николаевна</t>
  </si>
  <si>
    <t>ИП ИВАНОВ ДЕНИС ГЕННАДЬЕВИЧ</t>
  </si>
  <si>
    <t>ИП БУТРИН ИЛЬЯ ВАДИМОВИЧ</t>
  </si>
  <si>
    <t>ООО ЭКОМ</t>
  </si>
  <si>
    <t>249038, КАЛУЖСКАЯ ОБЛАСТЬ, Г.О. ГОРОД ОБНИНСК, Г ОБНИНСК, ПР-КТ ЛЕНИНА, Д. 121, ОФИС 806</t>
  </si>
  <si>
    <t>ООО КМ-ПЛЮС</t>
  </si>
  <si>
    <t>249031, КАЛУЖСКАЯ ОБЛАСТЬ, Г ОБНИНСК, УЛ КОРОЛЕВА, Д. 6, СТР. 1, КОМ. 13</t>
  </si>
  <si>
    <t>ИП МАМОНОВА ИРИНА ВЛАДИМИРОВНА</t>
  </si>
  <si>
    <t>ООО АВТОКОНТАКТ</t>
  </si>
  <si>
    <t>248017, КАЛУЖСКАЯ ОБЛАСТЬ, Г КАЛУГА, УЛ МОСКОВСКАЯ, Д. 300</t>
  </si>
  <si>
    <t>ИП УСОВА АЛЛА ВЛАДИМИРОВНА</t>
  </si>
  <si>
    <t>ИП МАЛАНЧУК ВАЛЕНТИНА ВЛАДИМИРОВНА</t>
  </si>
  <si>
    <t>Камчатский край</t>
  </si>
  <si>
    <t>ИП ЕГОРОВА МАРИЯ БОРИСОВНА</t>
  </si>
  <si>
    <t>ООО АВТОКОНТРОЛЬ</t>
  </si>
  <si>
    <t>683004, КАМЧАТСКИЙ КРАЙ, Г ПЕТРОПАВЛОВСК-КАМЧАТСКИЙ, УЛ КРАСНАЯ СОПКА, Д.29</t>
  </si>
  <si>
    <t>ООО ОЙЛ СИТИ</t>
  </si>
  <si>
    <t>683016, РОССИЯ, КАМЧАТСКИЙ КРАЙ, Г.О. ПЕТРОПАВЛОВСК-КАМЧАТСКИЙ, Г ПЕТРОПАВЛОВСК-КАМЧАТСКИЙ, УЛ СТАРИЦЫНА, Д. 12, КВ. 63</t>
  </si>
  <si>
    <t>ИП ЛЫСЕНКО ЮРИЙ ПЕТРОВИЧ</t>
  </si>
  <si>
    <t>ИП ШАЛИМОВ ВАСИЛИЙ ВАСИЛЬЕВИЧ</t>
  </si>
  <si>
    <t>ИП КЛИМКОВИЧ СВЕТЛАНА ПЕТРОВНА</t>
  </si>
  <si>
    <t>ИП САЙДАЧАКОВ ДМИТРИЙ ВАЛЕРЬЕВИЧ</t>
  </si>
  <si>
    <t>ИП МИНЯКИН АЛЕКСАНДР ВИКТОРОВИЧ</t>
  </si>
  <si>
    <t>ИП УПИТ АНАСТАСИЯ ВЛАДИМИРОВНА</t>
  </si>
  <si>
    <t>ООО АВТОШИНА</t>
  </si>
  <si>
    <t>683009, КАМЧАТСКИЙ КРАЙ, Г ПЕТРОПАВЛОВСК-КАМЧАТСКИЙ, УЛ АКАДЕМИКА КОРОЛЕВА, Д.63</t>
  </si>
  <si>
    <t>ООО КОДУ ПЛЮС</t>
  </si>
  <si>
    <t>683001, КАМЧАТСКИЙ КРАЙ, Г ПЕТРОПАВЛОВСК-КАМЧАТСКИЙ, УЛ ОЗЕРНОВСКАЯ КОСА, Д. 11, СТРОЕНИЕ ИНСТ. ЦЕХА, ПРОХОДНАЯ, ПОМЕЩЕНИЕ АВТОМАГА</t>
  </si>
  <si>
    <t>ООО РПМ</t>
  </si>
  <si>
    <t>683003, КАМЧАТСКИЙ КРАЙ, Г ПЕТРОПАВЛОВСК-КАМЧАТСКИЙ, УЛ ЛЕНИНГРАДСКАЯ, Д. 9А, 3</t>
  </si>
  <si>
    <t>ООО КАМТЭКС-2</t>
  </si>
  <si>
    <t>ИП ПОГОРЕЛОВ ЮРИЙ ВИКТОРОВИЧ</t>
  </si>
  <si>
    <t>ООО  АТК</t>
  </si>
  <si>
    <t>683009, КАМЧАТСКИЙ КРАЙ, Г ПЕТРОПАВЛОВСК-КАМЧАТСКИЙ, УЛ АКАДЕМИКА КУРЧАТОВА, Д.39, 12</t>
  </si>
  <si>
    <t>ООО ЦТО ТОРГОВАЯ ТЕХНИКА</t>
  </si>
  <si>
    <t>683024, КАМЧАТСКИЙ КРАЙ, Г ПЕТРОПАВЛОВСК-КАМЧАТСКИЙ, УЛ ЛУКАШЕВСКОГО, Д. 23</t>
  </si>
  <si>
    <t>ООО ИМАННА</t>
  </si>
  <si>
    <t>684000, РОССИЯ, КАМЧАТСКИЙ КРАЙ, М.Р-Н ЕЛИЗОВСКИЙ, Г ЕЛИЗОВО, Г.П. ЕЛИЗОВСКОЕ, УЛ ВИЛЮЙСКАЯ, ЗД. 15</t>
  </si>
  <si>
    <t>ИП ВЕРЕЩАКО АРТЕМ ДМИТРИЕВИЧ</t>
  </si>
  <si>
    <t>ИП КУЛЕШОВ АНДРЕЙ ГЕННАДЬЕВИЧ</t>
  </si>
  <si>
    <t>ИП АНТОНОВ ГЕННАДИЙ АНАТОЛЬЕВИЧ</t>
  </si>
  <si>
    <t>ИП КУЛТЫШЕВ АЛЕКСАНДР АНДРЕЕВИЧ</t>
  </si>
  <si>
    <t>ИП МИНАЙЛОВ СЕРГЕЙ ИГОРЕВИЧ</t>
  </si>
  <si>
    <t>ИП ИВАНОВ ВАДИМ ЮРЬЕВИЧ</t>
  </si>
  <si>
    <t>ИП МАЛЬЦЕВ АЛЕКСЕЙ ГЕННАДЬЕВИЧ</t>
  </si>
  <si>
    <t>ИП ШКУРО ОЛЬГА ВЛАДИМИРОВНА</t>
  </si>
  <si>
    <t>ООО КАМТОРГ</t>
  </si>
  <si>
    <t>683023, КАМЧАТСКИЙ КРАЙ, Г ПЕТРОПАВЛОВСК-КАМЧАТСКИЙ, ПР-КТ ПОБЕДЫ, Д. 32</t>
  </si>
  <si>
    <t>ИП БАБКОВ ОЛЕГ ДМИТРИЕВИЧ</t>
  </si>
  <si>
    <t>ИП ЯКОВЛЕВ ПЁТР КОНСТАНТИНОВИЧ</t>
  </si>
  <si>
    <t>ООО ССЦ-АВТОЛЮКС МЕДИА</t>
  </si>
  <si>
    <t>ООО ОЙЛ41</t>
  </si>
  <si>
    <t>683003, РОССИЯ, КАМЧАТСКИЙ КРАЙ, Г.О. ПЕТРОПАВЛОВСК-КАМЧАТСКИЙ, Г ПЕТРОПАВЛОВСК-КАМЧАТСКИЙ, УЛ ЛЕНИНГРАДСКАЯ, Д. 65, КВ. 35</t>
  </si>
  <si>
    <t>ООО СУДОВЫЕ МАСЛА</t>
  </si>
  <si>
    <t>683042, РОССИЯ, КАМЧАТСКИЙ КРАЙ, Г.О. ПЕТРОПАВЛОВСК-КАМЧАТСКИЙ, Г ПЕТРОПАВЛОВСК-КАМЧАТСКИЙ, Ш СЕВЕРО-ВОСТОЧНОЕ, Д. 48, СТР. 1</t>
  </si>
  <si>
    <t>ИП ТАРЛЫГА РОМАН АЛЕКСАНДРОВИЧ</t>
  </si>
  <si>
    <t>ИП Гусев Евгений Александрович</t>
  </si>
  <si>
    <t>ООО ПЕТРОПАВЛОВСК-КАМЧАТСКИЙ АВТОЦЕНТР КАМАЗ</t>
  </si>
  <si>
    <t>683023, КАМЧАТСКИЙ КРАЙ, Г ПЕТРОПАВЛОВСК-КАМЧАТСКИЙ, УЛ ВУЛКАННАЯ, Д. 48</t>
  </si>
  <si>
    <t>ООО КАМПАР</t>
  </si>
  <si>
    <t>683002, КАМЧАТСКИЙ КРАЙ, Г ПЕТРОПАВЛОВСК-КАМЧАТСКИЙ, УЛ САВЧЕНКО, Д. 10, КВ. 25</t>
  </si>
  <si>
    <t>ООО АВТОЛЮКС-ФОРВАРД</t>
  </si>
  <si>
    <t>ООО КАМПАР ТРЕЙД</t>
  </si>
  <si>
    <t>683023, КАМЧАТСКИЙ КРАЙ, Г ПЕТРОПАВЛОВСК-КАМЧАТСКИЙ, ПР-КТ ПОБЕДЫ, Д. 7, КВ. 69</t>
  </si>
  <si>
    <t>ООО МАГИСТРАЛЬ</t>
  </si>
  <si>
    <t>683023, КАМЧАТСКИЙ КРАЙ, Г ПЕТРОПАВЛОВСК-КАМЧАТСКИЙ, УЛ ВУЛКАННАЯ, Д. 72</t>
  </si>
  <si>
    <t>ООО АТП МИЛЬКОВСКИЙ ЭКСПРЕСС</t>
  </si>
  <si>
    <t>684300, КАМЧАТСКИЙ КРАЙ, Р-Н МИЛЬКОВСКИЙ, С МИЛЬКОВО, УЛ ЛЕНИНСКАЯ, Д. 14</t>
  </si>
  <si>
    <t>ИП ГРИГОРЬЕВА МАРИЯ АНДРЕЕВНА</t>
  </si>
  <si>
    <t>ИП ЯКИМОВА ОЛЬГА ВАЛЕРЬЕВНА</t>
  </si>
  <si>
    <t>ИП ЗАРОВНЯЕВА НАТАЛЬЯ АНАТОЛЬЕВНА</t>
  </si>
  <si>
    <t>ООО ЗАПАД-ВОСТОК ОЙЛ</t>
  </si>
  <si>
    <t>683002, КАМЧАТСКИЙ КРАЙ, Г ПЕТРОПАВЛОВСК-КАМЧАТСКИЙ, Ш СЕВЕРО-ВОСТОЧНОЕ, Д.25</t>
  </si>
  <si>
    <t>ИП БОЧУЛЯ ПЕТР БОГДАНОВИЧ</t>
  </si>
  <si>
    <t>ИП КИМ АНДРЕЙ ЕНУНОВИЧ</t>
  </si>
  <si>
    <t>ИП СТЕПАНОВ КИРИЛЛ СЕРГЕЕВИЧ</t>
  </si>
  <si>
    <t>ИП КРИЧКОВСКИЙ АРТЁМ ЯКОВЛЕВИЧ</t>
  </si>
  <si>
    <t>ООО ДЕСНА</t>
  </si>
  <si>
    <t>684004, КАМЧАТСКИЙ КРАЙ, Р-Н ЕЛИЗОВСКИЙ, Г ЕЛИЗОВО, УЛ ЛЕНИНА, Д.45, 7</t>
  </si>
  <si>
    <t>ИП УВАРОВ РОМАН ВАЛЕРЬЕВИЧ</t>
  </si>
  <si>
    <t>ИП ЕГОРОВ ВАСИЛИЙ АЛЕКСАНДРОВИЧ</t>
  </si>
  <si>
    <t>ИП КАТЫШЕВ АРТЕМ ОЛЕГОВИЧ</t>
  </si>
  <si>
    <t>ИП ИВАНОВ ЯН СЕРГЕЕВИЧ</t>
  </si>
  <si>
    <t>ИП ЧАБАНЮК МИХАИЛ ВИТАЛЬЕВИЧ</t>
  </si>
  <si>
    <t>ИП ТИПСИН ИВАН МИХАЙЛОВИЧ</t>
  </si>
  <si>
    <t>ИП ШМЕТКО ИВАН ВАДИМОВИЧ</t>
  </si>
  <si>
    <t>Кемеровская область</t>
  </si>
  <si>
    <t>ИП МОРОЗОВА ЕЛЕНА АЛЕКСАНДРОВНА</t>
  </si>
  <si>
    <t>ИП ЕРОФЕЕВ РОМАН АЛЕКСАНДРОВИЧ</t>
  </si>
  <si>
    <t>ИП Ванилов Сергей Григорьевич</t>
  </si>
  <si>
    <t>ИП АФАНАСЬЕВА ЕЛЕНА ВАСИЛЬЕВНА</t>
  </si>
  <si>
    <t>ООО СИБЭНЕРГОУГОЛЬ</t>
  </si>
  <si>
    <t>654102, КЕМЕРОВСКАЯ ОБЛАСТЬ - КУЗБАСС, Г НОВОКУЗНЕЦК, УЛ ПОГРУЗОЧНАЯ (КУЙБЫШЕВСКИЙ Р-Н), ЗД. 60Б, КАБИНЕТ 327</t>
  </si>
  <si>
    <t>ООО РКС</t>
  </si>
  <si>
    <t>654005, КЕМЕРОВСКАЯ ОБЛАСТЬ - КУЗБАСС, Г НОВОКУЗНЕЦК, УЛ ЧАЙКИНОЙ (ЦЕНТРАЛЬНЫЙ Р-Н), Д. 2А, К. 6</t>
  </si>
  <si>
    <t>ООО СИБИРЬ-АВТО</t>
  </si>
  <si>
    <t>654080, КЕМЕРОВСКАЯ ОБЛАСТЬ - КУЗБАСС, Г НОВОКУЗНЕЦК, УЛ КИРОВА (ЦЕНТРАЛЬНЫЙ Р-Н), Д.59</t>
  </si>
  <si>
    <t>ООО ТД МЕРКУРИЙ И К</t>
  </si>
  <si>
    <t>654006, КЕМЕРОВСКАЯ ОБЛАСТЬ - КУЗБАСС, Г НОВОКУЗНЕЦК, УЛ ЧЕРНОМОРСКАЯ (КУЙБЫШЕВСКИЙ Р-Н), Д. 1</t>
  </si>
  <si>
    <t>ИП ЛУНИН КОНСТАНТИН ВЛАДИМИРОВИЧ</t>
  </si>
  <si>
    <t>ООО ТД СИБИРЬ-ОЙЛ</t>
  </si>
  <si>
    <t>654005, КЕМЕРОВСКАЯ ОБЛАСТЬ - КУЗБАСС, Г НОВОКУЗНЕЦК, ПР-КТ СТРОИТЕЛЕЙ (ЦЕНТРАЛЬНЫЙ Р-Н), Д. 3, К. 7</t>
  </si>
  <si>
    <t>ИП ЗАРЕЧНЕВА ИННА СЕРГЕЕВНА</t>
  </si>
  <si>
    <t>ООО АВТОСТАЛЬ</t>
  </si>
  <si>
    <t>654005, РОССИЯ, КЕМЕРОВСКАЯ ОБЛАСТЬ - КУЗБАСС, Г.О. НОВОКУЗНЕЦКИЙ, Г НОВОКУЗНЕЦК, Р-Н ЦЕНТРАЛЬНЫЙ, УЛ ОРДЖОНИКИДЗЕ, Д. 24</t>
  </si>
  <si>
    <t>ООО АРКАДА</t>
  </si>
  <si>
    <t>654066, РОССИЯ, КЕМЕРОВСКАЯ ОБЛАСТЬ - КУЗБАСС, Г.О. НОВОКУЗНЕЦКИЙ, Г НОВОКУЗНЕЦК, Р-Н ЦЕНТРАЛЬНЫЙ, УЛ ГРДИНЫ, Д. 23, КВ. 180</t>
  </si>
  <si>
    <t>ООО БИНОИЛ</t>
  </si>
  <si>
    <t>654005, РОССИЯ, КЕМЕРОВСКАЯ ОБЛАСТЬ - КУЗБАСС, Г.О. НОВОКУЗНЕЦКИЙ, Г НОВОКУЗНЕЦК, Р-Н ЦЕНТРАЛЬНЫЙ, УЛ ОРДЖОНИКИДЗЕ, Д. 18, ОФИС 328</t>
  </si>
  <si>
    <t>ООО ИНТАНТ</t>
  </si>
  <si>
    <t>654007, РОССИЯ, КЕМЕРОВСКАЯ ОБЛАСТЬ - КУЗБАСС, Г.О. НОВОКУЗНЕЦКИЙ, Г НОВОКУЗНЕЦК, Р-Н ЦЕНТРАЛЬНЫЙ, ПР-КТ КУЗНЕЦКСТРОЕВСКИЙ, Д. 34А, КВ. 5</t>
  </si>
  <si>
    <t>МКУ СРЦН АЛЫЕ ПАРУСА</t>
  </si>
  <si>
    <t>654054, КЕМЕРОВСКАЯ ОБЛАСТЬ - КУЗБАСС, Г НОВОКУЗНЕЦК, УЛ НОВОСЕЛОВ (НОВОИЛЬИНСКИЙ Р-Н), Д. 36</t>
  </si>
  <si>
    <t>ООО АВТОМАГАЗИН</t>
  </si>
  <si>
    <t>654041, КЕМЕРОВСКАЯ ОБЛАСТЬ - КУЗБАСС, Г НОВОКУЗНЕЦК, ПР-КТ ОКТЯБРЬСКИЙ (КУЙБЫШЕВСКИЙ Р-Н), Д. 58, ПОМЕЩ. 198</t>
  </si>
  <si>
    <t>ООО  КУЗБАССТРАКСЕРВИС</t>
  </si>
  <si>
    <t>654041, КЕМЕРОВСКАЯ ОБЛАСТЬ - КУЗБАСС, Г НОВОКУЗНЕЦК, УЛ ТРАНСПОРТНАЯ (КУЙБЫШЕВСКИЙ Р-Н), Д. 77Б</t>
  </si>
  <si>
    <t>ООО ИВМ</t>
  </si>
  <si>
    <t>ИП КУСТОВ ЕВГЕНИЙ АНАТОЛЬЕВИЧ</t>
  </si>
  <si>
    <t>ИП КАЛИНИЧЕВ ЕВГЕНИЙ СЕМЕНОВИЧ</t>
  </si>
  <si>
    <t>ИП ЛЮБЧЕНКО ЗИНАИДА АЛЕКСАНДРОВНА</t>
  </si>
  <si>
    <t>ИП АЛЕКСЕЕНКО ИВАН ДМИТРИЕВИЧ</t>
  </si>
  <si>
    <t>ООО КС</t>
  </si>
  <si>
    <t>652716, РОССИЯ, КЕМЕРОВСКАЯ ОБЛАСТЬ - КУЗБАСС, Г.О. КИСЕЛЕВСКИЙ, Г КИСЕЛЕВСК, УЛ ЛУТУГИНА, Д. 87</t>
  </si>
  <si>
    <t>ООО МЕНЬШАКОВСКОЕ</t>
  </si>
  <si>
    <t>652707, РОССИЯ, КЕМЕРОВСКАЯ ОБЛАСТЬ - КУЗБАСС, Г.О. КИСЕЛЕВСКИЙ, Г КИСЕЛЕВСК, УЛ ГАГАРИНА, Д. 30, КВ. 51</t>
  </si>
  <si>
    <t>ИП ЕФАНОВ АЛЕКСЕЙ ФЕДОРОВИЧ</t>
  </si>
  <si>
    <t>ИП Попп Виталий Анатольевич</t>
  </si>
  <si>
    <t>ИП ЧУЛЯНЧИК ДМИТРИЙ ПЕТРОВИЧ</t>
  </si>
  <si>
    <t>ИП АСТАПОВ АНДРЕЙ КОНСТАНТИНОВИЧ</t>
  </si>
  <si>
    <t>ИП МОЛОКОВ АНТОН МИХАЙЛОВИЧ</t>
  </si>
  <si>
    <t>ИП КОСУЛИНА ИРИНА ВЛАДИМИРОВНА</t>
  </si>
  <si>
    <t>ИП МОЛОКОВА НАТАЛЬЯ ВЛАДИМИРОВНА</t>
  </si>
  <si>
    <t>ИП ВЕДЕРНИКОВА ВАЛЕНТИНА АНДРЕЕВНА</t>
  </si>
  <si>
    <t>ИП СЕЛЮНИНА ОЛЬГА ВЛАДИМИРОВНА</t>
  </si>
  <si>
    <t>ИП СМОЛЬЯНИНА АРИНА ВЛАДИМИРОВНА</t>
  </si>
  <si>
    <t>ИП Боровков Сергей Владимирович</t>
  </si>
  <si>
    <t>ИП КОЛЫХАЛИН АНДРЕЙ АНДРЕЕВИЧ</t>
  </si>
  <si>
    <t>ИП ЗАЙЦЕВА АНАСТАСИЯ НИКОЛАЕВНА</t>
  </si>
  <si>
    <t>ИП ИГНАТЕНКО ЮРИЙ ВАСИЛЬЕВИЧ</t>
  </si>
  <si>
    <t>ИП ФЕДОРОВ ДМИТРИЙ МИХАЙЛОВИЧ</t>
  </si>
  <si>
    <t>ИП ГУСЛОВ СЕРГЕЙ МИХАЙЛОВИЧ</t>
  </si>
  <si>
    <t>ИП ШЕСТЕРНЕВ ВЯЧЕСЛАВ АНАТОЛЬЕВИЧ</t>
  </si>
  <si>
    <t>ИП ФАИЗОВА ВЕРОНИКА ВЛАДИМИРОВНА</t>
  </si>
  <si>
    <t>ООО ЛОРИ</t>
  </si>
  <si>
    <t>650021, КЕМЕРОВСКАЯ ОБЛАСТЬ - КУЗБАСС, Г КЕМЕРОВО, УЛ КРАСНОАРМЕЙСКАЯ, Д. 3, ОФИС 26</t>
  </si>
  <si>
    <t>ИП ВОЛНИЧЕВА ВИКТОРИЯ ВАЛЕРЬЕВНА</t>
  </si>
  <si>
    <t>ИП КАЗЬМИНА ВАЛЕРИЯ КОНСТАНТИНОВНА</t>
  </si>
  <si>
    <t>ИП КОСТЕНЮК АЛЕКСАНДР ВЛАДИМИРОВИЧ</t>
  </si>
  <si>
    <t>ИП ДЕМЕНОВ РОМАН ГАЛИЕВИЧ</t>
  </si>
  <si>
    <t>ИП НОХРИН АЛЕКСЕЙ МИХАЙЛОВИЧ</t>
  </si>
  <si>
    <t>ООО УК АЛЬФАТРАНС</t>
  </si>
  <si>
    <t>654080, КЕМЕРОВСКАЯ ОБЛАСТЬ - КУЗБАСС, Г.О. НОВОКУЗНЕЦКИЙ, Г НОВОКУЗНЕЦК, Р-Н ЦЕНТРАЛЬНЫЙ, ПР-КТ ПИОНЕРСКИЙ, Д. 64, КВ. 41</t>
  </si>
  <si>
    <t>ИП ЗЕНИН ДМИТРИЙ СЕРГЕЕВИЧ</t>
  </si>
  <si>
    <t>654066, КЕМЕРОВСКАЯ ОБЛАСТЬ - КУЗБАСС, Г НОВОКУЗНЕЦК, ПР-КТ ОКТЯБРЬСКИЙ (ЦЕНТРАЛЬНЫЙ Р-Н), Д.59А</t>
  </si>
  <si>
    <t>ООО ПРОМЫШЛЕННЫЕ ТЕХНОЛОГИИ</t>
  </si>
  <si>
    <t>654005, КЕМЕРОВСКАЯ ОБЛАСТЬ - КУЗБАСС, Г НОВОКУЗНЕЦК, УЛ ОРДЖОНИКИДЗЕ (ЦЕНТРАЛЬНЫЙ Р-Н), Д. 21, ОФИС 404А</t>
  </si>
  <si>
    <t>ИП ЧЕРЕМУШКИН АЛЕКСЕЙ НИКОЛАЕВИЧ</t>
  </si>
  <si>
    <t>ООО КОМПЛЕКТАВТО</t>
  </si>
  <si>
    <t>654018, КЕМЕРОВСКАЯ ОБЛАСТЬ - КУЗБАСС, Г НОВОКУЗНЕЦК, ПР-КТ ОКТЯБРЬСКИЙ (ЦЕНТРАЛЬНЫЙ Р-Н), Д. 18, КВ. 27</t>
  </si>
  <si>
    <t>ООО СИБПРОМТОРГ</t>
  </si>
  <si>
    <t>654063, КЕМЕРОВСКАЯ ОБЛАСТЬ - КУЗБАСС, Г НОВОКУЗНЕЦК, УЛ 375 КМ (КУЙБЫШЕВСКИЙ Р-Н), Д. 36</t>
  </si>
  <si>
    <t>ИП СИВКОВ СЕРГЕЙ ВЛАДИМИРОВИЧ</t>
  </si>
  <si>
    <t>ООО РЕДАР</t>
  </si>
  <si>
    <t>654007, КЕМЕРОВСКАЯ ОБЛАСТЬ - КУЗБАСС, Г НОВОКУЗНЕЦК, ПР-КТ Н.С.ЕРМАКОВА (ЦЕНТРАЛЬНЫЙ Р-Н), Д. 12, КВ. 57</t>
  </si>
  <si>
    <t>ООО ЭЛЕМЕНТ НК</t>
  </si>
  <si>
    <t>654005, РОССИЯ, КЕМЕРОВСКАЯ ОБЛАСТЬ - КУЗБАСС, Г.О. НОВОКУЗНЕЦКИЙ, Г НОВОКУЗНЕЦК, Р-Н ЦЕНТРАЛЬНЫЙ, ТУП БАЛОЧНЫЙ, ЗД. 2, К. 6, ПОМЕЩ. 2</t>
  </si>
  <si>
    <t>ООО НОВОТЭК</t>
  </si>
  <si>
    <t>654007, КЕМЕРОВСКАЯ ОБЛАСТЬ - КУЗБАСС, Г НОВОКУЗНЕЦК, УЛ ЭНТУЗИАСТОВ (ЦЕНТРАЛЬНЫЙ Р-Н), ЗД. 30, ОФИС 120</t>
  </si>
  <si>
    <t>654018, КЕМЕРОВСКАЯ ОБЛАСТЬ - КУЗБАСС, Г НОВОКУЗНЕЦК, ПР-КТ ОКТЯБРЬСКИЙ (ЦЕНТРАЛЬНЫЙ Р-Н), Д. 35, КВ. 30</t>
  </si>
  <si>
    <t>ООО ИНТЕР-ТЕХНОЛОГИИ</t>
  </si>
  <si>
    <t>654034, КЕМЕРОВСКАЯ ОБЛАСТЬ - КУЗБАСС, Г НОВОКУЗНЕЦК, ПР-Д ТЕХНИЧЕСКИЙ (КУЗНЕЦКИЙ Р-Н), Д. 33, К. 2А</t>
  </si>
  <si>
    <t>ООО СИБДЕТАЛЬ</t>
  </si>
  <si>
    <t>654005, КЕМЕРОВСКАЯ ОБЛАСТЬ - КУЗБАСС, Г.О. НОВОКУЗНЕЦКИЙ, Г НОВОКУЗНЕЦК, Р-Н ЦЕНТРАЛЬНЫЙ, УЛ ПРОИЗВОДСТВЕННАЯ, Д. 9, ПОМЕЩ. 209</t>
  </si>
  <si>
    <t>ИП Бурцев Андрей Владимирович</t>
  </si>
  <si>
    <t>ИП БАРАНОВА ТАТЬЯНА АНАТОЛЬЕВНА</t>
  </si>
  <si>
    <t>ИП ВЕРШИНИН ВЛАДИМИР СЕРГЕЕВИЧ</t>
  </si>
  <si>
    <t>ИП ВЕРДИЕВ АНАР РУСЛАН ОГЛЫ</t>
  </si>
  <si>
    <t>ИП БАРЫШНИКОВ СТАНИСЛАВ БОРИСОВИЧ</t>
  </si>
  <si>
    <t>ИП ФЕТИСОВА МАРИНА ВАЛЕРЬЕВНА</t>
  </si>
  <si>
    <t>ИП НИКОЛЕНКО КОНСТАНТИН СЕРГЕЕВИЧ</t>
  </si>
  <si>
    <t>ИП МАКЕЕВ АЛЕКСЕЙ ВЛАДИМИРОВИЧ</t>
  </si>
  <si>
    <t>ИП МУХАРЕВА РАИСА ПАВЛОВНА</t>
  </si>
  <si>
    <t>ИП Караульщиков Вадим Егорович</t>
  </si>
  <si>
    <t>ИП БЕНЦ АНДРЕЙ НИКОЛАЕВИЧ</t>
  </si>
  <si>
    <t>ИП ПРАЗЯН АЛЕКСАНДР ЛЕОНИДОВИЧ</t>
  </si>
  <si>
    <t>ИП БУТОВА МАРИЯ АНАТОЛЬЕВНА</t>
  </si>
  <si>
    <t>ИП КУДЗОЕВ ВЛАДИСЛАВ ФИДАРОВИЧ</t>
  </si>
  <si>
    <t>ИП ГУЩИН КИРИЛЛ АЛЕКСАНДРОВИЧ</t>
  </si>
  <si>
    <t>ИП МАЛАЩЕНКО ИВАН ВЛАДИМИРОВИЧ</t>
  </si>
  <si>
    <t>ИП СВИРИКОВА АНАСТАСИЯ ВЛАДИМИРОВНА</t>
  </si>
  <si>
    <t>ООО СНАБТЕХОЙЛ</t>
  </si>
  <si>
    <t>650021, КЕМЕРОВСКАЯ ОБЛАСТЬ - КУЗБАСС, Г КЕМЕРОВО, ПЕР КОКСОВЫЙ, СТР. 10Б, ОФИС 1</t>
  </si>
  <si>
    <t>ИП КРИВКО АЛЕКСЕЙ АЛЕКСАНДРОВИЧ</t>
  </si>
  <si>
    <t>ИП БУНТОВСКАЯ ЕЛЕНА ЮРЬЕВНА</t>
  </si>
  <si>
    <t>ИП СУШЛЯКОВ ВЯЧЕСЛАВ ВЛАДИМИРОВИЧ</t>
  </si>
  <si>
    <t>ИП ЖИЛЬНИКОВА ЕЛЕНА ВЛАДИМИРОВНА</t>
  </si>
  <si>
    <t>ИП КАРЕЯН ЗОГРАБ АГАСОВИЧ</t>
  </si>
  <si>
    <t>АО СТРОЙСЕРВИС</t>
  </si>
  <si>
    <t>650055, КЕМЕРОВСКАЯ ОБЛАСТЬ - КУЗБАСС, Г КЕМЕРОВО, ПР-КТ КУЗНЕЦКИЙ, Д. 121</t>
  </si>
  <si>
    <t>ИП ГАДЕЕВ ВИКТОР ПЕТРОВИЧ</t>
  </si>
  <si>
    <t>ИП Анисимов Владимир Александрович</t>
  </si>
  <si>
    <t>ИП МАКОСОВ СЕРГЕЙ ВИКТОРОВИЧ</t>
  </si>
  <si>
    <t>652401, КЕМЕРОВСКАЯ ОБЛАСТЬ - КУЗБАСС, Г ТАЙГА, УЛ СТРОИТЕЛЬНАЯ, Д.1, ОФИС 4</t>
  </si>
  <si>
    <t>ИП НОВИЦКИЙ ЕВГЕНИЙ АЛЕКСАНДРОВИЧ</t>
  </si>
  <si>
    <t>ООО ПЯТЬ</t>
  </si>
  <si>
    <t>654250, РОССИЯ, КЕМЕРОВСКАЯ ОБЛАСТЬ - КУЗБАСС, М.О. НОВОКУЗНЕЦКИЙ, П КУЗЕДЕЕВО, УЛ ЯЦЕНКО, Д. 34</t>
  </si>
  <si>
    <t>ООО ОЙЛ МАРКЕТ</t>
  </si>
  <si>
    <t>654041, КЕМЕРОВСКАЯ ОБЛАСТЬ - КУЗБАСС, Г НОВОКУЗНЕЦК, УЛ ТРАНСПОРТНАЯ (КУЙБЫШЕВСКИЙ Р-Н), Д. 58</t>
  </si>
  <si>
    <t>ООО ТРИАЛ-АВТО</t>
  </si>
  <si>
    <t>654018, КЕМЕРОВСКАЯ ОБЛАСТЬ - КУЗБАСС, Г НОВОКУЗНЕЦК, Ш КОНДОМСКОЕ (КУЙБЫШЕВСКИЙ Р-Н), ЗД. 6А, К. 8, ОФИС 103</t>
  </si>
  <si>
    <t>654063, РОССИЯ, КЕМЕРОВСКАЯ ОБЛАСТЬ - КУЗБАСС, Г.О. НОВОКУЗНЕЦКИЙ, Г НОВОКУЗНЕЦК, Р-Н ЦЕНТРАЛЬНЫЙ, УЛ РУДОКОПРОВАЯ, Д. 10, К. 2</t>
  </si>
  <si>
    <t>ОООСНАБСЕРВИС</t>
  </si>
  <si>
    <t>654031, КЕМЕРОВСКАЯ ОБЛАСТЬ - КУЗБАСС, Г НОВОКУЗНЕЦК, УЛ ГОРЬКОВСКАЯ (ЗАВОДСКОЙ Р-Н), Д. 19, КВ. 43</t>
  </si>
  <si>
    <t>ООО МАСЛО РЯДОМ</t>
  </si>
  <si>
    <t>654044, РОССИЯ, КЕМЕРОВСКАЯ ОБЛАСТЬ - КУЗБАСС, Г.О. НОВОКУЗНЕЦКИЙ, Г НОВОКУЗНЕЦК, Р-Н НОВОИЛЬИНСКИЙ, ПР-КТ АРХИТЕКТОРОВ, Д. 18, КВ. 28</t>
  </si>
  <si>
    <t>ООО КУЗБАССКИЙ АВТОЦЕНТР ЗАПЧАСТЕЙ</t>
  </si>
  <si>
    <t>654005, РОССИЯ, КЕМЕРОВСКАЯ ОБЛАСТЬ - КУЗБАСС, Г.О. НОВОКУЗНЕЦКИЙ, Г НОВОКУЗНЕЦК, Р-Н ЦЕНТРАЛЬНЫЙ, УЛ ХЛЕБОЗАВОДСКАЯ, Д. 6, ПОМЕЩ. 1</t>
  </si>
  <si>
    <t>654084, РОССИЯ, КЕМЕРОВСКАЯ ОБЛАСТЬ - КУЗБАСС, Г.О. НОВОКУЗНЕЦКИЙ, Г НОВОКУЗНЕЦК, Р-Н ОРДЖОНИКИДЗЕВСКИЙ, УЛ 40 ЛЕТ ПОБЕДЫ, Д. 12, КВ. 63</t>
  </si>
  <si>
    <t>ООО ТРАНСПОРТ</t>
  </si>
  <si>
    <t>654018, КЕМЕРОВСКАЯ ОБЛАСТЬ - КУЗБАСС, Г НОВОКУЗНЕЦК, Ш КОНДОМСКОЕ (ЦЕНТРАЛЬНЫЙ Р-Н), Д. 27, К. 10</t>
  </si>
  <si>
    <t>ООО ЯКУДЗА</t>
  </si>
  <si>
    <t>654007, КЕМЕРОВСКАЯ ОБЛАСТЬ - КУЗБАСС, Г НОВОКУЗНЕЦК, ПР-КТ КУЗНЕЦКСТРОЕВСКИЙ (ЦЕНТРАЛЬНЫЙ Р-Н), Д. 44, КВ. 23</t>
  </si>
  <si>
    <t>ООО АВТОСКАН</t>
  </si>
  <si>
    <t>654007, КЕМЕРОВСКАЯ ОБЛАСТЬ - КУЗБАСС, Г НОВОКУЗНЕЦК, ПР-КТ КУЗНЕЦКСТРОЕВСКИЙ (ЦЕНТРАЛЬНЫЙ Р-Н), Д. 9, КВ. 145</t>
  </si>
  <si>
    <t>ИП ЯВОРСКИЙ АНДРЕЙ СЕРГЕЕВИЧ</t>
  </si>
  <si>
    <t>ООО ТК УГЛЕТОП</t>
  </si>
  <si>
    <t>654066, КЕМЕРОВСКАЯ ОБЛАСТЬ - КУЗБАСС, Г НОВОКУЗНЕЦК, УЛ ТРАНСПОРТНАЯ (ЦЕНТРАЛЬНЫЙ Р-Н), ЗД. 89, К. 3, ОФИС 306</t>
  </si>
  <si>
    <t>654032, КЕМЕРОВСКАЯ ОБЛАСТЬ - КУЗБАСС, Г НОВОКУЗНЕЦК, УЛ ОБНОРСКОГО (КУЗНЕЦКИЙ Р-Н), Д. 182</t>
  </si>
  <si>
    <t>ООО КУЗБАССТРАНСОЙЛ</t>
  </si>
  <si>
    <t>654007, РОССИЯ, КЕМЕРОВСКАЯ ОБЛАСТЬ - КУЗБАСС, Г.О. НОВОКУЗНЕЦКИЙ, Г НОВОКУЗНЕЦК, Р-Н ЦЕНТРАЛЬНЫЙ, ПР-КТ Н.С.ЕРМАКОВА, ЗД. 9А</t>
  </si>
  <si>
    <t>ИП ЕРМАКОВ РОМАН ЕВГЕНЬЕВИЧ</t>
  </si>
  <si>
    <t>ИП МАСЛОВ ПАВЕЛ АЛЕКСАНДРОВИЧ</t>
  </si>
  <si>
    <t>ООО КУЗБАССКИЙ РУДНИК - Н</t>
  </si>
  <si>
    <t>654015, КЕМЕРОВСКАЯ ОБЛАСТЬ - КУЗБАСС, Г НОВОКУЗНЕЦК, УЛ ЕЛАНЬСКАЯ (КУЗНЕЦКИЙ Р-Н), Д.10А, К.6</t>
  </si>
  <si>
    <t>ИП КАТКОВ ВИКТОР ВИКТОРОВИЧ</t>
  </si>
  <si>
    <t>ИП ГЛОТОВ АЛЕКСАНДР ВЛАДИМИРОВИЧ</t>
  </si>
  <si>
    <t>ИП МУРАДЯН АРМЕН МЕРУЖАНОВИЧ</t>
  </si>
  <si>
    <t>ООО ГРАКОС - КОМСЕРВИС</t>
  </si>
  <si>
    <t>652811, КЕМЕРОВСКАЯ ОБЛАСТЬ - КУЗБАСС, Г ОСИННИКИ, УЛ 50 ЛЕТ ОКТЯБРЯ, ЗД. 1/15А</t>
  </si>
  <si>
    <t>МБОУ ШКОЛА № 45</t>
  </si>
  <si>
    <t>653010, КЕМЕРОВСКАЯ ОБЛАСТЬ - КУЗБАСС, Г ПРОКОПЬЕВСК, УЛ 10-Й МИКРОРАЙОН, Д.45</t>
  </si>
  <si>
    <t>ИП СЕЛЮНИН ДАНИЛ АЛЕКСАНДРОВИЧ</t>
  </si>
  <si>
    <t>ИП ГАЗИБАР ЕВГЕНИЙ НИКОЛАЕВИЧ</t>
  </si>
  <si>
    <t>ИП ЛЮБИМОВ ДМИТРИЙ АЛЕКСАНДРОВИЧ</t>
  </si>
  <si>
    <t>ИП Семибратова Александра Валерьевна</t>
  </si>
  <si>
    <t>ИП МОРОДЕНКО СЕРГЕЙ АЛЕКСЕЕВИЧ</t>
  </si>
  <si>
    <t>ИП ЧЕРНЕВИЧ ОЛЕГ ДМИТРИЕВИЧ</t>
  </si>
  <si>
    <t>ИП КУДРИН КОНСТАНТИН АНАТОЛЬЕВИЧ</t>
  </si>
  <si>
    <t>ИП КРЮЧКИНА ЛАРИСА МИХАЙЛОВНА</t>
  </si>
  <si>
    <t>ИП Служаев Юрий Алексеевич</t>
  </si>
  <si>
    <t>ИП ВОЛКОВА ГАЛИНА ГЕННАДЬЕВНА</t>
  </si>
  <si>
    <t>ИП РЯБОВ МИХАИЛ ВСЕВОЛОДОВИЧ</t>
  </si>
  <si>
    <t>ИП САВОКИН МАКСИМ ГЕННАДЬЕВИЧ</t>
  </si>
  <si>
    <t>ИП ТЮРИН СЕРГЕЙ СЕРГЕЕВИЧ</t>
  </si>
  <si>
    <t>ИП САДАТОВ НУРЛАН САЛАМАТ ОГЛЫ</t>
  </si>
  <si>
    <t>ООО СТРОЙБАТ</t>
  </si>
  <si>
    <t>654015, КЕМЕРОВСКАЯ ОБЛАСТЬ - КУЗБАСС, Г НОВОКУЗНЕЦК, ПР-Д ФЕРРОСПЛАВНЫЙ (КУЗНЕЦКИЙ Р-Н), Д.15</t>
  </si>
  <si>
    <t>ООО АУРИС</t>
  </si>
  <si>
    <t>654201, КЕМЕРОВСКАЯ ОБЛАСТЬ - КУЗБАСС, Р-Н НОВОКУЗНЕЦКИЙ, С СОСНОВКА, УЛ РАДУЖНАЯ, Д. 8</t>
  </si>
  <si>
    <t>ООО СИБЦИС</t>
  </si>
  <si>
    <t>654041, РОССИЯ, КЕМЕРОВСКАЯ ОБЛАСТЬ - КУЗБАСС, Г.О. НОВОКУЗНЕЦКИЙ, Г НОВОКУЗНЕЦК, Р-Н КУЙБЫШЕВСКИЙ, УЛ БАТЮШКОВА, Д. 11, КВ. 59</t>
  </si>
  <si>
    <t>ООО Б-24</t>
  </si>
  <si>
    <t>652617, РОССИЯ, КЕМЕРОВСКАЯ ОБЛАСТЬ - КУЗБАСС, Г.О. БЕЛОВСКИЙ, ПГТ ГРАМОТЕИНО, ТРАКТ КУЗНЕЦКИЙ, ЗД. 2, СООР. 1, ОФИС 22</t>
  </si>
  <si>
    <t>ООО ГРИНЛАЙТ</t>
  </si>
  <si>
    <t>654018, КЕМЕРОВСКАЯ ОБЛАСТЬ - КУЗБАСС, Г НОВОКУЗНЕЦК, УЛ ПОЛЕССКАЯ (КУЙБЫШЕВСКИЙ Р-Н), Д. 15, ЭТАЖ 1</t>
  </si>
  <si>
    <t>ИП КОЧЕТКОВ АНАТОЛИЙ ЛЕОНТЬЕВИЧ</t>
  </si>
  <si>
    <t>АО САЛЕК</t>
  </si>
  <si>
    <t>РОССИЯ, КЕМЕРОВСКАЯ ОБЛАСТЬ - КУЗБАСС, М.О. ПРОКОПЬЕВСКИЙ, С БОЛЬШАЯ ТАЛДА, ТЕР. САЛЕК, ЗД. 4</t>
  </si>
  <si>
    <t>ООО ШАХТА ЛИСТВЯЖНАЯ</t>
  </si>
  <si>
    <t>652614, КЕМЕРОВСКАЯ ОБЛАСТЬ - КУЗБАСС, Г БЕЛОВО, ПГТ ГРАМОТЕИНО, МКР ЛИСТВЯЖНЫЙ, Д. 1</t>
  </si>
  <si>
    <t>ИП ВВЕДЕНСКАЯ ОЛЬГА АЛЕКСАНДРОВНА</t>
  </si>
  <si>
    <t>ИП НОВОЛОДСКИЙ КОНСТАНТИН ВИКТОРОВИЧ</t>
  </si>
  <si>
    <t>ИП КРАВЧУК АЛЕКСЕЙ ВАЛЕРЬЕВИЧ</t>
  </si>
  <si>
    <t>ООО АВТОДОКТОР</t>
  </si>
  <si>
    <t>652600, КЕМЕРОВСКАЯ ОБЛАСТЬ - КУЗБАСС, Г БЕЛОВО, УЛ БЕРЕГОВАЯ, ЗД. 5</t>
  </si>
  <si>
    <t>ИП ВОЛОШКА СЕРГЕЙ АЛЕКСАНДРОВИЧ</t>
  </si>
  <si>
    <t>ООО КУЗБАССЕВРОТРЕЙД</t>
  </si>
  <si>
    <t>650517, РОССИЯ, КЕМЕРОВСКАЯ ОБЛАСТЬ - КУЗБАСС, М.О. КЕМЕРОВСКИЙ, П МЕТАЛЛПЛОЩАДКА, УЛ МОЛОДЕЖНАЯ, Д. 52Б, КВ. 80</t>
  </si>
  <si>
    <t>ИП КОРНИШЕВ СЕРГЕЙ ЮРЬЕВИЧ</t>
  </si>
  <si>
    <t>ООО РТЛ</t>
  </si>
  <si>
    <t>654005, РОССИЯ, КЕМЕРОВСКАЯ ОБЛАСТЬ - КУЗБАСС, Г.О. НОВОКУЗНЕЦКИЙ, Г НОВОКУЗНЕЦК, Р-Н ЦЕНТРАЛЬНЫЙ, УЛ ОРДЖОНИКИДЗЕ, Д. 24, ОФИС 412</t>
  </si>
  <si>
    <t>ИП БАСОВ АНДРЕЙ ВИКТОРОВИЧ</t>
  </si>
  <si>
    <t>ИП Трипутнев Антон Викторович</t>
  </si>
  <si>
    <t>ИП ГАЛКИН АНДРЕЙ ЕВГЕНЬЕВИЧ</t>
  </si>
  <si>
    <t>ИП ТИТОВ ДЕНИС МИХАЙЛОВИЧ</t>
  </si>
  <si>
    <t>ИП БЕЛОКОНЬ ИЛЬЯ АЛЕКСАНДРОВИЧ</t>
  </si>
  <si>
    <t>ИП ГУЩИН РОМАН АНАТОЛЬЕВИЧ</t>
  </si>
  <si>
    <t>ООО САКУРА МОТОРС КЕМЕРОВО</t>
  </si>
  <si>
    <t>650010, КЕМЕРОВСКАЯ ОБЛАСТЬ - КУЗБАСС, Г КЕМЕРОВО, УЛ МАЯКОВСКОГО, ЗД. 13, ОФИС МАГАЗИН</t>
  </si>
  <si>
    <t>ИП ЮМАШЕВА НАТАЛЬЯ ИВАНОВНА</t>
  </si>
  <si>
    <t>ООО ДОЛИНА</t>
  </si>
  <si>
    <t>652380, РОССИЯ, КЕМЕРОВСКАЯ ОБЛАСТЬ - КУЗБАСС, М.О. ПРОМЫШЛЕННОВСКИЙ, ПГТ ПРОМЫШЛЕННАЯ, УЛ КРАСНОАРМЕЙСКАЯ, ДВЛД. 20</t>
  </si>
  <si>
    <t>ИП ДОЛЖЕНКОВА ЕКАТЕРИНА ВИКТОРОВНА</t>
  </si>
  <si>
    <t>ООО ДРАЙВ</t>
  </si>
  <si>
    <t>650517, КЕМЕРОВСКАЯ ОБЛАСТЬ - КУЗБАСС, Р-Н КЕМЕРОВСКИЙ, Д СУХОВО, УЛ БАВАРСКАЯ, Д. 7, КВ. 66</t>
  </si>
  <si>
    <t>ООО КУЗБАССКИЙ АВТОЦЕНТР</t>
  </si>
  <si>
    <t>654005, КЕМЕРОВСКАЯ ОБЛАСТЬ - КУЗБАСС, Г.О. НОВОКУЗНЕЦКИЙ, Г НОВОКУЗНЕЦК, Р-Н ЦЕНТРАЛЬНЫЙ, УЛ ХЛЕБОЗАВОДСКАЯ, Д. 6, ПОМЕЩ. 1</t>
  </si>
  <si>
    <t>ООО АВТОЛАЙФ42</t>
  </si>
  <si>
    <t>654066, КЕМЕРОВСКАЯ ОБЛАСТЬ - КУЗБАСС, Г.О. НОВОКУЗНЕЦКИЙ, Г НОВОКУЗНЕЦК, Р-Н ЦЕНТРАЛЬНЫЙ, УЛ ТРАНСПОРТНАЯ, Д. 125, КВ. 170</t>
  </si>
  <si>
    <t>ИП АЛЕКСЕЕВ ДМИТРИЙ НИКОЛАЕВИЧ</t>
  </si>
  <si>
    <t>ООО ТВК</t>
  </si>
  <si>
    <t>652614, КЕМЕРОВСКАЯ ОБЛАСТЬ - КУЗБАСС, Г БЕЛОВО, ПГТ ГРАМОТЕИНО, МКР ЛИСТВЯЖНЫЙ, ЗД. 5, СТР. 1</t>
  </si>
  <si>
    <t>ИП ПОПКОВ ВЛАДИМИР АНАТОЛЬЕВИЧ</t>
  </si>
  <si>
    <t>ИП ПЛОТНИКОВ ВАДИМ ВЛАДИМИРОВИЧ</t>
  </si>
  <si>
    <t>ИП ЧЕРЕМИСИНОВА ЕЛЕНА НИКОЛАЕВНА</t>
  </si>
  <si>
    <t>ИП ВАСЕНКОВ ПЕТР ИВАНОВИЧ</t>
  </si>
  <si>
    <t>ИП ДЕМИДЕНКО АНДРЕЙ ГЕННАДЬЕВИЧ</t>
  </si>
  <si>
    <t>ИП ПОПКОВА ИРИНА АЛЕКСАНДРОВНА</t>
  </si>
  <si>
    <t>ИП ПИТАЕВА ОЛЬГА ВАЛЕНТИНОВНА</t>
  </si>
  <si>
    <t>ООО СИБ.ТЦ</t>
  </si>
  <si>
    <t>650051, КЕМЕРОВСКАЯ ОБЛАСТЬ - КУЗБАСС, Г КЕМЕРОВО, УЛ 2-Я КАМЫШИНСКАЯ, Д.2, К.А</t>
  </si>
  <si>
    <t>ИП ЧИРЮКИН ЮРИЙ МИХАЙЛОВИЧ</t>
  </si>
  <si>
    <t>ИП ЖУКОВ СЕРГЕЙ АНАТОЛЬЕВИЧ</t>
  </si>
  <si>
    <t>ООО ТЕХОЙЛ</t>
  </si>
  <si>
    <t>650033, КЕМЕРОВСКАЯ ОБЛАСТЬ - КУЗБАСС, Г КЕМЕРОВО, УЛ ПОПОВА, Д.9, 161</t>
  </si>
  <si>
    <t>ООО АУДИОМОБИЛЬ</t>
  </si>
  <si>
    <t>650024, КЕМЕРОВСКАЯ ОБЛАСТЬ - КУЗБАСС, Г КЕМЕРОВО, УЛ ЮРИЯ ДВУЖИЛЬНОГО, Д. 2А, ОФИС 1</t>
  </si>
  <si>
    <t>ИП КАРЯГИН АНТОН АЛЕКСАНДРОВИЧ</t>
  </si>
  <si>
    <t>ООО ФЦ КЕМЕРОВО</t>
  </si>
  <si>
    <t>650070, КЕМЕРОВСКАЯ ОБЛАСТЬ - КУЗБАСС, Г КЕМЕРОВО, УЛ ТУХАЧЕВСКОГО, Д. 63, ОФИС 1</t>
  </si>
  <si>
    <t>ООО ДММ СИБИРИ</t>
  </si>
  <si>
    <t>650051, КЕМЕРОВСКАЯ ОБЛАСТЬ - КУЗБАСС, Г КЕМЕРОВО, ПР-КТ КУЗНЕЦКИЙ, Д. 127</t>
  </si>
  <si>
    <t>ИП ПОЛЕВЩИКОВ ЮРИЙ МИХАЙЛОВИЧ</t>
  </si>
  <si>
    <t>ООО КАРТЕЛЬ АВТО</t>
  </si>
  <si>
    <t>654063, КЕМЕРОВСКАЯ ОБЛАСТЬ - КУЗБАСС, Г.О. НОВОКУЗНЕЦКИЙ, Г НОВОКУЗНЕЦК, Р-Н ЦЕНТРАЛЬНЫЙ, УЛ РУДОКОПРОВАЯ, Д. 10, К. 6</t>
  </si>
  <si>
    <t>ООО КТЗ</t>
  </si>
  <si>
    <t>650024, КЕМЕРОВСКАЯ ОБЛАСТЬ - КУЗБАСС, Г КЕМЕРОВО, УЛ БАУМАНА, Д. 53А</t>
  </si>
  <si>
    <t>ООО ФИНКОМ</t>
  </si>
  <si>
    <t>650903, КЕМЕРОВСКАЯ ОБЛАСТЬ - КУЗБАСС, Г.О. КЕМЕРОВСКИЙ, Г КЕМЕРОВО, УЛ ЕЛОВАЯ, Д. 14Б</t>
  </si>
  <si>
    <t>ИП ГАВРИЛОВ ОЛЕГ ИВАНОВИЧ</t>
  </si>
  <si>
    <t>ООО АВТОЦЕНТР КЕМЕРОВО</t>
  </si>
  <si>
    <t>650066, КЕМЕРОВСКАЯ ОБЛАСТЬ - КУЗБАСС, Г КЕМЕРОВО, ПР-КТ ОКТЯБРЬСКИЙ, Д. 2А</t>
  </si>
  <si>
    <t>ООО ТОРГСИТИ</t>
  </si>
  <si>
    <t>650024, КЕМЕРОВСКАЯ ОБЛАСТЬ - КУЗБАСС, Г КЕМЕРОВО, УЛ ЮРИЯ ДВУЖИЛЬНОГО, СТР. 3В, ОФИС 2</t>
  </si>
  <si>
    <t>650024, КЕМЕРОВСКАЯ ОБЛАСТЬ - КУЗБАСС, Г КЕМЕРОВО, УЛ ЮРИЯ ДВУЖИЛЬНОГО, Д. 4, КАБИНЕТ 311</t>
  </si>
  <si>
    <t>ООО ЛВР</t>
  </si>
  <si>
    <t>650066, КЕМЕРОВСКАЯ ОБЛАСТЬ - КУЗБАСС, Г КЕМЕРОВО, ПР-КТ ЛЕНИНА, Д. 75, КВ. 91</t>
  </si>
  <si>
    <t>ГАУЗ КККВД</t>
  </si>
  <si>
    <t>650025, КЕМЕРОВСКАЯ ОБЛАСТЬ - КУЗБАСС, Г КЕМЕРОВО, УЛ РУКАВИШНИКОВА, Д. 41</t>
  </si>
  <si>
    <t>ООО ЭЛИТАВТО КЕМЕРОВО</t>
  </si>
  <si>
    <t>650055, КЕМЕРОВСКАЯ ОБЛАСТЬ - КУЗБАСС, Г КЕМЕРОВО, ПР-КТ КУЗНЕЦКИЙ, Д. 115, ПОМЕЩЕНИЕ 1</t>
  </si>
  <si>
    <t>ООО ТРЕЙД СЕРВИС</t>
  </si>
  <si>
    <t>650033, КЕМЕРОВСКАЯ ОБЛАСТЬ - КУЗБАСС, Г КЕМЕРОВО, УЛ ЩЕРБАКОВА, Д. 12</t>
  </si>
  <si>
    <t>650000, КЕМЕРОВСКАЯ ОБЛАСТЬ - КУЗБАСС, Г.О. КЕМЕРОВСКИЙ, Г КЕМЕРОВО, ПР-КТ СОВЕТСКИЙ, ЗД. 32, ПОМЕЩ. 55</t>
  </si>
  <si>
    <t>ИП ЧИНАХОВ НИКОЛАЙ ЮРЬЕВИЧ</t>
  </si>
  <si>
    <t>ИП ЧУБАРОВ КОНСТАНТИН ВЛАДИМИРОВИЧ</t>
  </si>
  <si>
    <t>ООО КНК ОЙЛ</t>
  </si>
  <si>
    <t>650000, РОССИЯ, КЕМЕРОВСКАЯ ОБЛАСТЬ - КУЗБАСС, Г.О. КЕМЕРОВСКИЙ, Г КЕМЕРОВО, ПР-КТ СОВЕТСКИЙ, Д. 25, ОФИС 407</t>
  </si>
  <si>
    <t>ИП ДЕМЕНТЬЕВ ДМИТРИЙ ВЛАДИСЛАВОВИЧ</t>
  </si>
  <si>
    <t>ИП КОЛУНЦ АРУТЮН ГАГИКОВИЧ</t>
  </si>
  <si>
    <t>ИП САВЕНКОВ МИХАИЛ ИВАНОВИЧ</t>
  </si>
  <si>
    <t>ИП БАЖУТИНА ТАТЬЯНА АЛЕКСАНДРОВНА</t>
  </si>
  <si>
    <t>ИП ПЕТРИЩЕВ БОРИС БОРИСОВИЧ</t>
  </si>
  <si>
    <t>ИП ТУРЧИНА ТАТЬЯНА АЛЕКСАНДРОВНА</t>
  </si>
  <si>
    <t>ИП БЫЧКОВ АЛЕКСАНДР СЕРГЕЕВИЧ</t>
  </si>
  <si>
    <t>ИП АРЖАЕВ ВИКТОР МИХАЙЛОВИЧ</t>
  </si>
  <si>
    <t>ГБУ ДО СШОР КУЗБАССА ПО СПОРТИВНОЙ ГИМНАСТИКЕ ИМ.И.И.МАМЕТЬЕВА</t>
  </si>
  <si>
    <t>652507, КЕМЕРОВСКАЯ ОБЛАСТЬ - КУЗБАСС, Р-Н ЛЕНИНСК-КУЗНЕЦКИЙ, Г ЛЕНИНСК-КУЗНЕЦКИЙ, ПР-КТ ЛЕНИНА, Д. 2А</t>
  </si>
  <si>
    <t>ИП КОЧУБАРОВ КОНСТАНТИН ЛЕОНИДОВИЧ</t>
  </si>
  <si>
    <t>ИП ЮРЧЕНКО АЛЕКСЕЙ НИКОЛАЕВИЧ</t>
  </si>
  <si>
    <t>ООО АВТО МАСТЕР</t>
  </si>
  <si>
    <t>652380, КЕМЕРОВСКАЯ ОБЛАСТЬ - КУЗБАСС, Р-Н ПРОМЫШЛЕННОВСКИЙ, ПГТ ПРОМЫШЛЕННАЯ, УЛ КРУПСКОЙ, Д. 63</t>
  </si>
  <si>
    <t>ИП СКУДАРНОВ ДМИТРИЙ ВАЛЕРИЕВИЧ</t>
  </si>
  <si>
    <t>ИП ЩЕРБИНИН АНДРЕЙ ВАЛЕРИЕВИЧ</t>
  </si>
  <si>
    <t>ИП ВЛАСОВА ЕЛЕНА АЛЕКСАНДРОВНА</t>
  </si>
  <si>
    <t>ИП ДИЦЕЛЬ ВАСИЛИЙ АЛЕКСАНДРОВИЧ</t>
  </si>
  <si>
    <t>ИП СИМАХИН ИЛЬЯ ИГОРЕВИЧ</t>
  </si>
  <si>
    <t>ИП ИШКОВ ЕВГЕНИЙ ВАСИЛЬЕВИЧ</t>
  </si>
  <si>
    <t>ИП ТИМОФЕЕВ МАКСИМ АНАТОЛЬЕВИЧ</t>
  </si>
  <si>
    <t>ИП БАБАНАКОВА ОЛЬГА ПЕТРОВНА</t>
  </si>
  <si>
    <t>ИП РАЙСИХ ВИКТОР АЛЕКСАНДРОВИЧ</t>
  </si>
  <si>
    <t>ИП АНОХИН ЕВГЕНИЙ АНАТОЛЬЕВИЧ</t>
  </si>
  <si>
    <t>ИП САПОНЕНКО СЕРГЕЙ ЛЕОНИДОВИЧ</t>
  </si>
  <si>
    <t>ООО ЮНИТЭК</t>
  </si>
  <si>
    <t>650528, КЕМЕРОВСКАЯ ОБЛАСТЬ - КУЗБАСС, Р-Н КЕМЕРОВСКИЙ, С СИЛИНО, УЛ ЛУГОВАЯ, Д. 9</t>
  </si>
  <si>
    <t>ИП Ткаченко Андрей Сергеевич</t>
  </si>
  <si>
    <t>ООО ШАХТОУПРАВЛЕНИЕ МАЙСКОЕ</t>
  </si>
  <si>
    <t>652711, КЕМЕРОВСКАЯ ОБЛАСТЬ - КУЗБАСС, Р-Н ПРОКОПЬЕВСКИЙ, П ОКТЯБРЬСКИЙ, ПЕР ШКОЛЬНЫЙ, ЗД. 4</t>
  </si>
  <si>
    <t>ООО ТД СДС-ТРЕЙД</t>
  </si>
  <si>
    <t>650036, КЕМЕРОВСКАЯ ОБЛАСТЬ - КУЗБАСС, Г КЕМЕРОВО, УЛ ТЕРЕШКОВОЙ, Д.45</t>
  </si>
  <si>
    <t>ИП ПОЛОВНИКОВ АЛЕКСАНДР ЮРЬЕВИЧ</t>
  </si>
  <si>
    <t>ООО СТАНДАРТ-ОЙЛ</t>
  </si>
  <si>
    <t>650051, КЕМЕРОВСКАЯ ОБЛАСТЬ - КУЗБАСС, Г КЕМЕРОВО, ПР-КТ КУЗНЕЦКИЙ, Д. 137А, ЛИТЕРА Д, КАБИНЕТ 3</t>
  </si>
  <si>
    <t>ИП САДЫКОВ НАИЛЬ МАСХУТОВИЧ</t>
  </si>
  <si>
    <t>ООО КАРТЕЛЬ</t>
  </si>
  <si>
    <t>650517, КЕМЕРОВСКАЯ ОБЛАСТЬ - КУЗБАСС, Р-Н КЕМЕРОВСКИЙ, П МЕТАЛЛПЛОЩАДКА, УЛ РУБИНОВАЯ, Д. 1 Б</t>
  </si>
  <si>
    <t>ИП КОРЖИКОВ АНДРЕЙ ГЕННАДЬЕВИЧ</t>
  </si>
  <si>
    <t>ООО СИБАЛЬЯНС</t>
  </si>
  <si>
    <t>650070, КЕМЕРОВСКАЯ ОБЛАСТЬ - КУЗБАСС, Г КЕМЕРОВО, УЛ ТУХАЧЕВСКОГО, Д.61</t>
  </si>
  <si>
    <t>ИП СТРЕЛКОВ ЕВГЕНИЙ ГЕННАДЬЕВИЧ</t>
  </si>
  <si>
    <t>ИП ГУРЕЕВ АЛЕКСАНДР СЕРГЕЕВИЧ</t>
  </si>
  <si>
    <t>650002, КЕМЕРОВСКАЯ ОБЛАСТЬ - КУЗБАСС, Г.О. КЕМЕРОВСКИЙ, Г КЕМЕРОВО, ПР-КТ ШАХТЕРОВ, Д. 39, ПОМЕЩ. 65</t>
  </si>
  <si>
    <t>ИП ГАВРИЛОВ СЕРГЕЙ АЛЕКСАНДРОВИЧ</t>
  </si>
  <si>
    <t>ООО РЦ КЕМЕРОВО</t>
  </si>
  <si>
    <t>650066, КЕМЕРОВСКАЯ ОБЛАСТЬ - КУЗБАСС, Г КЕМЕРОВО, ПР-КТ ОКТЯБРЬСКИЙ, Д. 2, К. В</t>
  </si>
  <si>
    <t>ИП ФЕДОСОВ АЛЕКСЕЙ СЕРГЕЕВИЧ</t>
  </si>
  <si>
    <t>ООО ПРК</t>
  </si>
  <si>
    <t>650000, КЕМЕРОВСКАЯ ОБЛАСТЬ - КУЗБАСС, Г.О. КЕМЕРОВСКИЙ, Г КЕМЕРОВО, ПР-КТ СОВЕТСКИЙ, ЗД. 32, ПОМЕЩ. 74</t>
  </si>
  <si>
    <t>ООО СИБИРЬСЕРВИСКОМПЛЕКТ</t>
  </si>
  <si>
    <t>650010, КЕМЕРОВСКАЯ ОБЛАСТЬ - КУЗБАСС, Г КЕМЕРОВО, УЛ ИНДУСТРИАЛЬНАЯ, Д. 132</t>
  </si>
  <si>
    <t>ООО КАРЕКС-СИБИРЬ</t>
  </si>
  <si>
    <t>650056, КЕМЕРОВСКАЯ ОБЛАСТЬ - КУЗБАСС, Г.О. КЕМЕРОВСКИЙ, Г КЕМЕРОВО, УЛ ВОЛГОГРАДСКАЯ, Д. 51А, ОФИС 214/1</t>
  </si>
  <si>
    <t>ИП ТИМОФЕЕВ АЛЕКСАНДР АЛЕКСАНДРОВИЧ</t>
  </si>
  <si>
    <t>ООО КАНТЕН</t>
  </si>
  <si>
    <t>650036, КЕМЕРОВСКАЯ ОБЛАСТЬ - КУЗБАСС, Г.О. КЕМЕРОВСКИЙ, Г КЕМЕРОВО, УЛ ТУХАЧЕВСКОГО, Д. 22А, ОФИС 305</t>
  </si>
  <si>
    <t>ООО РУБИКОН</t>
  </si>
  <si>
    <t>650003, КЕМЕРОВСКАЯ ОБЛАСТЬ - КУЗБАСС, Г КЕМЕРОВО, ПР-КТ ХИМИКОВ, Д. 41, ЭТАЖ 3, ПОМЕЩ. 2</t>
  </si>
  <si>
    <t>ООО КТЦ</t>
  </si>
  <si>
    <t>650066, РОССИЯ, КЕМЕРОВСКАЯ ОБЛАСТЬ - КУЗБАСС, Г.О. КЕМЕРОВСКИЙ, Г КЕМЕРОВО, ПР-КТ ЛЕНИНА, Д. 67А, ПОМЕЩ. 62</t>
  </si>
  <si>
    <t>ООО ХОККАЙДО</t>
  </si>
  <si>
    <t>650024, РОССИЯ, КЕМЕРОВСКАЯ ОБЛАСТЬ - КУЗБАСС, Г.О. КЕМЕРОВСКИЙ, Г КЕМЕРОВО, УЛ БАУМАНА, Д. 8В</t>
  </si>
  <si>
    <t>ИП МАКАРОВ РОМАН СЕРГЕЕВИЧ</t>
  </si>
  <si>
    <t>ИП ТРУБАЕВ АРТЕМ АНДРЕЕВИЧ</t>
  </si>
  <si>
    <t>ИП КИРЮХИН КИРИЛЛ СЕРГЕЕВИЧ</t>
  </si>
  <si>
    <t>ИП ГРЕЧУШНИКОВА ВАЛЕНТИНА НИКОЛАЕВНА</t>
  </si>
  <si>
    <t>ООО АККУМУЛЯТОР</t>
  </si>
  <si>
    <t>650025, КЕМЕРОВСКАЯ ОБЛАСТЬ - КУЗБАСС, Г КЕМЕРОВО, ПР-КТ КУЗНЕЦКИЙ, Д.58</t>
  </si>
  <si>
    <t>ИП ЕФИМОВА АНАСТАСИЯ АНАТОЛЬЕВНА</t>
  </si>
  <si>
    <t>ООО УЧАСТОК КОКСОВЫЙ</t>
  </si>
  <si>
    <t>652700, РОССИЯ, КЕМЕРОВСКАЯ ОБЛАСТЬ - КУЗБАСС, Г.О. КИСЕЛЕВСКИЙ, Г КИСЕЛЕВСК, УЛ ЛАЗО, ЗД. 12</t>
  </si>
  <si>
    <t>ИП МОРОЗОВ ЕВГЕНИЙ АНАТОЛЬЕВИЧ</t>
  </si>
  <si>
    <t>ИП КОЧУБАРОВ ТИХОН КОНСТАНТИНОВИЧ</t>
  </si>
  <si>
    <t>ИП КУЗИНА ЕКАТЕРИНА СЕРГЕЕВНА</t>
  </si>
  <si>
    <t>ИП ПАУТОВ АЛЕКСАНДР ВАЛЕРИЕВИЧ</t>
  </si>
  <si>
    <t>ИП ПЕРЕВЕРТУН АЛЕКСАНДР ВИКТОРОВИЧ</t>
  </si>
  <si>
    <t>ПАО ЮЖНЫЙ КУЗБАСС</t>
  </si>
  <si>
    <t>652877, КЕМЕРОВСКАЯ ОБЛАСТЬ - КУЗБАСС, Г МЕЖДУРЕЧЕНСК, УЛ ЮНОСТИ, Д. 6</t>
  </si>
  <si>
    <t>ООО СЕРВИС-АВТО</t>
  </si>
  <si>
    <t>652888, РОССИЯ, КЕМЕРОВСКАЯ ОБЛАСТЬ - КУЗБАСС, М.О. МЕЖДУРЕЧЕНСКИЙ, Г МЕЖДУРЕЧЕНСК, ПР-КТ ШАХТЕРОВ, Д. 19, КВ. 85</t>
  </si>
  <si>
    <t>ИП САМАРИН ВЯЧЕСЛАВ ЮРЬЕВИЧ</t>
  </si>
  <si>
    <t>ИП ДЕВЯТИЯРОВА ВАЛЕНТИНА МАНСУРОВНА</t>
  </si>
  <si>
    <t>ИП Кисельников Роман Николаевич</t>
  </si>
  <si>
    <t>ИП ХВОСТОВ ВИКТОР АЛЕКСАНДРОВИЧ</t>
  </si>
  <si>
    <t>МКУ ЦР ИМЕНИ Л.В. БОРЯК</t>
  </si>
  <si>
    <t>654066, КЕМЕРОВСКАЯ ОБЛАСТЬ - КУЗБАСС, Г НОВОКУЗНЕЦК, УЛ ГРДИНЫ (ЦЕНТРАЛЬНЫЙ Р-Н), Д.8, К.А</t>
  </si>
  <si>
    <t>ООО ФИРМА СИБАВТОЗАПЧАСТЬ</t>
  </si>
  <si>
    <t>654080, КЕМЕРОВСКАЯ ОБЛАСТЬ - КУЗБАСС, Г НОВОКУЗНЕЦК, УЛ ТОЛЬЯТТИ (ЦЕНТРАЛЬНЫЙ Р-Н), Д.70, 24</t>
  </si>
  <si>
    <t>МАУ ОЦ</t>
  </si>
  <si>
    <t>654027, РОССИЯ, КЕМЕРОВСКАЯ ОБЛАСТЬ - КУЗБАСС, Г.О. НОВОКУЗНЕЦКИЙ, Г НОВОКУЗНЕЦК, Р-Н ЦЕНТРАЛЬНЫЙ, УЛ КИРОВА, Д. 26</t>
  </si>
  <si>
    <t>ООО СИБТРЕЙД</t>
  </si>
  <si>
    <t>654217, РОССИЯ, КЕМЕРОВСКАЯ ОБЛАСТЬ - КУЗБАСС, М.О. НОВОКУЗНЕЦКИЙ, П/СТ ТАЛЬЖИНО, УЛ СВЕРДЛОВА, ЗД. 12Г</t>
  </si>
  <si>
    <t>ООО СИБИРЬТЕХНОСЕРВИС</t>
  </si>
  <si>
    <t>ООО ГЕОХОЛДИНГ</t>
  </si>
  <si>
    <t>654005, РОССИЯ, КЕМЕРОВСКАЯ ОБЛАСТЬ - КУЗБАСС, Г.О. НОВОКУЗНЕЦКИЙ, Г НОВОКУЗНЕЦК, Р-Н ЦЕНТРАЛЬНЫЙ, УЛ ОРДЖОНИКИДЗЕ, Д. 21</t>
  </si>
  <si>
    <t>ИП КОПЫЛОВ АНДРЕЙ ПЕТРОВИЧ</t>
  </si>
  <si>
    <t>ИП ЛАЗАРЕНКО СЕРГЕЙ БОРИСОВИЧ</t>
  </si>
  <si>
    <t>ИП ИШКОВА ОЛЬГА СЕРГЕЕВНА</t>
  </si>
  <si>
    <t>ИП КАМКИН АЛЕКСАНДР АЛЕКСАНДРОВИЧ</t>
  </si>
  <si>
    <t>ИП БОГРЯНЦЕВ ВАДИМ СЕРГЕЕВИЧ</t>
  </si>
  <si>
    <t>ИП ЖИГАЧЕВА ОЛЬГА АЛЕКСАНДРОВНА</t>
  </si>
  <si>
    <t>ИП АВЕРКИН КОНСТАНТИН ЮРЬЕВИЧ</t>
  </si>
  <si>
    <t>ИП ХАМЗИН АЛЕКСАНДР САГИТОВИЧ</t>
  </si>
  <si>
    <t>ИП РАССУДОВА ЛЮДМИЛА ПЕТРОВНА</t>
  </si>
  <si>
    <t>ИП Зубарева Евгения Анатольевна</t>
  </si>
  <si>
    <t>ООО ЕВРОКАРД</t>
  </si>
  <si>
    <t>650051, КЕМЕРОВСКАЯ ОБЛАСТЬ - КУЗБАСС, Г КЕМЕРОВО, ПР-КТ КУЗНЕЦКИЙ, Д. 137А, ЛИТЕРА Д, КАБИНЕТ 6</t>
  </si>
  <si>
    <t>ИП ШИШКИН ВЛАДИМИР ВАСИЛЬЕВИЧ</t>
  </si>
  <si>
    <t>ИП БУРОВА ЕЛЕНА ВАСИЛЬЕВНА</t>
  </si>
  <si>
    <t>ИП ПОПОВ АЛЕКСЕЙ АНАТОЛЬЕВИЧ</t>
  </si>
  <si>
    <t>ИП АНТОНОВ ИВАН НИКОЛАЕВИЧ</t>
  </si>
  <si>
    <t>ООО АВТОМОТИВ-КЕМЕРОВО</t>
  </si>
  <si>
    <t>650051, КЕМЕРОВСКАЯ ОБЛАСТЬ - КУЗБАСС, Г КЕМЕРОВО, УЛ 2-Я КАМЫШИНСКАЯ, Д.4</t>
  </si>
  <si>
    <t>ООО СПЕКТР-ОЙЛ</t>
  </si>
  <si>
    <t>650036, КЕМЕРОВСКАЯ ОБЛАСТЬ - КУЗБАСС, Г КЕМЕРОВО, УЛ ТЕРЕШКОВОЙ, ЗД. 41, К. 31</t>
  </si>
  <si>
    <t>ООО СВ-АВТО</t>
  </si>
  <si>
    <t>650517, КЕМЕРОВСКАЯ ОБЛАСТЬ - КУЗБАСС, Р-Н КЕМЕРОВСКИЙ, П МЕТАЛЛПЛОЩАДКА, УЛ РУБИНОВАЯ, ЗД. 2</t>
  </si>
  <si>
    <t>650036, КЕМЕРОВСКАЯ ОБЛАСТЬ - КУЗБАСС, Г.О. КЕМЕРОВСКИЙ, Г КЕМЕРОВО, УЛ ТЕРЕШКОВОЙ, Д. 64, ОФИС 19</t>
  </si>
  <si>
    <t>ИП ГАРИФУЛЛИН КОНСТАНТИН ФАРИТОВИЧ</t>
  </si>
  <si>
    <t>ИП ИМАНКУЛИЕВ МАХМУД РЗА ОГЛЫ</t>
  </si>
  <si>
    <t>ООО ХИМПЛЮС</t>
  </si>
  <si>
    <t>650055, РОССИЯ, КЕМЕРОВСКАЯ ОБЛАСТЬ - КУЗБАСС, Г.О. КЕМЕРОВСКИЙ, Г КЕМЕРОВО, ПР-КТ КУЗНЕЦКИЙ, ЗД. 85, ПОМЕЩ. 21</t>
  </si>
  <si>
    <t>ООО КУЗБАССУАЗЦЕНТР</t>
  </si>
  <si>
    <t>650992, КЕМЕРОВСКАЯ ОБЛАСТЬ - КУЗБАСС, Г КЕМЕРОВО, УЛ КАРБОЛИТОВСКАЯ, Д.1А</t>
  </si>
  <si>
    <t>ООО АВТОБУСЫ И ПОГРУЗЧИКИ</t>
  </si>
  <si>
    <t>650051, КЕМЕРОВСКАЯ ОБЛАСТЬ - КУЗБАСС, Г КЕМЕРОВО, ПР-КТ КУЗНЕЦКИЙ, Д. 127/6, ОФИС 7</t>
  </si>
  <si>
    <t>ООО АВТОМЕХАНИКА-СИБИРЬ</t>
  </si>
  <si>
    <t>650070, КЕМЕРОВСКАЯ ОБЛАСТЬ - КУЗБАСС, Г.О. КЕМЕРОВСКИЙ, Г КЕМЕРОВО, УЛ ТУХАЧЕВСКОГО, ЗД. 52В</t>
  </si>
  <si>
    <t>ИП ЩЕРБИНИНА АНАСТАСИЯ ВЛАДИМИРОВНА</t>
  </si>
  <si>
    <t>ООО МАКРОС</t>
  </si>
  <si>
    <t>650024, КЕМЕРОВСКАЯ ОБЛАСТЬ - КУЗБАСС, Г КЕМЕРОВО, УЛ 1-Я ЛИНИЯ, Д. 14, КВ. 87</t>
  </si>
  <si>
    <t>ИП АКИБОВ АЛЕКСАНДР ГАСАНОВИЧ</t>
  </si>
  <si>
    <t>ИП КАРУЛЯ СЕРГЕЙ АЛЕКСАНДРОВИЧ</t>
  </si>
  <si>
    <t>650004, РОССИЯ, КЕМЕРОВСКАЯ ОБЛАСТЬ - КУЗБАСС, Г.О. КЕМЕРОВСКИЙ, Г КЕМЕРОВО, УЛ СОБОРНАЯ, Д. 5</t>
  </si>
  <si>
    <t>ООО ТСП</t>
  </si>
  <si>
    <t>650036, РОССИЯ, КЕМЕРОВСКАЯ ОБЛАСТЬ - КУЗБАСС, Г.О. КЕМЕРОВСКИЙ, Г КЕМЕРОВО, УЛ ТЕРЕШКОВОЙ, Д. 45, ОФИС 402</t>
  </si>
  <si>
    <t>650070, РОССИЯ, КЕМЕРОВСКАЯ ОБЛАСТЬ - КУЗБАСС, Г.О. КЕМЕРОВСКИЙ, Г КЕМЕРОВО, УЛ ТУХАЧЕВСКОГО, СТР. 50/5, ЭТАЖ 4, ПОМЕЩ. 32</t>
  </si>
  <si>
    <t>ИП ЕРМАКОВ АНДРЕЙ ВИКТОРОВИЧ</t>
  </si>
  <si>
    <t>ИП МИХЕЕВ АНДРЕЙ СЕРГЕЕВИЧ</t>
  </si>
  <si>
    <t>ООО СИБИНПЭКС</t>
  </si>
  <si>
    <t>ИП МАЗАЛОВ ОЛЕГ ВАЛЕНТИНОВИЧ</t>
  </si>
  <si>
    <t>ИП НОВИКОВА АЛЛА МИХАЙЛОВНА</t>
  </si>
  <si>
    <t>ИП Артамонов Геннадий Юрьевич</t>
  </si>
  <si>
    <t>ООО ТАДЕМ ИНВЕСТ</t>
  </si>
  <si>
    <t>652560, КЕМЕРОВСКАЯ ОБЛАСТЬ - КУЗБАСС, Р-Н ЛЕНИНСК-КУЗНЕЦКИЙ, Г ПОЛЫСАЕВО, УЛ КРУПСКОЙ, ЗД. 136, ОФИС 1</t>
  </si>
  <si>
    <t>ИП ШАДРИН ВИТАЛИЙ ВИКТОРОВИЧ</t>
  </si>
  <si>
    <t>ИП ЖУРАВЛЕВ НИКОЛАЙ ИВАНОВИЧ</t>
  </si>
  <si>
    <t>ИП ФЕДЯЕВА АНТОНИНА ВИКТОРОВНА</t>
  </si>
  <si>
    <t>ИП ГУСЕВ ВАЛЕРИЙ ВАЛЕНТИНОВИЧ</t>
  </si>
  <si>
    <t>ИП ОРКИН АЛЕКСЕЙ ВИКТОРОВИЧ</t>
  </si>
  <si>
    <t>ИП ГУСЕВА СОФИЯ РОМАНОВНА</t>
  </si>
  <si>
    <t>ИП ПОРУБОВ ЮРИЙ ВЛАДИМИРОВИЧ</t>
  </si>
  <si>
    <t>Кировская область</t>
  </si>
  <si>
    <t>ООО ДУБРОВКА</t>
  </si>
  <si>
    <t>613223, КИРОВСКАЯ ОБЛАСТЬ, Р-Н БЕЛОХОЛУНИЦКИЙ, П ДУБРОВКА, УЛ ЛЕНИНА, Д.10</t>
  </si>
  <si>
    <t>ИП ШИТОВА ОЛЬГА ВЯЧЕСЛАВОВНА</t>
  </si>
  <si>
    <t>ООО БОРОВИЧОК</t>
  </si>
  <si>
    <t>612820, КИРОВСКАЯ ОБЛАСТЬ, Р-Н ВЕРХНЕКАМСКИЙ, Г КИРС, УЛ ОСТРОВСКОГО, Д. 8</t>
  </si>
  <si>
    <t>ИП МАКАРОВ ЕВГЕНИЙ АЛЕКСАНДРОВИЧ</t>
  </si>
  <si>
    <t>ИП СИГАЕВ СЕРГЕЙ ЮРЬЕВИЧ</t>
  </si>
  <si>
    <t>ИП ГАРИПОВ РИШАТ ГАБДУЛМАЛИКОВИЧ</t>
  </si>
  <si>
    <t>ИП ГАБОВ СЕРГЕЙ ВАЛЕНТИНОВИЧ</t>
  </si>
  <si>
    <t>ИП СЕЛЕЗНЁВА АНЖЕЛИКА НИКОЛАЕВНА</t>
  </si>
  <si>
    <t>ИП Арафайлов Сергей Николаевич</t>
  </si>
  <si>
    <t>ООО ХОРОШИЕ ЛЮДИ</t>
  </si>
  <si>
    <t>612820, КИРОВСКАЯ ОБЛАСТЬ, Р-Н ВЕРХНЕКАМСКИЙ, Г КИРС, УЛ ЛЕНИНА, ДОМ 84</t>
  </si>
  <si>
    <t>ИП ГАЛАНИНА ТАТЬЯНА АНАТОЛЬЕВНА</t>
  </si>
  <si>
    <t>ИП ОВЧИННИКОВ ОЛЕГ ВАЛЕРЬЕВИЧ</t>
  </si>
  <si>
    <t>ИП Голубев Игорь Вадимович</t>
  </si>
  <si>
    <t>ИП ИВАНКИН АНАТОЛИЙ ВИТАЛЬЕВИЧ</t>
  </si>
  <si>
    <t>ИП СЕНЮКОВА АНАСТАСИЯ ВЛАДИСЛАВОВНА</t>
  </si>
  <si>
    <t>ИП ГАЛИМЗЯНОВ РИНАТ ИЛЬДУСОВИЧ</t>
  </si>
  <si>
    <t>ИП ГРЯЗНОВА ЕМИЛИЯ ИСАЕВНА</t>
  </si>
  <si>
    <t>ИП БАРАНОВ ВЛАДИМИР СЕРГЕЕВИЧ</t>
  </si>
  <si>
    <t>ООО ТОПЛИВНАЯ КОМПАНИЯ</t>
  </si>
  <si>
    <t>613130, КИРОВСКАЯ ОБЛАСТЬ, М.Р-Н СЛОБОДСКОЙ, С.П. ИЛЬИНСКОЕ, СООР. 1/651</t>
  </si>
  <si>
    <t>ООО СУНСКИЙ АГРОСНАБ</t>
  </si>
  <si>
    <t>612450, КИРОВСКАЯ ОБЛАСТЬ, Р-Н СУНСКИЙ, П БОЛЬШЕВИК, УЛ ИМ А.А.ОБЖЕРИНА, Д. 27</t>
  </si>
  <si>
    <t>ИП АНТЫШЕВ ДМИТРИЙ ВАЛЕРЬЕВИЧ</t>
  </si>
  <si>
    <t>ИП КАЗАКОВ РОМАН СЕРГЕЕВИЧ</t>
  </si>
  <si>
    <t>ИП КОПТЕЛОВ ДМИТРИЙ АЛЕКСЕЕВИЧ</t>
  </si>
  <si>
    <t>ИП ЛУТОШКИН АРТЕМ АНАТОЛЬЕВИЧ</t>
  </si>
  <si>
    <t>ООО ЧЕПЕЦКНЕФТЕПРОДУКТ</t>
  </si>
  <si>
    <t>613048, КИРОВСКАЯ ОБЛАСТЬ, Г КИРОВО-ЧЕПЕЦК, УЛ МЕЛИОРАТОРОВ (ПРИГОРОДНЫЙ КВ-Л), Д. 26</t>
  </si>
  <si>
    <t>ИП Бяков Юрий Викторович</t>
  </si>
  <si>
    <t>ИП ЧЕТВЕРИКОВ АЛЕКСАНДР ИГОРЕВИЧ</t>
  </si>
  <si>
    <t>ООО САВА</t>
  </si>
  <si>
    <t>610008, КИРОВСКАЯ ОБЛАСТЬ, Г КИРОВ, УЛ ТРАКТОВАЯ (СЛОБОДА СОШЕНИ ТЕР.), Д.4</t>
  </si>
  <si>
    <t>ИП БАБИЦКАЯ ОЛЬГА ЕВГЕНЬЕВНА</t>
  </si>
  <si>
    <t>ООО АВТО-ТЕСТ</t>
  </si>
  <si>
    <t>610042, КИРОВСКАЯ ОБЛАСТЬ, Г КИРОВ, УЛ СЕВЕРО-САДОВАЯ, Д.16, К.А</t>
  </si>
  <si>
    <t>ООО ТК</t>
  </si>
  <si>
    <t>610017, КИРОВСКАЯ ОБЛАСТЬ, Г КИРОВ, УЛ МОЛОДОЙ ГВАРДИИ, Д.84/2</t>
  </si>
  <si>
    <t>ООО МБ-КИРОВ</t>
  </si>
  <si>
    <t>610047, КИРОВСКАЯ ОБЛАСТЬ, Г КИРОВ, УЛ ДЗЕРЖИНСКОГО, Д.77</t>
  </si>
  <si>
    <t>ООО АВД ГРУП</t>
  </si>
  <si>
    <t>610020, КИРОВСКАЯ ОБЛАСТЬ, Г КИРОВ, УЛ ВЛАДИМИРСКАЯ, Д. 4</t>
  </si>
  <si>
    <t>ООО СИЖАН</t>
  </si>
  <si>
    <t>ООО ТЕХНОСИНТЕЗ</t>
  </si>
  <si>
    <t>610006, КИРОВСКАЯ ОБЛАСТЬ, Г КИРОВ, УЛ СЕВЕРНОЕ КОЛЬЦО, Д. 30, ОФИС 20</t>
  </si>
  <si>
    <t>ИП КОКОРИНА ОКСАНА ВЕНИАМИНОВНА</t>
  </si>
  <si>
    <t>ИП МАСЛЕННИКОВА ЕКАТЕРИНА АЛЕКСАНДРОВНА</t>
  </si>
  <si>
    <t>ООО ВЕРКЕРАВТО</t>
  </si>
  <si>
    <t>610000, КИРОВСКАЯ ОБЛАСТЬ, Г КИРОВ, УЛ СУРИКОВА, Д.14, К.1, 63</t>
  </si>
  <si>
    <t>ООО НОРМОТЕХ</t>
  </si>
  <si>
    <t>610018, КИРОВСКАЯ ОБЛАСТЬ, Р-Н СЛОБОДСКОЙ, Д ПОДБЕРЕЗЫ, ЗД. 87, ОФИС 1</t>
  </si>
  <si>
    <t>ИП МАСЛОВ АЛЕКСЕЙ ВЛАДИМИРОВИЧ</t>
  </si>
  <si>
    <t>610001, КИРОВСКАЯ ОБЛАСТЬ, Г КИРОВ, УЛ КРАСИНА, Д. 7, ПОМЕЩ. 1002</t>
  </si>
  <si>
    <t>ООО АВД ПРЕМИУМ</t>
  </si>
  <si>
    <t>ООО ЕВРОКАР</t>
  </si>
  <si>
    <t>610025, КИРОВСКАЯ ОБЛАСТЬ, Г КИРОВ, П ЧИСТЫЕ ПРУДЫ, УЛ СОВЕТСКАЯ, Д. 10Г</t>
  </si>
  <si>
    <t>ИП МЯСНИКОВА ТАТЬЯНА ВАСИЛЬЕВНА</t>
  </si>
  <si>
    <t>ООО АЙРОНПАРТС</t>
  </si>
  <si>
    <t>610014, КИРОВСКАЯ ОБЛАСТЬ, Г КИРОВ, УЛ БАЗОВАЯ, Д. 4, ОФИС 213</t>
  </si>
  <si>
    <t>ООО ХИМПРОМ43</t>
  </si>
  <si>
    <t>610050, КИРОВСКАЯ ОБЛАСТЬ, Г КИРОВ, УЛ СОЛНЕЧНАЯ, Д. 12, КВ. 11</t>
  </si>
  <si>
    <t>ООО ТОРГСЕРВИС 43</t>
  </si>
  <si>
    <t>610008, КИРОВСКАЯ ОБЛАСТЬ, Г КИРОВ, УЛ ТРАКТОВАЯ (СЛОБОДА СОШЕНИ ТЕР.), Д. 1/4</t>
  </si>
  <si>
    <t>ИП ЗЫКОВ ДМИТРИЙ НИКОЛАЕВИЧ</t>
  </si>
  <si>
    <t>ООО ПРОФИОЙЛ</t>
  </si>
  <si>
    <t>610014, КИРОВСКАЯ ОБЛАСТЬ, Г КИРОВ, УЛ БАЗОВАЯ, Д. 7, ЭТАЖ/ОФИС 2/202</t>
  </si>
  <si>
    <t>ИП МАКАРОВ СЕРГЕЙ АНДРЕЕВИЧ</t>
  </si>
  <si>
    <t>ИП ЛЮБОМИРСКАЯ ВИКТОРИЯ ВАЛЕРЬЕВНА</t>
  </si>
  <si>
    <t>ИП СМИРНОВ АЛЕКСАНДР АНДРЕЕВИЧ</t>
  </si>
  <si>
    <t>ИП ЗЛОБИН ГЕННАДИЙ ГЕННАДЬЕВИЧ</t>
  </si>
  <si>
    <t>ИП КАЗАКОВ ВЛАДИМИР БОРИСОВИЧ</t>
  </si>
  <si>
    <t>ООО ПКФ ЯРИС</t>
  </si>
  <si>
    <t>610006, КИРОВСКАЯ ОБЛАСТЬ, Г КИРОВ, УЛ СЕВЕРНОЕ КОЛЬЦО, Д.22А</t>
  </si>
  <si>
    <t>ООО ФИРМА ТРАНС-МОБИЛЬ</t>
  </si>
  <si>
    <t>610014, КИРОВСКАЯ ОБЛАСТЬ, Г КИРОВ, УЛ БАЗОВАЯ, Д. 7А</t>
  </si>
  <si>
    <t>ООО ЗАРЯД</t>
  </si>
  <si>
    <t>610004, КИРОВСКАЯ ОБЛАСТЬ, Г КИРОВ, УЛ ПРОФСОЮЗНАЯ, Д.9</t>
  </si>
  <si>
    <t>ИП НОСКОВ ЮРИЙ ВАЛЕНТИНОВИЧ</t>
  </si>
  <si>
    <t>ИП ОЛЕНЕВ СЕРГЕЙ АЛЕКСАНДРОВИЧ</t>
  </si>
  <si>
    <t>ООО МУХИНСКОЕ РТП</t>
  </si>
  <si>
    <t>612400, РОССИЯ, КИРОВСКАЯ ОБЛАСТЬ, М.Р-Н ЗУЕВСКИЙ, С МУХИНО, С.П. МУХИНСКОЕ, УЛ СОВЕТСКАЯ, Д. 41</t>
  </si>
  <si>
    <t>ИП ГРИШИН ВЛАДИМИР АНАТОЛЬЕВИЧ</t>
  </si>
  <si>
    <t>КИКНУРСКОЕ РАЙПО</t>
  </si>
  <si>
    <t>612300, КИРОВСКАЯ ОБЛАСТЬ, Р-Н КИКНУРСКИЙ, ПГТ КИКНУР, УЛ СВОБОДЫ, Д.2, -, -</t>
  </si>
  <si>
    <t>ИП КУКОВЯКИН ВЛАДИМИР НИКОЛАЕВИЧ</t>
  </si>
  <si>
    <t>ИП Владимиров Роман Олегович</t>
  </si>
  <si>
    <t>ООО КЧЗ АГРОХИМИКАТ</t>
  </si>
  <si>
    <t>613048, КИРОВСКАЯ ОБЛАСТЬ, Г КИРОВО-ЧЕПЕЦК, УЛ ПРОИЗВОДСТВЕННАЯ, Д.6</t>
  </si>
  <si>
    <t>ООО ДВИЖЕНИЕ-АВТОМАСЛА</t>
  </si>
  <si>
    <t>610014, КИРОВСКАЯ ОБЛАСТЬ, Г КИРОВ, УЛ БАЗОВАЯ, Д. 2</t>
  </si>
  <si>
    <t>ООО ИМПЕРИЯ</t>
  </si>
  <si>
    <t>613044, КИРОВСКАЯ ОБЛАСТЬ, Г КИРОВО-ЧЕПЕЦК, УЛ ЧЕПЕЦКАЯ, Д.22, 61</t>
  </si>
  <si>
    <t>ИП Бахаев Муса Харонович</t>
  </si>
  <si>
    <t>ИП ЗЕМЦОВ СЕРГЕЙ ВАЛЕРЬЕВИЧ</t>
  </si>
  <si>
    <t>ИП МИЛЬЧАКОВ ВАДИМ ИВАНОВИЧ</t>
  </si>
  <si>
    <t>ИП ШАБАЛИН МИХАИЛ АЛЕКСАНДРОВИЧ</t>
  </si>
  <si>
    <t>ИП БАРАНОВ СЕРГЕЙ БОРИСОВИЧ</t>
  </si>
  <si>
    <t>ИП СЕНТЁБОВ КОНСТАНТИН АЛЕКСЕЕВИЧ</t>
  </si>
  <si>
    <t>ИП ЖИТЛУХИН АНДРЕЙ СЕРГЕЕВИЧ</t>
  </si>
  <si>
    <t>ИП МИКРЮКОВ ИГОРЬ ВЛАДИМИРОВИЧ</t>
  </si>
  <si>
    <t>ИП ШУМОВ СЕРГЕЙ БОРИСОВИЧ</t>
  </si>
  <si>
    <t>ИП ДЕЙНЕКО ВЛАДИМИР АНТОНОВИЧ</t>
  </si>
  <si>
    <t>ИП КОТРЯХОВА ИРИНА АЛЕКСАНДРОВНА</t>
  </si>
  <si>
    <t>ИП ГУБИНА СВЕТЛАНА НИКОЛАЕВНА</t>
  </si>
  <si>
    <t>ИП МЕНЧИКОВ АЛЕКСЕЙ СЕРГЕЕВИЧ</t>
  </si>
  <si>
    <t>ИП БАТУХТИН РОМАН АНАТОЛЬЕВИЧ</t>
  </si>
  <si>
    <t>ИП Морозов Владимир Александрович</t>
  </si>
  <si>
    <t>ИП КОДОЛОВА ВЕРА АЛЕКСАНДРОВНА</t>
  </si>
  <si>
    <t>ИП МАЛЬЦЕВ СЕРГЕЙ ПЕТРОВИЧ</t>
  </si>
  <si>
    <t>ИП КАШИН ДЕНИС ВЯЧЕСЛАВОВИЧ</t>
  </si>
  <si>
    <t>ИП СМЫШЛЯЕВ ЕВГЕНИЙ ВЛАДИМИРОВИЧ</t>
  </si>
  <si>
    <t>ИП КОЖИНОВА ЭЛЬВИРА ВАСИЛЬЕВНА</t>
  </si>
  <si>
    <t>ИП Мальцев Евгений Николаевич</t>
  </si>
  <si>
    <t>ИП КОРЯКИН ДМИТРИЙ ВАЛЕНТИНОВИЧ</t>
  </si>
  <si>
    <t>ИП ВЕРБОВОЙ ВЛАДИСЛАВ АЛЕКСАНДРОВИЧ</t>
  </si>
  <si>
    <t>ИП ВАСЕНЁВ АНАТОЛИЙ ПАВЛОВИЧ</t>
  </si>
  <si>
    <t>ИП ВЫЧЕГЖАНИН РОМАН ВЛАДИСЛАВОВИЧ</t>
  </si>
  <si>
    <t>ИП СУХИХ ВАДИМ ЛЕОНИДОВИЧ</t>
  </si>
  <si>
    <t>ООО ТРАСТ</t>
  </si>
  <si>
    <t>610035, КИРОВСКАЯ ОБЛАСТЬ, Г.О. ГОРОД КИРОВ, Г КИРОВ, УЛ СУРИКОВА, Д. 34, ПОМЕЩ. 1001</t>
  </si>
  <si>
    <t>ООО ВЕГА</t>
  </si>
  <si>
    <t>610014, КИРОВСКАЯ ОБЛАСТЬ, Г КИРОВ, УЛ ЩОРСА, Д.95</t>
  </si>
  <si>
    <t>ООО АВЕРС</t>
  </si>
  <si>
    <t>612410, КИРОВСКАЯ ОБЛАСТЬ, Р-Н ЗУЕВСКИЙ, Г ЗУЕВКА, УЛ МЕЛИОРАТИВНАЯ, СООР. 2А</t>
  </si>
  <si>
    <t>ООО МЕГА-ОЙЛ КИРОВ</t>
  </si>
  <si>
    <t>610014, КИРОВСКАЯ ОБЛАСТЬ, Г КИРОВ, УЛ ТЕХНИЧЕСКАЯ, Д. 15, ОФИС 1</t>
  </si>
  <si>
    <t>ИП БАБИЦКИЙ АЛЕКСЕЙ ЮРЬЕВИЧ</t>
  </si>
  <si>
    <t>ИП ЗЛОБИНА ЕЛЕНА ГЕННАДЬЕВНА</t>
  </si>
  <si>
    <t>ИП ЗУБАРЕВ АНДРЕЙ ВЛАДИМИРОВИЧ</t>
  </si>
  <si>
    <t>ООО ВКУСНОДЕЛЫ</t>
  </si>
  <si>
    <t>610035, КИРОВСКАЯ ОБЛАСТЬ, Г КИРОВ, УЛ СУРИКОВА, Д. 19, ОФИС 29</t>
  </si>
  <si>
    <t>ООО ОМЕГА-СНАБ</t>
  </si>
  <si>
    <t>610014, КИРОВСКАЯ ОБЛАСТЬ, Г КИРОВ, УЛ ИВАНА ПОПОВА, Д.38</t>
  </si>
  <si>
    <t>ИП БОРЦОВА ИРИНА ВАЛЕРЬЕВНА</t>
  </si>
  <si>
    <t>ООО ТК ОЙЛ</t>
  </si>
  <si>
    <t>610017, КИРОВСКАЯ ОБЛАСТЬ, Г КИРОВ, ПЕР СТАЛЬНОЙ, Д.7, 30</t>
  </si>
  <si>
    <t>ИП ПОЗОЛОТИН ЕВГЕНИЙ ВАЛЕРЬЕВИЧ</t>
  </si>
  <si>
    <t>ООО ДЕЛЬТАПЛАН</t>
  </si>
  <si>
    <t>610035, КИРОВСКАЯ ОБЛАСТЬ, Г.О. ГОРОД КИРОВ, Г КИРОВ, ПРОЕЗД ХЛЕБОЗАВОДСКОЙ, ЗД. 11, СТР. 1</t>
  </si>
  <si>
    <t>ООО ЕМЕХ-ВЯТКА</t>
  </si>
  <si>
    <t>610046, КИРОВСКАЯ ОБЛАСТЬ, Г КИРОВ, УЛ РОМАНА ЕРДЯКОВА, Д. 23Г, ОФИС 1</t>
  </si>
  <si>
    <t>ООО АЗС СЕРВИС</t>
  </si>
  <si>
    <t>610014, КИРОВСКАЯ ОБЛАСТЬ, Г КИРОВ, УЛ ПРОИЗВОДСТВЕННАЯ, Д. 28, ЛИТЕР А, ОФИС 1</t>
  </si>
  <si>
    <t>ООО ВИС</t>
  </si>
  <si>
    <t>610035, РОССИЯ, КИРОВСКАЯ ОБЛАСТЬ, Г.О. ГОРОД КИРОВ, Г КИРОВ, УЛ КАЛИНИНА, Д. 40, ПОМЕЩ. 1200</t>
  </si>
  <si>
    <t>ООО ТРАНСАЗИЯ</t>
  </si>
  <si>
    <t>610014, КИРОВСКАЯ ОБЛАСТЬ, Г.О. ГОРОД КИРОВ, Г КИРОВ, УЛ ПРОИЗВОДСТВЕННАЯ, Д. 44, ПОМЕЩ. 1008</t>
  </si>
  <si>
    <t>ООО ОБСЛУЖИВАНИЕ АЗС</t>
  </si>
  <si>
    <t>610035, КИРОВСКАЯ ОБЛАСТЬ, Г КИРОВ, УЛ ПРОИЗВОДСТВЕННАЯ, Д. 28, ОФИС 2</t>
  </si>
  <si>
    <t>ООО АВТОФОРМАТ</t>
  </si>
  <si>
    <t>610008, КИРОВСКАЯ ОБЛАСТЬ, Г КИРОВ, УЛ ДУБРАВНАЯ (СЛОБОДА КОКУЙ ТЕР.), Д. 7</t>
  </si>
  <si>
    <t>610048, РОССИЯ, КИРОВСКАЯ ОБЛАСТЬ, Г.О. ГОРОД КИРОВ, Г КИРОВ, УЛ МОСКОВСКАЯ, Д. 140, КВ. 155</t>
  </si>
  <si>
    <t>ООО ТЕХНООЙЛ</t>
  </si>
  <si>
    <t>610014, РОССИЯ, КИРОВСКАЯ ОБЛАСТЬ, Г.О. ГОРОД КИРОВ, Г КИРОВ, УЛ БАЗОВАЯ, Д. 19</t>
  </si>
  <si>
    <t>ИП МЯСНИКОВА ЕЛЕНА СЕРГЕЕВНА</t>
  </si>
  <si>
    <t>ИП ПАЛЕШЕВА НАДЕЖДА ВЛАДИМИРОВНА</t>
  </si>
  <si>
    <t>ИП ДРАГАН ИВАН ИВАНОВИЧ</t>
  </si>
  <si>
    <t>ИП КУЗНЕЦОВ МИХАИЛ ЮРЬЕВИЧ</t>
  </si>
  <si>
    <t>ИП КАЗАНЦЕВ ГРИГОРИЙ АНДРЕЕВИЧ</t>
  </si>
  <si>
    <t>ИП НОСКОВ ЛЕОНИД ВАЛЕНТИНОВИЧ</t>
  </si>
  <si>
    <t>ООО ФИРМА ГЕММА</t>
  </si>
  <si>
    <t>610014, КИРОВСКАЯ ОБЛАСТЬ, Г.О. ГОРОД КИРОВ, Г КИРОВ, УЛ ПРОИЗВОДСТВЕННАЯ, Д. 50А, ПОМЕЩ. 45</t>
  </si>
  <si>
    <t>ИП СУХИХ ЮРИЙ ВАСИЛЬЕВИЧ</t>
  </si>
  <si>
    <t>АО ИСКОЖ</t>
  </si>
  <si>
    <t>613048, КИРОВСКАЯ ОБЛАСТЬ, Г КИРОВО-ЧЕПЕЦК, УЛ МЕЛИОРАТОРОВ (ПРИГОРОДНЫЙ КВ-Л), Д.1, К.А</t>
  </si>
  <si>
    <t>ИП СКОМОРОХОВ АЛЕКСАНДР ЛЕОНИДОВИЧ</t>
  </si>
  <si>
    <t>ИП САЗАНОВ АЛЕКСАНДР СЕРГЕЕВИЧ</t>
  </si>
  <si>
    <t>ООО АЛЬБИОЙЛ</t>
  </si>
  <si>
    <t>612920, КИРОВСКАЯ ОБЛАСТЬ, Р-Н МАЛМЫЖСКИЙ, Г МАЛМЫЖ, УЛ К.МАРКСА, Д. 81, ОФИС 3</t>
  </si>
  <si>
    <t>ИП НИЗАМУТДИНОВ РАШАТ МАУСИЛЬЕВИЧ</t>
  </si>
  <si>
    <t>ИП КОНСТАНТИНОВ СЕРГЕЙ ВАЛЕРЬЕВИЧ</t>
  </si>
  <si>
    <t>ИП ГАРИФОВ РАНИФ ФАРИТОВИЧ</t>
  </si>
  <si>
    <t>ИП ОКИШЕВ КОНСТАНТИН ВИКТОРОВИЧ</t>
  </si>
  <si>
    <t>КОГПОАУ НПТ</t>
  </si>
  <si>
    <t>613441, КИРОВСКАЯ ОБЛАСТЬ, Р-Н НОЛИНСКИЙ, Г НОЛИНСК, УЛ КОММУНЫ, Д. 61</t>
  </si>
  <si>
    <t>ИП ЧИРКОВ ВЛАДИМИР АЛЕКСАНДРОВИЧ</t>
  </si>
  <si>
    <t>КОГПОАУ ОПТ</t>
  </si>
  <si>
    <t>612741, КИРОВСКАЯ ОБЛАСТЬ, Р-Н ОМУТНИНСКИЙ, Г ОМУТНИНСК, УЛ САДОВАЯ, Д. 51</t>
  </si>
  <si>
    <t>ИП КИСЛИЦЫН ИГОРЬ НИКОЛАЕВИЧ</t>
  </si>
  <si>
    <t>ИП КОРСАКОВ ВЛАДИМИР ВИТАЛЬЕВИЧ</t>
  </si>
  <si>
    <t>ИП КОНАКОВА ЕЛЕНА СЕРГЕЕВНА</t>
  </si>
  <si>
    <t>ИП ШВЕЦОВ ПАВЕЛ ВЛАДИМИРОВИЧ</t>
  </si>
  <si>
    <t>ИП МАЛЫГИНА ЕКАТЕРИНА АНАТОЛЬЕВНА</t>
  </si>
  <si>
    <t>ИП СОФРОНОВ АНДРЕЙ ИВАНОВИЧ</t>
  </si>
  <si>
    <t>ИП СМИРНОВ АЛЕКСАНДР НИКОЛАЕВИЧ</t>
  </si>
  <si>
    <t>ИП МЕРКУШЕВА ТАТЬЯНА АНАТОЛЬЕВНА</t>
  </si>
  <si>
    <t>ИП ЧЕРНЫШОВ ЕВГЕНИЙ НИКОЛАЕВИЧ</t>
  </si>
  <si>
    <t>ИП ХРАМОВ ДМИТРИЙ ВАЛЕРЬЕВИЧ</t>
  </si>
  <si>
    <t>ИП МЯЧИН РОМАН НИКОЛАЕВИЧ</t>
  </si>
  <si>
    <t>ИП ТАРАСОВ СЕРГЕЙ ВЛАДИМИРОВИЧ</t>
  </si>
  <si>
    <t>ИП ВАСИЛЬЕВА ОЛЬГА СЕРГЕЕВНА</t>
  </si>
  <si>
    <t>ИП СИТНИКОВА ГАЛИНА ВЛАДИМИРОВНА</t>
  </si>
  <si>
    <t>ИП МАШКОВЦЕВ АРТЕМ АНДРЕЕВИЧ</t>
  </si>
  <si>
    <t>ООО ВЯТУШКА АГРО</t>
  </si>
  <si>
    <t>610035, КИРОВСКАЯ ОБЛАСТЬ, Г КИРОВ, УЛ ВОРОВСКОГО, Д.105</t>
  </si>
  <si>
    <t>ООО ТЕХЦЕНТР ГУСАР</t>
  </si>
  <si>
    <t>610014, КИРОВСКАЯ ОБЛАСТЬ, Г КИРОВ, УЛ ПРОИЗВОДСТВЕННАЯ, Д.27, К.1</t>
  </si>
  <si>
    <t>ООО  АГРОПРОМ</t>
  </si>
  <si>
    <t>610035, КИРОВСКАЯ ОБЛАСТЬ, Г КИРОВ, УЛ ПОТРЕБКООПЕРАЦИИ, Д.18</t>
  </si>
  <si>
    <t>ООО ТОРМ</t>
  </si>
  <si>
    <t>610007, КИРОВСКАЯ ОБЛАСТЬ, Г КИРОВ, УЛ ЛЕНИНА, Д. 152, КВ. 52</t>
  </si>
  <si>
    <t>ООО ТРАНСПОРТНЫЕ МАСЛА</t>
  </si>
  <si>
    <t>610035, КИРОВСКАЯ ОБЛАСТЬ, Г КИРОВ, УЛ ПРОИЗВОДСТВЕННАЯ, Д.39</t>
  </si>
  <si>
    <t>ООО ПКФ АГРОТЕХНИКА</t>
  </si>
  <si>
    <t>ИП ПРОКОШЕВА ИРИНА ЛЕОНИДОВНА</t>
  </si>
  <si>
    <t>ИП СМИРНОВА МАРИЯ СЕРГЕЕВНА</t>
  </si>
  <si>
    <t>ИП МАЛЬЦЕВ АНТОН АНДРЕЕВИЧ</t>
  </si>
  <si>
    <t>ИП МАЛЫХ ОЛЕГ ЕВГЕНЬЕВИЧ</t>
  </si>
  <si>
    <t>ООО СЕВТЕХСНАБ</t>
  </si>
  <si>
    <t>610998, КИРОВСКАЯ ОБЛАСТЬ, Г КИРОВ, УЛ ПОТРЕБКООПЕРАЦИИ, Д. 17, ОФИС 7</t>
  </si>
  <si>
    <t>ИП ПЛЕТЕНЕВ РОМАН АНАТОЛЬЕВИЧ</t>
  </si>
  <si>
    <t>ИП ПАРФЕНОВ ВИТАЛИЙ ЛЕОНИДОВИЧ</t>
  </si>
  <si>
    <t>ИП АСАНОВ СЕРГЕЙ ВАЛЕРЬЕВИЧ</t>
  </si>
  <si>
    <t>ООО ВЯТКАРИТЕЙЛ</t>
  </si>
  <si>
    <t>610017, РОССИЯ, КИРОВСКАЯ ОБЛАСТЬ, Г.О. ГОРОД КИРОВ, Г КИРОВ, УЛ МАКЛИНА, Д. 7, ПОМЕЩ. 1001</t>
  </si>
  <si>
    <t>610030, РОССИЯ, КИРОВСКАЯ ОБЛАСТЬ, Г.О. ГОРОД КИРОВ, Г КИРОВ, УЛ ПРУДНАЯ, Д. 51, ПОМЕЩ. 2</t>
  </si>
  <si>
    <t>ООО ИСТ</t>
  </si>
  <si>
    <t>610002, РОССИЯ, КИРОВСКАЯ ОБЛАСТЬ, Г.О. ГОРОД КИРОВ, Г КИРОВ, УЛ ЛЕНИНА, Д. 92, ОФИС 3</t>
  </si>
  <si>
    <t>610014, РОССИЯ, КИРОВСКАЯ ОБЛАСТЬ, Г.О. ГОРОД КИРОВ, Г КИРОВ, УЛ ПРОИЗВОДСТВЕННАЯ, Д. 38</t>
  </si>
  <si>
    <t>610001, РОССИЯ, КИРОВСКАЯ ОБЛАСТЬ, Г.О. ГОРОД КИРОВ, Г КИРОВ, УЛ КОМСОМОЛЬСКАЯ, Д. 12, ПОМЕЩ. 20</t>
  </si>
  <si>
    <t>ИП ГОМАН МАРИЯ МИХАЙЛОВНА</t>
  </si>
  <si>
    <t>ИП СЕМЕЙШЕВ СТАНИСЛАВ ВАЛЕНТИНОВИЧ</t>
  </si>
  <si>
    <t>ИП ШАХТАРИН ИЛЬЯ АНДРЕЕВИЧ</t>
  </si>
  <si>
    <t>ИП КАЗАНЦЕВ ПАВЕЛ АНДРЕЕВИЧ</t>
  </si>
  <si>
    <t>ИП КАРАБАНОВ ДЕНИС ИГОРЕВИЧ</t>
  </si>
  <si>
    <t>ИП ПОНОМАРЕВ ДАНИЛ АЛЕКСЕЕВИЧ</t>
  </si>
  <si>
    <t>ИП ЗЛОБИН ИЛЬЯ ГЕННАДЬЕВИЧ</t>
  </si>
  <si>
    <t>ИП ШИШКИН ВЛАДИМИР АЛЕКСАНДРОВИЧ</t>
  </si>
  <si>
    <t>ИП КАЗАКОВ АНДРЕЙ ВЛАДИМИРОВИЧ</t>
  </si>
  <si>
    <t>АО АГРОКОМПЛЕКТ</t>
  </si>
  <si>
    <t>610042, КИРОВСКАЯ ОБЛАСТЬ, Г КИРОВ, УЛ ЛЕПСЕ, Д.22</t>
  </si>
  <si>
    <t>ИП РУССКИХ МАКСИМ НИКОЛАЕВИЧ</t>
  </si>
  <si>
    <t>ИП ЧАЩИНА ЕЛЕНА ВИТАЛЬЕВНА</t>
  </si>
  <si>
    <t>ИП ЖУРАВЛЁВ МИХАИЛ ВАСИЛЬЕВИЧ</t>
  </si>
  <si>
    <t>ООО ИНКОР</t>
  </si>
  <si>
    <t>610030, КИРОВСКАЯ ОБЛАСТЬ, Г КИРОВ, УЛ ПАВЛА КОРЧАГИНА, Д. 1Б</t>
  </si>
  <si>
    <t>ООО ВОЛЬТАЖ-43</t>
  </si>
  <si>
    <t>610042, КИРОВСКАЯ ОБЛАСТЬ, Г КИРОВ, УЛ ЛЕПСЕ, Д. 24/1, ПОМЕЩ. 1001</t>
  </si>
  <si>
    <t>ИП МАЛЫХ АНТОН ЕВГЕНЬЕВИЧ</t>
  </si>
  <si>
    <t>ИП БЫДАНОВА ИРИНА НИКОЛАЕВНА</t>
  </si>
  <si>
    <t>ООО НЕФТЕПРОДУКТ И РЕМОНТ</t>
  </si>
  <si>
    <t>612077, РОССИЯ, КИРОВСКАЯ ОБЛАСТЬ, М.Р-Н ОРИЧЕВСКИЙ, С АДЫШЕВО, С.П. АДЫШЕВСКОЕ, УЛ КОМСОМОЛЬСКАЯ, ЗД. 35</t>
  </si>
  <si>
    <t>ИП ЕВСТИГНЕЕВА ИРИНА ВИТАЛЬЕВНА</t>
  </si>
  <si>
    <t>Костромская область</t>
  </si>
  <si>
    <t>ООО ГЛАВСТРОЙ</t>
  </si>
  <si>
    <t>156009, КОСТРОМСКАЯ ОБЛАСТЬ, Г КОСТРОМА, УЛ ЛЬНЯНАЯ, Д. 7А, ПОМЕЩ. 6</t>
  </si>
  <si>
    <t>ИП ЦЫПИН ДМИТРИЙ АЛЕКСАНДРОВИЧ</t>
  </si>
  <si>
    <t>ГКУ ПЕРВОМАЙСКИЙ ДЕТСКИЙ ДОМ-ИНТЕРНАТ</t>
  </si>
  <si>
    <t>156553, КОСТРОМСКАЯ ОБЛАСТЬ, Р-Н КОСТРОМСКОЙ, Х 1 МАЯ, Д. 19</t>
  </si>
  <si>
    <t>ИП ЗВЁЗДОЧКИНА ГАЛИНА НИКОЛАЕВНА</t>
  </si>
  <si>
    <t>ООО ДЕКС</t>
  </si>
  <si>
    <t>156025, РОССИЯ, КОСТРОМСКАЯ ОБЛАСТЬ, Г.О. ГОРОД КОСТРОМА, Г КОСТРОМА, УЛ ЛЕНИНА, Д. 95, КОМ. 29</t>
  </si>
  <si>
    <t>ООО МИЛЛЕНИУМ АВТО</t>
  </si>
  <si>
    <t>156008, РОССИЯ, КОСТРОМСКАЯ ОБЛАСТЬ, Г.О. ГОРОД КОСТРОМА, Г КОСТРОМА, УЛ ГАЛИЧСКАЯ, Д. 106, ПОМЕЩ. 1</t>
  </si>
  <si>
    <t>АО КВАДРАТ</t>
  </si>
  <si>
    <t>157302, КОСТРОМСКАЯ ОБЛАСТЬ, М.О. МАНТУРОВСКИЙ, Г МАНТУРОВО, УЛ НАГОРНАЯ, Д. 19, ПОМЕЩ. 118</t>
  </si>
  <si>
    <t>АО НЕОН</t>
  </si>
  <si>
    <t>156009, РОССИЯ, КОСТРОМСКАЯ ОБЛАСТЬ, Г.О. ГОРОД КОСТРОМА, Г КОСТРОМА, МКР ЮБИЛЕЙНЫЙ, Д. 15, ПОМЕЩ. 69</t>
  </si>
  <si>
    <t>АО ГРИН</t>
  </si>
  <si>
    <t>156014, РОССИЯ, КОСТРОМСКАЯ ОБЛАСТЬ, Г.О. ГОРОД КОСТРОМА, Г КОСТРОМА, УЛ ПРОФСОЮЗНАЯ, Д. 9А, КОМ. 2 НП 1 ЭТАЖ2</t>
  </si>
  <si>
    <t>АО БЕЛОСНЕЖКА</t>
  </si>
  <si>
    <t>156008, РОССИЯ, КОСТРОМСКАЯ ОБЛАСТЬ, Г.О. ГОРОД КОСТРОМА, Г КОСТРОМА, УЛ ПОСЕЛКОВАЯ, Д. 37, ЭТАЖ 4 ПОМЕЩ. 5</t>
  </si>
  <si>
    <t>ИП КУСТОВ АЛЕКСАНДР СЕРГЕЕВИЧ</t>
  </si>
  <si>
    <t>ИП Смирнов Сергей Валентинович</t>
  </si>
  <si>
    <t>ИП ДУБРОВИН ВИКТОР АЛЕКСАНДРОВИЧ</t>
  </si>
  <si>
    <t>ИП БЕЛОВ ДЕНИС ЮРЬЕВИЧ</t>
  </si>
  <si>
    <t>ИП ВОРОЩЕНКО АЛЕКСАНДР СЕРГЕЕВИЧ</t>
  </si>
  <si>
    <t>ИП ВОРОНЦОВ СЕРГЕЙ АЛЕКСАНДРОВИЧ</t>
  </si>
  <si>
    <t>АО РУБИН</t>
  </si>
  <si>
    <t>156000, РОССИЯ, КОСТРОМСКАЯ ОБЛАСТЬ, Г.О. ГОРОД КОСТРОМА, Г КОСТРОМА, УЛ СВЕРДЛОВА, Д. 4, ЭТАЖ 3 ПОМЕЩЕНИЕ 5</t>
  </si>
  <si>
    <t>АО ЯНТАРЬ</t>
  </si>
  <si>
    <t>157860, РОССИЯ, КОСТРОМСКАЯ ОБЛАСТЬ, М.Р-Н СУДИСЛАВСКИЙ, ПГТ СУДИСЛАВЛЬ, Г.П. ПОСЕЛОК СУДИСЛАВЛЬ, УЛ КОСТРОМСКАЯ, Д. 19</t>
  </si>
  <si>
    <t>ООО АЛЬФА</t>
  </si>
  <si>
    <t>156009, РОССИЯ, КОСТРОМСКАЯ ОБЛАСТЬ, Г.О. ГОРОД КОСТРОМА, Г КОСТРОМА, УЛ ЛЬНЯНАЯ, Д. 7Б, СТР. 2</t>
  </si>
  <si>
    <t>АО КОСТРОМА-ЛАДА-СЕРВИС</t>
  </si>
  <si>
    <t>156009, КОСТРОМСКАЯ ОБЛАСТЬ, Г КОСТРОМА, УЛ ВОЛЖСКАЯ 2-Я, Д.14</t>
  </si>
  <si>
    <t>ИП ГУСЕВА ОЛЬГА ВИКТОРОВНА</t>
  </si>
  <si>
    <t>ООО АКТИН</t>
  </si>
  <si>
    <t>156013, КОСТРОМСКАЯ ОБЛАСТЬ, Г КОСТРОМА, УЛ ГАЛИЧСКАЯ, Д.108 Е</t>
  </si>
  <si>
    <t>ООО РАЗВИТИЕ</t>
  </si>
  <si>
    <t>156012, КОСТРОМСКАЯ ОБЛАСТЬ, Г.О. ГОРОД КОСТРОМА, Г КОСТРОМА, УЛ КОСМОНАВТОВ, Д. 16</t>
  </si>
  <si>
    <t>156019, КОСТРОМСКАЯ ОБЛАСТЬ, Г КОСТРОМА, Ш КИНЕШЕМСКОЕ, Д. 31, ПОМЕЩ. 111</t>
  </si>
  <si>
    <t>ООО УПРАВЛЯЮЩАЯ КОМПАНИЯ АВТОЛИГА</t>
  </si>
  <si>
    <t>156019, КОСТРОМСКАЯ ОБЛАСТЬ, Г КОСТРОМА, УЛ ЩЕРБИНЫ ПЕТРА, Д.9, ЛИТ Ф</t>
  </si>
  <si>
    <t>ИП ЕГОРОВА ЕКАТЕРИНА ВЛАДИМИРОВНА</t>
  </si>
  <si>
    <t>156009, РОССИЯ, КОСТРОМСКАЯ ОБЛАСТЬ, Г.О. ГОРОД КОСТРОМА, Г КОСТРОМА, УЛ ЛЬНЯНАЯ, Д. 7А</t>
  </si>
  <si>
    <t>ООО ТОП ЛАЙН СОФТ</t>
  </si>
  <si>
    <t>156004, КОСТРОМСКАЯ ОБЛАСТЬ, Г КОСТРОМА, УЛ БЕРЕГОВАЯ, Д.34, 4</t>
  </si>
  <si>
    <t>ООО МЕГАМАРТ</t>
  </si>
  <si>
    <t>156019, КОСТРОМСКАЯ ОБЛАСТЬ, Г.О. ГОРОД КОСТРОМА, Г КОСТРОМА, УЛ ЗЕЛЕНАЯ, Д. 11, СТР. 3, ПОМЕЩ. 12 ЭТАЖ 4</t>
  </si>
  <si>
    <t>ООО ТЕМП</t>
  </si>
  <si>
    <t>156000, КОСТРОМСКАЯ ОБЛАСТЬ, Г КОСТРОМА, ПР-КТ ТЕКСТИЛЬЩИКОВ, Д. 9/18, ПОМЕЩ. 46</t>
  </si>
  <si>
    <t>ООО АЛЬЯНСДЕТАЛЬ</t>
  </si>
  <si>
    <t>156009, РОССИЯ, КОСТРОМСКАЯ ОБЛАСТЬ, Г.О. ГОРОД КОСТРОМА, Г КОСТРОМА, УЛ ВОЛЖСКАЯ 2-Я, Д. 17, СТР. 2</t>
  </si>
  <si>
    <t>ИП ШАТАЛОВА НАТАЛЬЯ АНАТОЛЬЕВНА</t>
  </si>
  <si>
    <t>ООО ВКМ</t>
  </si>
  <si>
    <t>156013, КОСТРОМСКАЯ ОБЛАСТЬ, Г КОСТРОМА, УЛ ГАЛИЧСКАЯ, Д. 108, ПОМЕЩ. 2</t>
  </si>
  <si>
    <t>ПК ЦСО ЦЕНОРЕЗ</t>
  </si>
  <si>
    <t>156008, РОССИЯ, КОСТРОМСКАЯ ОБЛАСТЬ, Г.О. ГОРОД КОСТРОМА, Г КОСТРОМА, УЛ ПОСЕЛКОВАЯ, Д. 37, ПОМЕЩ. 5 ЭТАЖ 4</t>
  </si>
  <si>
    <t>ИП БЕДНЯКОВА АННА АЛЕКСАНДРОВНА</t>
  </si>
  <si>
    <t>ИП ШИШИН АЛЕКСАНДР АЛЕКСАНДРОВИЧ</t>
  </si>
  <si>
    <t>ИП ХАРЧЁВА ЕЛЕНА АЛЕКСАНДРОВНА</t>
  </si>
  <si>
    <t>ООО ТЗК ЭКОХИММАШ</t>
  </si>
  <si>
    <t>157003, КОСТРОМСКАЯ ОБЛАСТЬ, Р-Н БУЙСКИЙ, Г БУЙ, УЛ ЧАПАЕВА, Д. 1</t>
  </si>
  <si>
    <t>ООО ЭКСТРА</t>
  </si>
  <si>
    <t>157000, КОСТРОМСКАЯ ОБЛАСТЬ, Р-Н БУЙСКИЙ, Г БУЙ, УЛ СОВЕТСКАЯ, Д. 5, ПОМЕЩ. 10</t>
  </si>
  <si>
    <t>ООО НЕРТОРГ</t>
  </si>
  <si>
    <t>157800, КОСТРОМСКАЯ ОБЛАСТЬ, М.Р-Н МУНИЦИПАЛЬНЫЙ РАЙОН ГОРОД НЕРЕХТА И НЕРЕХТСКИЙ РАЙОН, Г НЕРЕХТА, Г.П. ГОРОД НЕРЕХТА, УЛ КРАСНОАРМЕЙСКАЯ, Д. 5, ЭТАЖ 1, ПОМЕЩ. 4</t>
  </si>
  <si>
    <t>ИП ЕГОРОВ НИКИТА СЕРГЕЕВИЧ</t>
  </si>
  <si>
    <t>ИП КОЛОБИХИН ИГОРЬ ВАДИМОВИЧ</t>
  </si>
  <si>
    <t>ИП СМЫКОВА ОЛЬГА АНАТОЛЬЕВНА</t>
  </si>
  <si>
    <t>ИП ШВЫЛЕВА СВЕТЛАНА АНАТОЛЬЕВНА</t>
  </si>
  <si>
    <t>ИП Потехина Любовь Сергеевна</t>
  </si>
  <si>
    <t>ООО ТК НРК</t>
  </si>
  <si>
    <t>156530, КОСТРОМСКАЯ ОБЛАСТЬ, Р-Н КОСТРОМСКОЙ, П КАРАВАЕВО, УЛ УЧЕБНЫЙ ГОРОДОК, Д. 49, ОФИС 1</t>
  </si>
  <si>
    <t>ИП КОЗЛОВА ВАЛЕНТИНА ВАСИЛЬЕВНА</t>
  </si>
  <si>
    <t>ИП БРИТОВА НАТАЛЬЯ ИВАНОВНА</t>
  </si>
  <si>
    <t>ИП Колобов Станислав Валерьевич</t>
  </si>
  <si>
    <t>ИП ШАДРИН НИКОЛАЙ БОРИСОВИЧ</t>
  </si>
  <si>
    <t>ИП ЗАГАРОВА ОКСАНА АЛЕКСАНДРОВНА</t>
  </si>
  <si>
    <t>ИП БЕЛЯКОВА ВЕРА ЛЕОНИДОВНА</t>
  </si>
  <si>
    <t>ИП ЩЕТИНИНА ОЛЬГА ВЛАДИМИРОВНА</t>
  </si>
  <si>
    <t>ИП ЧЕБОТАРЁВ АНДРЕЙ ВЛАДИМИРОВИЧ</t>
  </si>
  <si>
    <t>ИП КОРОЛЕВ МИХАИЛ ВЕНИАМИНОВИЧ</t>
  </si>
  <si>
    <t>ИП ЯДРИЧЕВ ВАСИЛИЙ ВИКТОРОВИЧ</t>
  </si>
  <si>
    <t>ИП ВИНОГРАДОВА ИРИНА СЕРГЕЕВНА</t>
  </si>
  <si>
    <t>ИП ЕЛИСЕЕВА НАТАЛЬЯ АЛЕКСАНДРОВНА</t>
  </si>
  <si>
    <t>ИП МИЛОВИДОВА ОЛЬГА АНАТОЛЬЕВНА</t>
  </si>
  <si>
    <t>ИП КРЯЖЕВА НАДЕЖДА АЛЕКСАНДРОВНА</t>
  </si>
  <si>
    <t>ООО ПЛЮС</t>
  </si>
  <si>
    <t>156013, РОССИЯ, КОСТРОМСКАЯ ОБЛАСТЬ, Г.О. ГОРОД КОСТРОМА, Г КОСТРОМА, ПР-КТ МИРА, Д. 33</t>
  </si>
  <si>
    <t>ООО Прогресс</t>
  </si>
  <si>
    <t>156019, КОСТРОМСКАЯ ОБЛАСТЬ, Г.О. ГОРОД КОСТРОМА, Г КОСТРОМА, Ш КИНЕШЕМСКОЕ, Д. 4/1, ПОМЕЩ. 2, КОМ. 6</t>
  </si>
  <si>
    <t>ООО АМЕГА</t>
  </si>
  <si>
    <t>156019, РОССИЯ, КОСТРОМСКАЯ ОБЛАСТЬ, Г.О. ГОРОД КОСТРОМА, Г КОСТРОМА, Ш КИНЕШЕМСКОЕ, Д. 4/1, ПОМЕЩ. 2, КОМ. 4</t>
  </si>
  <si>
    <t>АО УНИВЕРСАМ №2</t>
  </si>
  <si>
    <t>156007, КОСТРОМСКАЯ ОБЛАСТЬ, Г.О. ГОРОД КОСТРОМА, Г КОСТРОМА, УЛ ЛЕНИНА, Д. 155, ПОМЕЩ. 97</t>
  </si>
  <si>
    <t>АО УНИВЕРСАМ №3</t>
  </si>
  <si>
    <t>156019, КОСТРОМСКАЯ ОБЛАСТЬ, Г КОСТРОМА, УЛ ИНДУСТРИАЛЬНАЯ, Д. 55, НЕЖИЛОЕ ПОМЕЩЕНИЕ 132 КОМНАТА 3</t>
  </si>
  <si>
    <t>АО УНИВЕРСАМ №1</t>
  </si>
  <si>
    <t>156019, КОСТРОМСКАЯ ОБЛАСТЬ, Г.О. ГОРОД КОСТРОМА, Г КОСТРОМА, УЛ ЗЕЛЕНАЯ, Д. 11, СТР. 3, ПОМЕЩ. 21 ЭТАЖ 1</t>
  </si>
  <si>
    <t>ООО ПРЕСТИЖ ГРУПП</t>
  </si>
  <si>
    <t>156019, РОССИЯ, КОСТРОМСКАЯ ОБЛАСТЬ, Г.О. ГОРОД КОСТРОМА, Г КОСТРОМА, УЛ ЗЕЛЕНАЯ, Д. 11, СТР. 3, ПОМЕЩ. 19 ЭТАЖ 3</t>
  </si>
  <si>
    <t>ИП ШОЙХЕТ АЛЕКСАНДР АЛЕКСАНДРОВИЧ</t>
  </si>
  <si>
    <t>ИП ПОПОВ АНДРЕЙ ВЛАДИМИРОВИЧ</t>
  </si>
  <si>
    <t>ООО АВТОЦЕНТР ФЛАГМАН</t>
  </si>
  <si>
    <t>156008, КОСТРОМСКАЯ ОБЛАСТЬ, Г КОСТРОМА, УЛ СМИРНОВА ЮРИЯ, Д.26Б</t>
  </si>
  <si>
    <t>ООО НОРТЭКС</t>
  </si>
  <si>
    <t>156012, КОСТРОМСКАЯ ОБЛАСТЬ, Г КОСТРОМА, УЛ КОСТРОМСКАЯ, Д. 94, КВ. 9</t>
  </si>
  <si>
    <t>156019, КОСТРОМСКАЯ ОБЛАСТЬ, Г.О. ГОРОД КОСТРОМА, Г КОСТРОМА, УЛ ЗЕЛЕНАЯ, Д. 11, СТР. 3, ПОМЕЩ. 12А ЭТАЖ 4</t>
  </si>
  <si>
    <t>ООО ВИП</t>
  </si>
  <si>
    <t>156014, РОССИЯ, КОСТРОМСКАЯ ОБЛАСТЬ, Г.О. ГОРОД КОСТРОМА, Г КОСТРОМА, УЛ СУТЫРИНА, Д. 10, КВ. 55</t>
  </si>
  <si>
    <t>ООО ВИННЫЙ ГРАД</t>
  </si>
  <si>
    <t>156009, КОСТРОМСКАЯ ОБЛАСТЬ, Г.О. ГОРОД КОСТРОМА, Г КОСТРОМА, УЛ ЮБИЛЕЙНАЯ, Д. 24Е, КОМ. 57 АНТРЕСОЛЬ</t>
  </si>
  <si>
    <t>ИП КОНЫШЕВА ОЛЬГА ИВАНОВНА</t>
  </si>
  <si>
    <t>ИП МАКСИМОВ АЛЕКСАНДР СЕРГЕЕВИЧ</t>
  </si>
  <si>
    <t>ИП АФИНОГЕНОВ РОМАН СЕРГЕЕВИЧ</t>
  </si>
  <si>
    <t>ООО АВТООАЗИС</t>
  </si>
  <si>
    <t>156013, КОСТРОМСКАЯ ОБЛАСТЬ, Г КОСТРОМА, УЛ ГАЛИЧСКАЯ, Д. 103, НП 1</t>
  </si>
  <si>
    <t>ИП МУРАВЬЕВА ЯНА ОЛЕГОВНА</t>
  </si>
  <si>
    <t>ИП ТРЕТЬЯКОВА ЮЛИЯ ВАЛЕРЬЕВНА</t>
  </si>
  <si>
    <t>ИП ШЛЕЙНИКОВА ЮЛИЯ ВАСИЛЬЕВНА</t>
  </si>
  <si>
    <t>ИП ПОЛУШКИНА ЕЛЕНА СЕРГЕЕВНА</t>
  </si>
  <si>
    <t>ЗАО ЭКОХИММАШ</t>
  </si>
  <si>
    <t>ИП Суворова Елена Николаевна</t>
  </si>
  <si>
    <t>ИП МОРОЗОВА ОЛЬГА ВЛАДИМИРОВНА</t>
  </si>
  <si>
    <t>ИП БЕЛОВ КИРИЛЛ РАШИДОВИЧ</t>
  </si>
  <si>
    <t>ИП ПАКУЛИН МИХАИЛ ЮРЬЕВИЧ</t>
  </si>
  <si>
    <t>ИП ВОРОНИНА ГАЛИНА АЛЕКСАНДРОВНА</t>
  </si>
  <si>
    <t>ООО НЕФТЬТЕХСЕРВИС</t>
  </si>
  <si>
    <t>157501, КОСТРОМСКАЯ ОБЛАСТЬ, Р-Н ШАРЬИНСКИЙ, Г ШАРЬЯ, УЛ ПРОМЫШЛЕННАЯ, Д.9 А, К.1</t>
  </si>
  <si>
    <t>ООО СТИМУЛ</t>
  </si>
  <si>
    <t>157505, РОССИЯ, КОСТРОМСКАЯ ОБЛАСТЬ, Г.О. ГОРОД ШАРЬЯ, Г ШАРЬЯ, УЛ БОГОРОДСКОГО, Д. 13</t>
  </si>
  <si>
    <t>ИП КУВШИНОВА КСЕНИЯ ЮРЬЕВНА</t>
  </si>
  <si>
    <t>ИП ТИХАНОВА ТАТЬЯНА ВЛАДИМИРОВНА</t>
  </si>
  <si>
    <t>ИП БАБУШКИНА АННА АЛЕКСАНДРОВНА</t>
  </si>
  <si>
    <t>ИП Симухин Константин Владимирович</t>
  </si>
  <si>
    <t>ИП ВОРОНИНА ЕЛЕНА ЛЕОНИДОВНА</t>
  </si>
  <si>
    <t>ИП ТОРОПОВА АННА НИКОЛАЕВНА</t>
  </si>
  <si>
    <t>ИП СМИРНОВА КРИСТИНА АРАЕВНА</t>
  </si>
  <si>
    <t>ИП ГРУЗДЕВА ГАЛИНА АЛЕКСАНДРОВНА</t>
  </si>
  <si>
    <t>ИП БАЛАШОВА ТАТЬЯНА ВИКТОРОВНА</t>
  </si>
  <si>
    <t>ИП ПОЛЯКОВ ВАСИЛИЙ АЛЕКСАНДРОВИЧ</t>
  </si>
  <si>
    <t>ИП КАЛИНИЧЕВА ВИКТОРИЯ АЛЕКСАНДРОВНА</t>
  </si>
  <si>
    <t>ИП ИВАНОВ СЕРГЕЙ ВЛАДИМИРОВИЧ</t>
  </si>
  <si>
    <t>ИП ЖИВЕТЬЕВ ВИКТОР АЛЕКСАНДРОВИЧ</t>
  </si>
  <si>
    <t>ИП ЯДРИЧЕВА МАРИНА ИВАНОВНА</t>
  </si>
  <si>
    <t>ИП Шишигина Анна Васильевна</t>
  </si>
  <si>
    <t>ИП ЗАБЕЛИН АЛЕКСАНДР ВЛАДИМИРОВИЧ</t>
  </si>
  <si>
    <t>ИП ЗАБОРОНСКИЙ АЛЕКСЕЙ НИКОЛАЕВИЧ</t>
  </si>
  <si>
    <t>ИП МЕРЗЛЯК МАРИНА ВАЛЕРЬЕВНА</t>
  </si>
  <si>
    <t>ИП КОНСТАНТИНОВА ОКСАНА АЛЕКСАНДРОВНА</t>
  </si>
  <si>
    <t>ИП БУКАТ ЖАННА ОЛЕГОВНА</t>
  </si>
  <si>
    <t>ООО ПАРКОЙЛ</t>
  </si>
  <si>
    <t>156013, КОСТРОМСКАЯ ОБЛАСТЬ, Г.О. ГОРОД КОСТРОМА, Г КОСТРОМА, УЛ МАРШАЛА НОВИКОВА, Д. 22/22</t>
  </si>
  <si>
    <t>ИП БАРАШКОВА ИРИНА ВИКТОРОВНА</t>
  </si>
  <si>
    <t>ООО АЛЕГРИЯ 44</t>
  </si>
  <si>
    <t>156011, КОСТРОМСКАЯ ОБЛАСТЬ, Г КОСТРОМА, УЛ МАГИСТРАЛЬНАЯ, Д. 30</t>
  </si>
  <si>
    <t>ООО РУСС ЭКСПРЕСС</t>
  </si>
  <si>
    <t>156016, КОСТРОМСКАЯ ОБЛАСТЬ, Г.О. ГОРОД КОСТРОМА, Г КОСТРОМА, УЛ ХВОЙНАЯ, Д. 38, КВ. 3</t>
  </si>
  <si>
    <t>ООО ДАЛЬНОБОЙ СЕРВИС</t>
  </si>
  <si>
    <t>156019, КОСТРОМСКАЯ ОБЛАСТЬ, Г КОСТРОМА, УЛ ЗЕЛЕНАЯ, Д. 6, СТР. 1, ПОМЕЩ. 1</t>
  </si>
  <si>
    <t>ООО АМТЕК КОСТРОМА</t>
  </si>
  <si>
    <t>156009, КОСТРОМСКАЯ ОБЛАСТЬ, Г КОСТРОМА, УЛ ВОЛЖСКАЯ 2-Я, Д. 2Б, НЕЖ. ПОМ 2</t>
  </si>
  <si>
    <t>ИП РАМАЗАНОВА ЮЛИЯ БОРИСОВНА</t>
  </si>
  <si>
    <t>ИП ТИМОФЕЕВА ЕЛЕНА АЛЕКСАНДРОВНА</t>
  </si>
  <si>
    <t>ИП Беляев Михаил Валерьевич</t>
  </si>
  <si>
    <t>ИП ТИХОМИРОВА НАТАЛЬЯ ПАВЛОВНА</t>
  </si>
  <si>
    <t>ИП ПОЛЕНОВА АНАСТАСИЯ НИКОЛАЕВНА</t>
  </si>
  <si>
    <t>ИП ТОРОПОВ МИХАИЛ СЕРГЕЕВИЧ</t>
  </si>
  <si>
    <t>ООО ЛИГА-ШАРЬЯ</t>
  </si>
  <si>
    <t>157501, КОСТРОМСКАЯ ОБЛАСТЬ, Р-Н ШАРЬИНСКИЙ, Г ШАРЬЯ, УЛ ПРОМЫШЛЕННАЯ, Д. 9А, К. 1</t>
  </si>
  <si>
    <t>ООО АЛЬЯНС-АВТО-ШАРЬЯ</t>
  </si>
  <si>
    <t>157505, КОСТРОМСКАЯ ОБЛАСТЬ, Р-Н ШАРЬИНСКИЙ, Г ШАРЬЯ, УЛ МИКРОРАЙОН 1, Д. 21А</t>
  </si>
  <si>
    <t>ИП ГОЛУБЕВ СЕРГЕЙ ЛЕОНИДОВИЧ</t>
  </si>
  <si>
    <t>ИП КРУГЛОВ ВЯЧЕСЛАВ АЛЕКСАНДРОВИЧ</t>
  </si>
  <si>
    <t>ООО СЕРВИС-ПЛЮС</t>
  </si>
  <si>
    <t>156530, КОСТРОМСКАЯ ОБЛАСТЬ, Р-Н КОСТРОМСКОЙ, П КАРАВАЕВО, УЛ УЧЕБНЫЙ ГОРОДОК, Д. 49</t>
  </si>
  <si>
    <t>ИП ВОРОНОВА ЕЛЕНА ВЛАДИМИРОВНА</t>
  </si>
  <si>
    <t>ИП БАСКАКОВА ИРИНА ВЛАДИМИРОВНА</t>
  </si>
  <si>
    <t>ИП Румянцева Елена Владимировна</t>
  </si>
  <si>
    <t>ИП БЫКОВ НИКОЛАЙ НИКОЛАЕВИЧ</t>
  </si>
  <si>
    <t>ИП ГРАБАНЬ НИНА НИКОЛАЕВНА</t>
  </si>
  <si>
    <t>ИП КЕРЗИН АЛЕКСЕЙ ВЛАДИМИРОВИЧ</t>
  </si>
  <si>
    <t>ООО ДОМ ТКАНИ</t>
  </si>
  <si>
    <t>156000, КОСТРОМСКАЯ ОБЛАСТЬ, Г КОСТРОМА, ПЛ СУСАНИНСКАЯ, ЛИТЕР А, ПОМЕЩ. 10 ЭТ. 1</t>
  </si>
  <si>
    <t>СРЕДНЯЯ ОБЩЕОБРАЗОВАТЕЛЬНАЯ ШКОЛА № 30 ГОРОДА КОСТРОМЫ</t>
  </si>
  <si>
    <t>156000, КОСТРОМСКАЯ ОБЛАСТЬ, Г КОСТРОМА, УЛ СМОЛЕНСКАЯ, Д.28А</t>
  </si>
  <si>
    <t>ИП ПОСТНИКОВ СТАНИСЛАВ АЛЕКСАНДРОВИЧ</t>
  </si>
  <si>
    <t>ИП ПОДРЕЧНОВ АНДРЕЙ СЕРГЕЕВИЧ</t>
  </si>
  <si>
    <t>156009, РОССИЯ, КОСТРОМСКАЯ ОБЛАСТЬ, Г.О. ГОРОД КОСТРОМА, Г КОСТРОМА, УЛ ВОЛЖСКАЯ 2-Я, Д. 19, КОМ. 19,20</t>
  </si>
  <si>
    <t>ООО РАДУГА</t>
  </si>
  <si>
    <t>156008, РОССИЯ, КОСТРОМСКАЯ ОБЛАСТЬ, Г.О. ГОРОД КОСТРОМА, Г КОСТРОМА, УЛ ПОСЕЛКОВАЯ, Д. 37</t>
  </si>
  <si>
    <t>ООО ПРОДРЕСУРС</t>
  </si>
  <si>
    <t>156000, КОСТРОМСКАЯ ОБЛАСТЬ, Г КОСТРОМА, УЛ СОВЕТСКАЯ, Д. 22, ПОМЕЩ. 40</t>
  </si>
  <si>
    <t>156003, КОСТРОМСКАЯ ОБЛАСТЬ, Г.О. ГОРОД КОСТРОМА, Г КОСТРОМА, ПР-КТ РЕЧНОЙ, Д. 17, КОМ. 6</t>
  </si>
  <si>
    <t>ООО ТОРГ</t>
  </si>
  <si>
    <t>156011, РОССИЯ, КОСТРОМСКАЯ ОБЛАСТЬ, Г.О. ГОРОД КОСТРОМА, Г КОСТРОМА, ПРОЕЗД СТУДЕНЧЕСКИЙ, Д. 8, КВ. 35</t>
  </si>
  <si>
    <t>ОООСВК-ТРАНС</t>
  </si>
  <si>
    <t>156009, КОСТРОМСКАЯ ОБЛАСТЬ, Г.О. ГОРОД КОСТРОМА, Г КОСТРОМА, УЛ ВОЛЖСКАЯ 2-Я, Д. 4А, ПОМЕЩ. 11</t>
  </si>
  <si>
    <t>ООО ДЕКАДА</t>
  </si>
  <si>
    <t>156001, РОССИЯ, КОСТРОМСКАЯ ОБЛАСТЬ, Г.О. ГОРОД КОСТРОМА, Г КОСТРОМА, УЛ МОСКОВСКАЯ, Д. 105, ПОМЕЩ. 19, КОМ. 5</t>
  </si>
  <si>
    <t>ИП СОКОЛОВ АЛЕКСАНДР ВЛАДИМИРОВИЧ</t>
  </si>
  <si>
    <t>ИП БУРАВЛЕВА ИРИНА ЕВГЕНЬЕВНА</t>
  </si>
  <si>
    <t>ИП БОРОНКИН АЛЕКСЕЙ АНДРЕЕВИЧ</t>
  </si>
  <si>
    <t>ИП ЛАВРОВА ОЛЬГА АЛЕКСАНДРОВНА</t>
  </si>
  <si>
    <t>ИП КРАСНОВА ИРИНА ИГОРЕВНА</t>
  </si>
  <si>
    <t>ООО КОММАШ-КУРГАН</t>
  </si>
  <si>
    <t>Курганская область</t>
  </si>
  <si>
    <t>640027, РОССИЯ, КУРГАНСКАЯ ОБЛАСТЬ, Г.О. ГОРОД КУРГАН, Г КУРГАН, УЛ ХИММАШЕВСКАЯ, СТР. 6Г, ПОМЕЩ. 6, ОФИС 1</t>
  </si>
  <si>
    <t>ИП ШЕВЧЕНКО АЛЕКСАНДР СЕРГЕЕВИЧ</t>
  </si>
  <si>
    <t>ИП ВОЛКОВ ВАЛЕРИЙ АНАТОЛЬЕВИЧ</t>
  </si>
  <si>
    <t>ИП БРЕЦКИЙ ВЛАДИМИР АНАТОЛЬЕВИЧ</t>
  </si>
  <si>
    <t>ИП СОСЕДКОВА ЕЛЕНА ГЕННАДЬЕВНА</t>
  </si>
  <si>
    <t>ЧАСТООЗЕРСКИЙ ОТДЕЛ ОБРАЗОВАНИЯ</t>
  </si>
  <si>
    <t>641570, РОССИЯ, КУРГАНСКАЯ ОБЛАСТЬ, М.О. ЧАСТООЗЕРСКИЙ, С ЧАСТООЗЕРЬЕ, УЛ ОКТЯБРЬСКАЯ, Д. 126</t>
  </si>
  <si>
    <t>ИП Тельманов Сергей Александрович</t>
  </si>
  <si>
    <t>ИП КУЛИКОВ НИКОЛАЙ ВЛАДИМИРОВИЧ</t>
  </si>
  <si>
    <t>ИП АЙНУТДИНОВА ИРИНА АЛЕКСАНДРОВНА</t>
  </si>
  <si>
    <t>ИП САФРОНОВ ВАЛЕРИЙ АЛЕКСАНДРОВИЧ</t>
  </si>
  <si>
    <t>ИП Лештаев Евгений Петрович</t>
  </si>
  <si>
    <t>ИП ЯКОВЛЕВ ИГОРЬ АЛЕКСАНДРОВИЧ</t>
  </si>
  <si>
    <t>ИП КАЛЕТИНА АЛЕНА ЮРЬЕВНА</t>
  </si>
  <si>
    <t>ООО СИБКОМПЛЕКТ</t>
  </si>
  <si>
    <t>640014, КУРГАНСКАЯ ОБЛАСТЬ, Г КУРГАН, ПР-КТ МАРШАЛА ГОЛИКОВА, СТР. 32А, ОФИС 1</t>
  </si>
  <si>
    <t>ООО АВТОТРАНССЕРВИС</t>
  </si>
  <si>
    <t>640027, КУРГАНСКАЯ ОБЛАСТЬ, Г КУРГАН, УЛ ХИММАШЕВСКАЯ, Д. 8, СТР. 9, ОФИС 1А</t>
  </si>
  <si>
    <t>640026, КУРГАНСКАЯ ОБЛАСТЬ, Г КУРГАН, УЛ КАРЕЛЬЦЕВА, Д. 109, КВ. 129</t>
  </si>
  <si>
    <t>ООО ЗИПШИНА</t>
  </si>
  <si>
    <t>640027, РОССИЯ, КУРГАНСКАЯ ОБЛАСТЬ, Г.О. ГОРОД КУРГАН, Г КУРГАН, УЛ ОМСКАЯ, Д. 74К, СТР. 1</t>
  </si>
  <si>
    <t>ООО УРАЛ-ОЙЛ</t>
  </si>
  <si>
    <t>640040, КУРГАНСКАЯ ОБЛАСТЬ, Г КУРГАН, УЛ АБРИКОСОВАЯ (ЧЕРЁМУХОВО МКР.), Д. 24</t>
  </si>
  <si>
    <t>ИП ПЕРЕВОЩИКОВ АЛЕКСЕЙ ВАЛЕРЬЕВИЧ</t>
  </si>
  <si>
    <t>ИП МОСКОВЧЕНКО СЕРГЕЙ ОЛЕГОВИЧ</t>
  </si>
  <si>
    <t>ИП БОЛДИН ВЛАДИСЛАВ ГЕННАДЬЕВИЧ</t>
  </si>
  <si>
    <t>ИП ГУЩИНА СОФЬЯ АНДРЕЕВНА</t>
  </si>
  <si>
    <t>ИП УВАРОВ АНДРЕЙ АЛЕКСАНДРОВИЧ</t>
  </si>
  <si>
    <t>ИП ДАНИЛОВ ВЛАДИМИР ВЛАДИМИРОВИЧ</t>
  </si>
  <si>
    <t>ИП МАРАМЫГИН ЕВГЕНИЙ ВАЛЕРЬЕВИЧ</t>
  </si>
  <si>
    <t>ИП КРЕЖЕВСКИХ АНДРЕЙ ГРИГОРЬЕВИЧ</t>
  </si>
  <si>
    <t>641870, КУРГАНСКАЯ ОБЛАСТЬ, Г ШАДРИНСК, УЛ МИХАЙЛОВСКАЯ, Д. 69</t>
  </si>
  <si>
    <t>ИП ПЕТРОВА СВЕТЛАНА АРКАДЬЕВНА</t>
  </si>
  <si>
    <t>ИП ЗАГУМЁННЫХ ИВАН ВЛАДИМИРОВИЧ</t>
  </si>
  <si>
    <t>641950, КУРГАНСКАЯ ОБЛАСТЬ, Р-Н КАРГАПОЛЬСКИЙ, С ЧАШИ, УЛ СОВЕТСКАЯ, Д. 5А</t>
  </si>
  <si>
    <t>ИП ХНЫКИН ВЛАДИМИР ВИКТОРОВИЧ</t>
  </si>
  <si>
    <t>ООО ИДЕАЛ</t>
  </si>
  <si>
    <t>641882, РОССИЯ, КУРГАНСКАЯ ОБЛАСТЬ, Г.О. ГОРОД ШАДРИНСК, Г ШАДРИНСК, УЛ ПРОЛЕТАРСКАЯ, Д. 7, ПОМЕЩ. 3</t>
  </si>
  <si>
    <t>ИП АРТАМОНОВ ИГОРЬ ВЛАДИМИРОВИЧ</t>
  </si>
  <si>
    <t>ИП Успенская Марина Григорьевна</t>
  </si>
  <si>
    <t>ИП КИРЕЕВ СЕРГЕЙ ВАЛЕРЬЕВИЧ</t>
  </si>
  <si>
    <t>ИП СУКМАНОВ ЮРИЙ ВЛАДИСЛАВОВИЧ</t>
  </si>
  <si>
    <t>ООО АВТОКОНТИНЕНТ</t>
  </si>
  <si>
    <t>640027, КУРГАНСКАЯ ОБЛАСТЬ, Г КУРГАН, УЛ ДЗЕРЖИНСКОГО, Д. 68, ОФИС 3</t>
  </si>
  <si>
    <t>ООО ГРАНД ХОЛДИНГ</t>
  </si>
  <si>
    <t>640027, КУРГАНСКАЯ ОБЛАСТЬ, Г КУРГАН, УЛ ОМСКАЯ, СТР. 94А, ОФИС 1</t>
  </si>
  <si>
    <t>ООО ЯПМАШ</t>
  </si>
  <si>
    <t>640007, КУРГАНСКАЯ ОБЛАСТЬ, Г КУРГАН, ПР-КТ МАШИНОСТРОИТЕЛЕЙ, Д. 29, КАБИНЕТ 1</t>
  </si>
  <si>
    <t>640040, КУРГАНСКАЯ ОБЛАСТЬ, Г КУРГАН, УЛ ЗЕМЛЯНИЧНАЯ (ЧЕРЁМУХОВО МКР.), Д. 1</t>
  </si>
  <si>
    <t>ООО АВТОМИР+</t>
  </si>
  <si>
    <t>640008, КУРГАНСКАЯ ОБЛАСТЬ, Г.О. ГОРОД КУРГАН, Г КУРГАН, Б-Р СОЛНЕЧНЫЙ, Д. 15, К. 4, КВ. 8</t>
  </si>
  <si>
    <t>ИП ИВАНОВ ПАВЕЛ ЕВГЕНЬЕВИЧ</t>
  </si>
  <si>
    <t>ИП ТАРБАЗАНОВ АРТЕМ АЛЕКСАНДРОВИЧ</t>
  </si>
  <si>
    <t>ИП КИСЕЛЕВА АНАСТАСИЯ АНАТОЛЬЕВНА</t>
  </si>
  <si>
    <t>ИП АЛЕКСАНДРОВ АРТЕМ ОЛЕГОВИЧ</t>
  </si>
  <si>
    <t>ИП КОЛЕСНИК ВАДИМ ПЕТРОВИЧ</t>
  </si>
  <si>
    <t>ИП КИРИЛОВ ДМИТРИЙ АЛЕКСЕЕВИЧ</t>
  </si>
  <si>
    <t>ИП ЕФРЕМОВ АНДРЕЙ АЛЕКСАНДРОВИЧ</t>
  </si>
  <si>
    <t>ИП БОЛДЫРЕВ ДЕНИС ОЛЕГОВИЧ</t>
  </si>
  <si>
    <t>ИП РАМЕНСКИЙ ВЛАДИСЛАВ ОЛЕГОВИЧ</t>
  </si>
  <si>
    <t>ИП Токаренко Владимир Васильевич</t>
  </si>
  <si>
    <t>ООО  ИНТЕР ЛИДЕР</t>
  </si>
  <si>
    <t>641882, КУРГАНСКАЯ ОБЛАСТЬ, Г.О. ГОРОД ШАДРИНСК, Г ШАДРИНСК, УЛ КАРЛА ЛИБКНЕХТА, Д. 44, ПОМЕЩ. 2</t>
  </si>
  <si>
    <t>ИП Волокитин Александр Анатольевич</t>
  </si>
  <si>
    <t>ИП ГОРОХОВА СВЕТЛАНА ЮРЬЕВНА</t>
  </si>
  <si>
    <t>ИП КОПАСОВА ЛЮДМИЛА АНАТОЛЬЕВНА</t>
  </si>
  <si>
    <t>ИП Кузнецов Сергей Владимирович</t>
  </si>
  <si>
    <t>ИП ТЮКАЛОВ АЛЕКСАНДР СЕРГЕЕВИЧ</t>
  </si>
  <si>
    <t>641322, КУРГАНСКАЯ ОБЛАСТЬ, Р-Н КЕТОВСКИЙ, С ВВЕДЕНСКОЕ, УЛ СИБИРСКАЯ, СТР. 1</t>
  </si>
  <si>
    <t>ПАО НК РОСНЕФТЬ-КУРГАННЕФТЕПРОДУКТ</t>
  </si>
  <si>
    <t>640027, КУРГАНСКАЯ ОБЛАСТЬ, Г КУРГАН, ПР-КТ МАШИНОСТРОИТЕЛЕЙ, Д. 22А</t>
  </si>
  <si>
    <t>АО КУРГАНАВТОРЕМОНТ</t>
  </si>
  <si>
    <t>640027, КУРГАНСКАЯ ОБЛАСТЬ, Г КУРГАН, УЛ ХИММАШЕВСКАЯ, Д. 4А</t>
  </si>
  <si>
    <t>ИП БУКОВА ЕЛЕНА АЛЕКСАНДРОВНА</t>
  </si>
  <si>
    <t>ООО ПРОМИНДУСТРИЯ</t>
  </si>
  <si>
    <t>640014, КУРГАНСКАЯ ОБЛАСТЬ, Г КУРГАН, ПР-КТ МАРШАЛА ГОЛИКОВА, СТР. 32Б, ОФИС 1</t>
  </si>
  <si>
    <t>ИП ШИМАНОВА МАРЬЯНА АБРАМОВНА</t>
  </si>
  <si>
    <t>ООО АЛЬЯНС-АВТО</t>
  </si>
  <si>
    <t>640027, КУРГАНСКАЯ ОБЛАСТЬ, Г КУРГАН, УЛ БУРОВА-ПЕТРОВА, СТР. 98, ОФИС 4</t>
  </si>
  <si>
    <t>МКУ УДОМС</t>
  </si>
  <si>
    <t>640002, РОССИЯ, КУРГАНСКАЯ ОБЛАСТЬ, Г.О. ГОРОД КУРГАН, Г КУРГАН, УЛ ПУШКИНА, СТР. 155, ПОМЕЩ. 3</t>
  </si>
  <si>
    <t>ООО АВТОЛАЙВ</t>
  </si>
  <si>
    <t>640002, КУРГАНСКАЯ ОБЛАСТЬ, Г КУРГАН, УЛ ПУШКИНА, Д. 189, 85</t>
  </si>
  <si>
    <t>ООО ЯПАВТО КУРГАН</t>
  </si>
  <si>
    <t>640007, КУРГАНСКАЯ ОБЛАСТЬ, Г КУРГАН, ПР-КТ МАШИНОСТРОИТЕЛЕЙ, Д. 29, ОФИС 1</t>
  </si>
  <si>
    <t>ООО АВТОЦЕНТР-29</t>
  </si>
  <si>
    <t>640014, КУРГАНСКАЯ ОБЛАСТЬ, Г КУРГАН, ПР-КТ МАРШАЛА ГОЛИКОВА, Д. 29Б, ОФИС 101</t>
  </si>
  <si>
    <t>ООО БИЗНЕСАВТО</t>
  </si>
  <si>
    <t>640027, КУРГАНСКАЯ ОБЛАСТЬ, Г КУРГАН, УЛ ДЗЕРЖИНСКОГО, Д. 68, ОФИС 101</t>
  </si>
  <si>
    <t>ИП Нестеренко Наталья Владимировна</t>
  </si>
  <si>
    <t>ИП БАЛАШОВ ДЕНИС ПЕТРОВИЧ</t>
  </si>
  <si>
    <t>ИП СТАРЫГИН МАКСИМ ВИКТОРОВИЧ</t>
  </si>
  <si>
    <t>ООО ТД ДЖЕМИР-ШАДРИНСК</t>
  </si>
  <si>
    <t>641875, КУРГАНСКАЯ ОБЛАСТЬ, Г ШАДРИНСК, УЛ ЛОМОНОСОВА, Д. 30</t>
  </si>
  <si>
    <t>ИП ГЛУХОВ АНДРЕЙ ИГОРЕВИЧ</t>
  </si>
  <si>
    <t>ИП ГЛУХОВА СВЕТЛАНА ВЛАДИМИРОВНА</t>
  </si>
  <si>
    <t>ИП КЛИМОВА ТАТЬЯНА АЛЕКСАНДРОВНА</t>
  </si>
  <si>
    <t>ИП СУХНЕВ СЕРГЕЙ ЛЕОНИДОВИЧ</t>
  </si>
  <si>
    <t>ИП КОСУХИН АНДРЕЙ МИХАЙЛОВИЧ</t>
  </si>
  <si>
    <t>ООО СТРОЙКОМПЛЕКС</t>
  </si>
  <si>
    <t>641920, КУРГАНСКАЯ ОБЛАСТЬ, Р-Н КАРГАПОЛЬСКИЙ, РП КАРГАПОЛЬЕ, УЛ ПЕРВОМАЙСКАЯ, СТР. 13В</t>
  </si>
  <si>
    <t>ИП Нохрин Виталий Сергеевич</t>
  </si>
  <si>
    <t>ИП СОЗЫКИН ДМИТРИЙ АНАТОЛЬЕВИЧ</t>
  </si>
  <si>
    <t>ИП СКОРОХОДОВ МИХАИЛ СЕРГЕЕВИЧ</t>
  </si>
  <si>
    <t>ИП ТЮЛЕНЕВ ЕВГЕНИЙ ВИКТОРОВИЧ</t>
  </si>
  <si>
    <t>ИП ВЛАСОВА ЛЮДМИЛА АЛЕКСАНДРОВНА</t>
  </si>
  <si>
    <t>ИП МЕДВЕДЕВ АЛЬБЕРТ АЛЕКСАНДРОВИЧ</t>
  </si>
  <si>
    <t>ИП НАСЫРОВА ТАТЬЯНА ИВАНОВНА</t>
  </si>
  <si>
    <t>ИП ВАЖЕНИН АЛЕКСАНДР ЮРЬЕВИЧ</t>
  </si>
  <si>
    <t>ИП Дьяченко Любовь Александровна</t>
  </si>
  <si>
    <t>ИП ЛЯПУНОВА ЮЛИЯ АЛЕКСАНДРОВНА</t>
  </si>
  <si>
    <t>ИП БЕРЕЗОВСКАЯ СВЕТЛАНА БОРИСОВНА</t>
  </si>
  <si>
    <t>ИП КИСЕЕВ ЕВГЕНИЙ НИКОЛАЕВИЧ</t>
  </si>
  <si>
    <t>ИП Косых Сергей Владимирович</t>
  </si>
  <si>
    <t>ИП ТОКАРЕВ МАКСИМ ГЕННАДЬЕВИЧ</t>
  </si>
  <si>
    <t>ИП ЗАЙКОВА ТАТЬЯНА ВИТАЛЬЕВНА</t>
  </si>
  <si>
    <t>ИП Литвак Сергей Викторович</t>
  </si>
  <si>
    <t>ИП РОДИОНОВ РОМАН АЛЕКСАНДРОВИЧ</t>
  </si>
  <si>
    <t>ИП АНТРОПОВ СЕРГЕЙ ВЛАДИМИРОВИЧ</t>
  </si>
  <si>
    <t>ИП ЗУЕВА ЮЛИЯ АНАТОЛЬЕВНА</t>
  </si>
  <si>
    <t>ИП Козлов Михаил Владимирович</t>
  </si>
  <si>
    <t>ИП ГУСЕВА АНАСТАСИЯ АЛЕКСАНДРОВНА</t>
  </si>
  <si>
    <t>ИП ДЁМИН ДАНИИЛ ВЛАДИМИРОВИЧ</t>
  </si>
  <si>
    <t>ИП ФАЛЬКОВ ЭДУАРД ГЕННАДЬЕВИЧ</t>
  </si>
  <si>
    <t>ГБПОУ МППК</t>
  </si>
  <si>
    <t>641040, КУРГАНСКАЯ ОБЛАСТЬ, Р-Н МИШКИНСКИЙ, РП МИШКИНО, УЛ ПАВШИХ БОРЦОВ, Д. 4</t>
  </si>
  <si>
    <t>ИП РУДОВСКАЯ АНАСТАСИЯ ПАВЛОВНА</t>
  </si>
  <si>
    <t>ИП Филиппов Евгений Васильевич</t>
  </si>
  <si>
    <t>ИП ЧЕПЕЗУБОВ МАКСИМ ВАЛЕРЬЕВИЧ</t>
  </si>
  <si>
    <t>ИП ТРОПИН ДМИТРИЙ АЛЕКСАНДРОВИЧ</t>
  </si>
  <si>
    <t>ИП ЗУЕВ СЕРГЕЙ ВЛАДИМИРОВИЧ</t>
  </si>
  <si>
    <t>ИП Бабкина Людмила Альбертовна</t>
  </si>
  <si>
    <t>ИП КОЗИНКИН ВАЛЕРИЙ АЛЕКСАНДРОВИЧ</t>
  </si>
  <si>
    <t>ИП Ефремова Екатерина Евгеньевна</t>
  </si>
  <si>
    <t>ИП Шаров Сергей Владимирович</t>
  </si>
  <si>
    <t>ИП ШАРОВ АНДРЕЙ ВЛАДИМИРОВИЧ</t>
  </si>
  <si>
    <t>ИП ЧЕНИНА ВАЛЕНТИНА АЛЕКСАНДРОВНА</t>
  </si>
  <si>
    <t>Курская область</t>
  </si>
  <si>
    <t>ООО МАСЛОСБЫТ</t>
  </si>
  <si>
    <t>305007, КУРСКАЯ ОБЛАСТЬ, Г КУРСК, УЛ ЭНГЕЛЬСА, ЗД. 103</t>
  </si>
  <si>
    <t>ИП ШЕЛЕПОВА МАРИНА СЕРГЕЕВНА</t>
  </si>
  <si>
    <t>ИП РЫБОЧКИНА НАТАЛЬЯ МИХАЙЛОВНА</t>
  </si>
  <si>
    <t>ООО  ПОЛИМЕРИУМ</t>
  </si>
  <si>
    <t>305026, РОССИЯ, КУРСКАЯ ОБЛАСТЬ, Г.О. ГОРОД КУРСК, Г КУРСК, ПРОЕЗД СИЛИКАТНЫЙ, ЗД. 18</t>
  </si>
  <si>
    <t>ООО ОФИЦИАЛЫ</t>
  </si>
  <si>
    <t>305019, КУРСКАЯ ОБЛАСТЬ, Г КУРСК, УЛ МАЛЫХ, ЗД. 35, ОФИС 2</t>
  </si>
  <si>
    <t>ООО МАСЛОЦЕНТР</t>
  </si>
  <si>
    <t>305018, КУРСКАЯ ОБЛАСТЬ, Г КУРСК, УЛ ЛАМОНОВСКАЯ 1-Я, Д. 3, КВ. 37</t>
  </si>
  <si>
    <t>ИП МУХИН АЛЕКСАНДР ВИКТОРОВИЧ</t>
  </si>
  <si>
    <t>ООО КРСК</t>
  </si>
  <si>
    <t>305022, РОССИЯ, КУРСКАЯ ОБЛАСТЬ, Г.О. ГОРОД КУРСК, Г КУРСК, УЛ ЩИГРОВСКАЯ 1-Я, Д. 52, ЭТАЖ/ПОМЕЩ. 2/I, КОМ. 13,23А</t>
  </si>
  <si>
    <t>ИП УЛЬЯНЦЕВ АНДРЕЙ ВЛАДИМИРОВИЧ</t>
  </si>
  <si>
    <t>ИП Кузьминов Василий Викторович</t>
  </si>
  <si>
    <t>ИП Ященкова Ирина Владимировна</t>
  </si>
  <si>
    <t>ИП ТОКАРЕВ ИГОРЬ ПЕТРОВИЧ</t>
  </si>
  <si>
    <t>ИП САФРОНОВА ЛЮДМИЛА ВАСИЛЬЕВНА</t>
  </si>
  <si>
    <t>ИП ИЛЬЮТЧЕНКО НИКИТА ВИКТОРОВИЧ</t>
  </si>
  <si>
    <t>ИП БАБЕНКО НАТАЛЬЯ ВЛАДИМИРОВНА</t>
  </si>
  <si>
    <t>ИП ВИНОКУРОВ ДМИТРИЙ ИВАНОВИЧ</t>
  </si>
  <si>
    <t>ООО МАРС</t>
  </si>
  <si>
    <t>306120, КУРСКАЯ ОБЛАСТЬ, Р-Н СОЛНЦЕВСКИЙ, РП СОЛНЦЕВО, УЛ ЛЕНИНА, Д.27</t>
  </si>
  <si>
    <t>ИП Холина Лариса Михайловна</t>
  </si>
  <si>
    <t>ИП СЛЕПЫНИН ВАСИЛИЙ ИВАНОВИЧ</t>
  </si>
  <si>
    <t>ИП Носов Михаил Владимирович</t>
  </si>
  <si>
    <t>ИП ШЕВЕЛЕВ СЕРГЕЙ ЯКОВЛЕВИЧ</t>
  </si>
  <si>
    <t>ИП ИСАЕВА ЕЛЕНА АНАТОЛЬЕВНА</t>
  </si>
  <si>
    <t>ООО ЕВРОМАСТЕР</t>
  </si>
  <si>
    <t>305014, КУРСКАЯ ОБЛАСТЬ, Г КУРСК, УЛ КАРЛА МАРКСА, Д. 129, ОФИС 1</t>
  </si>
  <si>
    <t>ИП Ушкалов Дмитрий Славиевич</t>
  </si>
  <si>
    <t>ООО РС  ТРЕЙД</t>
  </si>
  <si>
    <t>305001, КУРСКАЯ ОБЛАСТЬ, Г КУРСК, УЛ ДРУЖИНИНСКАЯ, Д. 29, ОФИС 11</t>
  </si>
  <si>
    <t>ООО РЕГИОННЕФТЕХИМ</t>
  </si>
  <si>
    <t>305000, РОССИЯ, КУРСКАЯ ОБЛАСТЬ, Г.О. ГОРОД КУРСК, Г КУРСК, УЛ СЕМЕНОВСКАЯ, ЗД. 64</t>
  </si>
  <si>
    <t>ООО АГРОПРОМСЕРВИС</t>
  </si>
  <si>
    <t>305023, КУРСКАЯ ОБЛАСТЬ, Г КУРСК, ПЕР ЛИТОВСКИЙ 2-Й, Д.5, ОФИС 1</t>
  </si>
  <si>
    <t>ООО ЭКСПЕРТ ОЙЛ КУРСК</t>
  </si>
  <si>
    <t>305019, КУРСКАЯ ОБЛАСТЬ, Г КУРСК, УЛ МАЛЫХ, ЗД. 35</t>
  </si>
  <si>
    <t>ООО КУРСК ТУРБОРЕМОНТ</t>
  </si>
  <si>
    <t>305040, КУРСКАЯ ОБЛАСТЬ, Г.О. ГОРОД КУРСК, Г КУРСК, УЛ ОРЛОВСКАЯ, Д. 8, КВ. 28</t>
  </si>
  <si>
    <t>ООО ТОРГСЕРВИС 46</t>
  </si>
  <si>
    <t>305038, КУРСКАЯ ОБЛАСТЬ, Г КУРСК, УЛ КОСУХИНА, Д. 51, КОМ. 16В</t>
  </si>
  <si>
    <t>ООО ЕМЕХ-КУРСК</t>
  </si>
  <si>
    <t>305014, КУРСКАЯ ОБЛАСТЬ, Г КУРСК, ПЕР ТУЛЬСКИЙ 1-Й, Д. 6</t>
  </si>
  <si>
    <t>ИП МАЛЕТИН СЕРГЕЙ СЕРГЕЕВИЧ</t>
  </si>
  <si>
    <t>ИП ЛОМАКИН ДЕНИС ЮРЬЕВИЧ</t>
  </si>
  <si>
    <t>ООО АГРОЗ46</t>
  </si>
  <si>
    <t>305006, КУРСКАЯ ОБЛАСТЬ, Г КУРСК, ПР-КТ АНАТОЛИЯ ДЕРИГЛАЗОВА, Д. 109, КВ. 233</t>
  </si>
  <si>
    <t>ООО КТ-СЕРВИС</t>
  </si>
  <si>
    <t>305007, РОССИЯ, КУРСКАЯ ОБЛАСТЬ, Г.О. ГОРОД КУРСК, Г КУРСК, УЛ ЭНГЕЛЬСА, ЗД. 103, ОФИС 11</t>
  </si>
  <si>
    <t>ООО ТУСКАР</t>
  </si>
  <si>
    <t>305040, РОССИЯ, КУРСКАЯ ОБЛАСТЬ, Г.О. ГОРОД КУРСК, Г КУРСК, УЛ ГРЕМЯЧЕНСКАЯ, ЗД. 9, ОФИС 1</t>
  </si>
  <si>
    <t>ИП ПЕТУШКОВ ИЛЬЯ ВИТАЛЬЕВИЧ</t>
  </si>
  <si>
    <t>ИП МАМОЯН МАКСИМ СЕРГЕЕВИЧ</t>
  </si>
  <si>
    <t>ИП РАЗИНКИНА НАДЕЖДА ГРИГОРЬЕВНА</t>
  </si>
  <si>
    <t>ИП КАЛМЫКОВ ОЛЕГ СЕРГЕЕВИЧ</t>
  </si>
  <si>
    <t>ИП ПРОХОРОВА ЕЛЕНА АНАТОЛЬЕВНА</t>
  </si>
  <si>
    <t>ИП ЛИХУШИН АЛЕКСЕЙ ВАСИЛЬЕВИЧ</t>
  </si>
  <si>
    <t>ИП ЕРМАКОВ ОЛЕГ АЛЕКСАНДРОВИЧ</t>
  </si>
  <si>
    <t>ИП КАПЛЕНКОВ СЕРГЕЙ ДМИТРИЕВИЧ</t>
  </si>
  <si>
    <t>ИП ГУРОВ НИКОЛАЙ МИХАЙЛОВИЧ</t>
  </si>
  <si>
    <t>ИП КОСИНОВ ДМИТРИЙ ИГОРЕВИЧ</t>
  </si>
  <si>
    <t>ИП СПИЦЫН ВЛАДИМИР СЕРГЕЕВИЧ</t>
  </si>
  <si>
    <t>ИП ЩЁЛОКОВА АЛЁНА АНАТОЛЬЕВНА</t>
  </si>
  <si>
    <t>ООО БИЗНЕС КАР КУРСК</t>
  </si>
  <si>
    <t>305014, КУРСКАЯ ОБЛАСТЬ, Г КУРСК, ПР-КТ ПОБЕДЫ, ЗД. 9</t>
  </si>
  <si>
    <t>ИП СИДОРОВ СЕРГЕЙ МИХАЙЛОВИЧ</t>
  </si>
  <si>
    <t>ИП КОНДРАТОВА УЛЬЯНА НИКОЛАЕВНА</t>
  </si>
  <si>
    <t>ИП Аргунов Юрий Борисович</t>
  </si>
  <si>
    <t>ИП ПОРЯДИН ВЛАДИМИР ВИКТОРОВИЧ</t>
  </si>
  <si>
    <t>ИП МАКАРОВ РОМАН АНАТОЛЬЕВИЧ</t>
  </si>
  <si>
    <t>ООО КАС</t>
  </si>
  <si>
    <t>305023, КУРСКАЯ ОБЛАСТЬ, Г КУРСК, ПЕР ШОССЕЙНЫЙ 2-Й, Д. 23, ОФИС 8</t>
  </si>
  <si>
    <t>305044, КУРСКАЯ ОБЛАСТЬ, Г КУРСК, УЛ ЧАЙКОВСКОГО, Д. 49В, ПОМЕЩ. 11</t>
  </si>
  <si>
    <t>ООО ТРАККОМПЛЕКТ</t>
  </si>
  <si>
    <t>305040, КУРСКАЯ ОБЛАСТЬ, Г КУРСК, УЛ 50 ЛЕТ ОКТЯБРЯ, Д. 116Д, ЛИТЕР А, ОФИС 1</t>
  </si>
  <si>
    <t>ООО МАГИСТРАЛЬ-Н</t>
  </si>
  <si>
    <t>305023, КУРСКАЯ ОБЛАСТЬ, Г КУРСК, ПЕР ШОССЕЙНЫЙ 2-Й, ЗД. 16, КОМ. 3</t>
  </si>
  <si>
    <t>ООО РУСАВТО46</t>
  </si>
  <si>
    <t>305045, КУРСКАЯ ОБЛАСТЬ, Г КУРСК, УЛ КРЮКОВА, Д. 9, КВ. 46</t>
  </si>
  <si>
    <t>ИП РАКИТИН АРТЕМ ВЛАДИМИРОВИЧ</t>
  </si>
  <si>
    <t>ИП ТАРАСОВ АЛЕКСЕЙ НИКОЛАЕВИЧ</t>
  </si>
  <si>
    <t>ООО КОНОВИЯ</t>
  </si>
  <si>
    <t>305007, РОССИЯ, КУРСКАЯ ОБЛАСТЬ, Г.О. ГОРОД КУРСК, Г КУРСК, ПРОЕЗД МОКОВСКИЙ 1-Й, Д. 3, ОФИС 2</t>
  </si>
  <si>
    <t>ООО АГРО ТРЕЙД ПЛЮС</t>
  </si>
  <si>
    <t>305005, РОССИЯ, КУРСКАЯ ОБЛАСТЬ, Г.О. ГОРОД КУРСК, Г КУРСК, ПЕР ВОЛЬНЫЙ 4-Й, Д. 11</t>
  </si>
  <si>
    <t>ООО МОТОРИКО</t>
  </si>
  <si>
    <t>305005, РОССИЯ, КУРСКАЯ ОБЛАСТЬ, Г.О. ГОРОД КУРСК, Г КУРСК, ПР-КТ ВЯЧЕСЛАВА КЛЫКОВА, Д. 39, КВ. 159</t>
  </si>
  <si>
    <t>ООО АЛЛЕЯ ТРЕЙД</t>
  </si>
  <si>
    <t>305019, РОССИЯ, КУРСКАЯ ОБЛАСТЬ, Г.О. ГОРОД КУРСК, Г КУРСК, УЛ МАЛЫХ, ЗД. 35</t>
  </si>
  <si>
    <t>ИП ДРОЖЖИН СЕРГЕЙ ВАЛЕРЬЕВИЧ</t>
  </si>
  <si>
    <t>ИП КОНОНОВ АЛЕКСАНДР АЛЕКСАНДРОВИЧ</t>
  </si>
  <si>
    <t>ИП СЕМЕНОВА КАРИНА СЕРГЕЕВНА</t>
  </si>
  <si>
    <t>ИП АМЕЛИН АРТЕМ ВИТАЛЬЕВИЧ</t>
  </si>
  <si>
    <t>ИП ТАГАНСКИЙ СЕРГЕЙ ВАДИМОВИЧ</t>
  </si>
  <si>
    <t>ИП БАБАДЖАНЯН РОЗА ИГНАТОВНА</t>
  </si>
  <si>
    <t>ИП МИТАСОВ ВЛАДИМИР ВИКТОРОВИЧ</t>
  </si>
  <si>
    <t>ИП БЕЛЫЙ ОЛЕГ ВИКТОРОВИЧ</t>
  </si>
  <si>
    <t>ИП РЕВЕНКО СЕРГЕЙ АНАТОЛЬЕВИЧ</t>
  </si>
  <si>
    <t>ИП ПЕТРИКОВА ВИКТОРИЯ ВЯЧЕСЛАВОВНА</t>
  </si>
  <si>
    <t>ИП ОРЕХОВ АНДРЕЙ ВАСИЛЬЕВИЧ</t>
  </si>
  <si>
    <t>ИП БУДЯКОВ АЛЕКСАНДР АЛЕКСАНДРОВИЧ</t>
  </si>
  <si>
    <t>ИП ШЕВЦОВ ВЛАДИМИР НИКОЛАЕВИЧ</t>
  </si>
  <si>
    <t>ИП КАЛУГИН СЕРГЕЙ СЕРГЕЕВИЧ</t>
  </si>
  <si>
    <t>ИП БЕРЛИЗЕВА ТАТЬЯНА ЯКОВЛЕВНА</t>
  </si>
  <si>
    <t>ООО РН-ЧЕРНОЗЕМЬЕ</t>
  </si>
  <si>
    <t>305000, КУРСКАЯ ОБЛАСТЬ, Г КУРСК, УЛ МОЖАЕВСКАЯ, Д.20</t>
  </si>
  <si>
    <t>ИП Захаров Михаил Егорович</t>
  </si>
  <si>
    <t>ИП ТУРЧАНОВИЧ НИКОЛАЙ НИКОЛАЕВИЧ</t>
  </si>
  <si>
    <t>ИП ТАРАСОВ ВЯЧЕСЛАВ ИВАНОВИЧ</t>
  </si>
  <si>
    <t>АО СЕРВИСЗАПЧАСТЬ</t>
  </si>
  <si>
    <t>305023, КУРСКАЯ ОБЛАСТЬ, Г КУРСК, УЛ ПЕСКОВСКАЯ 3-Я, Д.14А</t>
  </si>
  <si>
    <t>ИП ВОСКАНЯН ШОГИК СЕРЖИКОВНА</t>
  </si>
  <si>
    <t>ИП КОВАЛЕВА НАТАЛЬЯ ВЛАДИМИРОВНА</t>
  </si>
  <si>
    <t>ООО АЛЬЯНС НЕФТЬ</t>
  </si>
  <si>
    <t>ИП ЧАПЛЫГИНА ЕЛЕНА ВЛАДИМИРОВНА</t>
  </si>
  <si>
    <t>ООО КУРСКАВТОЧИП</t>
  </si>
  <si>
    <t>305014, РОССИЯ, КУРСКАЯ ОБЛАСТЬ, Г.О. ГОРОД КУРСК, Г КУРСК, УЛ КАРЛА МАРКСА, ЗД. 77, ОФИС 1</t>
  </si>
  <si>
    <t>ООО АЛЬФА ОЙЛ</t>
  </si>
  <si>
    <t>305040, РОССИЯ, КУРСКАЯ ОБЛАСТЬ, Г.О. ГОРОД КУРСК, Г КУРСК, УЛ ЗАПОЛЬНАЯ, Д. 60, КВ. 183</t>
  </si>
  <si>
    <t>ООО АТРИ</t>
  </si>
  <si>
    <t>305022, РОССИЯ, КУРСКАЯ ОБЛАСТЬ, Г.О. ГОРОД КУРСК, Г КУРСК, УЛ АГРЕГАТНАЯ 3-Я, Д. 23М, ОФИС 101</t>
  </si>
  <si>
    <t>ООО ИНСТРУМЕНТ ОНЛАЙН</t>
  </si>
  <si>
    <t>305005, РОССИЯ, КУРСКАЯ ОБЛАСТЬ, Г.О. ГОРОД КУРСК, Г КУРСК, УЛ МАЙСКИЙ БУЛЬВАР, Д. 29, КВ. 177</t>
  </si>
  <si>
    <t>ООО РЕВОЙЛ</t>
  </si>
  <si>
    <t>305006, РОССИЯ, КУРСКАЯ ОБЛАСТЬ, Г.О. ГОРОД КУРСК, Г КУРСК, ПР-КТ АНАТОЛИЯ ДЕРИГЛАЗОВА, Д. 23, КВ. 297</t>
  </si>
  <si>
    <t>ИП ДРОЖЖИНА ОКСАНА ВАСИЛЬЕВНА</t>
  </si>
  <si>
    <t>ИП МАСЛОВ НИКОЛАЙ АЛЕКСАНДРОВИЧ</t>
  </si>
  <si>
    <t>ИП ВЛАСЕНКО АННА ПЕТРОВНА</t>
  </si>
  <si>
    <t>ИП ЧЕРНЯВСКАЯ КРИСТИНА АЛЕКСАНДРОВНА</t>
  </si>
  <si>
    <t>ИП ВЕЛЮХАНОВ ФЕДОР МИХАЙЛОВИЧ</t>
  </si>
  <si>
    <t>ИП ДЕНИСОВ МИХАИЛ МИХАЙЛОВИЧ</t>
  </si>
  <si>
    <t>ИП БАРАМИЯ НОДАРИ МАРДОНОВИЧ</t>
  </si>
  <si>
    <t>ИП ШАРУДИЛО НАТАЛИЯ ВЛАДИМИРОВНА</t>
  </si>
  <si>
    <t>ИП БОРОДИНА ЛАРИСА ВИКТОРОВНА</t>
  </si>
  <si>
    <t>ИП АЗАРОВА ТАТЬЯНА НИКОЛАЕВНА</t>
  </si>
  <si>
    <t>ИП МИРЗОЯН АЙЛАЗ НИКОЛАЕВИЧ</t>
  </si>
  <si>
    <t>ООО СК ГАРАНТ-СТРОЙ</t>
  </si>
  <si>
    <t>307250, РОССИЯ, КУРСКАЯ ОБЛАСТЬ, Г.О. ГОРОД КУРЧАТОВ, Г КУРЧАТОВ, УЛ ЕФИМА СЛАВСКОГО, Д. 3, КВ. 152</t>
  </si>
  <si>
    <t>ИП МЕТЕЛИЦА ПАВЕЛ НИКОЛАЕВИЧ</t>
  </si>
  <si>
    <t>ИП ЮГАЙ АЛЕКСАНДР АРКАДЬЕВИЧ</t>
  </si>
  <si>
    <t>Ленинградская область</t>
  </si>
  <si>
    <t>ИП Михайлов Сергей Михайлович</t>
  </si>
  <si>
    <t>ИП ЛЕБЕДЕВ АЛЕКСАНДР АЛЕКСЕЕВИЧ</t>
  </si>
  <si>
    <t>ООО СТРОЙТОРГОВЛЯ</t>
  </si>
  <si>
    <t>188643, ЛЕНИНГРАДСКАЯ ОБЛАСТЬ, Р-Н ВСЕВОЛОЖСКИЙ, Г ВСЕВОЛОЖСК, Ш КОЛТУШСКОЕ, Д. 298, ОФИС 17</t>
  </si>
  <si>
    <t>ИП ЯШКОВ АЛЕКСЕЙ ЮРЬЕВИЧ</t>
  </si>
  <si>
    <t>188800, ЛЕНИНГРАДСКАЯ ОБЛАСТЬ, М.Р-Н ВЫБОРГСКИЙ, Г ВЫБОРГ, Г.П. ВЫБОРГСКОЕ, УЛ ДАНИЛОВА, Д. 7, КВ. 5</t>
  </si>
  <si>
    <t>ИП ГУСАКОВА АНАСТАСИЯ АЛЕКСАНДРОВНА</t>
  </si>
  <si>
    <t>ИП БАКЛАН ВЛАДИСЛАВА АЛЕКСАНДРОВНА</t>
  </si>
  <si>
    <t>ООО ЭКСИС ПАРНАС</t>
  </si>
  <si>
    <t>188660, РОССИЯ, ЛЕНИНГРАДСКАЯ ОБЛАСТЬ, М.Р-Н ВСЕВОЛОЖСКИЙ, Г. БУГРЫ, Г.П. БУГРОВСКОЕ, УЛ ТОРГОВАЯ, ЗД. 13, К. 1, ПОМЕЩ. 208</t>
  </si>
  <si>
    <t>ООО ФИРМА ИМА</t>
  </si>
  <si>
    <t>188480, ЛЕНИНГРАДСКАЯ ОБЛАСТЬ, Р-Н КИНГИСЕППСКИЙ, Г КИНГИСЕПП, УЛ ОКТЯБРЬСКАЯ, Д.22, 215</t>
  </si>
  <si>
    <t>ИП ВОЛКОВ ЕВГЕНИЙ ВЛАДИМИРОВИЧ</t>
  </si>
  <si>
    <t>ООО НЕОЗОН</t>
  </si>
  <si>
    <t>188560, РОССИЯ, ЛЕНИНГРАДСКАЯ ОБЛАСТЬ, М.Р-Н СЛАНЦЕВСКИЙ, Г СЛАНЦЫ, Г.П. СЛАНЦЕВСКОЕ, Ш СЛАНЦЕВСКОЕ, ЗД. 7А</t>
  </si>
  <si>
    <t>ООО ВЕК</t>
  </si>
  <si>
    <t>187112, ЛЕНИНГРАДСКАЯ ОБЛАСТЬ, Р-Н КИРИШСКИЙ, Г КИРИШИ, ПР-КТ ЛЕНИНА, ЗД. 44, К. 2</t>
  </si>
  <si>
    <t>ИП ЯБЛОКОВ РОМАН ГЕННАДЬЕВИЧ</t>
  </si>
  <si>
    <t>ИП РОГОЖИН ЕГОР АНДРЕЕВИЧ</t>
  </si>
  <si>
    <t>ООО АЗС-НЕФТЕСНАБ</t>
  </si>
  <si>
    <t>188410, ЛЕНИНГРАДСКАЯ ОБЛАСТЬ, Р-Н ВОЛОСОВСКИЙ, Г ВОЛОСОВО, УЛ ХРУСТИЦКОГО, Д.33</t>
  </si>
  <si>
    <t>ИП Бордовский Максим Игоревич</t>
  </si>
  <si>
    <t>ИП СУТЫГИН РОМАН АНДРЕЕВИЧ</t>
  </si>
  <si>
    <t>ООО КАМСС</t>
  </si>
  <si>
    <t>187342, ЛЕНИНГРАДСКАЯ ОБЛАСТЬ, М.Р-Н КИРОВСКИЙ, Г КИРОВСК, Г.П. КИРОВСКОЕ, УЛ ПИОНЕРСКАЯ, Д. 14, ОФИС №4</t>
  </si>
  <si>
    <t>ИП СТЕПАНОВ ДЕНИС СЕРГЕЕВИЧ</t>
  </si>
  <si>
    <t>ИП КОРОНА ЕЛЕНА ЮРЬЕВНА</t>
  </si>
  <si>
    <t>ИП САБОДАХА ВАЛЕРИЙ НИКОЛАЕВИЧ</t>
  </si>
  <si>
    <t>ИП Ковалева Людмила Валерьевна</t>
  </si>
  <si>
    <t>ИП КОРОВИН ЕГОР СЕРГЕЕВИЧ</t>
  </si>
  <si>
    <t>ИП ШИПИЛОВ АЛЕКСЕЙ ВЛАДИМИРОВИЧ</t>
  </si>
  <si>
    <t>ИП КУЗНЕЦОВ МИХАИЛ СЕРГЕЕВИЧ</t>
  </si>
  <si>
    <t>ООО УК СЛД</t>
  </si>
  <si>
    <t>187412, ЛЕНИНГРАДСКАЯ ОБЛАСТЬ, Р-Н ВОЛХОВСКИЙ, Д СЕЛЬЦО-ГОРКА, Д. 1/2</t>
  </si>
  <si>
    <t>ООО ЭКСПРЕСС МАГАЗИН</t>
  </si>
  <si>
    <t>187406, РОССИЯ, ЛЕНИНГРАДСКАЯ ОБЛАСТЬ, М.Р-Н ВОЛХОВСКИЙ, Г ВОЛХОВ, Г.П. ВОЛХОВСКОЕ, УЛ ЛОМОНОСОВА, Д. 25, ОФИС 1</t>
  </si>
  <si>
    <t>ИП ГАГАРИНА АННА АЛЕКСАНДРОВНА</t>
  </si>
  <si>
    <t>ИП ГРИГОРЯН СОНА ЯЗГУЛЫЕВНА</t>
  </si>
  <si>
    <t>ИП ЛУКЬЯНОВ СЕРГЕЙ СЕРГЕЕВИЧ</t>
  </si>
  <si>
    <t>ООО ТЦ ВОСТОК</t>
  </si>
  <si>
    <t>188686, ЛЕНИНГРАДСКАЯ ОБЛАСТЬ, Р-Н ВСЕВОЛОЖСКИЙ, ПРОМЗОНА КОММУНАЛЬНО-СКЛАДСКАЯ ЗОНА КОРКИНСКАЯ, ПР-Д 1-Й, Д. 1</t>
  </si>
  <si>
    <t>ИП ШВЕЦ АЛЛА ВИКТОРОВНА</t>
  </si>
  <si>
    <t>ООО ЭКСИС ТРАКС</t>
  </si>
  <si>
    <t>188660, ЛЕНИНГРАДСКАЯ ОБЛАСТЬ, Р-Н ВСЕВОЛОЖСКИЙ, Г БУГРЫ, УЛ ТОРГОВАЯ, ЗД. 13, К. 1, ПОМЕЩ. 42</t>
  </si>
  <si>
    <t>ИП ЗАБОЛОТСКАЯ ЕЛЕНА ИСКЕНДЕР КЫЗЫ</t>
  </si>
  <si>
    <t>ИП Шкоденко Ирина Леонидовна</t>
  </si>
  <si>
    <t>ООО ХОББИ-АВТО</t>
  </si>
  <si>
    <t>188800, ЛЕНИНГРАДСКАЯ ОБЛАСТЬ, Р-Н ВЫБОРГСКИЙ, Г ВЫБОРГ, Ш ЛЕНИНГРАДСКОЕ, Д.62</t>
  </si>
  <si>
    <t>ИП РОМАНОВ ЕВГЕНИЙ ГЕННАДЬЕВИЧ</t>
  </si>
  <si>
    <t>188800, ЛЕНИНГРАДСКАЯ ОБЛАСТЬ, Р-Н ВЫБОРГСКИЙ, Г ВЫБОРГ, Ш ЛЕНИНГРАДСКОЕ, Д.42</t>
  </si>
  <si>
    <t>188810, ЛЕНИНГРАДСКАЯ ОБЛАСТЬ, М.Р-Н ВЫБОРГСКИЙ, Г ВЫБОРГ, Г.П. ВЫБОРГСКОЕ, Ш ЛЕНИНГРАДСКОЕ, Д. 49Б, КВ. 64</t>
  </si>
  <si>
    <t>ИП ГОРОХОВ АЛЕКСАНДР ЕВГЕНЬЕВИЧ</t>
  </si>
  <si>
    <t>ИП Колчев Анатолий Васильевич</t>
  </si>
  <si>
    <t>ИП Кузьмина Елена Эйновна</t>
  </si>
  <si>
    <t>ИП Кузьмин Сергей Борисович</t>
  </si>
  <si>
    <t>ООО МАГИСТРАЛЬ ТС</t>
  </si>
  <si>
    <t>188304, ЛЕНИНГРАДСКАЯ ОБЛАСТЬ, Р-Н ГАТЧИНСКИЙ, П ПРИГОРОДНЫЙ, Ш ВЫРИЦКОЕ, Д. 15Б</t>
  </si>
  <si>
    <t>ООО ФЛИНТСТОУНЫ</t>
  </si>
  <si>
    <t>188320, РОССИЯ, ЛЕНИНГРАДСКАЯ ОБЛАСТЬ, М.О. ГАТЧИНСКИЙ, Д ПОКРОВСКАЯ, Д. 174А</t>
  </si>
  <si>
    <t>ИП Анашкин Жан Владимирович</t>
  </si>
  <si>
    <t>ООО ПОБЕДА</t>
  </si>
  <si>
    <t>187342, РОССИЯ, ЛЕНИНГРАДСКАЯ ОБЛАСТЬ, М.Р-Н КИРОВСКИЙ, Г КИРОВСК, Г.П. КИРОВСКОЕ, УЛ ПОБЕДЫ, Д. 24Г</t>
  </si>
  <si>
    <t>ООО СМАК</t>
  </si>
  <si>
    <t>188677, РОССИЯ, ЛЕНИНГРАДСКАЯ ОБЛАСТЬ, М.Р-Н ВСЕВОЛОЖСКИЙ, Г. МУРИНО, Г.П. МУРИНСКОЕ, Б-Р МЕНДЕЛЕЕВА, Д. 5, К. 1, КВ. 187</t>
  </si>
  <si>
    <t>ООО КОНГЛОМЕРАТ</t>
  </si>
  <si>
    <t>188692, РОССИЯ, ЛЕНИНГРАДСКАЯ ОБЛАСТЬ, М.Р-Н ВСЕВОЛОЖСКИЙ, Г. КУДРОВО, Г.П. ЗАНЕВСКОЕ, ПР-КТ ЕВРОПЕЙСКИЙ, Д. 14, К. 4, КВ. 300</t>
  </si>
  <si>
    <t>ООО АВ-ТЕХНИКС</t>
  </si>
  <si>
    <t>188682, РОССИЯ, ЛЕНИНГРАДСКАЯ ОБЛАСТЬ, М.Р-Н ВСЕВОЛОЖСКИЙ, ГП ИМЕНИ СВЕРДЛОВА, Г.П. СВЕРДЛОВСКОЕ, ПРОЕЗД ЗАПАДНЫЙ, Д. 11А, К. 2, КВ. 269</t>
  </si>
  <si>
    <t>ОООЕВРОТРАК</t>
  </si>
  <si>
    <t>188480, ЛЕНИНГРАДСКАЯ ОБЛАСТЬ, Р-Н КИНГИСЕППСКИЙ, Г КИНГИСЕПП, УЛ ХИМИКОВ, Д. 7А, КВ. 5</t>
  </si>
  <si>
    <t>ООО КАДИС</t>
  </si>
  <si>
    <t>188544, РОССИЯ, ЛЕНИНГРАДСКАЯ ОБЛАСТЬ, Г.О. СОСНОВОБОРСКИЙ, Г СОСНОВЫЙ БОР, УЛ МАЛАЯ ЗЕМЛЯ, Д. 6, КВ. 21</t>
  </si>
  <si>
    <t>ИП ГРУЖЕВСКИЙ АНТОН ВЛАДИМИРОВИЧ</t>
  </si>
  <si>
    <t>ИП ПОЛТЕВ ВЛАДИМИР ПЕТРОВИЧ</t>
  </si>
  <si>
    <t>ИП Михайленко Лариса Валентиновна</t>
  </si>
  <si>
    <t>ИП КОРОБИЦЫН МИХАИЛ АНАТОЛЬЕВИЧ</t>
  </si>
  <si>
    <t>ИП КОСАРЕВ АЛЕКСАНДР ВЛАДИМИРОВИЧ</t>
  </si>
  <si>
    <t>ИП МАЛЫШЕВ АЛЕКСЕЙ АЛЕКСАНДРОВИЧ</t>
  </si>
  <si>
    <t>ИП ФЕДОРОВА АННА СЕРГЕЕВНА</t>
  </si>
  <si>
    <t>ООО ПРОМ СНАБ ОЙЛ</t>
  </si>
  <si>
    <t>187700, ЛЕНИНГРАДСКАЯ ОБЛАСТЬ, М.Р-Н ЛОДЕЙНОПОЛЬСКИЙ, Г ЛОДЕЙНОЕ ПОЛЕ, Г.П. ЛОДЕЙНОПОЛЬСКОЕ, ТРАКТ РЕСПУБЛИКАНСКИЙ, Д. 35, ПОМЕЩ. 3</t>
  </si>
  <si>
    <t>ИП ПЕТРОВ АЛЕКСАНДР АЛЕКСЕЕВИЧ</t>
  </si>
  <si>
    <t>ИП ХАЧАТРЯН ХАЧИК МЯСНИКОВИЧ</t>
  </si>
  <si>
    <t>ИП Рабодзей Сергей Владимирович</t>
  </si>
  <si>
    <t>ИП Моданов Валерий Михайлович</t>
  </si>
  <si>
    <t>ИП ИВАНОВ АЛЕКСЕЙ НИКОЛАЕВИЧ</t>
  </si>
  <si>
    <t>ООО СЕВЕР-К</t>
  </si>
  <si>
    <t>187552, ЛЕНИНГРАДСКАЯ ОБЛАСТЬ, Р-Н ТИХВИНСКИЙ, Г ТИХВИН, УЛ ЛЕНИНГРАДСКАЯ, Д. 74А, ОФИС 4</t>
  </si>
  <si>
    <t>ИП ЕГОРОВ РОМАН ЛЕОНИДОВИЧ</t>
  </si>
  <si>
    <t>ООО ЭРА КАРС</t>
  </si>
  <si>
    <t>187021, ЛЕНИНГРАДСКАЯ ОБЛАСТЬ, Р-Н ТОСНЕНСКИЙ, ГП ФЁДОРОВСКОЕ, УЛ ШОССЕЙНАЯ, Д. 29Г, ПОМЕЩ. 1 ОФИС 1</t>
  </si>
  <si>
    <t>ИП МИХАЙЛОВ АЛЕКСЕЙ ВИКТОРОВИЧ</t>
  </si>
  <si>
    <t>ИП ЧИГАРЕВ СЕРГЕЙ АЛЕКСАНДРОВИЧ</t>
  </si>
  <si>
    <t>ИП ЛОМОВА ТАТЬЯНА ЛЕОНИДОВНА</t>
  </si>
  <si>
    <t>ИП МЕЩЕРЯКОВ АНДРЕЙ АЛЕКСАНДРОВИЧ</t>
  </si>
  <si>
    <t>ИП Левковский Анатолий Павлович</t>
  </si>
  <si>
    <t>ООО А.К.Т.</t>
  </si>
  <si>
    <t>188650, ЛЕНИНГРАДСКАЯ ОБЛАСТЬ, Р-Н ВСЕВОЛОЖСКИЙ, Г СЕРТОЛОВО, УЛ ИНДУСТРИАЛЬНАЯ (СЕРТОЛОВО-1 МКР.), Д. 1, К. 4</t>
  </si>
  <si>
    <t>ИП ФЕСЕНКО МАКСИМ ВАЛЕРЬЕВИЧ</t>
  </si>
  <si>
    <t>ИП Семенова Мария Владимировна</t>
  </si>
  <si>
    <t>ООО ПЛАТФОРМА</t>
  </si>
  <si>
    <t>188687, ЛЕНИНГРАДСКАЯ ОБЛАСТЬ, Р-Н ВСЕВОЛОЖСКИЙ, Г МУРИНО, Б-Р ПЕТРОВСКИЙ, Д. 12, К. 2, КВ. 346</t>
  </si>
  <si>
    <t>ИП Жариков Валерий Александрович</t>
  </si>
  <si>
    <t>ООО ГЛОБАЛ ТРАК СЕРВИС АЛЬЯНС</t>
  </si>
  <si>
    <t>188804, ЛЕНИНГРАДСКАЯ ОБЛАСТЬ, Р-Н ВЫБОРГСКИЙ, Г ВЫБОРГ, МКР КАЛИНИНСКИЙ, УЛ РУБЕРОИДНАЯ, Д.20</t>
  </si>
  <si>
    <t>ИП НИКОЛАЕВСКИЙ ДМИТРИЙ АЛЕКСАНДРОВИЧ</t>
  </si>
  <si>
    <t>ИП ОНИКОВА СВЕТЛАНА ВЛАДИМИРОВНА</t>
  </si>
  <si>
    <t>ООО ТЕХИНТКОМ 47</t>
  </si>
  <si>
    <t>188800, ЛЕНИНГРАДСКАЯ ОБЛАСТЬ, Р-Н ВЫБОРГСКИЙ, Г ВЫБОРГ, Ш ЛЕНИНГРАДСКОЕ, Д. 65, ПОМЕЩ. 17-Б</t>
  </si>
  <si>
    <t>ИП ШАРКОВ ДМИТРИЙ АЛЕКСАНДРОВИЧ</t>
  </si>
  <si>
    <t>ИП ЯШНИКОВА АНАСТАСИЯ ВИКТОРОВНА</t>
  </si>
  <si>
    <t>ИП НОВИКОВ ЕВГЕНИЙ ИВАНОВИЧ</t>
  </si>
  <si>
    <t>ИП ЛАЗАР АЛИОНА</t>
  </si>
  <si>
    <t>ИП ЖУРАВЛЁВ СТАНИСЛАВ НИКОЛАЕВИЧ</t>
  </si>
  <si>
    <t>ООО АВТОБИОГРАФИЯ</t>
  </si>
  <si>
    <t>188304, ЛЕНИНГРАДСКАЯ ОБЛАСТЬ, Р-Н ГАТЧИНСКИЙ, Г ГАТЧИНА, УЛ ЧЕХОВА, Д. 1, ПОМЕЩ. 3-Н ОФИС 32 Р.М. 1</t>
  </si>
  <si>
    <t>ООО АЛЬФА-ТРЕЙД</t>
  </si>
  <si>
    <t>ИП ПОНОМАРЕВ АЛЕКСАНДР ЮРЬЕВИЧ</t>
  </si>
  <si>
    <t>ИП КУКУШИН СЕРГЕЙ ВИКТОРОВИЧ</t>
  </si>
  <si>
    <t>ООО ЭЛИТМОТОРС</t>
  </si>
  <si>
    <t>188660, ЛЕНИНГРАДСКАЯ ОБЛАСТЬ, М.Р-Н ВСЕВОЛОЖСКИЙ, Д МИСТОЛОВО, Г.П. БУГРОВСКОЕ, УЛ ГЛАВНАЯ, ЗД. 5, К. 2, ОФИС 2Д</t>
  </si>
  <si>
    <t>ИП ДРАНИЧЕНКОВА ЮЛИЯ МИХАЙЛОВНА</t>
  </si>
  <si>
    <t>ООО МТП ГРУПП</t>
  </si>
  <si>
    <t>188684, РОССИЯ, ЛЕНИНГРАДСКАЯ ОБЛАСТЬ, М.Р-Н ВСЕВОЛОЖСКИЙ, ГП ДУБРОВКА, Г.П. ДУБРОВСКОЕ, УЛ ШКОЛЬНАЯ, Д. 23, КВ. 47</t>
  </si>
  <si>
    <t>ИП КОНОНОВ КИРИЛЛ АЛЕКСАНДРОВИЧ</t>
  </si>
  <si>
    <t>ИП ИВАНИЦКИЙ ВЛАДИМИР ВИКТОРОВИЧ</t>
  </si>
  <si>
    <t>ИП БРАГИНСКАЯ АЛЕНА ПАВЛОВНА</t>
  </si>
  <si>
    <t>ИП ЛИСЯТНИКОВ ВИКТОР СЕРГЕЕВИЧ</t>
  </si>
  <si>
    <t>ИП РОМАНОВА ИРЭНА ЮРЬЕВНА</t>
  </si>
  <si>
    <t>ИП Порозова Ирина Анатольевна</t>
  </si>
  <si>
    <t>ИП КАЛИНИН АЛЕКСАНДР ВАЛЕРЬЕВИЧ</t>
  </si>
  <si>
    <t>ИП МОРОЗОВА ЮЛИЯ АЛЕКСАНДРОВНА</t>
  </si>
  <si>
    <t>ИП ГОЛУБКОВ РОМАН ГЕННАДЬЕВИЧ</t>
  </si>
  <si>
    <t>ИП ЛИЛЬБОК АНДРЕЙ АРКАДЬЕВИЧ</t>
  </si>
  <si>
    <t>ИП ЗОРИН АЛЕКСЕЙ СЕРГЕЕВИЧ</t>
  </si>
  <si>
    <t>ИП СМОКИЛО ИЛЬЯ ПАВЛОВИЧ</t>
  </si>
  <si>
    <t>ИП ГОЛОПЕРОВ ВИТАЛИЙ ДМИТРИЕВИЧ</t>
  </si>
  <si>
    <t>ИП ТОЛОКОННИКОВ ВИКТОР НИКОЛАЕВИЧ</t>
  </si>
  <si>
    <t>ИП СУВОРОВ АЛЕКСАНДР ДМИТРИЕВИЧ</t>
  </si>
  <si>
    <t>ИП СУОМАЛАЙНЕН СТЕПАН ВЛАДИМИРОВИЧ</t>
  </si>
  <si>
    <t>ИП Рюхин Олег Владимирович</t>
  </si>
  <si>
    <t>ООО СОСНОВЫЙ БОР</t>
  </si>
  <si>
    <t>188544, ЛЕНИНГРАДСКАЯ ОБЛАСТЬ, Г СОСНОВЫЙ БОР, УЛ ПЕТРА ВЕЛИКОГО, Д. 11, ОФИС 1</t>
  </si>
  <si>
    <t>ООО НОРД - РЕНА</t>
  </si>
  <si>
    <t>188540, ЛЕНИНГРАДСКАЯ ОБЛАСТЬ, Г СОСНОВЫЙ БОР, УЛ МИРА, Д.1</t>
  </si>
  <si>
    <t>ИП ТРОШЕВ РОМАН АЛЕКСАНДРОВИЧ</t>
  </si>
  <si>
    <t>ИП Осыкин Василий Павлович</t>
  </si>
  <si>
    <t>ИП ЗЕРНЯКОВ АЛЕКСАНДР АЛЕКСАНДРОВИЧ</t>
  </si>
  <si>
    <t>ИП Климович Ростислав Валерьевич</t>
  </si>
  <si>
    <t>ИП ПОЗДЕЕВ КИРИЛЛ СЕРГЕЕВИЧ</t>
  </si>
  <si>
    <t>ИП МЕДВЕДЕВ МИХАИЛ ОЛЕГОВИЧ</t>
  </si>
  <si>
    <t>ИП ЛЕБЕДЕВ АРТЕМ ВИКТОРОВИЧ</t>
  </si>
  <si>
    <t>ООО ТЕХЦЕНТРЫ СОТРАНС</t>
  </si>
  <si>
    <t>187015, ЛЕНИНГРАДСКАЯ ОБЛАСТЬ, М.Р-Н ТОСНЕНСКИЙ, ГП КРАСНЫЙ БОР, Г.П. КРАСНОБОРСКОЕ, УЛ ПРОМЫШЛЕННАЯ, Д. 3, ПОМЕЩ. 156</t>
  </si>
  <si>
    <t>ИП Трофимова Светлана Егоровна</t>
  </si>
  <si>
    <t>ИП ПОПОВ СЕРГЕЙ АНАТОЛЬЕВИЧ</t>
  </si>
  <si>
    <t>ООО ГРИН ПЛЮС</t>
  </si>
  <si>
    <t>188663, ЛЕНИНГРАДСКАЯ ОБЛАСТЬ, Р-Н ВСЕВОЛОЖСКИЙ, ГП КУЗЬМОЛОВСКИЙ, Д. 10</t>
  </si>
  <si>
    <t>ИП МУРАВЬЕВ АЛЕКСАНДР ОЛЕГОВИЧ</t>
  </si>
  <si>
    <t>ИП ГРИНЕВИЧ ЮРИЙ ИВАНОВИЧ</t>
  </si>
  <si>
    <t>ООО КЛИНТЕХ</t>
  </si>
  <si>
    <t>188686, ЛЕНИНГРАДСКАЯ ОБЛАСТЬ, М.Р-Н ВСЕВОЛОЖСКИЙ, Г.П. КОЛТУШСКОЕ, ТЕР. ПРОМЗОНА МЯГЛОВСКАЯ, УЛ КРУГОВАЯ, ЗД. 41, ОФИС 11</t>
  </si>
  <si>
    <t>ИП БОГДАНОВ РОМАН ВАДИМОВИЧ</t>
  </si>
  <si>
    <t>ИП БОГДАНОВ ИГОРЬ БОРИСОВИЧ</t>
  </si>
  <si>
    <t>ООО МГМ МОТОРС</t>
  </si>
  <si>
    <t>188800, ЛЕНИНГРАДСКАЯ ОБЛАСТЬ, Р-Н ВЫБОРГСКИЙ, Г ВЫБОРГ, УЛ ВОДНОГО КОЛОДЦА, Д. 2А</t>
  </si>
  <si>
    <t>ООО МГМ</t>
  </si>
  <si>
    <t>188800, РОССИЯ, ЛЕНИНГРАДСКАЯ ОБЛАСТЬ, М.Р-Н ВЫБОРГСКИЙ, Г ВЫБОРГ, Г.П. ВЫБОРГСКОЕ, УЛ ВОДНОГО КОЛОДЦА, Д. 2А, ПОМЕЩ. 38</t>
  </si>
  <si>
    <t>ИП МИХАЙЛОВА АННА МИХАЙЛОВНА</t>
  </si>
  <si>
    <t>ИП БУЙЧИК ИРИНА ВЛАДИМИРОВНА</t>
  </si>
  <si>
    <t>ИП БОГДАНОВА СВЕТЛАНА НИКОЛАЕВНА</t>
  </si>
  <si>
    <t>ООО АВТОБИОГРАФИЯ ПУЛКОВО</t>
  </si>
  <si>
    <t>188304, ЛЕНИНГРАДСКАЯ ОБЛАСТЬ, Р-Н ГАТЧИНСКИЙ, Г ГАТЧИНА, УЛ ЧЕХОВА, Д. 1, ПОМЕЩ. 3-Н ОФИС 32 Р.М. 2</t>
  </si>
  <si>
    <t>ИП ЯКОВЛЕВ АНДРЕЙ ВЛАДИМИРОВИЧ</t>
  </si>
  <si>
    <t>ИП Мельников Владимир Владимирович</t>
  </si>
  <si>
    <t>ИП КАРАСЕВ ПАВЕЛ АНДРЕЕВИЧ</t>
  </si>
  <si>
    <t>ООО АРТЭНД</t>
  </si>
  <si>
    <t>188691, РОССИЯ, ЛЕНИНГРАДСКАЯ ОБЛАСТЬ, М.Р-Н ВСЕВОЛОЖСКИЙ, Г. КУДРОВО, Г.П. ЗАНЕВСКОЕ, МКР НОВЫЙ ОККЕРВИЛЬ, УЛ ОБЛАСТНАЯ, Д. 2, СТР. 2, ПОМЕЩ. 5</t>
  </si>
  <si>
    <t>ИП МУТОВКИН АЛЕКСАНДР КОНСТАНТИНОВИЧ</t>
  </si>
  <si>
    <t>188645, РОССИЯ, ЛЕНИНГРАДСКАЯ ОБЛАСТЬ, М.Р-Н ВСЕВОЛОЖСКИЙ, Г ВСЕВОЛОЖСК, Г.П. ВСЕВОЛОЖСКОЕ, Ш КОЛТУШСКОЕ, Д. 298Б, ОФИС 110, КОМ. 1</t>
  </si>
  <si>
    <t>ООО ИАТ СПОРТИВ</t>
  </si>
  <si>
    <t>188660, ЛЕНИНГРАДСКАЯ ОБЛАСТЬ, М.Р-Н ВСЕВОЛОЖСКИЙ, Д ПОРОШКИНО, Г.П. БУГРОВСКОЕ, УЛ ТОРГОВАЯ, ЗД. 22, ПОМЕЩ. 23</t>
  </si>
  <si>
    <t>ООО ЦСК</t>
  </si>
  <si>
    <t>188660, РОССИЯ, ЛЕНИНГРАДСКАЯ ОБЛАСТЬ, М.Р-Н ВСЕВОЛОЖСКИЙ, Г. БУГРЫ, Г.П. БУГРОВСКОЕ, ПРОЕЗД ГАРАЖНЫЙ, СТР. 9, К. 1, ПОМЕЩ. 1, ОФИС 1</t>
  </si>
  <si>
    <t>ООО ЭКСКЛЮЗИВ ПЛЮС</t>
  </si>
  <si>
    <t>188561, ЛЕНИНГРАДСКАЯ ОБЛАСТЬ, М.Р-Н СЛАНЦЕВСКИЙ, Г СЛАНЦЫ, Г.П. СЛАНЦЕВСКОЕ, Ш СЛАНЦЕВСКОЕ, ЗД. 1А, ПОМЕЩ. 1Н</t>
  </si>
  <si>
    <t>ИП ВЕРХОВЦЕВ МАКСИМ АЛЕКСАНДРОВИЧ</t>
  </si>
  <si>
    <t>ООО АЛЬЯНС ПРО</t>
  </si>
  <si>
    <t>188513, РОССИЯ, ЛЕНИНГРАДСКАЯ ОБЛАСТЬ, М.Р-Н ЛОМОНОСОВСКИЙ, Д УЗИГОНТЫ, С.П. НИЗИНСКОЕ, УЛ ЗИМНЯЯ, Д. 2</t>
  </si>
  <si>
    <t>ИП Кузнецов Олег Анатольевич</t>
  </si>
  <si>
    <t>ИП ЮДОВ ИЛЬЯ АЛЕКСЕЕВИЧ</t>
  </si>
  <si>
    <t>ИП Казеев Андрей Дмитриевич</t>
  </si>
  <si>
    <t>ИП МОТЫКА СВЕТЛАНА ГЕННАДЬЕВНА</t>
  </si>
  <si>
    <t>ИП ЛОКОШЕВА НАТАЛЬЯ СЕРГЕЕВНА</t>
  </si>
  <si>
    <t>ЗАО КИТЭК</t>
  </si>
  <si>
    <t>187110, ЛЕНИНГРАДСКАЯ ОБЛАСТЬ, Р-Н КИРИШСКИЙ, Г КИРИШИ, ПР-КТ ПОБЕДЫ, Д. 32, --------</t>
  </si>
  <si>
    <t>ИП Мурашов Илья Александрович</t>
  </si>
  <si>
    <t>ИП САБЕРЗЯНОВ РОМАН ЛЕОНИДОВИЧ</t>
  </si>
  <si>
    <t>ИП ЕВГРАФОВ ВАЛЕРИЙ ЕВГЕНЬЕВИЧ</t>
  </si>
  <si>
    <t>ИП ЧЕРЕПАНОВА ЕЛЕНА ИГОРЕВНА</t>
  </si>
  <si>
    <t>ИП Алдашкина Лариса Геннадьевна</t>
  </si>
  <si>
    <t>ИП ГОРБАЧЕВ ДМИТРИЙ ЮРЬЕВИЧ</t>
  </si>
  <si>
    <t>ИП ТИТОРЕНКО АНДРЕЙ ВИТАЛЬЕВИЧ</t>
  </si>
  <si>
    <t>ИП ВАВИЛКИНА ИРИНА НИКОЛАЕВНА</t>
  </si>
  <si>
    <t>ИП БЕЛЯЕВ ИГОРЬ АНАТОЛЬЕВИЧ</t>
  </si>
  <si>
    <t>ИП Ковалёв Игорь Иванович</t>
  </si>
  <si>
    <t>ИП Запольский Андрей Евгеньевич</t>
  </si>
  <si>
    <t>ИП Лебедев Денис Игоревич</t>
  </si>
  <si>
    <t>ИП АХРОМЕЕВ АНДРЕЙ СЕРГЕЕВИЧ</t>
  </si>
  <si>
    <t>ИП Мухамеджанов Ренат Якубович</t>
  </si>
  <si>
    <t>ИП ИГНАТЬЕВ ДЕНИС ИВАНОВИЧ</t>
  </si>
  <si>
    <t>ООО ИНТЕРФИЛЛ</t>
  </si>
  <si>
    <t>187000, ЛЕНИНГРАДСКАЯ ОБЛАСТЬ, Р-Н ТОСНЕНСКИЙ, Г ТОСНО, Ш МОСКОВСКОЕ, Д. 1</t>
  </si>
  <si>
    <t>ООО ТРИА СЕВЕРО-ЗАПАД</t>
  </si>
  <si>
    <t>187021, ЛЕНИНГРАДСКАЯ ОБЛАСТЬ, Р-Н ТОСНЕНСКИЙ, ГП ФЁДОРОВСКОЕ, УЛ ПРОМЫШЛЕННАЯ, Д. 19, К. 5</t>
  </si>
  <si>
    <t>ИП Ревякина Зинаида Игнатьевна</t>
  </si>
  <si>
    <t>ИП РЫЖЕНКО ЮРИЙ ВЛАДИМИРОВИЧ</t>
  </si>
  <si>
    <t>ИП АРУСТАМЯН ЭРНЕСТ РОБЕРТОВИЧ</t>
  </si>
  <si>
    <t>ИП ГРИГОРЯН ТИГРАН ГУРГЕНОВИЧ</t>
  </si>
  <si>
    <t>ИП ЩЁЛКИН РОМАН СЕРГЕЕВИЧ</t>
  </si>
  <si>
    <t>ИП НИКИТИН АНДРЕЙ АЛЕКСАНДРОВИЧ</t>
  </si>
  <si>
    <t>ИП СВИНЦИЦКИЙ СТАНИСЛАВ ЛЕОНИДОВИЧ</t>
  </si>
  <si>
    <t>ИП ЕКИМЕНКОВА СНЕЖАНА АЛЕКСАНДРОВНА</t>
  </si>
  <si>
    <t>АО ЭКО-БАЛТ</t>
  </si>
  <si>
    <t>188689, ЛЕНИНГРАДСКАЯ ОБЛАСТЬ, М.Р-Н ВСЕВОЛОЖСКИЙ, ГП ЯНИНО-1, Г.П. ЗАНЕВСКОЕ, ТЕР. ПРОИЗВОДСТВЕННАЯ ЗОНА ЯНИНО, ПР-Д ТЕРМИНАЛЬНЫЙ, ЗД. 2, ПОМЕЩ. 32</t>
  </si>
  <si>
    <t>ИП Королев Ян Владимирович</t>
  </si>
  <si>
    <t>ИП ЗАКУРДАЕВ ДМИТРИЙ АНАТОЛЬЕВИЧ</t>
  </si>
  <si>
    <t>ИП ЛИТВИНОВА МАЙЯ ВАСИЛЬЕВНА</t>
  </si>
  <si>
    <t>ИП БАБКИН АНДРЕЙ ВЛАДИМИРОВИЧ</t>
  </si>
  <si>
    <t>ИП КРЫЛОВА ЕЛЕНА АЛЕКСАНДРОВНА</t>
  </si>
  <si>
    <t>ИП ЗУБРИЦКИЙ ОЛЕГ НИКОЛАЕВИЧ</t>
  </si>
  <si>
    <t>ООО К А П И Р</t>
  </si>
  <si>
    <t>188490, ЛЕНИНГРАДСКАЯ ОБЛАСТЬ, Р-Н КИНГИСЕППСКИЙ, Г ИВАНГОРОД, УЛ ГАГАРИНА, Д.29</t>
  </si>
  <si>
    <t>ООО ПИКАЛЕВСКАЯ ТОПЛИВНАЯ КОМПАНИЯ</t>
  </si>
  <si>
    <t>187602, ЛЕНИНГРАДСКАЯ ОБЛАСТЬ, Р-Н БОКСИТОГОРСКИЙ, Г ПИКАЛЕВО, УЛ МЕТАЛЛУРГОВ, Д. 1</t>
  </si>
  <si>
    <t>ИП ЛАХНО АННА РОМАНОВНА</t>
  </si>
  <si>
    <t>ИП ПЕТРУШЕНКОВ МИХАЙЛ ЭДУАРДОВИЧ</t>
  </si>
  <si>
    <t>ИП БОГДАНОВ ДМИТРИЙ АЛЕКСАНДРОВИЧ</t>
  </si>
  <si>
    <t>ИП Ятина Ирина Васильевна</t>
  </si>
  <si>
    <t>ООО ХИМПРОМПРОЕКТ</t>
  </si>
  <si>
    <t>188508, ЛЕНИНГРАДСКАЯ ОБЛАСТЬ, Р-Н ЛОМОНОСОВСКИЙ, КВ-Л 2 (ЮЖНАЯ ЧАСТЬ ПРОМЗОНЫ ГОРЕЛОВО ТЕР), КВАРТАЛ 2 ДОМ 52</t>
  </si>
  <si>
    <t>ООО АЗС 206</t>
  </si>
  <si>
    <t>188950, ЛЕНИНГРАДСКАЯ ОБЛАСТЬ, Р-Н ВЫБОРГСКИЙ, Г КАМЕННОГОРСК, Ш ВЫБОРГСКОЕ, ЗД. 1А</t>
  </si>
  <si>
    <t>ИП ДЮНДИН АЛЕКСЕЙ АЛЕКСЕЕВИЧ</t>
  </si>
  <si>
    <t>ООО ПК ПОЛИПЛАСТ</t>
  </si>
  <si>
    <t>188304, ЛЕНИНГРАДСКАЯ ОБЛАСТЬ, Р-Н ГАТЧИНСКИЙ, Г ГАТЧИНА, УЛ СОЛОДУХИНА, Д. 2</t>
  </si>
  <si>
    <t>188689, ЛЕНИНГРАДСКАЯ ОБЛАСТЬ, Р-Н ВСЕВОЛОЖСКИЙ, ГП ЯНИНО-1, УЛ ШОССЕЙНАЯ (ПРОИЗВОДСТВЕННАЯ ЗОНА ЯНИНО ТЕР.), СТР. 108, ПОМЕЩ. 54</t>
  </si>
  <si>
    <t>ИП МАКСИМЕНКО МАРИНА ВАЛЕРЬЕВНА</t>
  </si>
  <si>
    <t>ООО НПП ЛАДОГА</t>
  </si>
  <si>
    <t>187021, РОССИЯ, ЛЕНИНГРАДСКАЯ ОБЛАСТЬ, М.Р-Н ТОСНЕНСКИЙ, ГП ФЁДОРОВСКОЕ, Г.П. ФЁДОРОВСКОЕ, ПРОЕЗД КОЛЬЦЕВОЙ, ЗД. 5</t>
  </si>
  <si>
    <t>ИП СЛАТВИНСКИЙ ИГОРЬ НИКОЛАЕВИЧ</t>
  </si>
  <si>
    <t>ИП УСТИННИКОВ СЕРГЕЙ СЕРГЕЕВИЧ</t>
  </si>
  <si>
    <t>ООО БАРГУС ПРОДАКШН</t>
  </si>
  <si>
    <t>188501, ЛЕНИНГРАДСКАЯ ОБЛАСТЬ, Р-Н ЛОМОНОСОВСКИЙ, Д САНИНО, Д. 42Б, ОФИС 1</t>
  </si>
  <si>
    <t>ИП МАРТЫНОВ СЕРГЕЙ ЮРЬЕВИЧ</t>
  </si>
  <si>
    <t>ООО ГЛОБАЛ ТРАК СЕРВИС СЕВЕРО-ЗАПАД</t>
  </si>
  <si>
    <t>188510, ЛЕНИНГРАДСКАЯ ОБЛАСТЬ, Р-Н ЛОМОНОСОВСКИЙ, Ш ВОЛХОНСКОЕ, Д. 5, ПОМЕЩ. 54</t>
  </si>
  <si>
    <t>ООО КАПИТАЛ МЕНЕДЖМЕНТ</t>
  </si>
  <si>
    <t>187555, РОССИЯ, ЛЕНИНГРАДСКАЯ ОБЛАСТЬ, М.Р-Н ТИХВИНСКИЙ, Г ТИХВИН, Г.П. ТИХВИНСКОЕ, ТУП ЛЕВО-ВОЛОГОДСКИЙ, Д. 1</t>
  </si>
  <si>
    <t>ИП ЧИСТОВА ОЛЬГА ВЛАДИМИРОВНА</t>
  </si>
  <si>
    <t>ИП ЕФИМЕНКО ЛИДИЯ ЮРЬЕВНА</t>
  </si>
  <si>
    <t>ИП ОМЕЛЬЧЕНКО АНДРЕЙ СЕРГЕЕВИЧ</t>
  </si>
  <si>
    <t>ООО ПЕТРОВСКИЙ СПБ</t>
  </si>
  <si>
    <t>188480, ЛЕНИНГРАДСКАЯ ОБЛАСТЬ, Р-Н КИНГИСЕППСКИЙ, Г КИНГИСЕПП, УЛ ПРОФИЛАКТОРНАЯ, Д.2</t>
  </si>
  <si>
    <t>ООО СЕВЕРНАЯ РИВЬЕРА</t>
  </si>
  <si>
    <t>188826, ЛЕНИНГРАДСКАЯ ОБЛАСТЬ, М.Р-Н ВЫБОРГСКИЙ, С.П. ПОЛЯНСКОЕ, ТЕР. ПОЛЯНСКАЯ, ДОР КРАСНОГВАРДЕЙСКАЯ, Д. 201, К. 1</t>
  </si>
  <si>
    <t>ООО ЕВРОСИБ-АВТО</t>
  </si>
  <si>
    <t>188304, ЛЕНИНГРАДСКАЯ ОБЛАСТЬ, Р-Н ГАТЧИНСКИЙ, Г ГАТЧИНА, УЛ ЧЕХОВА, Д. 1, ПОМЕЩ. 3-Н ОФИС 31</t>
  </si>
  <si>
    <t>ООО СПЕЦГРУЗСЕРВИС</t>
  </si>
  <si>
    <t>187010, РОССИЯ, ЛЕНИНГРАДСКАЯ ОБЛАСТЬ, М.Р-Н ТОСНЕНСКИЙ, ГП УЛЬЯНОВКА, Г.П. УЛЬЯНОВСКОЕ, УЛ ЛЕСКОВА, Д. 22Б</t>
  </si>
  <si>
    <t>ИП ПОЛУКАРОВА ЛАРИСА НИКОЛАЕВНА</t>
  </si>
  <si>
    <t>ИП ГОЛОВИН ЮРИЙ ВЛАДИМИРОВИЧ</t>
  </si>
  <si>
    <t>ИП САВЕЛЬЕВ ИВАН ИВАНОВИЧ</t>
  </si>
  <si>
    <t>ИП БЕЛОВА ОЛЬГА НИКОЛАЕВНА</t>
  </si>
  <si>
    <t>ИП ЕРЕМЕЕВ ОЛЕГ ВЛАДИМИРОВИЧ</t>
  </si>
  <si>
    <t>ИП ХВАДЖАЕВ РАСУЛ МАГОМЕДОВИЧ</t>
  </si>
  <si>
    <t>ООО ЭКСИС ТРАКС СЕРВИС</t>
  </si>
  <si>
    <t>188660, РОССИЯ, ЛЕНИНГРАДСКАЯ ОБЛАСТЬ, М.Р-Н ВСЕВОЛОЖСКИЙ, Г. БУГРЫ, Г.П. БУГРОВСКОЕ, УЛ ТОРГОВАЯ, ЗД. 13, К. 1, ПОМЕЩ. 209</t>
  </si>
  <si>
    <t>ООО ТОПОЛ-ЭКО НЕВА</t>
  </si>
  <si>
    <t>188686, ЛЕНИНГРАДСКАЯ ОБЛАСТЬ, М.Р-Н ВСЕВОЛОЖСКИЙ, Г.П. КОЛТУШСКОЕ, ТЕР. ПРОМЗОНА МЯГЛОВСКАЯ, УЛ КРУГОВАЯ, ЗД. 9Б</t>
  </si>
  <si>
    <t>ИП ТИНИЧЕВ АНДРЕЙ СЕРГЕЕВИЧ</t>
  </si>
  <si>
    <t>ИП ЧИРКО НАДЕЖДА АЛЕКСАНДРОВНА</t>
  </si>
  <si>
    <t>ИП САВЕЛЬЕВ АЛЕКСЕЙ НИКОЛАЕВИЧ</t>
  </si>
  <si>
    <t>ИП МАНИНА ЕЛЕНА ВИКТОРОВНА</t>
  </si>
  <si>
    <t>ИП Опарина Юлия Геннадьевна</t>
  </si>
  <si>
    <t>ИП СУСЛОВ КИРИЛЛ ЮРЬЕВИЧ</t>
  </si>
  <si>
    <t>ИП КОНЕВЕЦ АЛЕКСАНДР ВЛАДИМИРОВИЧ</t>
  </si>
  <si>
    <t>ИП МАЛЫШЕВА АННА ВАЛЕРЬЕВНА</t>
  </si>
  <si>
    <t>ИП ЕВСЕЕВ МИХАИЛ ЕВГЕНЬЕВИЧ</t>
  </si>
  <si>
    <t>ИП КОМЛЕВА ЕЛЕНА ВЛАДИМИРОВНА</t>
  </si>
  <si>
    <t>ИП СУСЛОВ ИЛЬЯ ВЛАДИМИРОВИЧ</t>
  </si>
  <si>
    <t>ИП ШКУРОВ МАКСИМ ВИКТОРОВИЧ</t>
  </si>
  <si>
    <t>ИП ЗАДОЙНОВА НАТАЛЬЯ ЮРЬЕВНА</t>
  </si>
  <si>
    <t>ИП ГОЛОВИН ГРИГОРИЙ ИВАНОВИЧ</t>
  </si>
  <si>
    <t>ООО ПФ ВИС</t>
  </si>
  <si>
    <t>188300, ЛЕНИНГРАДСКАЯ ОБЛАСТЬ, Р-Н ГАТЧИНСКИЙ, Г ГАТЧИНА, УЛ 7 АРМИИ, Д. 22А, ПОМЕЩ. 10</t>
  </si>
  <si>
    <t>Липецкая область</t>
  </si>
  <si>
    <t>398032, РОССИЯ, ЛИПЕЦКАЯ ОБЛАСТЬ, Г.О. ГОРОД ЛИПЕЦК, Г ЛИПЕЦК, УЛ ЦИОЛКОВСКОГО, Д. 43Б, ОФИС 11</t>
  </si>
  <si>
    <t>ИП ШИПИЛОВА НАТАЛЬЯ ГЕННАДИЕВНА</t>
  </si>
  <si>
    <t>ООО ЧЕТЫРЕ ПОРШНЯ</t>
  </si>
  <si>
    <t>398523, ЛИПЕЦКАЯ ОБЛАСТЬ, Р-Н ЛИПЕЦКИЙ, С ГРЯЗНОЕ, УЛ ДАЛЬНЯЯ, Д. 20</t>
  </si>
  <si>
    <t>ИП АФАНАСЬЕВ МАКСИМ МИХАЙЛОВИЧ</t>
  </si>
  <si>
    <t>ИП МОРДВИНА ГАЛИНА НИКОЛАЕВНА</t>
  </si>
  <si>
    <t>ИП КРАМСКОЙ ЕВГЕНИЙ СЕРГЕЕВИЧ</t>
  </si>
  <si>
    <t>ООО СНАБТОРГ</t>
  </si>
  <si>
    <t>398902, РОССИЯ, ЛИПЕЦКАЯ ОБЛАСТЬ, Г.О. ГОРОД ЛИПЕЦК, Г ЛИПЕЦК, УЛ УДАРНИКОВ, ВЛД. 90, ПОМЕЩ. 30</t>
  </si>
  <si>
    <t>ИП ГЛУШКОВА НАТАЛЬЯ СЕРГЕЕВНА</t>
  </si>
  <si>
    <t>ИП КАРАСЕВ МАКСИМ АЛЕКСАНДРОВИЧ</t>
  </si>
  <si>
    <t>ООО ТД ХОЛЕКС</t>
  </si>
  <si>
    <t>398007, ЛИПЕЦКАЯ ОБЛАСТЬ, Г ЛИПЕЦК, УЛ КОВАЛЕВА, Д.134А</t>
  </si>
  <si>
    <t>ИП ТАНГЕЛЬ ВЛАДИМИР АЛЕКСАНДРОВИЧ</t>
  </si>
  <si>
    <t>398046, ЛИПЕЦКАЯ ОБЛАСТЬ, Г ЛИПЕЦК, УЛ П.И.СМОРОДИНА, Д. 9А, ПОМЕЩ. 7</t>
  </si>
  <si>
    <t>ИП ГОРЕЛЬКОВ АНДРЕЙ АЛЕКСАНДРОВИЧ</t>
  </si>
  <si>
    <t>398037, ЛИПЕЦКАЯ ОБЛАСТЬ, Г.О. ГОРОД ЛИПЕЦК, Г ЛИПЕЦК, Ш ЛЕБЕДЯНСКОЕ, ВЛД. 2, ОФИС 9</t>
  </si>
  <si>
    <t>ИП ПАКСЮТОВ АНДРЕЙ ВЛАДИМИРОВИЧ</t>
  </si>
  <si>
    <t>ИП БОЖКО АНДРЕЙ МАКСИМОВИЧ</t>
  </si>
  <si>
    <t>ООО БАРРЕЛЬ МАСТЕР</t>
  </si>
  <si>
    <t>398004, РОССИЯ, ЛИПЕЦКАЯ ОБЛАСТЬ, Г.О. ГОРОД ЛИПЕЦК, Г ЛИПЕЦК, УЛ ТЕПЕРИКА, Д. 1, КВ. 168</t>
  </si>
  <si>
    <t>ООО СПЕЦЗИП</t>
  </si>
  <si>
    <t>398046, РОССИЯ, ЛИПЕЦКАЯ ОБЛАСТЬ, Г.О. ГОРОД ЛИПЕЦК, Г ЛИПЕЦК, ПР-КТ ПОБЕДЫ, Д. 114/1, КВ. 87</t>
  </si>
  <si>
    <t>ООО ЙОКОХАМА Р.П.З.</t>
  </si>
  <si>
    <t>398010, ЛИПЕЦКАЯ ОБЛАСТЬ, Р-Н ГРЯЗИНСКИЙ, Г ГРЯЗИ, ТЕР ОЭЗ ППТ ЛИПЕЦК, СТР. 47, К. 11</t>
  </si>
  <si>
    <t>ИП ЕЛИСЕЕВ ВИТАЛИЙ АЛЕКСАНДРОВИЧ</t>
  </si>
  <si>
    <t>ООО АВИКС ГРУПП</t>
  </si>
  <si>
    <t>399059, ЛИПЕЦКАЯ ОБЛАСТЬ, Р-Н ГРЯЗИНСКИЙ, Г ГРЯЗИ, УЛ ГАГАРИНА, Д.1, К.А</t>
  </si>
  <si>
    <t>ИП ПРОНЯКИН АЛЕКСАНДР ВИКТОРОВИЧ</t>
  </si>
  <si>
    <t>ИП ТЮНИН АРТЁМ ГЕННАДЬЕВИЧ</t>
  </si>
  <si>
    <t>ИП ГАЙДУКОВА ИРИНА СЕРГЕЕВНА</t>
  </si>
  <si>
    <t>ИП МУРАВЛЕВ АНДРЕЙ СЕРГЕЕВИЧ</t>
  </si>
  <si>
    <t>ИП СОБОЛЕВ НИКОЛАЙ ИВАНОВИЧ</t>
  </si>
  <si>
    <t>ИП Ельшаев Андрей Владимирович</t>
  </si>
  <si>
    <t>ООО ЗАПЧАСТЬАВТО</t>
  </si>
  <si>
    <t>399612, РОССИЯ, ЛИПЕЦКАЯ ОБЛАСТЬ, М.Р-Н ЛЕБЕДЯНСКИЙ, СЛ ПОКРОВО-КАЗАЦКАЯ, С.П. ПОКРОВО-КАЗАЦКИЙ СЕЛЬСОВЕТ, УЛ 1-Е ПУШКАРИ, ЗД. 58/2</t>
  </si>
  <si>
    <t>ИП ПЕТУХОВ АНДРЕЙ МИХАЙЛОВИЧ</t>
  </si>
  <si>
    <t>ООО РОПА РУСЬ</t>
  </si>
  <si>
    <t>399903, РОССИЯ, ЛИПЕЦКАЯ ОБЛАСТЬ, М.Р-Н ЧАПЛЫГИНСКИЙ, Г ЧАПЛЫГИН, Г.П. ГОРОД ЧАПЛЫГИН, УЛ М.ГОРЬКОГО, Д. 99, СТР. 1</t>
  </si>
  <si>
    <t>ООО ЛИНКОР</t>
  </si>
  <si>
    <t>398516, ЛИПЕЦКАЯ ОБЛАСТЬ, Р-Н ЛИПЕЦКИЙ, С КОСЫРЕВКА, УЛ НОВАЯ, Д. 20, КВ. 69</t>
  </si>
  <si>
    <t>ИП Полозов Сергей Владимирович</t>
  </si>
  <si>
    <t>ИП МАМОНТОВА МАРИНА НИКОЛАЕВНА</t>
  </si>
  <si>
    <t>ИП ЧЕРНИКОВА СВЕТЛАНА ПЕТРОВНА</t>
  </si>
  <si>
    <t>ИП СЕДЫХ АЛЕКСАНДР ВЯЧЕСЛАВОВИЧ</t>
  </si>
  <si>
    <t>ИП Пичурина Татьяна Даниловна</t>
  </si>
  <si>
    <t>ИП Гриднев Александр Борисович</t>
  </si>
  <si>
    <t>ИП ДЬЯКОНОВ АЛЕКСЕЙ АЛЕКСАНДРОВИЧ</t>
  </si>
  <si>
    <t>ИП АГЕЕВ РОМАН АНДРЕЕВИЧ</t>
  </si>
  <si>
    <t>ИП КОРОЛЕВ ДМИТРИЙ МИХАЙЛОВИЧ</t>
  </si>
  <si>
    <t>ООО ЛИПЕЦК ВИКИНГИ</t>
  </si>
  <si>
    <t>398006, ЛИПЕЦКАЯ ОБЛАСТЬ, Г ЛИПЕЦК, УЛ КРАСНОЗАВОДСКАЯ, ВЛД 2В</t>
  </si>
  <si>
    <t>398005, ЛИПЕЦКАЯ ОБЛАСТЬ, Г ЛИПЕЦК, УЛ ФЕРРОСПЛАВНАЯ, СТР. 1, ПОМЕЩ. 1</t>
  </si>
  <si>
    <t>ООО КОМПАНИЯ УЛИСС</t>
  </si>
  <si>
    <t>398017, ЛИПЕЦКАЯ ОБЛАСТЬ, Г ЛИПЕЦК, УЛ МЕТАЛЛУРГОВ, Д. 9, ОФИС 1</t>
  </si>
  <si>
    <t>ИП Стежкин Сергей Владимирович</t>
  </si>
  <si>
    <t>398501, ЛИПЕЦКАЯ ОБЛАСТЬ, Р-Н ЛИПЕЦКИЙ, Д КОПЦЕВЫ ХУТОРА, УЛ НЕФТЕБАЗА, Д. 1</t>
  </si>
  <si>
    <t>ООО ЦЕНТР ЛИПЕЦК</t>
  </si>
  <si>
    <t>398024, ЛИПЕЦКАЯ ОБЛАСТЬ, Г ЛИПЕЦК, УЛ ЮНЫХ НАТУРАЛИСТОВ, ВЛД. 18Б, КАБИНЕТ 4</t>
  </si>
  <si>
    <t>ООО РНИТЦ</t>
  </si>
  <si>
    <t>398532, ЛИПЕЦКАЯ ОБЛАСТЬ, Г ЛИПЕЦК, УЛ ПОДГОРЕНСКАЯ, ВЛАДЕНИЕ 4</t>
  </si>
  <si>
    <t>398024, ЛИПЕЦКАЯ ОБЛАСТЬ, Г ЛИПЕЦК, УЛ ЮНЫХ НАТУРАЛИСТОВ, ВЛД 18А, КАБИНЕТ 37</t>
  </si>
  <si>
    <t>ООО ЦЕНТР-АЗИЯ</t>
  </si>
  <si>
    <t>398024, РОССИЯ, ЛИПЕЦКАЯ ОБЛАСТЬ, Г.О. ГОРОД ЛИПЕЦК, Г ЛИПЕЦК, УЛ ЮНЫХ НАТУРАЛИСТОВ, ВЛД. 18Б, КАБИНЕТ 11</t>
  </si>
  <si>
    <t>ИП ТРУБИЦЫНА ЮЛИЯ ПЕТРОВНА</t>
  </si>
  <si>
    <t>ИП ИВАНОВА ОЛЕСЯ ВАСИЛЬЕВНА</t>
  </si>
  <si>
    <t>ИП МАКСИМОВА ДАРЬЯ СЕРГЕЕВНА</t>
  </si>
  <si>
    <t>ИП МАМЕДОВ АРСЕН ШЕВКЕТОВИЧ</t>
  </si>
  <si>
    <t>ИП ПИНАЕВ АЛЕКСАНДР ВЛАДИМИРОВИЧ</t>
  </si>
  <si>
    <t>ООО ТРАСТАГРОКОМ</t>
  </si>
  <si>
    <t>399200, ЛИПЕЦКАЯ ОБЛАСТЬ, Р-Н ЗАДОНСКИЙ, Г ЗАДОНСК, УЛ ЛЕНИНА, Д. 38, КАБИНЕТ 16</t>
  </si>
  <si>
    <t>ИП ЕПИФАНЦЕВ АЛЕКСЕЙ АЛЕКСЕЕВИЧ</t>
  </si>
  <si>
    <t>ООО ТЕХАВТО-Л</t>
  </si>
  <si>
    <t>398008, ЛИПЕЦКАЯ ОБЛАСТЬ, Г.О. ГОРОД ЛИПЕЦК, Г ЛИПЕЦК, УЛ М.И. НЕДЕЛИНА, Д. 1Б, ПОМЕЩ. 5</t>
  </si>
  <si>
    <t>ООО СПЕЦРЕШЕНИЕ</t>
  </si>
  <si>
    <t>398032, ЛИПЕЦКАЯ ОБЛАСТЬ, Г ЛИПЕЦК, ПР-Д УНИВЕРСАЛЬНЫЙ, ВЛД 3, ОФИС 2-1</t>
  </si>
  <si>
    <t>АО ЛИПЕЦК-ЛАДА</t>
  </si>
  <si>
    <t>398055, ЛИПЕЦКАЯ ОБЛАСТЬ, Г ЛИПЕЦК, УЛ МОСКОВСКАЯ, Д.36</t>
  </si>
  <si>
    <t>ИП ОСИН ВАДИМ НИКОЛАЕВИЧ</t>
  </si>
  <si>
    <t>398902, РОССИЯ, ЛИПЕЦКАЯ ОБЛАСТЬ, Г.О. ГОРОД ЛИПЕЦК, Г ЛИПЕЦК, УЛ МИНСКАЯ, ВЛД. 47, ОФИС 6</t>
  </si>
  <si>
    <t>ООО ТД МОТОРНЫЕ МАСЛА И СМАЗКИ</t>
  </si>
  <si>
    <t>398902, РОССИЯ, ЛИПЕЦКАЯ ОБЛАСТЬ, Г.О. ГОРОД ЛИПЕЦК, Г ЛИПЕЦК, УЛ АНГАРСКАЯ, СТР. 1А, ПОМЕЩ. 10</t>
  </si>
  <si>
    <t>ИП КАРАЧУН ДМИТРИЙ ВАЛЕРЬЕВИЧ</t>
  </si>
  <si>
    <t>ИП СВИТЕНКО ЕВГЕНИЙ СЕРГЕЕВИЧ</t>
  </si>
  <si>
    <t>ООО ВОЯЖ</t>
  </si>
  <si>
    <t>398902, РОССИЯ, ЛИПЕЦКАЯ ОБЛАСТЬ, Г.О. ГОРОД ЛИПЕЦК, Г ЛИПЕЦК, УЛ АНГАРСКАЯ, СТР. 26Ж</t>
  </si>
  <si>
    <t>ИП СЕЛИВЕРСТОВ АЛЕКСАНДР ВЛАДИМИРОВИЧ</t>
  </si>
  <si>
    <t>ИП МЯСОЕДОВА НАТАЛЬЯ НИКОЛАЕВНА</t>
  </si>
  <si>
    <t>ИП ВАЗАГОВА ИНГА ЗЕЛИМХАНОВНА</t>
  </si>
  <si>
    <t>ИП МИРОВИЧ ЛЮДМИЛА ВАЛЕРЬЕВНА</t>
  </si>
  <si>
    <t>ИП КУДИНОВ ДМИТРИЙ ВАСИЛЬЕВИЧ</t>
  </si>
  <si>
    <t>ИП НЕЛЮБОВ АЛЕКСАНДР АЛЕКСЕЕВИЧ</t>
  </si>
  <si>
    <t>ИП СУЛЕМИН КОНСТАНТИН ВИТАЛЬЕВИЧ</t>
  </si>
  <si>
    <t>ООО ФОРСАЖ-ОЙЛ</t>
  </si>
  <si>
    <t>ИП СОТНИКОВ ДМИТРИЙ СЕРГЕЕВИЧ</t>
  </si>
  <si>
    <t>ОООАРКОНА-АВТО 48</t>
  </si>
  <si>
    <t>399343, РОССИЯ, ЛИПЕЦКАЯ ОБЛАСТЬ, М.Р-Н УСМАНСКИЙ, С БЕЛЯЕВО, С.П. СТУДЕНСКИЙ СЕЛЬСОВЕТ, УЛ СВОБОДНАЯ, Д. 29</t>
  </si>
  <si>
    <t>ИП МОЗГУНОВ ДМИТРИЙ МИХАЙЛОВИЧ</t>
  </si>
  <si>
    <t>ИП НЕИЗВЕСТНЫХ НЕЛЯ АНАТОЛЬЕВНА</t>
  </si>
  <si>
    <t>ИП ШЕВЕЛЕВ ДМИТРИЙ ГЕННАДЬЕВИЧ</t>
  </si>
  <si>
    <t>ООО АВТО ПЛЮС</t>
  </si>
  <si>
    <t>399778, ЛИПЕЦКАЯ ОБЛАСТЬ, Г ЕЛЕЦ, Ш МОСКОВСКОЕ</t>
  </si>
  <si>
    <t>ИП ПОПОВА ЮЛИЯ ВЛАДИМИРОВНА</t>
  </si>
  <si>
    <t>ИП ДЕРЕВЯГА ЛЮДМИЛА ВАСИЛЬЕВНА</t>
  </si>
  <si>
    <t>ИП Болдин Иван Васильевич</t>
  </si>
  <si>
    <t>ИП РУЗАНОВ АЛЕКСЕЙ ИГОРЕВИЧ</t>
  </si>
  <si>
    <t>ООО АВТОДЕЛО</t>
  </si>
  <si>
    <t>398017, ЛИПЕЦКАЯ ОБЛАСТЬ, Г ЛИПЕЦК, УЛ МЕТАЛЛУРГОВ, Д. 2, ОФИС 16</t>
  </si>
  <si>
    <t>ООО АВТОИМПОРТ 48</t>
  </si>
  <si>
    <t>398055, ЛИПЕЦКАЯ ОБЛАСТЬ, Г ЛИПЕЦК, УЛ МОСКОВСКАЯ, ВЛД. 79А</t>
  </si>
  <si>
    <t>ИП КРАПИВИН СЕРГЕЙ НИКОЛАЕВИЧ</t>
  </si>
  <si>
    <t>ИП НИКОЛАЕВА ЕЛЕНА АЛЕКСАНДРОВНА</t>
  </si>
  <si>
    <t>ИП Парамзина Светлана Петровна</t>
  </si>
  <si>
    <t>ИП Кобзев Александр Юрьевич</t>
  </si>
  <si>
    <t>ИП ЯЗИКОВА ЕВГЕНИЯ ВИКТОРОВНА</t>
  </si>
  <si>
    <t>ИП ТРАВИН РОМАН ИВАНОВИЧ</t>
  </si>
  <si>
    <t>ИП КИРИН АНДРЕЙ ИВАНОВИЧ</t>
  </si>
  <si>
    <t>ИП Аверьянов Александр Владимирович</t>
  </si>
  <si>
    <t>ИП КОТОВА ЛИДИЯ ДМИТРИЕВНА</t>
  </si>
  <si>
    <t>ООО ЛИПЕЦККОМТРАНС</t>
  </si>
  <si>
    <t>398007, ЛИПЕЦКАЯ ОБЛАСТЬ, Г ЛИПЕЦК, УЛ КОВАЛЕВА, Д. 127, СТР. А</t>
  </si>
  <si>
    <t>ООО ГЛАВСНАБСБЫТ48</t>
  </si>
  <si>
    <t>398050, ЛИПЕЦКАЯ ОБЛАСТЬ, Г.О. ГОРОД ЛИПЕЦК, Г ЛИПЕЦК, УЛ ЗЕГЕЛЯ, Д. 13, КВ. 28</t>
  </si>
  <si>
    <t>ООО ГАЗДЕТАЛЬ</t>
  </si>
  <si>
    <t>398016, ЛИПЕЦКАЯ ОБЛАСТЬ, Г ЛИПЕЦК, УЛ ГАГАРИНА, Д. 91, ПОМЕЩ. 5 ОФИС 3</t>
  </si>
  <si>
    <t>ИП ТАТАРКИН ДМИТРИЙ НИКОЛАЕВИЧ</t>
  </si>
  <si>
    <t>ИП ЕФИМОВ РОМАН ВЛАДИМИРОВИЧ</t>
  </si>
  <si>
    <t>ИП ИВАНОВА ЮЛИЯ АЛЕКСАНДРОВНА</t>
  </si>
  <si>
    <t>ООО СКЛАД И ТЕХНИКА</t>
  </si>
  <si>
    <t>398017, ЛИПЕЦКАЯ ОБЛАСТЬ, Г ЛИПЕЦК, УЛ МЕТАЛЛУРГОВ, Д.7</t>
  </si>
  <si>
    <t>ООО ШИНТОРГ</t>
  </si>
  <si>
    <t>398902, ЛИПЕЦКАЯ ОБЛАСТЬ, Г.О. ГОРОД ЛИПЕЦК, Г ЛИПЕЦК, УЛ АНГАРСКАЯ, СТР. 26Б, ПОМЕЩ. 2</t>
  </si>
  <si>
    <t>ООО ПРОДЮСЕРСКИЙ ЦЕНТР ДАРИНЫ ГРИНН</t>
  </si>
  <si>
    <t>398005, ЛИПЕЦКАЯ ОБЛАСТЬ, Г ЛИПЕЦК, ПЛ МИРА, Д. 4, К. Г</t>
  </si>
  <si>
    <t>ООО КЛЕВЕР АВТО</t>
  </si>
  <si>
    <t>398503, ЛИПЕЦКАЯ ОБЛАСТЬ, М.О. ЛИПЕЦКИЙ, Д НОВАЯ ДЕРЕВНЯ, УЛ ЮБИЛЕЙНАЯ, Д. 3, КВ. 2</t>
  </si>
  <si>
    <t>ООО КАРДОКС</t>
  </si>
  <si>
    <t>398070, ЛИПЕЦКАЯ ОБЛАСТЬ, Г ЛИПЕЦК, УЛ БЕЛЯНСКОГО А.Д., Д. 2, ПОМЕЩ. 2 ОФИС 1</t>
  </si>
  <si>
    <t>398902, ЛИПЕЦКАЯ ОБЛАСТЬ, Г.О. ГОРОД ЛИПЕЦК, Г ЛИПЕЦК, УЛ ЮНОШЕСКАЯ, СТР. 79А, К. 2</t>
  </si>
  <si>
    <t>ООО САТ</t>
  </si>
  <si>
    <t>398902, ЛИПЕЦКАЯ ОБЛАСТЬ, Г ЛИПЕЦК, УЛ АНГАРСКАЯ, Д. 24, ПОМЕЩ. 7</t>
  </si>
  <si>
    <t>ООО ЛУБРИТРЕЙД</t>
  </si>
  <si>
    <t>ООО КРИСЛ</t>
  </si>
  <si>
    <t>398902, РОССИЯ, ЛИПЕЦКАЯ ОБЛАСТЬ, Г.О. ГОРОД ЛИПЕЦК, Г ЛИПЕЦК, УЛ МИНСКАЯ, ВЛД. 47, ОФИС 5</t>
  </si>
  <si>
    <t>ООО ПРОМХИМТЕХ</t>
  </si>
  <si>
    <t>398055, РОССИЯ, ЛИПЕЦКАЯ ОБЛАСТЬ, Г.О. ГОРОД ЛИПЕЦК, Г ЛИПЕЦК, УЛ МОСКОВСКАЯ, Д. 38А, ОФИС 33</t>
  </si>
  <si>
    <t>ООО ТД ТЕХНОТЭК</t>
  </si>
  <si>
    <t>398057, РОССИЯ, ЛИПЕЦКАЯ ОБЛАСТЬ, Г.О. ГОРОД ЛИПЕЦК, Г ЛИПЕЦК, Ш ЕЛЕЦКОЕ, Д. 7, ПОМЕЩ. 90</t>
  </si>
  <si>
    <t>398902, РОССИЯ, ЛИПЕЦКАЯ ОБЛАСТЬ, Г.О. ГОРОД ЛИПЕЦК, Г ЛИПЕЦК, УЛ ЮНОШЕСКАЯ, Д. 43, ПОМЕЩ. 9</t>
  </si>
  <si>
    <t>ООО ТЕХНОИМПОРТ</t>
  </si>
  <si>
    <t>398902, РОССИЯ, ЛИПЕЦКАЯ ОБЛАСТЬ, Г.О. ГОРОД ЛИПЕЦК, Г ЛИПЕЦК, УЛ ЮНОШЕСКАЯ, Д. 43, ОФИС 5</t>
  </si>
  <si>
    <t>ИП ВОРОБЬЕВА ТАМАРА ИВАНОВНА</t>
  </si>
  <si>
    <t>ИП ГОРЯЙНОВ СТАНИСЛАВ ГЕННАДЬЕВИЧ</t>
  </si>
  <si>
    <t>ИП Вихрова Анна Викторовна</t>
  </si>
  <si>
    <t>ИП СОЛОМАТОВ АЛЕКСЕЙ АЛЕКСАНДРОВИЧ</t>
  </si>
  <si>
    <t>ИП ПАНОВА ОКСАНА ЮРЬЕВНА</t>
  </si>
  <si>
    <t>ООО СТ-ШИНА</t>
  </si>
  <si>
    <t>399722, ЛИПЕЦКАЯ ОБЛАСТЬ, Р-Н СТАНОВЛЯНСКИЙ, С СТАНОВОЕ, УЛ МОСКОВСКАЯ, Д. 66Д, ПОМЕЩ. 1</t>
  </si>
  <si>
    <t>ИП ГАБДУЛКАЕВА ЕЛЕНА СЕРГЕЕВНА</t>
  </si>
  <si>
    <t>ООО МОТОРИНВЕСТ</t>
  </si>
  <si>
    <t>399672, ЛИПЕЦКАЯ ОБЛАСТЬ, Р-Н КРАСНИНСКИЙ, Д ГРЕБЕНКИНО, Д.71</t>
  </si>
  <si>
    <t>ИП БУБНОВ ЮРИЙ ПЕТРОВИЧ</t>
  </si>
  <si>
    <t>ИП Молчанов Евгений Владимирович</t>
  </si>
  <si>
    <t>ООО ХОРШ РУСЬ</t>
  </si>
  <si>
    <t>399921, ЛИПЕЦКАЯ ОБЛАСТЬ, Р-Н ЧАПЛЫГИНСКИЙ, П РОЩИНСКИЙ</t>
  </si>
  <si>
    <t>ИП Черникова Любовь Ивановна</t>
  </si>
  <si>
    <t>ИП КАМЫШНИКОВ ВИКТОР АЛЕКСЕЕВИЧ</t>
  </si>
  <si>
    <t>ИП ЛИПИЦИН СЕРГЕЙ ВЛАДИМИРОВИЧ</t>
  </si>
  <si>
    <t>ИП ГОЛУБЕВА ОЛЬГА АЛЕКСЕЕВНА</t>
  </si>
  <si>
    <t>399780, ЛИПЕЦКАЯ ОБЛАСТЬ, Г ЕЛЕЦ, УЛ БЕЛИНСКОГО, Д. 10</t>
  </si>
  <si>
    <t>ООО ШЕЛЬФ НЕФТЬ</t>
  </si>
  <si>
    <t>399787, ЛИПЕЦКАЯ ОБЛАСТЬ, Г.О. ГОРОД ЕЛЕЦ, Г ЕЛЕЦ, УЛ ОКРУЖНАЯ, ЗД. 48</t>
  </si>
  <si>
    <t>ИП РЫБАКОВ АЛЕКСАНДР ВАЛЕНТИНОВИЧ</t>
  </si>
  <si>
    <t>ООО АГРОТЕХНИКА ЦЕНТР</t>
  </si>
  <si>
    <t>398046, ЛИПЕЦКАЯ ОБЛАСТЬ, Г.О. ГОРОД ЛИПЕЦК, Г ЛИПЕЦК, УЛ СЫРСКАЯ, СТР. 98, ОФИС 2/1</t>
  </si>
  <si>
    <t>ИП АКСЕНОВ РУСЛАН СЕРГЕЕВИЧ</t>
  </si>
  <si>
    <t>ИП МЕРЕНКОВ АНДРЕЙ СЕРГЕЕВИЧ</t>
  </si>
  <si>
    <t>ИП ЖДАНОВА НАТАЛЬЯ ВИКТОРОВНА</t>
  </si>
  <si>
    <t>ООО АТИ</t>
  </si>
  <si>
    <t>398017, ЛИПЕЦКАЯ ОБЛАСТЬ, Г ЛИПЕЦК, УЛ ФАНЕРНАЯ, Д. 5, ОФИС 5</t>
  </si>
  <si>
    <t>ООО ИНТЕХАВТО</t>
  </si>
  <si>
    <t>398005, РОССИЯ, ЛИПЕЦКАЯ ОБЛАСТЬ, Г.О. ГОРОД ЛИПЕЦК, Г ЛИПЕЦК, ПР-КТ МИРА, Д. 26, ПОМЕЩ. 5</t>
  </si>
  <si>
    <t>ООО МЕРИДИАН</t>
  </si>
  <si>
    <t>398036, ЛИПЕЦКАЯ ОБЛАСТЬ, Г ЛИПЕЦК, УЛ ЛЕОНТИЯ КРИВЕНКОВА, К.4</t>
  </si>
  <si>
    <t>ИП ТОНКИХ ВЛАДИСЛАВ ВАЛЕНТИНОВИЧ</t>
  </si>
  <si>
    <t>ООО АВТОСЕРВИС ГАРАНТ</t>
  </si>
  <si>
    <t>398059, ЛИПЕЦКАЯ ОБЛАСТЬ, Г ЛИПЕЦК, УЛ М.И. НЕДЕЛИНА, Д.1, Б</t>
  </si>
  <si>
    <t>ООО АВТОРЕАЛ</t>
  </si>
  <si>
    <t>398024, РОССИЯ, ЛИПЕЦКАЯ ОБЛАСТЬ, Г.О. ГОРОД ЛИПЕЦК, Г ЛИПЕЦК, УЛ П.А. ПАПИНА, Д. 39, ПОМЕЩ. 3</t>
  </si>
  <si>
    <t>ИП ПАВЛЮК АЛЕКСАНДР СЕРГЕЕВИЧ</t>
  </si>
  <si>
    <t>ИП СИНЮКОВ ВЛАДИМИР ИВАНОВИЧ</t>
  </si>
  <si>
    <t>ИП ШЕИН АРТЕМ НИКОЛАЕВИЧ</t>
  </si>
  <si>
    <t>ИП БАБАНОВ МИХАИЛ МИХАЙЛОВИЧ</t>
  </si>
  <si>
    <t>ИП ШЛАПАК ЮЛИЯ ГЕННАДЬЕВНА</t>
  </si>
  <si>
    <t>ООО АВТОСТАНДАРТ 48</t>
  </si>
  <si>
    <t>398032, ЛИПЕЦКАЯ ОБЛАСТЬ, Г ЛИПЕЦК, ПР-Д ПОПЕРЕЧНЫЙ, СТР. 5</t>
  </si>
  <si>
    <t>ООО АВТОБИБИКА</t>
  </si>
  <si>
    <t>398037, ЛИПЕЦКАЯ ОБЛАСТЬ, Г ЛИПЕЦК, ПР-Д ТРУБНЫЙ, СТР 7, ОФИС 207</t>
  </si>
  <si>
    <t>ООО ЛИКСИР</t>
  </si>
  <si>
    <t>398037, ЛИПЕЦКАЯ ОБЛАСТЬ, Г ЛИПЕЦК, ПР-Д ТРУБНЫЙ, ВЛД 1</t>
  </si>
  <si>
    <t>ООО САТУРН - Л</t>
  </si>
  <si>
    <t>398008, ЛИПЕЦКАЯ ОБЛАСТЬ, Г ЛИПЕЦК, УЛ М.И. НЕДЕЛИНА, ВЛД. 2В</t>
  </si>
  <si>
    <t>ООО ЭЛЕКТРОПРОМ АЛ</t>
  </si>
  <si>
    <t>398902, ЛИПЕЦКАЯ ОБЛАСТЬ, Г ЛИПЕЦК, УЛ ЮНОШЕСКАЯ, ВЛД. 55, ПОМЕЩЕНИЕ 2, КАБИНЕТ 1</t>
  </si>
  <si>
    <t>ООО АВТОЭДВАНС</t>
  </si>
  <si>
    <t>398035, ЛИПЕЦКАЯ ОБЛАСТЬ, Г ЛИПЕЦК, УЛ Я.А. БЕРЗИНА, Д. 4, КВ. 20</t>
  </si>
  <si>
    <t>ООО ЛОГИСТИК СЕРВИС</t>
  </si>
  <si>
    <t>398902, ЛИПЕЦКАЯ ОБЛАСТЬ, Г ЛИПЕЦК, УЛ МИНСКАЯ, ВЛД. 47</t>
  </si>
  <si>
    <t>ООО ТД БРИГАДА</t>
  </si>
  <si>
    <t>398902, ЛИПЕЦКАЯ ОБЛАСТЬ, Г ЛИПЕЦК, УЛ АНГАРСКАЯ, СТР 1А, ПОМЕЩ. 10</t>
  </si>
  <si>
    <t>ИП МАЗИТОВ РИФ РАФКАТОВИЧ</t>
  </si>
  <si>
    <t>ИП ОГАННИСЯН КРИСТИНЕ АРАИКОВНА</t>
  </si>
  <si>
    <t>РОССИЯ, ЛИПЕЦКАЯ ОБЛАСТЬ, Г.О. ГОРОД ЛИПЕЦК, Г ЛИПЕЦК, ПРОЕЗД ПОПЕРЕЧНЫЙ, СТР. 9, К. 1, ОФИС 304</t>
  </si>
  <si>
    <t>ООО ПИ М КОНСАЛТИНГ</t>
  </si>
  <si>
    <t>398059, РОССИЯ, ЛИПЕЦКАЯ ОБЛАСТЬ, Г.О. ГОРОД ЛИПЕЦК, Г ЛИПЕЦК, УЛ ПЕРВОМАЙСКАЯ, Д. 35, ПОМЕЩ. 14</t>
  </si>
  <si>
    <t>ООО АС КРИВБАСС</t>
  </si>
  <si>
    <t>Магаданская область</t>
  </si>
  <si>
    <t>686230, МАГАДАНСКАЯ ОБЛАСТЬ, Р-Н ЯГОДНИНСКИЙ, П ИМ. ГОРЬКОГО, ТЕР ПРОЛЕТАРСКИЙ</t>
  </si>
  <si>
    <t>ИП ВОЛЫНЕЦ АЛЕКСАНДР НИКОЛАЕВИЧ</t>
  </si>
  <si>
    <t>ИП ЕЧИНА ИРИНА ЕВГЕНЬЕВНА</t>
  </si>
  <si>
    <t>ИП ГОРЯЕВ СЕРГЕЙ ВЛАДИМИРОВИЧ</t>
  </si>
  <si>
    <t>ИП СВИНТОЗЕЛЬСКИЙ СЕРГЕЙ ВИТАЛЬЕВИЧ</t>
  </si>
  <si>
    <t>ИП БАЛАНЮК ДЕНИС ДМИТРИЕВИЧ</t>
  </si>
  <si>
    <t>ИП Гребнева Лаура Рафаиловна</t>
  </si>
  <si>
    <t>ИП РООТ АЛЕКСАНДР ИВАНОВИЧ</t>
  </si>
  <si>
    <t>ИП ШАРОНИН РОМАН БОРИСОВИЧ</t>
  </si>
  <si>
    <t>ИП Горюнов Сергей Викторович</t>
  </si>
  <si>
    <t>ИП ГАРБУЗ АРКАДИЙ ЮРЬЕВИЧ</t>
  </si>
  <si>
    <t>ИП БЕЛОЛИПЕЦКИЙ ОЛЕГ ВАЛЕНТИНОВИЧ</t>
  </si>
  <si>
    <t>ИП УТЕМОВА ИРИНА АЛЕКСАНДРОВНА</t>
  </si>
  <si>
    <t>ООО МОДЕРН МАШИНЕРИ ФАР ИСТ</t>
  </si>
  <si>
    <t>685004, МАГАДАНСКАЯ ОБЛАСТЬ, Г МАГАДАН, УЛ РЕЧНАЯ, ЗД. 79/1</t>
  </si>
  <si>
    <t>ООО ВОСТОК М</t>
  </si>
  <si>
    <t>685000, МАГАДАНСКАЯ ОБЛАСТЬ, Г МАГАДАН, УЛ КОЛЬЦЕВАЯ, Д. 13</t>
  </si>
  <si>
    <t>АО МАГАДАНЭЛЕКТРОСЕТЬРЕМОНТ</t>
  </si>
  <si>
    <t>685000, МАГАДАНСКАЯ ОБЛАСТЬ, Г МАГАДАН, УЛ РЕЧНАЯ, Д. 25</t>
  </si>
  <si>
    <t>ИП Александров Александр Константинович</t>
  </si>
  <si>
    <t>ИП ЖАРНИКОВ ДМИТРИЙ ВАСИЛЬЕВИЧ</t>
  </si>
  <si>
    <t>ИП МОНЖЕЛЕСОВА СВЕТЛАНА ВЛАДИМИРОВНА</t>
  </si>
  <si>
    <t>ИП АЛЕКСЕЕВ ВАЛЕРИЙ СЕРГЕЕВИЧ</t>
  </si>
  <si>
    <t>ИП ЖАРНИКОВА ЭЛИНА ДМИТРИЕВНА</t>
  </si>
  <si>
    <t>ИП КОСТИН ДМИТРИЙ ВАЛЕРЬЕВИЧ</t>
  </si>
  <si>
    <t>ИП ЧЕПУР СЕРГЕЙ ВЛАДИМИРОВИЧ</t>
  </si>
  <si>
    <t>ООО АВТОФОРУМ</t>
  </si>
  <si>
    <t>685000, МАГАДАНСКАЯ ОБЛАСТЬ, Г МАГАДАН, УЛ ДЗЕРЖИНСКОГО, Д.2</t>
  </si>
  <si>
    <t>ИП Меренков Геннадий Геннадьевич</t>
  </si>
  <si>
    <t>ООО76МАГАДАН</t>
  </si>
  <si>
    <t>685004, МАГАДАНСКАЯ ОБЛАСТЬ, Г МАГАДАН, УЛ РЕЧНАЯ, ЗД. 81</t>
  </si>
  <si>
    <t>ООО ТС 24 ЧАСА</t>
  </si>
  <si>
    <t>685030, МАГАДАНСКАЯ ОБЛАСТЬ, Г МАГАДАН, УЛ ПЕРВОМАЙСКАЯ, Д. 8</t>
  </si>
  <si>
    <t>685000, РОССИЯ, МАГАДАНСКАЯ ОБЛАСТЬ, Г.О. ГОРОД МАГАДАН, Г МАГАДАН, Ш МАРЧЕКАНСКОЕ, Д. 29, К. 2</t>
  </si>
  <si>
    <t>ИП ФЕДЮНИНА АННА СЕРГЕЕВНА</t>
  </si>
  <si>
    <t>ИП РЫДЧЕНКО СЕРГЕЙ ОЛЕГОВИЧ</t>
  </si>
  <si>
    <t>ИП ТРУБИЦЫН АЛЕКСАНДР ВАСИЛЬЕВИЧ</t>
  </si>
  <si>
    <t>Московская область</t>
  </si>
  <si>
    <t>ИП МАКУХА ДМИТРИЙ АНДРЕЕВИЧ</t>
  </si>
  <si>
    <t>ИП ПОРВИН ИЛЬЯ ВЛАДИМИРОВИЧ</t>
  </si>
  <si>
    <t>ИП МОНАСТЫРСКИЙ АРТЁМ АНДРЕЕВИЧ</t>
  </si>
  <si>
    <t>ИП СААКЯН ЭДУАРД ВАРДГЕСОВИЧ</t>
  </si>
  <si>
    <t>ИП ВЕНГЕР ДМИТРИЙ ВАЛЕРЬЕВИЧ</t>
  </si>
  <si>
    <t>ООО ПРОМПАРТНЕР</t>
  </si>
  <si>
    <t>141201, МОСКОВСКАЯ ОБЛАСТЬ, Г. ПУШКИНО, УЛ НОВАЯ, Д. 16, ЭТАЖ 2 ПОМ. 2</t>
  </si>
  <si>
    <t>ИП СУЧКОВ АЛЕКСЕЙ НИКОЛАЕВИЧ</t>
  </si>
  <si>
    <t>ООО ФТТ</t>
  </si>
  <si>
    <t>140180, РОССИЯ, МОСКОВСКАЯ ОБЛАСТЬ, Г.О. ЖУКОВСКИЙ, Г ЖУКОВСКИЙ, УЛ МЯСИЩЕВА, Д. 1, ЭТАЖ 7, ПОМЕЩ. 710</t>
  </si>
  <si>
    <t>ООО МИР ИНСТРУМЕНТА</t>
  </si>
  <si>
    <t>142700, МОСКОВСКАЯ ОБЛАСТЬ, Г ВИДНОЕ, УЛ РАДИАЛЬНАЯ 3-Я, Д. 8, ПОМЕЩ. 1-Н, КОМН 2</t>
  </si>
  <si>
    <t>ИП СОЛОНЦОВ МАКСИМ ВЛАДИМИРОВИЧ</t>
  </si>
  <si>
    <t>ООО КАМЦЕНТР</t>
  </si>
  <si>
    <t>142717, МОСКОВСКАЯ ОБЛАСТЬ, Г ВИДНОЕ, С БЕСЕДЫ, ПР-Д ПРОМЫШЛЕННЫЙ, ВЛД. 8, СТР. 1, СТР 1</t>
  </si>
  <si>
    <t>ООО ОЕМ-АВТО</t>
  </si>
  <si>
    <t>142703, МОСКОВСКАЯ ОБЛАСТЬ, Г ВИДНОЕ, Д КАЛИНОВКА, ЗДАНИЕ ВЕТСАНПРОПУСКНИК, ЭТАЖ 1, ПОМЕЩ. 17</t>
  </si>
  <si>
    <t>ООО АВТОГАЗ-СЕРВИС</t>
  </si>
  <si>
    <t>140011, МОСКОВСКАЯ ОБЛАСТЬ, Г ЛЮБЕРЦЫ, Ш НОВОРЯЗАНСКОЕ, ВЛД. 11, ЭТ/КОМ 3/17</t>
  </si>
  <si>
    <t>ИП ВОРОБЬЕВА АННА АЛЕКСАНДРОВНА</t>
  </si>
  <si>
    <t>ИП СЕДЫХ АНДРЕЙ ЮРЬЕВИЧ</t>
  </si>
  <si>
    <t>ИП КИСЕЛЕВ РОМАН АНАТОЛЬЕВИЧ</t>
  </si>
  <si>
    <t>ИП ХОМЯКОВ ЕВГЕНИЙ ВИКТОРОВИЧ</t>
  </si>
  <si>
    <t>ООО ГЛОБАЛ ГУДС</t>
  </si>
  <si>
    <t>142701, МОСКОВСКАЯ ОБЛАСТЬ, Г ВИДНОЕ, Д САПРОНОВО, КВ-Л ЦЕНТРАЛЬНЫЙ (КУПЕЛИНКА МКР), Д. 1, ПОМЕЩ. XLV</t>
  </si>
  <si>
    <t>ИП Потлов Геннадий Валентинович</t>
  </si>
  <si>
    <t>ИП ПУТИЛИН ИГОРЬ ВИКТОРОВИЧ</t>
  </si>
  <si>
    <t>ИП ЗОЛОТОВ ВАДИМ ВЛАДИМИРОВИЧ</t>
  </si>
  <si>
    <t>ООО АБРАЗИВНЫЕ МАТЕРИАЛЫ</t>
  </si>
  <si>
    <t>140222, МОСКОВСКАЯ ОБЛАСТЬ, Г. ВОСКРЕСЕНСК, С НЕВСКОЕ, Д. 62, КВ. 7</t>
  </si>
  <si>
    <t>ООО ФОРМУЛА М</t>
  </si>
  <si>
    <t>141895, РОССИЯ, МОСКОВСКАЯ ОБЛАСТЬ, М.О. ДМИТРОВСКИЙ, П СОВХОЗА ОСТАНКИНО, УЛ ДОРОЖНАЯ, СТР. 57А</t>
  </si>
  <si>
    <t>ИП ПАРАМОНОВ ОЛЕГ ВАСИЛЬЕВИЧ</t>
  </si>
  <si>
    <t>ООО ВОЗДУХ</t>
  </si>
  <si>
    <t>142000, МОСКОВСКАЯ ОБЛАСТЬ, Г ДОМОДЕДОВО, УЛ КОЛОМИЙЦА (ЦЕНТРАЛЬНЫЙ МКР.), Д.6, 63</t>
  </si>
  <si>
    <t>ИП КОПЫЛОВА ДАРЬЯ ВАСИЛЬЕВНА</t>
  </si>
  <si>
    <t>ООО ЛАКИРИС</t>
  </si>
  <si>
    <t>143981, МОСКОВСКАЯ ОБЛАСТЬ, Г БАЛАШИХА, УЛ РЕЧНАЯ (КУЧИНО МКР.), ВЛД. 2</t>
  </si>
  <si>
    <t>ООО ТРАНСАЗС - ЖЕЛЕЗНОДОРОЖНЫЙ</t>
  </si>
  <si>
    <t>143987, МОСКОВСКАЯ ОБЛАСТЬ, Г БАЛАШИХА, УЛ СОВЕТСКАЯ (ЖЕЛЕЗНОДОРОЖНЫЙ МКР.), Д.99</t>
  </si>
  <si>
    <t>ИП ГОРЯНОЙ ДМИТРИЙ ВАСИЛЬЕВИЧ</t>
  </si>
  <si>
    <t>ИП ГУНЬКОВ АЛЕКСАНДР МИХАЙЛОВИЧ</t>
  </si>
  <si>
    <t>ООО ТД КФ-ГРУПП</t>
  </si>
  <si>
    <t>143980, РОССИЯ, МОСКОВСКАЯ ОБЛАСТЬ, Г.О. БАЛАШИХА, Г БАЛАШИХА, МКР. ЖЕЛЕЗНОДОРОЖНЫЙ, УЛ ОКТЯБРЬСКАЯ, Д. 33, БЛОК А, ПОМЕЩ. V-16, КОМ. 1/7</t>
  </si>
  <si>
    <t>ИП САЗОНОВ ЕВГЕНИЙ ИВАНОВИЧ</t>
  </si>
  <si>
    <t>ИП АЛЕКСАНДРОВ АЛЕКСЕЙ ГЕОРГИЕВИЧ</t>
  </si>
  <si>
    <t>ООО АКСИПРОМ</t>
  </si>
  <si>
    <t>141069, РОССИЯ, МОСКОВСКАЯ ОБЛАСТЬ, Г.О. КОРОЛЁВ, Г КОРОЛЁВ, МКР ПЕРВОМАЙСКИЙ, УЛ СОВЕТСКАЯ, Д. 29, ПОМЕЩ. 405</t>
  </si>
  <si>
    <t>ИП АЛЕКСАНДРОВА МАРИНА ОЛЕГОВНА</t>
  </si>
  <si>
    <t>ИП СМИРНОВ ПАВЕЛ АЛЕКСАНДРОВИЧ</t>
  </si>
  <si>
    <t>ООО СТОК ПАРТС</t>
  </si>
  <si>
    <t>143420, МОСКОВСКАЯ ОБЛАСТЬ, Г КРАСНОГОРСК, Д МИХАЛКОВО, ТЕР АВТОДОРОГА БАЛТИЯ, Д. 25 КМ ТСК, ЛИТЕР 1Б1, ЭТАЖ ЦОКПОМ1КОМН123</t>
  </si>
  <si>
    <t>ООО КОРТРАНС</t>
  </si>
  <si>
    <t>143440, РОССИЯ, МОСКОВСКАЯ ОБЛАСТЬ, Г.О. КРАСНОГОРСК, ПГТ. ПУТИЛКОВО, УЛ НОВОТУШИНСКАЯ, Д. 1, КВ. 331</t>
  </si>
  <si>
    <t>ИП МИГИНЕИШВИЛИ ТЕМУР ТЕЙМУРАЗОВИЧ</t>
  </si>
  <si>
    <t>ИП КАШИРИН ЕВГЕНИЙ ВИКТОРОВИЧ</t>
  </si>
  <si>
    <t>ООО ТД РАВЕНОЛ</t>
  </si>
  <si>
    <t>140053, МОСКОВСКАЯ ОБЛАСТЬ, Г КОТЕЛЬНИКИ, МКР СИЛИКАТ ПРОМЫШЛЕННАЯ ЗОНА, СТР. 12, ОФИС № 5/Б1</t>
  </si>
  <si>
    <t>ООО РТС-М</t>
  </si>
  <si>
    <t>140090, МОСКОВСКАЯ ОБЛАСТЬ, Г ЛЮБЕРЦЫ, Г ДЗЕРЖИНСКИЙ, УЛ АКАДЕМИКА ЖУКОВА, Д. 7А, ПОМЕЩЕНИЕ 15</t>
  </si>
  <si>
    <t>ООО ЦПК РЕСУРС</t>
  </si>
  <si>
    <t>140070, МОСКОВСКАЯ ОБЛАСТЬ, Г ЛЮБЕРЦЫ, ПГТ ТОМИЛИНО, УЛ ГОГОЛЯ, Д. 39/1, ПОМЕЩ. 6</t>
  </si>
  <si>
    <t>ООО АВТОПУЛЬС</t>
  </si>
  <si>
    <t>140060, РОССИЯ, МОСКОВСКАЯ ОБЛАСТЬ, Г.О. ЛЮБЕРЦЫ, ПГТ. ОКТЯБРЬСКИЙ, УЛ ЛЕНИНА, Д. 47, КОМ. 18/3</t>
  </si>
  <si>
    <t>ООО РУПАРТС</t>
  </si>
  <si>
    <t>140015, РОССИЯ, МОСКОВСКАЯ ОБЛАСТЬ, Г.О. ЛЮБЕРЦЫ, Г ЛЮБЕРЦЫ, УЛ СОЛНЕЧНАЯ, Д. 2, ПОМЕЩ. 903</t>
  </si>
  <si>
    <t>ООО ВИЛКАР ГРУПП СЕРВИС</t>
  </si>
  <si>
    <t>141069, МОСКОВСКАЯ ОБЛАСТЬ, Г КОРОЛЁВ, УЛ СОВЕТСКАЯ (ПЕРВОМАЙСКИЙ МКР), Д. 43, ПОМЕЩ. 6 ЭТАЖ 2</t>
  </si>
  <si>
    <t>ООО ФОРМУЛА7</t>
  </si>
  <si>
    <t>141895, РОССИЯ, МОСКОВСКАЯ ОБЛАСТЬ, М.О. ДМИТРОВСКИЙ, П СОВХОЗА ОСТАНКИНО, УЛ ДОРОЖНАЯ, Д. 57Б</t>
  </si>
  <si>
    <t>ООО ДЦ СТОЛИЦА</t>
  </si>
  <si>
    <t>141031, РОССИЯ, МОСКОВСКАЯ ОБЛАСТЬ, Г.О. МЫТИЩИ, Г МЫТИЩИ, ТЕР ТПЗ АЛТУФЬЕВО, ПР-Д АВТОМОБИЛЬНЫЙ, ВЛД. 1, СТР. 1, ЭТАЖ 2, ПОМЕЩ. 31</t>
  </si>
  <si>
    <t>АО ЭЛЬФ ФИЛЛИНГ</t>
  </si>
  <si>
    <t>142455, МОСКОВСКАЯ ОБЛАСТЬ, Р-Н НОГИНСКИЙ, Г ЭЛЕКТРОУГЛИ, ПЕР БАННЫЙ, Д. 9, ЭТАЖ/КОМ 3/65</t>
  </si>
  <si>
    <t>ООО ГОСТ КРЕПЕЖ</t>
  </si>
  <si>
    <t>143020, МОСКОВСКАЯ ОБЛАСТЬ, Г ОДИНЦОВО, Д ЛИКИНО, Д. 6, КВ. 36</t>
  </si>
  <si>
    <t>ИП Богданова Елена Анатольевна</t>
  </si>
  <si>
    <t>ООО ЭКОВЕРС</t>
  </si>
  <si>
    <t>142117, МОСКОВСКАЯ ОБЛАСТЬ, Г ПОДОЛЬСК, УЛ ВЫСОТНАЯ, Д. 7, ПОМЕЩ. 2</t>
  </si>
  <si>
    <t>ИП Новиков Дмитрий Юрьевич</t>
  </si>
  <si>
    <t>ООО СПЕКТР-ЛЮКССТРОЙ</t>
  </si>
  <si>
    <t>141207, МОСКОВСКАЯ ОБЛАСТЬ, Г.О. ПУШКИНСКИЙ, Г ПУШКИНО, УЛ ГОРЬКОГО, Д. 20А, ПОМЕЩ. 4</t>
  </si>
  <si>
    <t>ИП ШЕВЯКОВ НИКОЛАЙ ПЕТРОВИЧ</t>
  </si>
  <si>
    <t>ИП МАРИНЫЧЕВ ЕВГЕНИЙ СЕРГЕЕВИЧ</t>
  </si>
  <si>
    <t>ИП ЕФРЕМОВ АЛЕКСАНДР СЕРГЕЕВИЧ</t>
  </si>
  <si>
    <t>ООО СТРОЙСИСТЕМА</t>
  </si>
  <si>
    <t>143960, МОСКОВСКАЯ ОБЛАСТЬ, Г РЕУТОВ, УЛ ТРАНСПОРТНАЯ, Д. 11, ПОМЕЩ. 002</t>
  </si>
  <si>
    <t>ООО НК</t>
  </si>
  <si>
    <t>141304, МОСКОВСКАЯ ОБЛАСТЬ, Г СЕРГИЕВ ПОСАД, Ш МОСКОВСКОЕ, Д. 29</t>
  </si>
  <si>
    <t>ИП АЙМАШЕВ АЛЕКСЕЙ ВЯЧЕСЛАВОВИЧ</t>
  </si>
  <si>
    <t>ИП ФРОЛОВ РОМАН АЛЕКСАНДРОВИЧ</t>
  </si>
  <si>
    <t>ООО БЭСТ ПРАЙС ЭКСПОРТ</t>
  </si>
  <si>
    <t>141401, МОСКОВСКАЯ ОБЛАСТЬ, Г ХИМКИ, УЛ ПОБЕДЫ, Д. 11</t>
  </si>
  <si>
    <t>ООО АВТО-БРО</t>
  </si>
  <si>
    <t>141730, МОСКОВСКАЯ ОБЛАСТЬ, Г ЛОБНЯ, УЛ ЛЕНИНА, Д. 23, К. 10, ПОМЕЩ. VIII</t>
  </si>
  <si>
    <t>ИП ГЕВОРКЯН СЕРГЕЙ ГЕВОРКОВИЧ</t>
  </si>
  <si>
    <t>ИП ГЕВОРКЯН АРМЕН АРАИКОВИЧ</t>
  </si>
  <si>
    <t>ИП ЖУКОВСКАЯ ИННА АНАТОЛЬЕВНА</t>
  </si>
  <si>
    <t>ИП ЧЕСНЯК АЛЕКСЕЙ СЕРГЕЕВИЧ</t>
  </si>
  <si>
    <t>ИП БУЛЫГИНА ВАЛЕРИЯ ДМИТРИЕВНА</t>
  </si>
  <si>
    <t>ИП КОРНЕЕВ ТИМУР ЮРЬЕВИЧ</t>
  </si>
  <si>
    <t>ИП МУРОВОЛОВА ОКСАНА НИКОЛАЕВНА</t>
  </si>
  <si>
    <t>ИП БРАЖКО ЕКАТЕРИНА МИХАЙЛОВНА</t>
  </si>
  <si>
    <t>ИП ГОМАН СЕРГЕЙ ВИКТОРОВИЧ</t>
  </si>
  <si>
    <t>ИП КОРЫТИН АЛЕКСАНДР НИКОЛАЕВИЧ</t>
  </si>
  <si>
    <t>ИП РОМАНОВ АНТОН АЛЕКСАНДРОВИЧ</t>
  </si>
  <si>
    <t>ИП МАСАЛИМОВ ИЛЬДАР АЛЬБЕРТОВИЧ</t>
  </si>
  <si>
    <t>ИП РУНИН АЛЕКСЕЙ ВЛАДИМИРОВИЧ</t>
  </si>
  <si>
    <t>ОООИММЕРТЕХНИК</t>
  </si>
  <si>
    <t>142717, МОСКОВСКАЯ ОБЛАСТЬ, Г ВИДНОЕ, С БЕСЕДЫ, ПР-Д ПРОМЫШЛЕННЫЙ, Д. 7</t>
  </si>
  <si>
    <t>ИП БОРЦОВА ЕКАТЕРИНА ОЛЕГОВНА</t>
  </si>
  <si>
    <t>ИП ВЕСЕЛУХИНА ОЛЬГА ВЛАДИМИРОВНА</t>
  </si>
  <si>
    <t>ООО ЭКОТРЕЙД</t>
  </si>
  <si>
    <t>РОССИЯ, МОСКОВСКАЯ ОБЛАСТЬ, Г.О. ХИМКИ, Г ХИМКИ, Ш ВАШУТИНСКОЕ, ВЛД. 17, ОФИС 111</t>
  </si>
  <si>
    <t>ООО СВР МОТОРСПОРТ</t>
  </si>
  <si>
    <t>142715, РОССИЯ, МОСКОВСКАЯ ОБЛАСТЬ, Г.О. ЛЕНИНСКИЙ, Д БЛИЖНИЕ ПРУДИЩИ, ВЛД. 1, СТР. 1, ПОМЕЩ. 106</t>
  </si>
  <si>
    <t>ИП НИКИТИНА АННА МИХАЙЛОВНА</t>
  </si>
  <si>
    <t>ИП РЕУТОВ ДМИТРИЙ ОЛЕГОВИЧ</t>
  </si>
  <si>
    <t>ИП ОГРИНЦ КАТАРИНА</t>
  </si>
  <si>
    <t>ООО ЛЕКО</t>
  </si>
  <si>
    <t>142701, МОСКОВСКАЯ ОБЛАСТЬ, Г.О. ЛЕНИНСКИЙ, Г ВИДНОЕ, УЛ ОЛЬХОВАЯ, Д. 9, ПОМЕЩ. 11, КОМ. 27</t>
  </si>
  <si>
    <t>ООО ЛИГА-М</t>
  </si>
  <si>
    <t>141701, МОСКОВСКАЯ ОБЛАСТЬ, Г ДОЛГОПРУДНЫЙ, ПР-Д ЛИХАЧЕВСКИЙ, Д. 8, ПОМЕЩЕНИЕ LX, ОФИС 517</t>
  </si>
  <si>
    <t>ООО МАЙЕР ГРУПП</t>
  </si>
  <si>
    <t>РОССИЯ, МОСКОВСКАЯ ОБЛАСТЬ, Г.О. ДОМОДЕДОВО, Г ДОМОДЕДОВО, МКР. ВОСТРЯКОВО, УЛ ЗАБОРЬЕ, СТР. 2Д</t>
  </si>
  <si>
    <t>ООО АВАНТАЙМ СП</t>
  </si>
  <si>
    <t>141301, МОСКОВСКАЯ ОБЛАСТЬ, Г СЕРГИЕВ ПОСАД, Ш НОВОУГЛИЧСКОЕ, Д. 87</t>
  </si>
  <si>
    <t>АО ОРЕХ</t>
  </si>
  <si>
    <t>143912, МОСКОВСКАЯ ОБЛАСТЬ, Г БАЛАШИХА, СТ СТРОЙКА, ВЛД. 3, СТР. 1, ЭТ/ПОМ 1/20</t>
  </si>
  <si>
    <t>ИП ПОПОВ ДМИТРИЙ ИГОРЕВИЧ</t>
  </si>
  <si>
    <t>АО КРОКУС</t>
  </si>
  <si>
    <t>143401, МОСКОВСКАЯ ОБЛАСТЬ, Г КРАСНОГОРСК, УЛ МЕЖДУНАРОДНАЯ, Д. 18</t>
  </si>
  <si>
    <t>140090, МОСКОВСКАЯ ОБЛАСТЬ, Г ЛЮБЕРЦЫ, Г ДЗЕРЖИНСКИЙ, УЛ УГРЕШСКАЯ, Д. 15А, ОФИС 405</t>
  </si>
  <si>
    <t>ИП ГУБЕЙДУЛИНА АЛИЯ ИСХАКОВНА</t>
  </si>
  <si>
    <t>ООО АВТОРУСЬ Ф</t>
  </si>
  <si>
    <t>142111, МОСКОВСКАЯ ОБЛАСТЬ, Г ПОДОЛЬСК, ПР-КТ ЮНЫХ ЛЕНИНЦЕВ, Д. 1И</t>
  </si>
  <si>
    <t>ИП САМОЙЛЕНКО АЛЕКСЕЙ АЛЕКСАНДРОВИЧ</t>
  </si>
  <si>
    <t>ИП ЛЫСОВА ЕЛЕНА АНАТОЛЬЕВНА</t>
  </si>
  <si>
    <t>ООО ЭОН СЕРВИС</t>
  </si>
  <si>
    <t>142100, РОССИЯ, МОСКОВСКАЯ ОБЛАСТЬ, Г.О. ПОДОЛЬСК, Г ПОДОЛЬСК, УЛ СВЕРДЛОВА, Д. 15, КВ. 2</t>
  </si>
  <si>
    <t>ИП ПАЩЕНКО ТАТЬЯНА ИВАНОВНА</t>
  </si>
  <si>
    <t>ООО РТЦ АТЛАНТ</t>
  </si>
  <si>
    <t>142207, МОСКОВСКАЯ ОБЛАСТЬ, Г СЕРПУХОВ, Д БОРИСОВО, Д. 124А</t>
  </si>
  <si>
    <t>ИП Чагин Александр Александрович</t>
  </si>
  <si>
    <t>ИП УМРИЛОВ РОМАН ВЛАДИМИРОВИЧ</t>
  </si>
  <si>
    <t>ИП СМИРНОВА ЛАРИСА АЛЕКСАНДРОВНА</t>
  </si>
  <si>
    <t>ИП МИХАЙЛИНА ЕКАТЕРИНА АЛЕКСАНДРОВНА</t>
  </si>
  <si>
    <t>ИП НУРМАТОВ ЖАМШИД АБДУВОСИТОВИЧ</t>
  </si>
  <si>
    <t>ООО КОСМОНАВТО</t>
  </si>
  <si>
    <t>143442, МОСКОВСКАЯ ОБЛАСТЬ, Г.О. КРАСНОГОРСК, ТЕР. АВТОДОРОГА ПЯТНИЦКОЕ ШОССЕ, КМ 6-Й, Д. 9, СТР. 19</t>
  </si>
  <si>
    <t>ООО ГЛОБАЛ ПРИНТИНГ СИСТЕМС</t>
  </si>
  <si>
    <t>141420, МОСКОВСКАЯ ОБЛАСТЬ, Г ХИМКИ, УЛ КУРГАННАЯ (СХОДНЯ МКР.), Д. 8А</t>
  </si>
  <si>
    <t>ИП ПАЛИЙ НИКОЛАЙ НАЗАРОВИЧ</t>
  </si>
  <si>
    <t>АО ЗАВОД АВИАПРОФИЛЕЙ</t>
  </si>
  <si>
    <t>140000, МОСКОВСКАЯ ОБЛАСТЬ, Г ЛЮБЕРЦЫ, ПР-Д ПРОЕКТИРУЕМЫЙ 4296, ВЛД. 3, КОМ. 8</t>
  </si>
  <si>
    <t>ООО ГК</t>
  </si>
  <si>
    <t>141009, МОСКОВСКАЯ ОБЛАСТЬ, Г МЫТИЩИ, УЛ КОЛОНЦОВА, Д. 5, ЗД. МАСТЕРСКИХ,СИНТЕТИКА 2,КИП И А,ЭТАЖ 4, ПОМЕЩ. 1</t>
  </si>
  <si>
    <t>ООО КС-ОЙЛ</t>
  </si>
  <si>
    <t>143007, МОСКОВСКАЯ ОБЛАСТЬ, Г.О. ОДИНЦОВСКИЙ, Г ОДИНЦОВО, УЛ МОЛОДЕЖНАЯ, Д. 46, ПОМЕЩ./ОФИС 21/221</t>
  </si>
  <si>
    <t>ООО ЭКОНИВА-ТЕХНИКА</t>
  </si>
  <si>
    <t>143003, РОССИЯ, МОСКОВСКАЯ ОБЛАСТЬ, Г.О. ОДИНЦОВСКИЙ, Г ОДИНЦОВО, УЛ МАРШАЛА НЕДЕЛИНА, Д. 6Б, ПОМЕЩ. 6</t>
  </si>
  <si>
    <t>ООО ХИМТОРГ</t>
  </si>
  <si>
    <t>141207, РОССИЯ, МОСКОВСКАЯ ОБЛАСТЬ, Г.О. ПУШКИНСКИЙ, Г ПУШКИНО, УЛ ГОРЬКОГО, Д. 20А, ПОМЕЩ. 7</t>
  </si>
  <si>
    <t>ООО ТСТ-АГРО</t>
  </si>
  <si>
    <t>142703, МОСКОВСКАЯ ОБЛАСТЬ, Г ВИДНОЕ, УЛ ДОНБАССКАЯ, Д. 2, СТР 1, КОМ 203</t>
  </si>
  <si>
    <t>ООО МЭЙДЖОР АВТОМОБИЛИ</t>
  </si>
  <si>
    <t>143403, МОСКОВСКАЯ ОБЛАСТЬ, Г КРАСНОГОРСК, КМ 25, СКЛАД. КОМП КУЛ. БАЛТ, КОМ. 1</t>
  </si>
  <si>
    <t>ООО ВЕЗДЕХОДЫ  АРГО</t>
  </si>
  <si>
    <t>141703, МОСКОВСКАЯ ОБЛАСТЬ, Г ДОЛГОПРУДНЫЙ, УЛ НАБЕРЕЖНАЯ, Д. 22, СТР 1, ПОМЕЩ. 1</t>
  </si>
  <si>
    <t>ИП Магеррамова Нармин Мухтар Кызы</t>
  </si>
  <si>
    <t>ИП ТАРАСЕВИЧ ЕЛЕНА СЕРГЕЕВНА</t>
  </si>
  <si>
    <t>ООО СНАБЖЕНИЕ И СЕРВИС</t>
  </si>
  <si>
    <t>143026, РОССИЯ, МОСКОВСКАЯ ОБЛАСТЬ, Г.О. ОДИНЦОВСКИЙ, ПГТ. НОВОИВАНОВСКОЕ, Ш МОЖАЙСКОЕ, Д. 165, СТР. 1, ЭТАЖ 2, ПОМЕЩ. 3, 28</t>
  </si>
  <si>
    <t>ООО РБК</t>
  </si>
  <si>
    <t>142180, МОСКОВСКАЯ ОБЛАСТЬ, Г.О. ПОДОЛЬСК, Г ПОДОЛЬСК, МКР. КЛИМОВСК, ПРОЕЗД ФАБРИЧНЫЙ, Д. 4, ОФИС 312</t>
  </si>
  <si>
    <t>ООО МЭЙДЖОР АВТО КОМПЛЕКС</t>
  </si>
  <si>
    <t>143420, РОССИЯ, МОСКОВСКАЯ ОБЛАСТЬ, Г.О. КРАСНОГОРСК, Д МИХАЛКОВО, ТЕР. МЭЙДЖОР СИТИ, СТР. 7</t>
  </si>
  <si>
    <t>ООО ЛУБРИКАНТС</t>
  </si>
  <si>
    <t>141720, МОСКОВСКАЯ ОБЛАСТЬ, Г ДОЛГОПРУДНЫЙ, ПР-КТ ЛИХАЧЕВСКИЙ, Д.46, СТР.3</t>
  </si>
  <si>
    <t>ООО МЭЙДЖОРСЕРВИСМ</t>
  </si>
  <si>
    <t>143420, РОССИЯ, МОСКОВСКАЯ ОБЛАСТЬ, Г.О. КРАСНОГОРСК, Д МИХАЛКОВО, ДОР БАЛТИЯ, ВЛД. 24, ЛИТЕР 1Б, ЭТАЖ 2 ПОМЕЩ. 23</t>
  </si>
  <si>
    <t>ООО МАРЕС ДАЙВ</t>
  </si>
  <si>
    <t>141703, МОСКОВСКАЯ ОБЛАСТЬ, Г ДОЛГОПРУДНЫЙ, УЛ НАБЕРЕЖНАЯ, Д. 22, СТР. 2, ПОМЕЩ. 9</t>
  </si>
  <si>
    <t>ИП КОЗЫЗАЕВ СЕРГЕЙ СЕРГЕЕВИЧ</t>
  </si>
  <si>
    <t>ИП СИДОРОВ ЮРИЙ ВИКТОРОВИЧ</t>
  </si>
  <si>
    <t>ИП ВОЛКОВ ВЛАДИМИР ВИКТОРОВИЧ</t>
  </si>
  <si>
    <t>ИП ДРЕВС ВИКТОР СЕРГЕЕВИЧ</t>
  </si>
  <si>
    <t>ООО МЭЙДЖОР АВТО ЦЕНТР</t>
  </si>
  <si>
    <t>143403, МОСКОВСКАЯ ОБЛАСТЬ, Г КРАСНОГОРСК, КМ 25, СКЛАД. КОМП. КУЛ. БАЛТ, КОМ. 67</t>
  </si>
  <si>
    <t>ИП ТАРАРУХИН АЛЕКСАНДР НИКОЛАЕВИЧ</t>
  </si>
  <si>
    <t>ООО КАРАВАН</t>
  </si>
  <si>
    <t>142118, МОСКОВСКАЯ ОБЛАСТЬ, Г ПОДОЛЬСК, УЛ ГЕНЕРАЛА СМИРНОВА (КУЗНЕЧИКИ МКР.), Д. 10, КВ. 269</t>
  </si>
  <si>
    <t>ИП ЛУКИНОВА ТАТЬЯНА ВЛАДИМИРОВНА</t>
  </si>
  <si>
    <t>ИП СТЕПАНЮК ДМИТРИЙ ИГОРЕВИЧ</t>
  </si>
  <si>
    <t>ИП РОГАНОВА ВАЛЕРИЯ АНДРЕЕВНА</t>
  </si>
  <si>
    <t>ИП РЯБОВ ВЛАДИМИР ВЛАДИМИРОВИЧ</t>
  </si>
  <si>
    <t>ИП КОРИЧНЕВ ЕГОР СЕРГЕЕВИЧ</t>
  </si>
  <si>
    <t>АО ДЕЛФИН ИНДАСТРИ</t>
  </si>
  <si>
    <t>141201, МОСКОВСКАЯ ОБЛАСТЬ, Г. ПУШКИНО, Ш ЯРОСЛАВСКОЕ, Д. 1А, ЭТАЖ 4 КОМНАТА 400</t>
  </si>
  <si>
    <t>ООО ГИПЕРГЛОБУС</t>
  </si>
  <si>
    <t>141109, МОСКОВСКАЯ ОБЛАСТЬ, Г ЩЁЛКОВО, ПР-КТ ПРОЛЕТАРСКИЙ, Д. 18</t>
  </si>
  <si>
    <t>ООО АГМ-СЕРВИС АВТО</t>
  </si>
  <si>
    <t>143003, РОССИЯ, МОСКОВСКАЯ ОБЛАСТЬ, Г.О. ОДИНЦОВСКИЙ, Г ОДИНЦОВО, УЛ МАРШАЛА БИРЮЗОВА, Д. 7, К. 4, ПОМЕЩ. 4К</t>
  </si>
  <si>
    <t>ИП ЕМЕЛЬЯНОВА ЮЛИЯ ВАЛЕРЬЕВНА</t>
  </si>
  <si>
    <t>ИП ПЫРКОВ ОЛЕГ ВАДИМОВИЧ</t>
  </si>
  <si>
    <t>ООО ДОРСЕРВИС ВЛАДИВОСТОК</t>
  </si>
  <si>
    <t>143409, РОССИЯ, МОСКОВСКАЯ ОБЛАСТЬ, Г.О. КРАСНОГОРСК, Г КРАСНОГОРСК, УЛ УСПЕНСКАЯ, Д. 3, ПОМЕЩ. I, ОФИС 518</t>
  </si>
  <si>
    <t>ООО АМЕТИЗ</t>
  </si>
  <si>
    <t>141554, МОСКОВСКАЯ ОБЛАСТЬ, Г СОЛНЕЧНОГОРСК, Д КРИВЦОВО, СТР. 70, ПОМЕЩ. 1</t>
  </si>
  <si>
    <t>ООО ОПТИМОСНАБ</t>
  </si>
  <si>
    <t>141009, МОСКОВСКАЯ ОБЛАСТЬ, Г МЫТИЩИ, Ш ЯРОСЛАВСКОЕ, ВЛД. 1, СТР. 1, ПОМЕЩ. 8 КАБИНЕТ 303</t>
  </si>
  <si>
    <t>ООО ПНД</t>
  </si>
  <si>
    <t>140073, РОССИЯ, МОСКОВСКАЯ ОБЛАСТЬ, Г.О. ЛЮБЕРЦЫ, ПГТ. ТОМИЛИНО, МКР. ПТИЦЕФАБРИКА, ЛИТЕР 2С2, ПОМЕЩ. 2, КОМ. 15</t>
  </si>
  <si>
    <t>ООО ФАВОРИТ МОТОРС ЭНЕРДЖИ</t>
  </si>
  <si>
    <t>143968, МОСКОВСКАЯ ОБЛАСТЬ, Г РЕУТОВ, УЛ МКАД 2 КМ, Д. 7, ПОМЕЩ. 15</t>
  </si>
  <si>
    <t>ИП ВДОВИН АЛЕКСЕЙ СЕРГЕЕВИЧ</t>
  </si>
  <si>
    <t>ООО ТОП ЛУБРИКАНТС</t>
  </si>
  <si>
    <t>141205, РОССИЯ, МОСКОВСКАЯ ОБЛАСТЬ, Г.О. ПУШКИНСКИЙ, Г ПУШКИНО, ПРОЕЗД 2-Й ФАБРИЧНЫЙ, Д. 16, ПОМЕЩ. 11</t>
  </si>
  <si>
    <t>ИП БОРЦОВ ПАВЕЛ СЕРГЕЕВИЧ</t>
  </si>
  <si>
    <t>ИП НИКОЛАЕВ ЮРИЙ ВЛАДИМИРОВИЧ</t>
  </si>
  <si>
    <t>ИП ЧИКОБАВА ЛЕВАН ВЛАДИМИРОВИЧ</t>
  </si>
  <si>
    <t>ИП ТУЛЬСКАЯ АННА АЛЕКСАНДРОВНА</t>
  </si>
  <si>
    <t>ИП КОСОРЫЛОВ МИХАИЛ АНАТОЛЬЕВИЧ</t>
  </si>
  <si>
    <t>ИП ФАРАДЖЕВ ОЛЕГ ОЛЕГОВИЧ</t>
  </si>
  <si>
    <t>ООО ФРЕШ МАРКЕТ</t>
  </si>
  <si>
    <t>142842, РОССИЯ, МОСКОВСКАЯ ОБЛАСТЬ, Г.О. СТУПИНО, Д СИДОРОВО, УЛ ДОРОЖНАЯ, ВЛД. 2А</t>
  </si>
  <si>
    <t>ИП КИСЕЛЕВА ПОЛИНА ИВАНОВНА</t>
  </si>
  <si>
    <t>ИП МАЛЬЦЕВ ВЯЧЕСЛАВ ГЕННАДЬЕВИЧ</t>
  </si>
  <si>
    <t>ИП ГОЛУБОВ ПАВЕЛ ГРИГОРЬЕВИЧ</t>
  </si>
  <si>
    <t>ИП ТУМАНЯНЦ АНДРОНИК ВЛАДИМИРОВИЧ</t>
  </si>
  <si>
    <t>ИП КОРОЛЬКОВ РОМАН АНАТОЛЬЕВИЧ</t>
  </si>
  <si>
    <t>ИП ВЕРДИЕВ ДЖОШГУН ФИРДОВСИЕВИЧ</t>
  </si>
  <si>
    <t>ИП ПРОХОРЕНКО СЕРГЕЙ АНАТОЛЬЕВИЧ</t>
  </si>
  <si>
    <t>ИП БЕЛОУСОВА ЮЛИЯ ВЯЧЕСЛАВОВНА</t>
  </si>
  <si>
    <t>ИП МУЛЮКОВА ЭЛЕОНОРА ИЛЬМАРОВНА</t>
  </si>
  <si>
    <t>ИП ЗАХАРОВ МАКСИМ ВЛАДИМИРОВИЧ</t>
  </si>
  <si>
    <t>ИП МАРКАРЯН АРТУР РАЗМИКОВИЧ</t>
  </si>
  <si>
    <t>ИП ГУЛИЕВ МУСА АДИЛ ОГЛЫ</t>
  </si>
  <si>
    <t>ИП ДЕНИСОВ ДМИТРИЙ ИГОРЕВИЧ</t>
  </si>
  <si>
    <t>ИП ГАЙДАМАК АЛЕКСАНДР ЮРЬЕВИЧ</t>
  </si>
  <si>
    <t>ИП СЕВРЮГИН ДЕНИС ВИТАЛЬЕВИЧ</t>
  </si>
  <si>
    <t>ИП ЛАНЬКО СЕРГЕЙ ВАЛЕНТИНОВИЧ</t>
  </si>
  <si>
    <t>ИП ГАБРИЕЛЯН АРТУР АЛЕКСАНДРОВИЧ</t>
  </si>
  <si>
    <t>ИП ТЕМЕРЕВ ИВАН ВЛАДИМИРОВИЧ</t>
  </si>
  <si>
    <t>ИП ВЕЛЕС СВЕТОСЛАВ АЛЕКСАНДРОВИЧ</t>
  </si>
  <si>
    <t>ИП АРУТЮНЯН САРГИС БОРИКОВИЧ</t>
  </si>
  <si>
    <t>ООО ДАЙКОН</t>
  </si>
  <si>
    <t>142000, РОССИЯ, МОСКОВСКАЯ ОБЛАСТЬ, Г.О. ДОМОДЕДОВО, Г ДОМОДЕДОВО, МКР. СЕВЕРНЫЙ, УЛ КАШИРСКОЕ ШОССЕ, Д. 1, КОМ. 4</t>
  </si>
  <si>
    <t>ИП СОТНИКОВА ИРИНА НИКОЛАЕВНА</t>
  </si>
  <si>
    <t>ИП БОГОСЛАВЦЕВА СВЕТЛАНА МИХАЙЛОВНА</t>
  </si>
  <si>
    <t>ООО ТД ПРОСТОР</t>
  </si>
  <si>
    <t>143909, МОСКОВСКАЯ ОБЛАСТЬ, Г БАЛАШИХА, УЛ СОВЕТСКАЯ, Д. 35, КОМ. 307</t>
  </si>
  <si>
    <t>ИП ИСТОМИН АЛЕКСАНДР ГЕННАДЬЕВИЧ</t>
  </si>
  <si>
    <t>ООО ВЕЛИКАН-РУСТРАКТОР</t>
  </si>
  <si>
    <t>143900, МОСКОВСКАЯ ОБЛАСТЬ, Г.О. БАЛАШИХА, Г БАЛАШИХА, ТЕР. ЗАПАДНАЯ КОММУНАЛЬНАЯ ЗОНА, Ш ЭНТУЗИАСТОВ, ВЛД. 2</t>
  </si>
  <si>
    <t>ООО САМ - МБ</t>
  </si>
  <si>
    <t>143900, МОСКОВСКАЯ ОБЛАСТЬ, Г БАЛАШИХА, Ш ЭНТУЗИАСТОВ, Д. 84, ПОМЕЩ. 5</t>
  </si>
  <si>
    <t>ИП ТАМИЛО ВИКТОР ВЛАДИМИРОВИЧ</t>
  </si>
  <si>
    <t>ООО ЛАГУНА</t>
  </si>
  <si>
    <t>143900, МОСКОВСКАЯ ОБЛАСТЬ, Г БАЛАШИХА, УЛ ЗВЕЗДНАЯ, Д.8</t>
  </si>
  <si>
    <t>ООО АДОРИКС</t>
  </si>
  <si>
    <t>143906, МОСКОВСКАЯ ОБЛАСТЬ, Г БАЛАШИХА, КВ-Л ЩИТНИКОВО, Д.79А, СТРОЕНИЕ 1</t>
  </si>
  <si>
    <t>143921, МОСКОВСКАЯ ОБЛАСТЬ, Г.О. БАЛАШИХА, Д ПЕСТОВО, Д. 1А, ОФИС 2 ЭТАЖ</t>
  </si>
  <si>
    <t>ИП ФЕДИН ВАСИЛИЙ ВЛАДИМИРОВИЧ</t>
  </si>
  <si>
    <t>ООО АВТОБИЗНЕС</t>
  </si>
  <si>
    <t>143900, МОСКОВСКАЯ ОБЛАСТЬ, Г БАЛАШИХА, Ш ОБЪЕЗДНОЕ, ВЛД. 8, СТР. 1, ОФИС 2</t>
  </si>
  <si>
    <t>ООО ТАНДЕВС</t>
  </si>
  <si>
    <t>143900, РОССИЯ, МОСКОВСКАЯ ОБЛАСТЬ, Г.О. БАЛАШИХА, Г БАЛАШИХА, ТЕР. ЗАПАДНАЯ КОММУНАЛЬНАЯ ЗОНА, Ш ЭНТУЗИАСТОВ, Д. 1Б, ПОМЕЩ. 2, ПОМЕЩ. 19</t>
  </si>
  <si>
    <t>143909, РОССИЯ, МОСКОВСКАЯ ОБЛАСТЬ, Г.О. БАЛАШИХА, Г БАЛАШИХА, МКР. АВИАТОРОВ, Б-Р НЕСТЕРОВА, Д. 9, КВ. 100</t>
  </si>
  <si>
    <t>ООО ФИДБЭК</t>
  </si>
  <si>
    <t>143923, РОССИЯ, МОСКОВСКАЯ ОБЛАСТЬ, Г.О. БАЛАШИХА, Г БАЛАШИХА, УЛ ДЕМИН ЛУГ, Д. 4, КВ. 603</t>
  </si>
  <si>
    <t>ООО ИМЗАП</t>
  </si>
  <si>
    <t>143915, РОССИЯ, МОСКОВСКАЯ ОБЛАСТЬ, Г.О. БАЛАШИХА, Г БАЛАШИХА, УЛ МАЙКЛА ЛУННА, Д. 3, КВ. 311</t>
  </si>
  <si>
    <t>143902, РОССИЯ, МОСКОВСКАЯ ОБЛАСТЬ, Г.О. БАЛАШИХА, Г БАЛАШИХА, УЛ СОВЕТСКАЯ, Д. 33</t>
  </si>
  <si>
    <t>ООО ТРАНСФЬЮЭЛ</t>
  </si>
  <si>
    <t>ИП Медведев Владимир Геннадьевич</t>
  </si>
  <si>
    <t>ООО КЭТЛОГИСТИК</t>
  </si>
  <si>
    <t>142718, МОСКОВСКАЯ ОБЛАСТЬ, Г ВИДНОЕ, П БИТЦА, УЛ НАГОРНАЯ, СТР. 11А</t>
  </si>
  <si>
    <t>ООО АВТОЦЕНТР СИТИ-КАШИРКА</t>
  </si>
  <si>
    <t>142717, МОСКОВСКАЯ ОБЛАСТЬ, Г ВИДНОЕ, П РАЗВИЛКА, КМ МКАД 23, ВЛД. 3</t>
  </si>
  <si>
    <t>ООО АВТОЦЕНТР СИТИ ЮГ</t>
  </si>
  <si>
    <t>142717, МОСКОВСКАЯ ОБЛАСТЬ, Г ВИДНОЕ, П РАЗВИЛКА, КМ МКАД 22, ВЛД. 3</t>
  </si>
  <si>
    <t>ООО ТРАКСТОП-23</t>
  </si>
  <si>
    <t>142717, МОСКОВСКАЯ ОБЛАСТЬ, Г ВИДНОЕ, П РАЗВИЛКА, КМ МКАД 23, ВЛД. 15, СТР. 1, ОФИС 8</t>
  </si>
  <si>
    <t>ООО ДРАЙВ ГРУПП</t>
  </si>
  <si>
    <t>142703, МОСКОВСКАЯ ОБЛАСТЬ, Г ВИДНОЕ, УЛ ДОНБАССКАЯ, Д. 2, СТР 10, ОФИС 603</t>
  </si>
  <si>
    <t>ООО ЛЕЙЛА</t>
  </si>
  <si>
    <t>142720, МОСКОВСКАЯ ОБЛАСТЬ, Г ВИДНОЕ, ПГТ ДРОЖЖИНО, Ш НОВОЕ, Д. 3, ПОМ 2</t>
  </si>
  <si>
    <t>ООО ТУЛТЕХНИК</t>
  </si>
  <si>
    <t>142703, МОСКОВСКАЯ ОБЛАСТЬ, Г ВИДНОЕ, УЛ ШКОЛЬНАЯ, Д. 78, ПРОХОДНАЯ 1 ЭТАЖ, ОФИС 11</t>
  </si>
  <si>
    <t>ООО ВПТ ГРУПП</t>
  </si>
  <si>
    <t>141733, РОССИЯ, МОСКОВСКАЯ ОБЛАСТЬ, Г.О. ЛОБНЯ, Г ЛОБНЯ, УЛ ГАГАРИНА, Д. 9, ПОМЕЩ. 80</t>
  </si>
  <si>
    <t>ИП ДЕГТЯР АНАСТАСИЯ АНАТОЛЬЕВНА</t>
  </si>
  <si>
    <t>ИП КОРЕНЬКОВА ЮЛИЯ СЕРГЕЕВНА</t>
  </si>
  <si>
    <t>143640, МОСКОВСКАЯ ОБЛАСТЬ, Г ВОЛОКОЛАМСК, Д БЕРКИНО, ТЕР 122 КМ АВТОДОРОГИ МОСКВА-РИГА (РАЙОН Д.БЕРКИНО ТЕР), ПОМЕЩ. 3</t>
  </si>
  <si>
    <t>ООО МДЕ-МОТОРС</t>
  </si>
  <si>
    <t>143621, РОССИЯ, МОСКОВСКАЯ ОБЛАСТЬ, М.О. ВОЛОКОЛАМСКИЙ, Д ФЕДЦОВО, ТЕР. АРИЗОНА, Д. 39</t>
  </si>
  <si>
    <t>ИП ДЕМИДОВ СЕРГЕЙ ЛЬВОВИЧ</t>
  </si>
  <si>
    <t>ИП СИГАЧЕВ РОМАН ВЯЧЕСЛАВОВИЧ</t>
  </si>
  <si>
    <t>140209, МОСКОВСКАЯ ОБЛАСТЬ, Г.О. ВОСКРЕСЕНСК, ТЕР. ПРОМЫШЛЕННЫЙ ТЕХНОПАРК ФЕДИНО, ЗД. 15</t>
  </si>
  <si>
    <t>ИП МОСОЛОВ АЛЕКСАНДР ПЕТРОВИЧ</t>
  </si>
  <si>
    <t>ООО АИСТ-1</t>
  </si>
  <si>
    <t>140207, МОСКОВСКАЯ ОБЛАСТЬ, Г ВОСКРЕСЕНСК, С НОВЛЯНСКОЕ, УЛ СЕЛЬСКАЯ, Д. 10/1, ОФИС 1</t>
  </si>
  <si>
    <t>ООО КГП</t>
  </si>
  <si>
    <t>140200, МОСКОВСКАЯ ОБЛАСТЬ, Г.О. ВОСКРЕСЕНСК, Г ВОСКРЕСЕНСК, УЛ ЗАВОДСКАЯ, ЗД. 3Ж, СТР. 1</t>
  </si>
  <si>
    <t>ООО ГК АВТО-ФЕС</t>
  </si>
  <si>
    <t>140251, МОСКОВСКАЯ ОБЛАСТЬ, Г ВОСКРЕСЕНСК, Д ЗОЛОТОВО, УЛ МОСКОВСКАЯ, ЗД. 18А</t>
  </si>
  <si>
    <t>ИП ВОРОНИН ДМИТРИЙ СЕРГЕЕВИЧ</t>
  </si>
  <si>
    <t>ИП КАРПОВ ВЛАДИМИР НИКОЛАЕВИЧ</t>
  </si>
  <si>
    <t>ИП ХАТИН ДМИТРИЙ ИВАНОВИЧ</t>
  </si>
  <si>
    <t>ИП ШАЛЬНЕВА ОКСАНА НИКОЛАЕВНА</t>
  </si>
  <si>
    <t>ООО ТРАНСАЗС-ДМИТРОВ</t>
  </si>
  <si>
    <t>МОСКОВСКАЯ ОБЛАСТЬ, М.О. ДМИТРОВСКИЙ, ТЕР. А-104, КМ 56-Й, СТР. 1</t>
  </si>
  <si>
    <t>ООО СЕВЕР</t>
  </si>
  <si>
    <t>141705, МОСКОВСКАЯ ОБЛАСТЬ, Г МЫТИЩИ, С ВИНОГРАДОВО, Ш ДМИТРОВСКОЕ, Д. 36 Б</t>
  </si>
  <si>
    <t>ИП ПУСТОВОЙТ РОМАН СТАНИСЛАВОВИЧ</t>
  </si>
  <si>
    <t>ИП Беспалов Алексей Николаевич</t>
  </si>
  <si>
    <t>ООО Р-ОЙЛ</t>
  </si>
  <si>
    <t>141802, МОСКОВСКАЯ ОБЛАСТЬ, М.О. ДМИТРОВСКИЙ, Г ДМИТРОВ, УЛ КОСМОНАВТОВ, Д. 57А</t>
  </si>
  <si>
    <t>ООО ЭНЕРГОПРОФИЛЬ</t>
  </si>
  <si>
    <t>141800, МОСКОВСКАЯ ОБЛАСТЬ, Г ДМИТРОВ, УЛ ПРОФЕССИОНАЛЬНАЯ, Д. 3, ОФИС 217</t>
  </si>
  <si>
    <t>ООО ПРОТЕК</t>
  </si>
  <si>
    <t>141804, РОССИЯ, МОСКОВСКАЯ ОБЛАСТЬ, М.О. ДМИТРОВСКИЙ, Г ДМИТРОВ, УЛ ЧЕКИСТСКАЯ, Д. 6, ПОМЕЩ. 4</t>
  </si>
  <si>
    <t>ИП ПИМАХОВ МАКСИМ ВИКТОРОВИЧ</t>
  </si>
  <si>
    <t>ООО ДСТС</t>
  </si>
  <si>
    <t>141701, МОСКОВСКАЯ ОБЛАСТЬ, Г ДОЛГОПРУДНЫЙ, ПР-Д ПРОМЫШЛЕННЫЙ, Д. 14, ПОМ. IV</t>
  </si>
  <si>
    <t>ООО АГРОРЕСУРС</t>
  </si>
  <si>
    <t>142032, МОСКОВСКАЯ ОБЛАСТЬ, Г ДОМОДЕДОВО, П ГОСУДАРСТВЕННОГО ПЛЕМЕННОГО ЗАВОДА КОНСТАНТИНОВО, Ш ОБЪЕЗДНОЕ, СТР. 3</t>
  </si>
  <si>
    <t>ООО КЭМП-ДОМОДЕДОВО</t>
  </si>
  <si>
    <t>142072, МОСКОВСКАЯ ОБЛАСТЬ, Г.О. ДОМОДЕДОВО, Г ДОМОДЕДОВО, МКР. ВОСТРЯКОВО, УЛ ЗАБОРЬЕ, СТР. 1Д, ЭТАЖ 2, ПОМЕЩ. 7</t>
  </si>
  <si>
    <t>ИП ЗЕНИН МИХАИЛ ВАЛЕРЬЕВИЧ</t>
  </si>
  <si>
    <t>ООО АТЛАС ПАРК ОТЕЛЬ</t>
  </si>
  <si>
    <t>142073, МОСКОВСКАЯ ОБЛАСТЬ, Г ДОМОДЕДОВО, Д СУДАКОВО, Д.92</t>
  </si>
  <si>
    <t>ООО ВИСТ-АВТО</t>
  </si>
  <si>
    <t>142030, МОСКОВСКАЯ ОБЛАСТЬ, Г.О. ДОМОДЕДОВО, С ЯМ, УЛ ЦЕНТРАЛЬНАЯ, СТР. 130, ПОМЕЩ. 1</t>
  </si>
  <si>
    <t>ООО ТЕХНОПАРК ИМПУЛЬС</t>
  </si>
  <si>
    <t>142062, МОСКОВСКАЯ ОБЛАСТЬ, Г.О. ДОМОДЕДОВО, С РАСТУНОВО, ТЕР ИМПУЛЬС, СТР. 1</t>
  </si>
  <si>
    <t>ООО  БЕРЕГ</t>
  </si>
  <si>
    <t>142002, МОСКОВСКАЯ ОБЛАСТЬ, Г ДОМОДЕДОВО, УЛ ТЕКСТИЛЬЩИКОВ (ЗАПАДНЫЙ МКР.), Д. 2Г, ОФИС 306</t>
  </si>
  <si>
    <t>ООО СДА-ТРЕЙД</t>
  </si>
  <si>
    <t>142002, МОСКОВСКАЯ ОБЛАСТЬ, Г.О. ДОМОДЕДОВО, Г ДОМОДЕДОВО, МКР. ЗАПАДНЫЙ, ПРОМЗОНА ТЕКСТИЛЬЩИК, СТР. 2, ПОМЕЩ. 304</t>
  </si>
  <si>
    <t>ООО ЛОРРИТРАК</t>
  </si>
  <si>
    <t>142000, МОСКОВСКАЯ ОБЛАСТЬ, Г ДОМОДЕДОВО, УЛ СТАНЦИОННАЯ (ЦЕНТРАЛЬНЫЙ МКР.), Д. 3, ЭТ/ПОМ 1/117</t>
  </si>
  <si>
    <t>ИП МАКИЕНКО ЕКАТЕРИНА АЛЕКСЕЕВНА</t>
  </si>
  <si>
    <t>ИП Смирнова Татьяна Сергеевна</t>
  </si>
  <si>
    <t>ИП СОСОВА МАРИНА ВЛАДИМИРОВНА</t>
  </si>
  <si>
    <t>ИП ШЕВЛЯКОВА МАРИНА СЕРГЕЕВНА</t>
  </si>
  <si>
    <t>ИП ЯКОВЕНКО АЛЕКСАНДР ВАЛЕРЬЕВИЧ</t>
  </si>
  <si>
    <t>ИП МАЦКО ВИКТОР МАРЬЯНОВИЧ</t>
  </si>
  <si>
    <t>ООО АВТОСПЕЦКОМПЛЕКТ</t>
  </si>
  <si>
    <t>143906, МОСКОВСКАЯ ОБЛАСТЬ, Г БАЛАШИХА, КВ-Л ЩИТНИКОВО, Д. 36</t>
  </si>
  <si>
    <t>ИП МЖЕЛЬСКИЙ ПАВЕЛ ВЯЧЕСЛАВОВИЧ</t>
  </si>
  <si>
    <t>ИП ТУПИКОВ ВЛАДИСЛАВ ВЯЧЕСЛАВОВИЧ</t>
  </si>
  <si>
    <t>ИП КУНИХИН ОЛЕГ АНАТОЛЬЕВИЧ</t>
  </si>
  <si>
    <t>ООО ТЕХЦЕНТР ИЗМАЙЛОВО-ПРЕМИУМ</t>
  </si>
  <si>
    <t>143912, МОСКОВСКАЯ ОБЛАСТЬ, Г БАЛАШИХА, Ш ЭНТУЗИАСТОВ (ЗАПАДНАЯ КОММУНАЛЬНАЯ ЗОНА ТЕР.), ВЛД. 2, КАБИНЕТ 334 АВТОЦЕНТР №3</t>
  </si>
  <si>
    <t>ООО ТД ПРОМПЭК</t>
  </si>
  <si>
    <t>143903, МОСКОВСКАЯ ОБЛАСТЬ, Г.О. БАЛАШИХА, Г БАЛАШИХА, УЛ МЕЩЕРА, Д. 8, ПОМЕЩ 7</t>
  </si>
  <si>
    <t>ООО АСТРЕЯ</t>
  </si>
  <si>
    <t>143907, МОСКОВСКАЯ ОБЛАСТЬ, Г БАЛАШИХА, ПР-КТ ЛЕНИНА, ВЛД. 65, ОФИС 33</t>
  </si>
  <si>
    <t>ИП КОЛОСОВ АЛЕКСЕЙ ИГОРЕВИЧ</t>
  </si>
  <si>
    <t>ООО МИРЗАПЧАСТЕЙ</t>
  </si>
  <si>
    <t>143908, РОССИЯ, МОСКОВСКАЯ ОБЛАСТЬ, Г.О. БАЛАШИХА, Г БАЛАШИХА, УЛ ДОРОФЕЕВА, Д. 1, ПОМЕЩ. 12</t>
  </si>
  <si>
    <t>ООО КЭМП-СТИЛЬ</t>
  </si>
  <si>
    <t>140171, МОСКОВСКАЯ ОБЛАСТЬ, Г.О. БРОННИЦЫ, Г БРОННИЦЫ, УЛ ЛЬВА ТОЛСТОГО, Д. 9, ПОМЕЩ. 25</t>
  </si>
  <si>
    <t>ИП СНИСАРЕНКО ДАНИИЛ ПЕТРОВИЧ</t>
  </si>
  <si>
    <t>ООО ТЕКЛЮБ</t>
  </si>
  <si>
    <t>142702, МОСКОВСКАЯ ОБЛАСТЬ, Г ВИДНОЕ, УЛ ПАВЛОВСКАЯ, Д. 14Б, ПОМ 205</t>
  </si>
  <si>
    <t>ООО ДЕЛОВАЯ ЛИГА</t>
  </si>
  <si>
    <t>142715, РОССИЯ, МОСКОВСКАЯ ОБЛАСТЬ, Г.О. ЛЕНИНСКИЙ, П СОВХОЗА ИМ. ЛЕНИНА, Д. 19, ПОМЕЩ. 2, КОМ. 2,3,5</t>
  </si>
  <si>
    <t>ООО ГРУЗОВИК-М</t>
  </si>
  <si>
    <t>142717, МОСКОВСКАЯ ОБЛАСТЬ, Г ВИДНОЕ, П РАЗВИЛКА, Д. 44, КВ. 225</t>
  </si>
  <si>
    <t>ООО АВС</t>
  </si>
  <si>
    <t>142700, МОСКОВСКАЯ ОБЛАСТЬ, Г ВИДНОЕ, ТЕР ЮЖНАЯ ПРОМЗОНА, СТР. 1, ЛИТЕРА А1, КАБИНЕТ 10</t>
  </si>
  <si>
    <t>ООО АВТОТРАК</t>
  </si>
  <si>
    <t>142717, РОССИЯ, МОСКОВСКАЯ ОБЛАСТЬ, Г.О. ЛЕНИНСКИЙ, П РАЗВИЛКА, КМ МКАД 23, ВЛД. 16, СТР. 2</t>
  </si>
  <si>
    <t>ООО ГЕРМЕС ТРЕЙДИНГ</t>
  </si>
  <si>
    <t>142700, РОССИЯ, МОСКОВСКАЯ ОБЛАСТЬ, Г.О. ЛЕНИНСКИЙ, Г ВИДНОЕ, УЛ 8 ЛИНИЯ, Д. 13А, ПОМЕЩ. 2, ОФИС 13</t>
  </si>
  <si>
    <t>ИП ЖЕРНОВОЙ СЕРГЕЙ ВЛАДИМИРОВИЧ</t>
  </si>
  <si>
    <t>ООО АТП № 17</t>
  </si>
  <si>
    <t>143600, МОСКОВСКАЯ ОБЛАСТЬ, Г ВОЛОКОЛАМСК, УЛ НОВО-СОЛДАТСКАЯ, Д. 23</t>
  </si>
  <si>
    <t>ИП Самодуров Дмитрий Владимирович</t>
  </si>
  <si>
    <t>ИП ЕГОРОВ АЛЕКСАНДР ВЛАДИМИРОВИЧ</t>
  </si>
  <si>
    <t>ИП РЕЗНИКОВ СЕРГЕЙ АНАТОЛЬЕВИЧ</t>
  </si>
  <si>
    <t>ООО ДИАГОНАЛЬ</t>
  </si>
  <si>
    <t>140231, МОСКОВСКАЯ ОБЛАСТЬ, Г ВОСКРЕСЕНСК, С АШИТКОВО, УЛ ЮБИЛЕЙНАЯ, ЗД. 10В</t>
  </si>
  <si>
    <t>ООО РОНИС-АВТО</t>
  </si>
  <si>
    <t>140200, МОСКОВСКАЯ ОБЛАСТЬ, Г. ВОСКРЕСЕНСК, УЛ КОННАЯ, Д.19А</t>
  </si>
  <si>
    <t>ИП Середенко Николай Павлович</t>
  </si>
  <si>
    <t>ИП ВИНОКУРОВ ИЛЬЯ ДМИТРИЕВИЧ</t>
  </si>
  <si>
    <t>ИП АНТАКОВ ДМИТРИЙ ИГОРЕВИЧ</t>
  </si>
  <si>
    <t>ИП ФЕОКТИСТОВ РОМАН НИКОЛАЕВИЧ</t>
  </si>
  <si>
    <t>ИП ТИЩЕНКО СТАНИСЛАВ НИКОЛАЕВИЧ</t>
  </si>
  <si>
    <t>ИП ЮХНОВА МАРИНА СЕРГЕЕВНА</t>
  </si>
  <si>
    <t>ООО ОМИКОМ</t>
  </si>
  <si>
    <t>141804, МОСКОВСКАЯ ОБЛАСТЬ, Г ДМИТРОВ, УЛ ПОДЪЯЧЕВА, Д. 7, 15</t>
  </si>
  <si>
    <t>141801, МОСКОВСКАЯ ОБЛАСТЬ, Г. ДМИТРОВ, УЛ ПРОФЕССИОНАЛЬНАЯ, Д.135, КОРПУС 5</t>
  </si>
  <si>
    <t>ИП ЖЕМАЕВ МИХАИЛ МИХАЙЛОВИЧ</t>
  </si>
  <si>
    <t>ИП САКЛАКОВ АЛЕКСЕЙ АЛЕКСЕЕВИЧ</t>
  </si>
  <si>
    <t>ООО ИММЕРОЙЛ</t>
  </si>
  <si>
    <t>141800, МОСКОВСКАЯ ОБЛАСТЬ, Г ДМИТРОВ, УЛ ПРОФЕССИОНАЛЬНАЯ, Д. 4, ОФИС 523</t>
  </si>
  <si>
    <t>ИП Голубев Евгений Михайлович</t>
  </si>
  <si>
    <t>ООО ЯМСКОЕ</t>
  </si>
  <si>
    <t>142030, МОСКОВСКАЯ ОБЛАСТЬ, Г ДОМОДЕДОВО, С ЯМ, УЛ ПОЧТОВАЯ, Д. 22</t>
  </si>
  <si>
    <t>ООО С 7 ИНЖИНИРИНГ</t>
  </si>
  <si>
    <t>142007, МОСКОВСКАЯ ОБЛАСТЬ, Г.О. ДОМОДЕДОВО, ТЕР АЭРОПОРТ ДОМОДЕДОВО, СТР. 8, ЭТАЖ 9, ПОМЕЩ. 9.24</t>
  </si>
  <si>
    <t>ИП ТОЛЧЕНОВ АЛЕКСЕЙ НИКОЛАЕВИЧ</t>
  </si>
  <si>
    <t>ООО ПРОМЕТЕЙ ОЙЛ</t>
  </si>
  <si>
    <t>142000, РОССИЯ, МОСКОВСКАЯ ОБЛАСТЬ, Г.О. ДОМОДЕДОВО, Г ДОМОДЕДОВО, МКР. ЗАПАДНЫЙ, УЛ ЛУННАЯ, СТР. 1/1, ОФИС 3,4</t>
  </si>
  <si>
    <t>ООО ТЕХНИЧЕСКИЙ ЦЕНТР ИНФОРКОМ</t>
  </si>
  <si>
    <t>142074, МОСКОВСКАЯ ОБЛАСТЬ, Г.О. ДОМОДЕДОВО, С ДОЛМАТОВО, УЛ ДОРОЖНАЯ, СТР. 19/2, ПОМЕЩ. 4</t>
  </si>
  <si>
    <t>ООО ТРТ</t>
  </si>
  <si>
    <t>142029, МОСКОВСКАЯ ОБЛАСТЬ, Г.О. ДОМОДЕДОВО, Г ДОМОДЕДОВО, МКР. СЕВЕРНЫЙ, УЛ ЛОГИСТИЧЕСКАЯ, Д. 1/11</t>
  </si>
  <si>
    <t>ИП НИКИТИН ДМИТРИЙ АЛЕКСАНДРОВИЧ</t>
  </si>
  <si>
    <t>ООО ТК ТЕРМОЛОГ</t>
  </si>
  <si>
    <t>142000, РОССИЯ, МОСКОВСКАЯ ОБЛАСТЬ, Г.О. ДОМОДЕДОВО, Г ДОМОДЕДОВО, МКР. ЗАПАДНЫЙ, УЛ ГОРКА, Д. 4</t>
  </si>
  <si>
    <t>ООО ТД ТЕХНОХИМ ГРУПП</t>
  </si>
  <si>
    <t>142001, РОССИЯ, МОСКОВСКАЯ ОБЛАСТЬ, Г.О. ДОМОДЕДОВО, Г ДОМОДЕДОВО, МКР. СЕВЕРНЫЙ, УЛ КАШИРСКОЕ ШОССЕ, Д. 4, К. 1, ПОМЕЩ./ЭТАЖ/ОФИС 1/3/330</t>
  </si>
  <si>
    <t>ИП САХАРОВА АНАСТАСИЯ АНАТОЛЬЕВНА</t>
  </si>
  <si>
    <t>ИП ЛЕТОВ ИВАН ГЕННАДЬЕВИЧ</t>
  </si>
  <si>
    <t>ООО АВТОДОК-СЕТЬ</t>
  </si>
  <si>
    <t>141980, МОСКОВСКАЯ ОБЛАСТЬ, Г ДУБНА, УЛ ПРАВДЫ, Д. 33, ПОМЕЩ. 11</t>
  </si>
  <si>
    <t>ИП БУЯНКОВ АЛЕКСЕЙ ЮРЬЕВИЧ</t>
  </si>
  <si>
    <t>ИП Светлова Ирина Владимировна</t>
  </si>
  <si>
    <t>ИП ЕРЕМЕЕВ МИХАИЛ ЛЕОНИДОВИЧ</t>
  </si>
  <si>
    <t>ООО ТРАНСАЗС-БАЛАШИХА</t>
  </si>
  <si>
    <t>143909, МОСКОВСКАЯ ОБЛАСТЬ, Г БАЛАШИХА, Ш ЩЕЛКОВСКОЕ, ВЛД. 2А</t>
  </si>
  <si>
    <t>ООО ТК АВТОСТАТУС</t>
  </si>
  <si>
    <t>143912, МОСКОВСКАЯ ОБЛАСТЬ, Г БАЛАШИХА, МКР СЕВЕРНЫЙ, Д. 57В, СТР. 1, ПОМЕЩ. 2</t>
  </si>
  <si>
    <t>ООО КАР-ГО М</t>
  </si>
  <si>
    <t>143900, МОСКОВСКАЯ ОБЛАСТЬ, Г БАЛАШИХА, ПР-КТ ЛЕНИНА, Д. 8, ПОМЕЩ. 2</t>
  </si>
  <si>
    <t>ООО  МАКСИМУМ</t>
  </si>
  <si>
    <t>143907, МОСКОВСКАЯ ОБЛАСТЬ, Г БАЛАШИХА, ПР-КТ ЛЕНИНА, ВЛД. 65, ОФИС 32</t>
  </si>
  <si>
    <t>ООО БАЛ-КАРС</t>
  </si>
  <si>
    <t>143900, МОСКОВСКАЯ ОБЛАСТЬ, Г БАЛАШИХА, УЛ ФАДЕЕВА, Д. 7, КВ. 206</t>
  </si>
  <si>
    <t>ООО КАЛИТЫ</t>
  </si>
  <si>
    <t>143914, РОССИЯ, МОСКОВСКАЯ ОБЛАСТЬ, Г.О. БАЛАШИХА, Г БАЛАШИХА, МКР. НИКОЛЬСКО-АРХАНГЕЛЬСКИЙ, Ш ВИШНЯКОВСКОЕ, ВЛД. 109, ПОМЕЩ. 1</t>
  </si>
  <si>
    <t>ООО КОМЕТА</t>
  </si>
  <si>
    <t>143900, РОССИЯ, МОСКОВСКАЯ ОБЛАСТЬ, Г.О. БАЛАШИХА, Г БАЛАШИХА, ТЕР. ЗАПАДНАЯ КОММУНАЛЬНАЯ ЗОНА, Ш ЭНТУЗИАСТОВ, ВЛД. 1А, ЭТАЖ 4, ПОМЕЩ. 12</t>
  </si>
  <si>
    <t>ИП СОПОВ МАТВЕЙ АНДРЕЕВИЧ</t>
  </si>
  <si>
    <t>ИП ДУШКИНА НАТАЛЬЯ ВИКТОРОВНА</t>
  </si>
  <si>
    <t>ИП СУББОТИНА АЛЕНА ИГОРЕВНА</t>
  </si>
  <si>
    <t>ИП МОИСЕЕВ РОМАН СЕРГЕЕВИЧ</t>
  </si>
  <si>
    <t>ИП Журавлев Игорь Николаевич</t>
  </si>
  <si>
    <t>ИП АРОНОВА НАТАЛЬЯ НИКОЛАЕВНА</t>
  </si>
  <si>
    <t>ООО АВТОЦЕНТР СИТИ - СЕРВИС</t>
  </si>
  <si>
    <t>142712, МОСКОВСКАЯ ОБЛАСТЬ, Г ВИДНОЕ, Д ГОРКИ, ТЕР ПРОМЗОНА, ВЛД. 20, СТР 1, КОМН 64</t>
  </si>
  <si>
    <t>ООО ТОТ ГРУПП</t>
  </si>
  <si>
    <t>142718, МОСКОВСКАЯ ОБЛАСТЬ, Г ВИДНОЕ, П БИТЦА, УЛ НАГОРНАЯ, СТРОЕНИЕ 11, ОФИС 302/3</t>
  </si>
  <si>
    <t>ООО ТД АРСЕНАЛ</t>
  </si>
  <si>
    <t>142718, МОСКОВСКАЯ ОБЛАСТЬ, Г ВИДНОЕ, П БИТЦА, УЛ НАГОРНАЯ, СТР. 11, ПАВ. 2-46Б</t>
  </si>
  <si>
    <t>ООО БРИС</t>
  </si>
  <si>
    <t>142715, РОССИЯ, МОСКОВСКАЯ ОБЛАСТЬ, Г.О. ЛЕНИНСКИЙ, Г ВИДНОЕ, ПРОМЗОНА СЕВЕРНАЯ ПРОМЗОНА, ВЛД. 16, ОФИС 101</t>
  </si>
  <si>
    <t>ООО РЕДВИНС ТИМ</t>
  </si>
  <si>
    <t>142702, РОССИЯ, МОСКОВСКАЯ ОБЛАСТЬ, Г.О. ЛЕНИНСКИЙ, Г ВИДНОЕ, УЛ ПАВЛОВСКАЯ, Д. 14Б, ЭТАЖ 2, ПОМЕЩ. 202-Б</t>
  </si>
  <si>
    <t>ИП МИГАЛИ АНАСТАСИЯ ВАСИЛЬЕВНА</t>
  </si>
  <si>
    <t>ООО ИНТЕКС</t>
  </si>
  <si>
    <t>142703, РОССИЯ, МОСКОВСКАЯ ОБЛАСТЬ, Г.О. ЛЕНИНСКИЙ, Г ВИДНОЕ, УЛ ДОНБАССКАЯ, Д. 2, СТР. 10, ОФИС 602</t>
  </si>
  <si>
    <t>ИП ЗУБЛЕВ ВАЛЕНТИН ЯКОВЛЕВИЧ</t>
  </si>
  <si>
    <t>ИП ИЛЬИН АЛЕКСЕЙ БОРИСОВИЧ</t>
  </si>
  <si>
    <t>ИП САХАРОВ ПАВЕЛ СЕРГЕЕВИЧ</t>
  </si>
  <si>
    <t>ИП САЛОВА ЛЮДМИЛА ЮРЬЕВНА</t>
  </si>
  <si>
    <t>ИП АФАНАСЬЕВ АЛЕКСЕЙ АНАТОЛЬЕВИЧ</t>
  </si>
  <si>
    <t>ИП Дейкина Валерия Александровна</t>
  </si>
  <si>
    <t>ИП КРИВОНОГОВ ИЛЬЯ МАКСИМОВИЧ</t>
  </si>
  <si>
    <t>ИП ГОРДЕЕВ ВЯЧЕСЛАВ БОРИСОВИЧ</t>
  </si>
  <si>
    <t>ИП ГУСЕВ ВАДИМ ВЛАДИМИРОВИЧ</t>
  </si>
  <si>
    <t>ООО РУСХИМХОЛДИНГ</t>
  </si>
  <si>
    <t>143443, МОСКОВСКАЯ ОБЛАСТЬ, Г КРАСНОГОРСК, УЛ АЛЕКСАНДРА БЛОКА (ОПАЛИХА МКР.), Д. 7, ПОМЕЩ. XVIII</t>
  </si>
  <si>
    <t>ИП НЕПЕИН ВИТАЛИЙ ВЛАДИСЛАВОВИЧ</t>
  </si>
  <si>
    <t>ИП ТУМАНЯН САША ВЛАДИКОВИЧ</t>
  </si>
  <si>
    <t>ООО ЭКСОЙЛ ЛУБРИКАНТС</t>
  </si>
  <si>
    <t>141800, МОСКОВСКАЯ ОБЛАСТЬ, Г ДМИТРОВ, УЛ ПРОФЕССИОНАЛЬНАЯ, Д. 1А, ОФИС 416</t>
  </si>
  <si>
    <t>ИП ПРОНИН ТИМОФЕЙ АЛЕКСЕЕВИЧ</t>
  </si>
  <si>
    <t>ООО ТЕХИНВЕСТ</t>
  </si>
  <si>
    <t>141801, МОСКОВСКАЯ ОБЛАСТЬ, Г ДМИТРОВ, УЛ ПРОМЫШЛЕННАЯ, К. 2, СТР. 1, ОФИС 3</t>
  </si>
  <si>
    <t>ООО АВТОГАЙКА</t>
  </si>
  <si>
    <t>141800, МОСКОВСКАЯ ОБЛАСТЬ, Г ДМИТРОВ, МКР ИМ А.МАРКОВА, Д. 5, КВ. 44</t>
  </si>
  <si>
    <t>ООО ФОРМУЛА Д</t>
  </si>
  <si>
    <t>ООО ОПТИМАТРАНС</t>
  </si>
  <si>
    <t>141801, РОССИЯ, МОСКОВСКАЯ ОБЛАСТЬ, М.О. ДМИТРОВСКИЙ, Г ДМИТРОВ, МКР ИМ ВЛАДИМИРА МАХАЛИНА, Д. 33, ПОМЕЩ. 471</t>
  </si>
  <si>
    <t>ИП ПАРШОНКОВ КИРИЛЛ СЕРГЕЕВИЧ</t>
  </si>
  <si>
    <t>ООО МОРЕМАН ДОЛГОПРУДНЫЙ</t>
  </si>
  <si>
    <t>141703, МОСКОВСКАЯ ОБЛАСТЬ, Г ДОЛГОПРУДНЫЙ, УЛ НАБЕРЕЖНАЯ, Д. 22, СТРОЕН. 1</t>
  </si>
  <si>
    <t>ООО ЮНИСЕЙЛ</t>
  </si>
  <si>
    <t>141703, МОСКОВСКАЯ ОБЛАСТЬ, Г ДОЛГОПРУДНЫЙ, УЛ ЯКОВА ГУНИНА, Д. 1, ПОМЕЩ. 10/15</t>
  </si>
  <si>
    <t>ООО СЕВЕРНЫЙ СКЛАД</t>
  </si>
  <si>
    <t>141701, МОСКОВСКАЯ ОБЛАСТЬ, Г.О. ДОЛГОПРУДНЫЙ, Г ДОЛГОПРУДНЫЙ, ПР-КТ ЛИХАЧЕВСКИЙ, Д. 46, СТР. 2</t>
  </si>
  <si>
    <t>ООО СПЕЦМОНТАЖСТРОЙ</t>
  </si>
  <si>
    <t>142003, МОСКОВСКАЯ ОБЛАСТЬ, Г.О. ДОМОДЕДОВО, Г ДОМОДЕДОВО, МКР. ЗАПАДНЫЙ, УЛ КАШИРСКОЕ ШОССЕ, Д. 106, КВ. 30</t>
  </si>
  <si>
    <t>ФГБУ ОК БОР</t>
  </si>
  <si>
    <t>142073, МОСКОВСКАЯ ОБЛАСТЬ, Г ДОМОДЕДОВО, Д ОДИНЦОВО, ТЕР БОР</t>
  </si>
  <si>
    <t>ИП Пискунова Елена Михайловна</t>
  </si>
  <si>
    <t>ИП АНОХИН ВИКТОР ЮРЬЕВИЧ</t>
  </si>
  <si>
    <t>ООО ИНФОРКОМ-СЕТЬ</t>
  </si>
  <si>
    <t>142072, МОСКОВСКАЯ ОБЛАСТЬ, Г ДОМОДЕДОВО, С ДОЛМАТОВО, УЛ ДОРОЖНАЯ, Д.16</t>
  </si>
  <si>
    <t>ООО ВАРМЕ ГРУПП</t>
  </si>
  <si>
    <t>142062, МОСКОВСКАЯ ОБЛАСТЬ, Г ДОМОДЕДОВО, С РАСТУНОВО, ТЕР ВИСТА, СТР. 3, ПОМЕЩ. №1</t>
  </si>
  <si>
    <t>ООО ТАЛИФА ГРУПП</t>
  </si>
  <si>
    <t>142008, МОСКОВСКАЯ ОБЛАСТЬ, Г.О. ДОМОДЕДОВО, Г ДОМОДЕДОВО, МКР. ЮЖНЫЙ, УЛ КУРЫЖОВА, Д. 7, К. 2, КВ. 140</t>
  </si>
  <si>
    <t>ООО ЭДЕМКАР</t>
  </si>
  <si>
    <t>142050, РОССИЯ, МОСКОВСКАЯ ОБЛАСТЬ, Г.О. ДОМОДЕДОВО, Г ДОМОДЕДОВО, МКР. БЕЛЫЕ СТОЛБЫ, ТЕР СКЛАДЫ 104, СТР. 4, ПОМЕЩ. 1.07</t>
  </si>
  <si>
    <t>ООО РУЛЕКС</t>
  </si>
  <si>
    <t>142062, РОССИЯ, МОСКОВСКАЯ ОБЛАСТЬ, Г.О. ДОМОДЕДОВО, Д КУПЧИНИНО, СТР. 60/1, ОФИС 9</t>
  </si>
  <si>
    <t>ООО СД МСК</t>
  </si>
  <si>
    <t>142073, РОССИЯ, МОСКОВСКАЯ ОБЛАСТЬ, Г.О. ДОМОДЕДОВО, Г ДОМОДЕДОВО, МКР. ВОСТРЯКОВО, ТЕР КП БОР, Д. 162</t>
  </si>
  <si>
    <t>ИП ШЕВЦОВ ВИТАЛИЙ АЛЕКСАНДРОВИЧ</t>
  </si>
  <si>
    <t>ООО КОМПАС-АВТО</t>
  </si>
  <si>
    <t>141981, МОСКОВСКАЯ ОБЛАСТЬ, Г ДУБНА, ПР-КТ БОГОЛЮБОВА, Д. 29, СТР. 2, ОФИС 3</t>
  </si>
  <si>
    <t>ООО РТП</t>
  </si>
  <si>
    <t>140326, МОСКОВСКАЯ ОБЛАСТЬ, Г ЕГОРЬЕВСК, С ЛЕЛЕЧИ, СТР. 61Б</t>
  </si>
  <si>
    <t>ООО МАСШТАБ-СЕРВИС</t>
  </si>
  <si>
    <t>140300, МОСКОВСКАЯ ОБЛАСТЬ, Г ЕГОРЬЕВСК, УЛ РАЗДОЛЬНАЯ, Д. 4</t>
  </si>
  <si>
    <t>ООО ТЕХНОПЛЮС</t>
  </si>
  <si>
    <t>140008, МОСКОВСКАЯ ОБЛАСТЬ, Г ЛЮБЕРЦЫ, УЛ 3-Е ПОЧТОВОЕ ОТДЕЛЕНИЕ, Д. 54А, ОФИС 4</t>
  </si>
  <si>
    <t>ИП ВАСИЛЬКОВА АЛИСА ВАЛЕРЬЕВНА</t>
  </si>
  <si>
    <t>ИП КОРОЛЁВ ИЛЬЯ АСАТИЛЛАЕВИЧ</t>
  </si>
  <si>
    <t>ИП ШАФИКОВ ДЕНИС СЕРГЕЕВИЧ</t>
  </si>
  <si>
    <t>ООО АВТОКАР</t>
  </si>
  <si>
    <t>142718, МОСКОВСКАЯ ОБЛАСТЬ, Г ВИДНОЕ, П БИТЦА, УЛ НАГОРНАЯ, СТРОЕНИЕ 11, ПАВИЛЬОН 2-46А-Б</t>
  </si>
  <si>
    <t>143003, РОССИЯ, МОСКОВСКАЯ ОБЛАСТЬ, Г.О. ОДИНЦОВСКИЙ, Г ОДИНЦОВО, УЛ МАРШАЛА ЖУКОВА, Д. 32, ПОМЕЩ. 1, КАБИНЕТ 211</t>
  </si>
  <si>
    <t>ИП ФИЛАТОВА ЕЛЕНА АЛЕКСАНДРОВНА</t>
  </si>
  <si>
    <t>ООО НПП ЖЕСТ</t>
  </si>
  <si>
    <t>143982, МОСКОВСКАЯ ОБЛАСТЬ, Г БАЛАШИХА, УЛ ГИДРОГОРОДОК (КУЧИНО МКР.), Д. 9</t>
  </si>
  <si>
    <t>ИП КАЛИНИНА ТАТЬЯНА ЮРЬЕВНА</t>
  </si>
  <si>
    <t>ООО СМ ТЕХНОЛОДЖИ</t>
  </si>
  <si>
    <t>143960, МОСКОВСКАЯ ОБЛАСТЬ, Г РЕУТОВ, УЛ ФАБРИЧНАЯ, Д. 7, ПОМЕЩ. 13</t>
  </si>
  <si>
    <t>ИП АРТЕМЬЕВА ОЛЬГА АНДРЕЕВНА</t>
  </si>
  <si>
    <t>ООО ГК ПЕТРОЛАБ</t>
  </si>
  <si>
    <t>143930, МОСКОВСКАЯ ОБЛАСТЬ, Г.О. БАЛАШИХА, Г БАЛАШИХА, МКР. САЛТЫКОВКА, Ш НОСОВИХИНСКОЕ, ВЛД. 253, КАБИНЕТ 3 ЭТ. 1</t>
  </si>
  <si>
    <t>ООО БВ</t>
  </si>
  <si>
    <t>143980, РОССИЯ, МОСКОВСКАЯ ОБЛАСТЬ, Г.О. БАЛАШИХА, Г БАЛАШИХА, МКР. ЖЕЛЕЗНОДОРОЖНЫЙ, УЛ ОКТЯБРЬСКАЯ, Д. 33, БЛ. А. ПОМЕЩ. V-13, КОМ. 1Д/7</t>
  </si>
  <si>
    <t>ИП ТАРАСОВ АРТЕМ АЛЕКСАНДРОВИЧ</t>
  </si>
  <si>
    <t>ИП ИСАЕВА НАТАЛЬЯ ВАЛЕРЬЕВНА</t>
  </si>
  <si>
    <t>ИП ЕВДОКИМОВ СЕРГЕЙ АЛЕКСАНДРОВИЧ</t>
  </si>
  <si>
    <t>ИП Хныкин Николай Федорович</t>
  </si>
  <si>
    <t>ООО СТАТУС-КВО</t>
  </si>
  <si>
    <t>143530, МОСКОВСКАЯ ОБЛАСТЬ, Р-Н ИСТРИНСКИЙ, Г ДЕДОВСК, УЛ КРАСНЫЙ ОКТЯБРЬ, Д. 5, К. 1, ЭТАЖ/ПОМЕЩ 1/2</t>
  </si>
  <si>
    <t>ИП ГАВРИЛОВА АННА АЛЕКСЕЕВНА</t>
  </si>
  <si>
    <t>ИП КОСТЕВ АЛЕКСАНДР АНАТОЛЬЕВИЧ</t>
  </si>
  <si>
    <t>ИП РОДИОНОВ ИВАН ВИКТОРОВИЧ</t>
  </si>
  <si>
    <t>ООО АЗ</t>
  </si>
  <si>
    <t>143532, РОССИЯ, МОСКОВСКАЯ ОБЛАСТЬ, М.О. ИСТРА, Г ДЕДОВСК, УЛ 1-Я ВОЛОКОЛАМСКАЯ, ЗД. 74А, ЭТ/ПОМ 2/11</t>
  </si>
  <si>
    <t>ИП АКАТОВА ТАТЬЯНА АЛЕКСЕЕВНА</t>
  </si>
  <si>
    <t>ИП ВЕЛИКИЙ ОЛЕГ СЕРГЕЕВИЧ</t>
  </si>
  <si>
    <t>ООО ТВОЙГАРАЖ.РУ</t>
  </si>
  <si>
    <t>141069, МОСКОВСКАЯ ОБЛАСТЬ, Г КОРОЛЁВ, УЛ ОКТЯБРЬСКАЯ (ПЕРВОМАЙСКИЙ МКР), Д. 6, КВ. 42</t>
  </si>
  <si>
    <t>ООО ВИЛРАЙД</t>
  </si>
  <si>
    <t>141070, РОССИЯ, МОСКОВСКАЯ ОБЛАСТЬ, Г.О. КОРОЛЁВ, Г КОРОЛЁВ, УЛ КАЛИНИНА, Д. 6В, КВ. 49</t>
  </si>
  <si>
    <t>ИП ПАНОВ СЕРГЕЙ ИГОРЕВИЧ</t>
  </si>
  <si>
    <t>ИП ПУПКОВ АЛЕКСАНДР АЛЕКСАНДРОВИЧ</t>
  </si>
  <si>
    <t>ИП Качурин Сергей Вячеславович</t>
  </si>
  <si>
    <t>ИП СЕЛЕЗНЕВ ГЕННАДИЙ СЕМЕНОВИЧ</t>
  </si>
  <si>
    <t>ИП Кузнецов Андрей Константинович</t>
  </si>
  <si>
    <t>ООО УНИВЕРСАЛ-КОЛОМНА ПЛЮС</t>
  </si>
  <si>
    <t>140415, МОСКОВСКАЯ ОБЛАСТЬ, Г. КОЛОМНА, ПР-Д КАНАТНЫЙ, Д.2</t>
  </si>
  <si>
    <t>ИП Чижикова Татьяна Александровна</t>
  </si>
  <si>
    <t>ООО ЮАЛИС</t>
  </si>
  <si>
    <t>140411, МОСКОВСКАЯ ОБЛАСТЬ, Г.О. КОЛОМНА, Г КОЛОМНА, УЛ ЛЕНИНА, Д. 139, ПОМЕЩ. 35/2, ЭТ. 2</t>
  </si>
  <si>
    <t>ИП ФИЛАТОВА ОЛЬГА ЮРЬЕВНА</t>
  </si>
  <si>
    <t>ООО СИГМА-М+</t>
  </si>
  <si>
    <t>140560, РОССИЯ, МОСКОВСКАЯ ОБЛАСТЬ, Г.О. КОЛОМНА, Г ОЗЁРЫ, УЛ ЛЕНИНА, Д. 50</t>
  </si>
  <si>
    <t>ООО ПРОФИС</t>
  </si>
  <si>
    <t>140411, РОССИЯ, МОСКОВСКАЯ ОБЛАСТЬ, Г.О. КОЛОМНА, Г КОЛОМНА, ПРОЕЗД ОЗЕРСКИЙ, Д. 1</t>
  </si>
  <si>
    <t>ИП ИНЧИН АЛЕКСЕЙ ВЛАДИМИРОВИЧ</t>
  </si>
  <si>
    <t>ИП Бродский Тимур Анатольевич</t>
  </si>
  <si>
    <t>ИП ГОРБУНОВ КОНСТАНТИН ЭДУАРДОВИЧ</t>
  </si>
  <si>
    <t>ИП ЛЕВИЦКИЙ ДМИТРИЙ ДМИТРИЕВИЧ</t>
  </si>
  <si>
    <t>ИП РУИН ВАДИМ МИХАЙЛОВИЧ</t>
  </si>
  <si>
    <t>ИП ПОНОМАРЕВ ЕВГЕНИЙ АЛЕКСАНДРОВИЧ</t>
  </si>
  <si>
    <t>ООО ИНТОП-ЮГ</t>
  </si>
  <si>
    <t>140560, МОСКОВСКАЯ ОБЛАСТЬ, Г. КОЛОМНА, Г ОЗЁРЫ, УЛ КОЛЛЕКТИВНАЯ, Д. 1Е, СТР АЗС</t>
  </si>
  <si>
    <t>ООО МЭЙДЖОР АВТО РИГА</t>
  </si>
  <si>
    <t>143420, МОСКОВСКАЯ ОБЛАСТЬ, Г КРАСНОГОРСК, Д МИХАЛКОВО, ТЕР АВТОДОРОГА БАЛТИЯ, Д. 25 КМ ТСК АВТ PEUGEOT, ЛИТЕР 9Б, ЭТАЖ 1ПОМ1КАБ1</t>
  </si>
  <si>
    <t>ООО АВТОГАЛЛИЯ</t>
  </si>
  <si>
    <t>143968, МОСКОВСКАЯ ОБЛАСТЬ, Г РЕУТОВ, УЛ МКАД 2 КМ, Д. 7, ПОМЕЩ. 17</t>
  </si>
  <si>
    <t>ООО АВТО СИТИ</t>
  </si>
  <si>
    <t>143420, МОСКОВСКАЯ ОБЛАСТЬ, Г КРАСНОГОРСК, Д МИХАЛКОВО, ТЕР АВТОДОРОГА БАЛТИЯ, Д. 25 КМ ТСК, ЛИТЕР 1Б, ЭТАЖ ЦОКПОМ1КАБ94</t>
  </si>
  <si>
    <t>ООО ГИДРОСКЛАД</t>
  </si>
  <si>
    <t>РОССИЯ, МОСКОВСКАЯ ОБЛАСТЬ, Г.О. КРАСНОГОРСК, Д ГОЛЬЕВО, УЛ ЦЕНТРАЛЬНАЯ, Д. 3Д</t>
  </si>
  <si>
    <t>ООО МИК</t>
  </si>
  <si>
    <t>143432, МОСКОВСКАЯ ОБЛАСТЬ, Г КРАСНОГОРСК, ПГТ НАХАБИНО, УЛ ЧКАЛОВА, Д. 7, ПОМЕЩ. CXXI,ОФИС 11</t>
  </si>
  <si>
    <t>ООО РЕСИСТАНТ</t>
  </si>
  <si>
    <t>143405, МОСКОВСКАЯ ОБЛАСТЬ, Г.О. КРАСНОГОРСК, Г КРАСНОГОРСК, УЛ ПАВШИНО В/Г, Д. 17, ПОМЕЩ. 24</t>
  </si>
  <si>
    <t>ООО КРАСНОГОРСКИЙ АВТОЦЕНТР КАМАЗ</t>
  </si>
  <si>
    <t>143405, РОССИЯ, МОСКОВСКАЯ ОБЛАСТЬ, Г.О. КРАСНОГОРСК, Г КРАСНОГОРСК, УЛ СТРОИТЕЛЬНАЯ, Д. 2</t>
  </si>
  <si>
    <t>ООО ИНТЕР ТАЙМ</t>
  </si>
  <si>
    <t>143422, РОССИЯ, МОСКОВСКАЯ ОБЛАСТЬ, Г.О. КРАСНОГОРСК, С ПЕТРОВО-ДАЛЬНЕЕ, УЛ ПРОМЫШЛЕННАЯ, Д. 3, СТР. 7, ЭТАЖ/КАБИНЕТ 1/11</t>
  </si>
  <si>
    <t>ООО ФАСТ РАША</t>
  </si>
  <si>
    <t>143440, РОССИЯ, МОСКОВСКАЯ ОБЛАСТЬ, Г.О. КРАСНОГОРСК, ПГТ. ПУТИЛКОВО, ТЕР. ГРИНВУД, СТР. 19, ПОМЕЩ. 25-2</t>
  </si>
  <si>
    <t>ООО ЛИДЕРАВТОТЕХ</t>
  </si>
  <si>
    <t>143440, РОССИЯ, МОСКОВСКАЯ ОБЛАСТЬ, Г.О. КРАСНОГОРСК, ПГТ. ПУТИЛКОВО, ТЕР. ГРИНВУД, СТР. 25, ЭТАЖ 2, ПОМЕЩ. 56</t>
  </si>
  <si>
    <t>ИП МИХАЙЛОВ НИКОЛАЙ НИКОЛАЕВИЧ</t>
  </si>
  <si>
    <t>ИП КУСКОВ АЛЕКСЕЙ КОНСТАНТИНОВИЧ</t>
  </si>
  <si>
    <t>ИП ФОМКИН ПАВЕЛ АЛЕКСЕЕВИЧ</t>
  </si>
  <si>
    <t>ИП МАЛЕНОВ СЕРГЕЙ ВЛАДИМИРОВИЧ</t>
  </si>
  <si>
    <t>ИП НАУМОВ ДМИТРИЙ ЕВГЕНЬЕВИЧ</t>
  </si>
  <si>
    <t>ИП ШИПИЛОВ ВЛАДИМИР БОРИСОВИЧ</t>
  </si>
  <si>
    <t>ИП ГОДЕНКОВА ЕЛЕНА ЮРЬЕВНА</t>
  </si>
  <si>
    <t>ООО СКАН-ЮГО-ВОСТОК</t>
  </si>
  <si>
    <t>140011, МОСКОВСКАЯ ОБЛАСТЬ, Г ЛЮБЕРЦЫ, УЛ ШОССЕЙНАЯ, Д. 42А, ЛИТЕРА Л, ПОМЕЩЕНИЕ 7</t>
  </si>
  <si>
    <t>ООО  КОНСУЛ</t>
  </si>
  <si>
    <t>РОССИЯ, МОСКОВСКАЯ ОБЛАСТЬ, Г.О. МЫТИЩИ, П НАГОРНОЕ, Ш ЛИПКИНСКОЕ, СТР. 1Б</t>
  </si>
  <si>
    <t>ИП ЕСИПОВ АРТЕМ СЕРГЕЕВИЧ</t>
  </si>
  <si>
    <t>ООО МОСОБЛТОРГ</t>
  </si>
  <si>
    <t>140000, МОСКОВСКАЯ ОБЛАСТЬ, Г.О. ЛЮБЕРЦЫ, Г ЛЮБЕРЦЫ, УЛ КРАСНАЯ, Д. 1, ПОМЕЩ. 72 ЭТАЖ 7, КОМ. 3</t>
  </si>
  <si>
    <t>ООО РУСКОМПЛЕКТСНАБ</t>
  </si>
  <si>
    <t>140072, МОСКОВСКАЯ ОБЛАСТЬ, Г ЛЮБЕРЦЫ, ПГТ ТОМИЛИНО, УЛ ПУШКИНА, Д. 15, 1</t>
  </si>
  <si>
    <t>ИП РОМАНОВ НИКОЛАЙ СЕРГЕЕВИЧ</t>
  </si>
  <si>
    <t>ИП ГУСЕВ МАКСИМ НИКОЛАЕВИЧ</t>
  </si>
  <si>
    <t>ИП ЖУРАВЛЕВА АННА РОМАНОВНА</t>
  </si>
  <si>
    <t>ИП СМИРНОВА ЕКАТЕРИНА СЕРГЕЕВНА</t>
  </si>
  <si>
    <t>ООО ЗАЛЬДА СГС</t>
  </si>
  <si>
    <t>143982, МОСКОВСКАЯ ОБЛАСТЬ, Г БАЛАШИХА, УЛ ГИДРОГОРОДОК (КУЧИНО МКР.), Д.9</t>
  </si>
  <si>
    <t>ООО ТД ЛАКИРИС</t>
  </si>
  <si>
    <t>143981, МОСКОВСКАЯ ОБЛАСТЬ, Г.О. БАЛАШИХА, Г БАЛАШИХА, МКР. КУЧИНО, УЛ РЕЧНАЯ, ВЛД. 2</t>
  </si>
  <si>
    <t>ООО КАЛАМБУС</t>
  </si>
  <si>
    <t>143914, МОСКОВСКАЯ ОБЛАСТЬ, Г РЕУТОВ, УЛ ТРАНСПОРТНАЯ, Д. 1Г</t>
  </si>
  <si>
    <t>ООО КАРАЛЬЯНС</t>
  </si>
  <si>
    <t>143962, МОСКОВСКАЯ ОБЛАСТЬ, Г.О. РЕУТОВ, Г РЕУТОВ, Ш НОСОВИХИНСКОЕ, Д. 33А, ПОМЕЩ. 17</t>
  </si>
  <si>
    <t>ИП ПОПОВ ПАВЕЛ ДМИТРИЕВИЧ</t>
  </si>
  <si>
    <t>ИП АНДРИАНОВ МИХАИЛ АЛЕКСАНДРОВИЧ</t>
  </si>
  <si>
    <t>ООО ЛЕГИОН АУТО ПАРТС</t>
  </si>
  <si>
    <t>140180, МОСКОВСКАЯ ОБЛАСТЬ, Г ЖУКОВСКИЙ, УЛ ГАГАРИНА, Д.2, 93</t>
  </si>
  <si>
    <t>ИП ДЕНЕЖКИН НИКОЛАЙ СЕРГЕЕВИЧ</t>
  </si>
  <si>
    <t>ООО СИСТЕМА-МТ</t>
  </si>
  <si>
    <t>143090, МОСКОВСКАЯ ОБЛАСТЬ, Г КРАСНОЗНАМЕНСК, УЛ ПОБЕДЫ, Д. 1А/1, ОФИС 9</t>
  </si>
  <si>
    <t>ИП ГОРЛОВА ЕКАТЕРИНА НИКОЛАЕВНА</t>
  </si>
  <si>
    <t>ИП КРУСИЯН АЛЕКСАНДРА МИХАЙЛОВНА</t>
  </si>
  <si>
    <t>ЧАСТНОЕ УЧРЕЖДЕНИЕ САД БУДУЩЕГО</t>
  </si>
  <si>
    <t>143560, МОСКОВСКАЯ ОБЛАСТЬ, Р-Н ИСТРИНСКИЙ, П ХУТОРКИ, С/ПОС.ЯДРОМИНСКОЕ, О.К. СТАНКОСТРОИТЕЛЬ</t>
  </si>
  <si>
    <t>ИП САВЕЛЬЕВ ПАВЕЛ НИКОЛАЕВИЧ</t>
  </si>
  <si>
    <t>ООО ФИРМА ПЕТРОЛЕУМ</t>
  </si>
  <si>
    <t>141076, МОСКОВСКАЯ ОБЛАСТЬ, Г КОРОЛЁВ, УЛ КАЛИНИНГРАДСКАЯ, Д.22</t>
  </si>
  <si>
    <t>ИП ЖИЛЬЦОВА ЛЮДМИЛА ВАСИЛЬЕВНА</t>
  </si>
  <si>
    <t>ООО МАРСАВТО</t>
  </si>
  <si>
    <t>141076, МОСКОВСКАЯ ОБЛАСТЬ, Г КОРОЛЁВ, ПР-Д КАЛИНИНГРАДСКИЙ, Д. 1</t>
  </si>
  <si>
    <t>ООО КЛЕВЕР ПЛЮС</t>
  </si>
  <si>
    <t>141076, МОСКОВСКАЯ ОБЛАСТЬ, Г КОРОЛЁВ, УЛ КАЛИНИНГРАДСКАЯ, Д. 12, ЛИТЕРА А126А КОМНАТА 2</t>
  </si>
  <si>
    <t>141080, РОССИЯ, МОСКОВСКАЯ ОБЛАСТЬ, Г.О. КОРОЛЁВ, Г КОРОЛЁВ, УЛ КАЛИНИНГРАДСКАЯ, Д. 6, КВ. 131</t>
  </si>
  <si>
    <t>ООО ФЬЮЖИН</t>
  </si>
  <si>
    <t>141069, РОССИЯ, МОСКОВСКАЯ ОБЛАСТЬ, Г.О. КОРОЛЁВ, Г КОРОЛЁВ, МКР ПЕРВОМАЙСКИЙ, УЛ НАРОДНАЯ, Д. 23</t>
  </si>
  <si>
    <t>ИП КОЛЮПАНОВ МИХАИЛ ГЕННАДЬЕВИЧ</t>
  </si>
  <si>
    <t>ИП ДОВЫДЕНКО АНТОН МИХАЙЛОВИЧ</t>
  </si>
  <si>
    <t>ИП Дунец Екатерина Андреевна</t>
  </si>
  <si>
    <t>ИП БАЗДЕРКИН МАТВЕЙ АЛЕКСАНДРОВИЧ</t>
  </si>
  <si>
    <t>ИП ЕМЕЛЬЯНОВ ПАВЕЛ ЮРЬЕВИЧ</t>
  </si>
  <si>
    <t>ООО ХАМЕЛЕОН</t>
  </si>
  <si>
    <t>142180, МОСКОВСКАЯ ОБЛАСТЬ, Г.О. ПОДОЛЬСК, Г ПОДОЛЬСК, МКР. КЛИМОВСК, ПРОЕЗД ФАБРИЧНЫЙ, Д. 4, СТР. 4, ПОМЕЩ. 1, КАБИНЕТ 90</t>
  </si>
  <si>
    <t>ООО ПОЛИМЕР-К</t>
  </si>
  <si>
    <t>142106, МОСКОВСКАЯ ОБЛАСТЬ, Г ПОДОЛЬСК, ПР-КТ ЛЕНИНА, Д.98/9</t>
  </si>
  <si>
    <t>АО ТЕХНОФОРМ</t>
  </si>
  <si>
    <t>142181, МОСКОВСКАЯ ОБЛАСТЬ, Г.О. ПОДОЛЬСК, Г ПОДОЛЬСК, МКР. КЛИМОВСК, ПРОЕЗД АКАДЕМИЧЕСКИЙ, Д. 5, ПОМЕЩ. 1</t>
  </si>
  <si>
    <t>ИП ЮПАТОВ КОНСТАНТИН ПЕТРОВИЧ</t>
  </si>
  <si>
    <t>ИП Козлов Константин Владимирович</t>
  </si>
  <si>
    <t>ИП БЕЗУС АНДРЕЙ ВАСИЛЬЕВИЧ</t>
  </si>
  <si>
    <t>ИП ПЕРВАКОВ АЛЕКСАНДР НИКОЛАЕВИЧ</t>
  </si>
  <si>
    <t>ИП СПРЫГИН АЛЕКСАНДР ПЕТРОВИЧ</t>
  </si>
  <si>
    <t>ИП КОНДАКОВА МАРИАННА АНАТОЛЬЕВНА</t>
  </si>
  <si>
    <t>ИП ПЕРВАКОВА ЕКАТЕРИНА ОЛЕГОВНА</t>
  </si>
  <si>
    <t>ООО УК НОВЫЕ РЕШЕНИЯ</t>
  </si>
  <si>
    <t>140571, РОССИЯ, МОСКОВСКАЯ ОБЛАСТЬ, Г.О. КОЛОМНА, С ПОЛУРЯДИНКИ, УЛ ОЗЕРСКАЯ, Д. 15А, ЭТАЖ 1, КОМ. 19</t>
  </si>
  <si>
    <t>ООО ПАВ-АСТ</t>
  </si>
  <si>
    <t>140402, РОССИЯ, МОСКОВСКАЯ ОБЛАСТЬ, Г.О. КОЛОМНА, Г КОЛОМНА, УЛ СУВОРОВА, Д. 4, КВ. 27</t>
  </si>
  <si>
    <t>ООО АТИКА</t>
  </si>
  <si>
    <t>140479, РОССИЯ, МОСКОВСКАЯ ОБЛАСТЬ, Г.О. КОЛОМНА, С ГОРОДЕЦ, КВ-Л 0020101, Д. 33, ОФИС 1</t>
  </si>
  <si>
    <t>ИП УЗБЕКОВ АЛЕКСАНДР РОМАНОВИЧ</t>
  </si>
  <si>
    <t>ИП СКРИПКА ЮЛИЯ СЕРГЕЕВНА</t>
  </si>
  <si>
    <t>ИП ВОЛЧЕНКО ЯРОСЛАВ ВЛАДИМИРОВИЧ</t>
  </si>
  <si>
    <t>ИП ШЕИН АНДРЕЙ ВЯЧЕСЛАВОВИЧ</t>
  </si>
  <si>
    <t>ИП Патеева Екатерина Викторовна</t>
  </si>
  <si>
    <t>ООО АЛЬЯНС ДЕВЕЛОПМЕНТ</t>
  </si>
  <si>
    <t>143405, МОСКОВСКАЯ ОБЛАСТЬ, Г КРАСНОГОРСК, Ш ИЛЬИНСКОЕ, Д. 1А, ПОМЕЩ 38/2 ОФИС 04</t>
  </si>
  <si>
    <t>143402, МОСКОВСКАЯ ОБЛАСТЬ, Г КРАСНОГОРСК, Ш ВОЛОКОЛАМСКОЕ, КИЛОМЕТР 20</t>
  </si>
  <si>
    <t>ООО ЭМВЭ АГУСТА МОТОР РУС</t>
  </si>
  <si>
    <t>143420, МОСКОВСКАЯ ОБЛАСТЬ, Г КРАСНОГОРСК, Д МИХАЛКОВО, ТЕР АВТОДОРОГА БАЛТИЯ, Д. 25 КМ ЗДАНИЕ МОТЕЛЯ, ЛИТЕРА А2, ПОМЕЩ. 1,К.3-10,53-55, ЭТ.1</t>
  </si>
  <si>
    <t>ООО ТРАКТОР-ПАРТС</t>
  </si>
  <si>
    <t>143402, МОСКОВСКАЯ ОБЛАСТЬ, Г КРАСНОГОРСК, УЛ РЕЧНАЯ, Д. 6, ПОМЕЩ. 1</t>
  </si>
  <si>
    <t>ООО ЛОСЕН ТЕХНОЛОГИЯ</t>
  </si>
  <si>
    <t>143440, РОССИЯ, МОСКОВСКАЯ ОБЛАСТЬ, Г.О. КРАСНОГОРСК, ПГТ. ПУТИЛКОВО, ТЕР. ГРИНВУД, СТР. 23, ЭТАЖ 4, ПОМЕЩ. 255</t>
  </si>
  <si>
    <t>ООО ВДЛФ</t>
  </si>
  <si>
    <t>143440, РОССИЯ, МОСКОВСКАЯ ОБЛАСТЬ, Г.О. КРАСНОГОРСК, ПГТ. ПУТИЛКОВО, ТЕР. ГРИНВУД, СТР. 23, ПОМЕЩ. 211</t>
  </si>
  <si>
    <t>ИП ЦИНДЕЛИАНИ ТЕНГИЗ ШАМШИЕВИЧ</t>
  </si>
  <si>
    <t>ООО МАСКОМСЕРВИС</t>
  </si>
  <si>
    <t>140082, МОСКОВСКАЯ ОБЛАСТЬ, Г ЛЫТКАРИНО, МКР 5 КВАРТАЛ 1, Д. 3 А, ОФИС 111</t>
  </si>
  <si>
    <t>ИП ЦИБИКОВ РОМАН МИХАЙЛОВИЧ</t>
  </si>
  <si>
    <t>ИП ЛЕТОШНЕВА АННА ВЛАДИМИРОВНА</t>
  </si>
  <si>
    <t>ИП ПРОХОРОВ ИВАН ЕВГЕНЬЕВИЧ</t>
  </si>
  <si>
    <t>ИП Баркарь Ирина Андреевна</t>
  </si>
  <si>
    <t>ООО ЮДИКС</t>
  </si>
  <si>
    <t>141802, МОСКОВСКАЯ ОБЛАСТЬ, Г ДМИТРОВ, УЛ ПИОНЕРСКАЯ, Д. 2, ПОМЕЩ. 12</t>
  </si>
  <si>
    <t>ООО ТОП САНИТ</t>
  </si>
  <si>
    <t>143981, МОСКОВСКАЯ ОБЛАСТЬ, Г.О. БАЛАШИХА, Г БАЛАШИХА, МКР. КУЧИНО, УЛ РЕЧНАЯ, ВЛД. 2, ЛИТ. В2, ОФИС 4</t>
  </si>
  <si>
    <t>ООО ТРАНСМАСТЕР ЮНИВЕРСАЛ</t>
  </si>
  <si>
    <t>143981, МОСКОВСКАЯ ОБЛАСТЬ, Г БАЛАШИХА, УЛ ЮЖНАЯ (КУЧИНО МКР.), Д. 9, ЭТ 1 ПОМ 44</t>
  </si>
  <si>
    <t>ООО ТД ОЙЛ</t>
  </si>
  <si>
    <t>143981, РОССИЯ, МОСКОВСКАЯ ОБЛАСТЬ, Г.О. БАЛАШИХА, Г БАЛАШИХА, МКР. КУЧИНО, УЛ ЦЕНТРАЛЬНАЯ, ВЛД. 110, ОФИС 17</t>
  </si>
  <si>
    <t>ИП ПОЛЯКОВА ИННА СТАНИСЛАВОВНА</t>
  </si>
  <si>
    <t>ИП ШАХНАЗАРЯН КОРЮН АРТАКОВИЧ</t>
  </si>
  <si>
    <t>ИП СЕРЕДА СВЕТЛАНА БОРИСОВНА</t>
  </si>
  <si>
    <t>ООО АХК</t>
  </si>
  <si>
    <t>140181, МОСКОВСКАЯ ОБЛАСТЬ, Г ЖУКОВСКИЙ, УЛ ЧКАЛОВА, Д. 40, ПОМЕЩ. 33</t>
  </si>
  <si>
    <t>ИП ИВАНОВА ЛИЛИЯ СЕРГЕЕВНА</t>
  </si>
  <si>
    <t>ИП ГАРЬКАВЫЙ СЕРГЕЙ ЕВГЕНЬЕВИЧ</t>
  </si>
  <si>
    <t>ОООРЕНИССАНС-ЗАПАД</t>
  </si>
  <si>
    <t>143025, МОСКОВСКАЯ ОБЛАСТЬ, Г.О. ОДИНЦОВСКИЙ, С НЕМЧИНОВКА, УЛ МОСКОВСКАЯ, ВЛД. 14 И 63, ПАВ. ЮГ 1/41</t>
  </si>
  <si>
    <t>ООО ИНТЕНС</t>
  </si>
  <si>
    <t>141282, МОСКОВСКАЯ ОБЛАСТЬ, Г ПУШКИНО, Г ИВАНТЕЕВКА, УЛ НОВАЯ СЛОБОДА, Д. 3, ПОМЕЩЕНИЕ 003</t>
  </si>
  <si>
    <t>ИП ПЕНЗИН ЕВГЕНИЙ ОЛЕГОВИЧ</t>
  </si>
  <si>
    <t>ИП КУДРЯШОВ ДМИТРИЙ МИХАЙЛОВИЧ</t>
  </si>
  <si>
    <t>ИП Глачаев Александр Викторович</t>
  </si>
  <si>
    <t>ООО АУХА</t>
  </si>
  <si>
    <t>143500, МОСКОВСКАЯ ОБЛАСТЬ, Г ИСТРА, УЛ СОВЕТСКАЯ, Д. 39А</t>
  </si>
  <si>
    <t>ИП КЛИМОВА ЕЛЕНА ВИКТОРОВНА</t>
  </si>
  <si>
    <t>ИП АЛЕКСЕЕВ ИЛЬЯ АЛЕКСЕЕВИЧ</t>
  </si>
  <si>
    <t>ООО СЕБАС-С</t>
  </si>
  <si>
    <t>143560, МОСКОВСКАЯ ОБЛАСТЬ, Г ИСТРА, П РУМЯНЦЕВО, УЛ ЛЕСНАЯ, Д. 7</t>
  </si>
  <si>
    <t>ИП ВОЖЕГОВ ПАВЕЛ ВЛАДИМИРОВИЧ</t>
  </si>
  <si>
    <t>ИП НИКИФОРОВ НИКОЛАЙ ЕВГЕНЬЕВИЧ</t>
  </si>
  <si>
    <t>ООО АРС И К</t>
  </si>
  <si>
    <t>143500, МОСКОВСКАЯ ОБЛАСТЬ, Г ИСТРА, УЛ ЮБИЛЕЙНАЯ, Д. 6</t>
  </si>
  <si>
    <t>ИП ВОЖЕГОВА АНАСТАСИЯ АЛЕКСАНДРОВНА</t>
  </si>
  <si>
    <t>АНО ЦЕНТР РАЗВИТИЯ КУЛЬТУРЫ, СПОРТА И РЕАЛИЗАЦИИ ОБЩЕСТВЕННЫХ ПРОЕКТОВ ЛЕСНОЙ</t>
  </si>
  <si>
    <t>143522, МОСКОВСКАЯ ОБЛАСТЬ, Г ИСТРА, Д НОВОДАРЬИНО, ТЕР ЛЕСНОЙ</t>
  </si>
  <si>
    <t>ООО РЕМИКС</t>
  </si>
  <si>
    <t>143517, МОСКОВСКАЯ ОБЛАСТЬ, Г ИСТРА, Д ДЕДЁШИНО, УЛ МИРА, Д. 33</t>
  </si>
  <si>
    <t>ИП НИКОЛАЕВ ГЕННАДИЙ АЛЕКСАНДРОВИЧ</t>
  </si>
  <si>
    <t>ИП Львов Владимир Александрович</t>
  </si>
  <si>
    <t>ООО РЕМОБИН</t>
  </si>
  <si>
    <t>141074, МОСКОВСКАЯ ОБЛАСТЬ, Г КОРОЛЁВ, УЛ ПИОНЕРСКАЯ, Д.16</t>
  </si>
  <si>
    <t>ИП КОНЫШЕВ ИЛЬЯ ВАЛЕРЬЕВИЧ</t>
  </si>
  <si>
    <t>ИП ЖУКОВ ПАВЕЛ АЛЕКСАНДРОВИЧ</t>
  </si>
  <si>
    <t>ИП ЛЯХ АЛЕКСАНДР АЛЕКСАНДРОВИЧ</t>
  </si>
  <si>
    <t>ИП Магомедов Замир Абдулазизович</t>
  </si>
  <si>
    <t>ООО МОТОТЕХ СЕРВИС</t>
  </si>
  <si>
    <t>141301, МОСКОВСКАЯ ОБЛАСТЬ, Г. СЕРГИЕВ ПОСАД, Ш НОВОУГЛИЧСКОЕ, Д. 75, ПОМЕЩ. 1</t>
  </si>
  <si>
    <t>ООО ДЖЕДИП-АВТО</t>
  </si>
  <si>
    <t>141076, МОСКОВСКАЯ ОБЛАСТЬ, Г КОРОЛЁВ, УЛ МИЧУРИНА, Д. 21 А, ПОМЕЩ. VI КОМНАТА 4</t>
  </si>
  <si>
    <t>ООО БОКСПАРТ</t>
  </si>
  <si>
    <t>141079, МОСКОВСКАЯ ОБЛАСТЬ, Г КОРОЛЁВ, УЛ ГАГАРИНА, Д.26А, ОФИС 14</t>
  </si>
  <si>
    <t>141080, МОСКОВСКАЯ ОБЛАСТЬ, Г.О. КОРОЛЁВ, Г КОРОЛЁВ, ПР-КТ КОСМОНАВТОВ, Д. 27, ПОМЕЩ. V, КОМ. 6-1</t>
  </si>
  <si>
    <t>ООО АВТОКОРС</t>
  </si>
  <si>
    <t>141076, МОСКОВСКАЯ ОБЛАСТЬ, Г КОРОЛЁВ, ПР-Д КАНАЛЬНЫЙ, Д. 9, ПОМЕЩ. 2</t>
  </si>
  <si>
    <t>ООО БИАРМС</t>
  </si>
  <si>
    <t>141080, РОССИЯ, МОСКОВСКАЯ ОБЛАСТЬ, Г.О. КОРОЛЁВ, Г КОРОЛЁВ, УЛ АКАДЕМИКА ЛЕГОСТАЕВА, Д. 2, КОМ. 26</t>
  </si>
  <si>
    <t>ООО АВТОДОКА</t>
  </si>
  <si>
    <t>МОСКОВСКАЯ ОБЛАСТЬ, Г.О. КАШИРА, Г КАШИРА, ТЕР. ПРОИЗВОДСТВЕННАЯ 118, Д. 2</t>
  </si>
  <si>
    <t>ООО ГЕРМЕТИКОН</t>
  </si>
  <si>
    <t>142917, МОСКОВСКАЯ ОБЛАСТЬ, Г.О. КАШИРА, Д БАРАБАНОВО, УЛ СТРОИТЕЛЬНАЯ, Д. 6А</t>
  </si>
  <si>
    <t>ИП ПЛАТОНОВ СЕРГЕЙ ЮРЬЕВИЧ</t>
  </si>
  <si>
    <t>ИП ЕВСЕЕВА ЮЛИЯ МАКСИМОВНА</t>
  </si>
  <si>
    <t>ИП Кузьминых Михаил Александрович</t>
  </si>
  <si>
    <t>ГБСУСО МО ПАНСИОНАТ КЛИНСКИЙ</t>
  </si>
  <si>
    <t>141613, МОСКОВСКАЯ ОБЛАСТЬ, Г.О. КЛИН, Г КЛИН, УЛ СПОРТИВНАЯ, Д. 7</t>
  </si>
  <si>
    <t>ИП РЕВИНСКАЯ ОКСАНА АЛЕКСАНДРОВНА</t>
  </si>
  <si>
    <t>ИП МАКАРОВ ЕВГЕНИЙ ЕВГЕНЬЕВИЧ</t>
  </si>
  <si>
    <t>ИП КАМЕНЩИКОВ ВЛАДИМИР ВИТАЛЬЕВИЧ</t>
  </si>
  <si>
    <t>ООО ГРАН</t>
  </si>
  <si>
    <t>142184, МОСКОВСКАЯ ОБЛАСТЬ, Г ПОДОЛЬСК, УЛ МОСКОВСКАЯ (КЛИМОВСК МКР.), Д. 14</t>
  </si>
  <si>
    <t>ИП ИВАНОВ СЕРГЕЙ ЮРЬЕВИЧ</t>
  </si>
  <si>
    <t>ИП Царев Сергей Николаевич</t>
  </si>
  <si>
    <t>ООО ТД ЮНИОН</t>
  </si>
  <si>
    <t>140415, РОССИЯ, МОСКОВСКАЯ ОБЛАСТЬ, Г.О. КОЛОМНА, Г КОЛОМНА, УЛ УМАНСКАЯ, Д. 3А, ПОМЕЩ. 316</t>
  </si>
  <si>
    <t>ИП Павлик Александр Николаевич</t>
  </si>
  <si>
    <t>ИП МАРЧЕНКОВ АЛЕКСАНДР АЛЕКСАНДРОВИЧ</t>
  </si>
  <si>
    <t>ИП ГРЕМИНА НАТАЛЬЯ ЮРЬЕВНА</t>
  </si>
  <si>
    <t>ИП СТАШКЕВИЧ ЕЛЕНА ВЯЧЕСЛАВОВНА</t>
  </si>
  <si>
    <t>ИП ИКРИНА ИРИНА АЛЕКСАНДРОВНА</t>
  </si>
  <si>
    <t>ИП ЗОЛОТОВ АНТОН ВАДИМОВИЧ</t>
  </si>
  <si>
    <t>ООО ТРАНС АЗС - КРАСНОГОРСК</t>
  </si>
  <si>
    <t>143421, МОСКОВСКАЯ ОБЛАСТЬ, Г КРАСНОГОРСК, КМ 29-Й (АВТОДОРОГА БАЛТИЯ ТЕР.), Д. 29-Й КМ, СТР. 1</t>
  </si>
  <si>
    <t>ООО РАУНД</t>
  </si>
  <si>
    <t>143421, МОСКОВСКАЯ ОБЛАСТЬ, Г КРАСНОГОРСК, П ИНЖЕНЕРНЫЙ 1, Д. 4, СТР. 1</t>
  </si>
  <si>
    <t>ООО АЦ СИТИ</t>
  </si>
  <si>
    <t>143420, МОСКОВСКАЯ ОБЛАСТЬ, Г КРАСНОГОРСК, Д МИХАЛКОВО, ТЕР АВТОДОРОГА БАЛТИЯ, Д. 25 КМ ТСК, ЛИТЕРА 1Б1, ЭТАЖ ЦОК ПОМ 1 КОМН 83</t>
  </si>
  <si>
    <t>ООО АВТО-АВАНГАРД</t>
  </si>
  <si>
    <t>143420, МОСКОВСКАЯ ОБЛАСТЬ, Г КРАСНОГОРСК, Д МИХАЛКОВО, ТЕР АВТОДОРОГА БАЛТИЯ, Д.25 КМ ТОРГОВО-СЕРВИСНЫЙ ЦЕНТР BMW</t>
  </si>
  <si>
    <t>ООО КРАСНОГОРСК МЭЙДЖОР</t>
  </si>
  <si>
    <t>143420, МОСКОВСКАЯ ОБЛАСТЬ, Г КРАСНОГОРСК, Д МИХАЛКОВО, ТЕР АВТОДОРОГА БАЛТИЯ, Д. 25КМ ТСК АВТОС FORD, ЛИТЕР 10Б, ЭТАЖ 1ПОМ1КАБ1</t>
  </si>
  <si>
    <t>ИП ИВАНОВА ЕЛЕНА ВАЛЕРЬЕВНА</t>
  </si>
  <si>
    <t>ИП ВОСТРИКОВ ДМИТРИЙ ЮРЬЕВИЧ</t>
  </si>
  <si>
    <t>ИП БУРЛАКОВ АЛЕКСАНДР ВЛАДИМИРОВИЧ</t>
  </si>
  <si>
    <t>ИП ВАСИЛЬЕВ АЛЕКСАНДР НИКОЛАЕВИЧ</t>
  </si>
  <si>
    <t>ИП СОКОЛОВ ИГОРЬ ЮРЬЕВИЧ</t>
  </si>
  <si>
    <t>ООО МЭЙДЖОР ТРАК ЦЕНТР</t>
  </si>
  <si>
    <t>143420, МОСКОВСКАЯ ОБЛАСТЬ, Г КРАСНОГОРСК, Д МИХАЛКОВО, ТЕР МЭЙДЖОР СИТИ, ЗД. СКЛАДСКОГО КОРПУСА, ЛИТЕР 1Б, ПОМЕЩ. 93</t>
  </si>
  <si>
    <t>ООО ЛГРУ</t>
  </si>
  <si>
    <t>143440, МОСКОВСКАЯ ОБЛАСТЬ, Г.О. КРАСНОГОРСК, ПГТ. ПУТИЛКОВО, ТЕР. ГРИНВУД, СТР. 17</t>
  </si>
  <si>
    <t>ООО ЗУМЛИОН ХЭВИ ИНДУСТРИ РУС</t>
  </si>
  <si>
    <t>143440, МОСКОВСКАЯ ОБЛАСТЬ, Г.О. КРАСНОГОРСК, ПГТ. ПУТИЛКОВО, ТЕР. ГРИНВУД, СТР. 31</t>
  </si>
  <si>
    <t>ООО АВТОСЕРВИС КОРЕАНА</t>
  </si>
  <si>
    <t>143402, МОСКОВСКАЯ ОБЛАСТЬ, Г КРАСНОГОРСК, УЛ ПОЧТОВАЯ, Д. 62/1, ПОМЕЩ. 1</t>
  </si>
  <si>
    <t>ООО АГРОКАРГО</t>
  </si>
  <si>
    <t>143440, РОССИЯ, МОСКОВСКАЯ ОБЛАСТЬ, Г.О. КРАСНОГОРСК, ПГТ. ПУТИЛКОВО, ТЕР. ГРИНВУД, СТР. 9, ПОМЕЩ. 237</t>
  </si>
  <si>
    <t>ООО БИСИДИ-ТАЙЕР</t>
  </si>
  <si>
    <t>143422, МОСКОВСКАЯ ОБЛАСТЬ, Г КРАСНОГОРСК, С ПЕТРОВО-ДАЛЬНЕЕ, УЛ ПРОМЫШЛЕННАЯ, ВЛД. 1, СТР. 1, ОФИС 2</t>
  </si>
  <si>
    <t>ООО МАЗ-ЗАПЧАСТЬ</t>
  </si>
  <si>
    <t>143440, РОССИЯ, МОСКОВСКАЯ ОБЛАСТЬ, Г.О. КРАСНОГОРСК, ПГТ. ПУТИЛКОВО, ТЕР. ГРИНВУД, СТР. 31, ПОМЕЩ. 25</t>
  </si>
  <si>
    <t>ООО ЮН-ХО РАША</t>
  </si>
  <si>
    <t>ООО АЛЬЯНС-КАПИТАЛ</t>
  </si>
  <si>
    <t>141730, МОСКОВСКАЯ ОБЛАСТЬ, Г ЛОБНЯ, УЛ МАЯКОВСКОГО, Д. 10, КВ. 85</t>
  </si>
  <si>
    <t>ИП ЦИНДЕЛИАНИ МАРИЯ СЕРГЕЕВНА</t>
  </si>
  <si>
    <t>ООО ЛП ГРУПП</t>
  </si>
  <si>
    <t>141732, МОСКОВСКАЯ ОБЛАСТЬ, Г ЛОБНЯ, Ш БУКИНСКОЕ, Д. 41, ПОМЕЩ. 7, ЭТАЖ 1</t>
  </si>
  <si>
    <t>ИП СМИРНОВ ДМИТРИЙ ЮРЬЕВИЧ</t>
  </si>
  <si>
    <t>ИП БОРИСКОВ АНДРЕЙ АЛЕКСАНДРОВИЧ</t>
  </si>
  <si>
    <t>ООО НОВЫЕ РЕШЕНИЯ</t>
  </si>
  <si>
    <t>143909, МОСКОВСКАЯ ОБЛАСТЬ, Г.О. БАЛАШИХА, Г БАЛАШИХА, УЛ ЗВЕЗДНАЯ, Д. 7Б, ПОМЕЩ. 521</t>
  </si>
  <si>
    <t>ИП АКИМОВА АЛЕНА АЛЕКСЕЕВНА</t>
  </si>
  <si>
    <t>ИП ВЕЛЬКИН СЕРГЕЙ СЕРГЕЕВИЧ</t>
  </si>
  <si>
    <t>ИП ЗАБЕГАЛИН АНАТОЛИЙ ИВАНОВИЧ</t>
  </si>
  <si>
    <t>ИП МАРТИРОСЯН АЙКАВАРД СЕРЁЖАЕВНА</t>
  </si>
  <si>
    <t>ООО ИНСТИТУТ РАЗВИТИЯ ГОРОДА</t>
  </si>
  <si>
    <t>141281, МОСКОВСКАЯ ОБЛАСТЬ, Г. ПУШКИНО, Г ИВАНТЕЕВКА, УЛ ТРУДОВАЯ, Д. 9, КАБИНЕТ 6</t>
  </si>
  <si>
    <t>ИП КОМЕЛЬ ДЕНИС ВЛАДИМИРОВИЧ</t>
  </si>
  <si>
    <t>ООО НЕФТЕХИМ-ПРОДУКТ</t>
  </si>
  <si>
    <t>140006, МОСКОВСКАЯ ОБЛАСТЬ, Г ЛЮБЕРЦЫ, УЛ ЮЖНАЯ, Д. 32А, ОФИС 1</t>
  </si>
  <si>
    <t>140090, МОСКОВСКАЯ ОБЛАСТЬ, Г ЛЮБЕРЦЫ, Г ДЗЕРЖИНСКИЙ, УЛ УГРЕШСКАЯ, Д. 5А, ПОМЕЩ. 5</t>
  </si>
  <si>
    <t>ООО ЕВРО СЕРВИС</t>
  </si>
  <si>
    <t>140004, МОСКОВСКАЯ ОБЛАСТЬ, Г ЛЮБЕРЦЫ, УЛ ЭЛЕКТРИФИКАЦИИ, Д. 3, ЛИТЕРА Е, ОФИС 3</t>
  </si>
  <si>
    <t>ООО СО ТЕХНОЛОДЖИ</t>
  </si>
  <si>
    <t>140030, РОССИЯ, МОСКОВСКАЯ ОБЛАСТЬ, Г.О. ЛЮБЕРЦЫ, ПГТ. МАЛАХОВКА, МКР. ОВРАЖКИ, УЛ МАЯКОВСКОГО, Д. 20, ПОМЕЩ. 12</t>
  </si>
  <si>
    <t>ООО ЛЕМИНИСКАТА</t>
  </si>
  <si>
    <t>140050, РОССИЯ, МОСКОВСКАЯ ОБЛАСТЬ, Г.О. ЛЮБЕРЦЫ, ПГТ. КРАСКОВО, УЛ КАРЛА МАРКСА, Д. 2/10, КВ. 38</t>
  </si>
  <si>
    <t>ООО ТРАССА ГСМ</t>
  </si>
  <si>
    <t>142455, МОСКОВСКАЯ ОБЛАСТЬ, Г. НОГИНСК, Г ЭЛЕКТРОУГЛИ, Ш НОСОВИХИНСКОЕ, ВЛД. 1, 26 КМ.</t>
  </si>
  <si>
    <t>ООО ЭЛСАН</t>
  </si>
  <si>
    <t>141006, МОСКОВСКАЯ ОБЛАСТЬ, Г МЫТИЩИ, ПР-КТ ОЛИМПИЙСКИЙ, ВЛД. 29, СТР. 2, ПОМЕЩ. 128 ОФИС 4</t>
  </si>
  <si>
    <t>ИП ОРЛОВ СЕРГЕЙ АНАТОЛЬЕВИЧ</t>
  </si>
  <si>
    <t>ООО АВТО ДВМ</t>
  </si>
  <si>
    <t>141018, МОСКОВСКАЯ ОБЛАСТЬ, Г.О. МЫТИЩИ, Г МЫТИЩИ, УЛ СУКРОМКА, Д.26, ПОМЕЩЕНИЕ III</t>
  </si>
  <si>
    <t>ПАО ЕВРОТРАНС</t>
  </si>
  <si>
    <t>141044, МОСКОВСКАЯ ОБЛАСТЬ, Г МЫТИЩИ, Д АФАНАСОВО, УЛ БЕРЕЗОВАЯ РОЩА, ВЛАДЕНИЕ 2</t>
  </si>
  <si>
    <t>ООО ЮНА-ЛАЙФ</t>
  </si>
  <si>
    <t>141051, МОСКОВСКАЯ ОБЛАСТЬ, Г.О. МЫТИЩИ, Д КРАСНАЯ ГОРКА, УЛ 1-Я ПРИРОДЫ, Д. 5</t>
  </si>
  <si>
    <t>ООО СП ТРЕЙД</t>
  </si>
  <si>
    <t>141011, МОСКОВСКАЯ ОБЛАСТЬ, Г.О. МЫТИЩИ, Г МЫТИЩИ, УЛ КОММУНИСТИЧЕСКАЯ, Д. 23, ПОМЕЩ. 316Л</t>
  </si>
  <si>
    <t>ООО КОМДОРАВТО</t>
  </si>
  <si>
    <t>141032, МОСКОВСКАЯ ОБЛАСТЬ, Г МЫТИЩИ, ТЕР ТПЗ АЛТУФЬЕВО, ПР-Д АВТОМОБИЛЬНЫЙ (ТПЗ АЛТУФЬЕВО ТЕР), ВЛД. 1, СТР. 1, ОФИС 216</t>
  </si>
  <si>
    <t>ООО ЕВРОПРОЕКТ</t>
  </si>
  <si>
    <t>141006, РОССИЯ, МОСКОВСКАЯ ОБЛАСТЬ, Г.О. МЫТИЩИ, Г МЫТИЩИ, УЛ ВОРОНИНА, СТР. 16, ПОМЕЩ. 201Г</t>
  </si>
  <si>
    <t>ООО ГТС</t>
  </si>
  <si>
    <t>141011, РОССИЯ, МОСКОВСКАЯ ОБЛАСТЬ, Г.О. МЫТИЩИ, Г МЫТИЩИ, УЛ КОММУНИСТИЧЕСКАЯ, Д. 10, К. 1, КОМ. 31, КАБИНЕТ 424</t>
  </si>
  <si>
    <t>ООО ЕВРОГРУПП</t>
  </si>
  <si>
    <t>141006, РОССИЯ, МОСКОВСКАЯ ОБЛАСТЬ, Г.О. МЫТИЩИ, Г МЫТИЩИ, УЛ ВОРОНИНА, СТР. 16, ОФИС 201</t>
  </si>
  <si>
    <t>ООО РЕМЭКС ТРАК</t>
  </si>
  <si>
    <t>141006, РОССИЯ, МОСКОВСКАЯ ОБЛАСТЬ, Г.О. МЫТИЩИ, Г МЫТИЩИ, ПР-КТ ОЛИМПИЙСКИЙ, Д. 20, ОФИС 5.04</t>
  </si>
  <si>
    <t>ООО СМАЙЛ ОТЕЛЬ</t>
  </si>
  <si>
    <t>141008, РОССИЯ, МОСКОВСКАЯ ОБЛАСТЬ, Г.О. МЫТИЩИ, Г МЫТИЩИ, УЛ КОЛПАКОВА, СТР. 44, ПОМЕЩ. 2.06</t>
  </si>
  <si>
    <t>ООО АМАК-СЕРВИС</t>
  </si>
  <si>
    <t>141014, РОССИЯ, МОСКОВСКАЯ ОБЛАСТЬ, Г.О. МЫТИЩИ, Г МЫТИЩИ, УЛ ВЕРЫ ВОЛОШИНОЙ, Д. 9/24, КВ. 11</t>
  </si>
  <si>
    <t>ООО МВГ</t>
  </si>
  <si>
    <t>141009, РОССИЯ, МОСКОВСКАЯ ОБЛАСТЬ, Г.О. МЫТИЩИ, Г МЫТИЩИ, УЛ КАРЛА МАРКСА, Д. 4</t>
  </si>
  <si>
    <t>ИП ПОДПРЯТОВ АНДРЕЙ НИКОЛАЕВИЧ</t>
  </si>
  <si>
    <t>ООО СТС-ЛОГИСТИКА</t>
  </si>
  <si>
    <t>143345, МОСКОВСКАЯ ОБЛАСТЬ, Г НАРО-ФОМИНСК, ПГТ СЕЛЯТИНО, УЛ ВОКЗАЛЬНАЯ, СТР. 2А, КОМ. 52</t>
  </si>
  <si>
    <t>ИП ЧУРКИН БОРИС ГЕННАДЬЕВИЧ</t>
  </si>
  <si>
    <t>ИП ТИТОВ АЛЕКСЕЙ ИГОРЕВИЧ</t>
  </si>
  <si>
    <t>ИП ПОДПРЯТОВ НИКОЛАЙ АНДРЕЕВИЧ</t>
  </si>
  <si>
    <t>ООО ГЕФЕСТ М</t>
  </si>
  <si>
    <t>144004, МОСКОВСКАЯ ОБЛАСТЬ, Г.О. ЭЛЕКТРОСТАЛЬ, Г. ЭЛЕКТРОСТАЛЬ, ПРОЕЗД ЭНЕРГЕТИКОВ, Д. 2, ПОМЕЩ. 15</t>
  </si>
  <si>
    <t>ООО АЙ ЭР ГРУПП</t>
  </si>
  <si>
    <t>142450, МОСКОВСКАЯ ОБЛАСТЬ, Р-Н НОГИНСКИЙ, Г СТАРАЯ КУПАВНА, УЛ ДОРОЖНАЯ, Д. 1, ПОМЕЩЕНИЕ 1, КОМ. 57А</t>
  </si>
  <si>
    <t>ООО СЛР</t>
  </si>
  <si>
    <t>142450, МОСКОВСКАЯ ОБЛАСТЬ, Р-Н НОГИНСКИЙ, Г СТАРАЯ КУПАВНА, УЛ ДОРОЖНАЯ, Д. 1, ПОМЕЩЕНИЕ 1, КОМ. 57Б</t>
  </si>
  <si>
    <t>ИП ГОРЯЧЕВ ВИТАЛИЙ ЕВГЕНЬЕВИЧ</t>
  </si>
  <si>
    <t>142400, МОСКОВСКАЯ ОБЛАСТЬ, Г. НОГИНСК, УЛ 3-ГО ИНТЕРНАЦИОНАЛА, Д. 39, ПОМЕЩ. 59</t>
  </si>
  <si>
    <t>ООО АВТОКАР43</t>
  </si>
  <si>
    <t>142440, МОСКОВСКАЯ ОБЛАСТЬ, Г НОГИНСК, ПГТ ОБУХОВО, УЛ ЯКОВЛЕВА, Д. 15, ОФИС /ЭТАЖ 19 /1</t>
  </si>
  <si>
    <t>ООО ТК ВОСТОК</t>
  </si>
  <si>
    <t>142455, МОСКОВСКАЯ ОБЛАСТЬ, Р-Н НОГИНСКИЙ, Г ЭЛЕКТРОУГЛИ, УЛ ПИОНЕРСКАЯ, Д. 2Б, КВ. 70</t>
  </si>
  <si>
    <t>ООО ТД КУДО</t>
  </si>
  <si>
    <t>142455, МОСКОВСКАЯ ОБЛАСТЬ, Г НОГИНСК, Г ЭЛЕКТРОУГЛИ, УЛ ЗАВОДСКАЯ, Д. 4, СТР. 5, КАБИНЕТ 309</t>
  </si>
  <si>
    <t>ООО ПАРТ НЭТ</t>
  </si>
  <si>
    <t>142438, РОССИЯ, МОСКОВСКАЯ ОБЛАСТЬ, Г.О. БОГОРОДСКИЙ, П ЗАТИШЬЕ, ТЕР. ТЕХНОПАРК УСПЕНСКИЙ, Д. 11, ПОМЕЩ. 31</t>
  </si>
  <si>
    <t>ООО АВТОГРУПП</t>
  </si>
  <si>
    <t>142410, РОССИЯ, МОСКОВСКАЯ ОБЛАСТЬ, Г.О. БОГОРОДСКИЙ, Г НОГИНСК, УЛ БЕТОННАЯ, Д. 2</t>
  </si>
  <si>
    <t>ИП ТУЛЬСКИЙ СЕРГЕЙ ИВАНОВИЧ</t>
  </si>
  <si>
    <t>ИП ГИРЕНКОВ МАКСИМ ПЕТРОВИЧ</t>
  </si>
  <si>
    <t>ФГАУ ОК РУБЛЁВО-ЗВЕНИГОРОДСКИЙ</t>
  </si>
  <si>
    <t>143032, РОССИЯ, МОСКОВСКАЯ ОБЛАСТЬ, Г.О. ОДИНЦОВСКИЙ, П ГОРКИ-10</t>
  </si>
  <si>
    <t>ИП БЛАЖАН РОМАН ВЛАДИМИРОВИЧ</t>
  </si>
  <si>
    <t>ИП ПЕТИЕВ СЕРГЕЙ АЛЕКСАНДРОВИЧ</t>
  </si>
  <si>
    <t>ООО РЕНИЙ</t>
  </si>
  <si>
    <t>143025, МОСКОВСКАЯ ОБЛАСТЬ, Г ОДИНЦОВО, С НЕМЧИНОВКА, УЛ МОСКОВСКАЯ, Д. 14</t>
  </si>
  <si>
    <t>ООО АНТА-ГРУПП</t>
  </si>
  <si>
    <t>143185, РОССИЯ, МОСКОВСКАЯ ОБЛАСТЬ, Г.О. ОДИНЦОВСКИЙ, Г ЗВЕНИГОРОД, МКР СУПОНЕВО, Д. 15, ПОМЕЩ. 10-11, КОМ. А</t>
  </si>
  <si>
    <t>ООО ЕВРО ПАРКИНГ-ЗАПАД</t>
  </si>
  <si>
    <t>143085, МОСКОВСКАЯ ОБЛАСТЬ, Г ОДИНЦОВО, ПГТ ЗАРЕЧЬЕ, ТЕР 12 МЕСЯЦЕВ ЖИЛОЙ КОМПЛЕКС, СТР. 13, 6</t>
  </si>
  <si>
    <t>ООО РЕНИЙ-АВТО</t>
  </si>
  <si>
    <t>ООО АВТО-ЭКСКЛЮЗИВ</t>
  </si>
  <si>
    <t>143026, РОССИЯ, МОСКОВСКАЯ ОБЛАСТЬ, Г.О. ОДИНЦОВСКИЙ, ПГТ. НОВОИВАНОВСКОЕ, Ш МОЖАЙСКОЕ, Д. 165, СТР. 1, ЭТАЖ 10, ПОМЕЩ. 9</t>
  </si>
  <si>
    <t>ООО ТСК СКОЛКОВО</t>
  </si>
  <si>
    <t>141407, РОССИЯ, МОСКОВСКАЯ ОБЛАСТЬ, Г.О. ХИМКИ, Г ХИМКИ, УЛ БАБАКИНА, СТР. 5А, ПОМЕЩ. 314</t>
  </si>
  <si>
    <t>ООО АПАЛАВТО</t>
  </si>
  <si>
    <t>143070, МОСКОВСКАЯ ОБЛАСТЬ, Г.О. ОДИНЦОВСКИЙ, Г КУБИНКА, Ш МОЖАЙСКОЕ, СТР. 198, ЭТАЖ 2, ЧАСТЬ ПОМЕЩ. 8</t>
  </si>
  <si>
    <t>ООО СТРОЙ КОМПЛЕКТ</t>
  </si>
  <si>
    <t>143081, МОСКОВСКАЯ ОБЛАСТЬ, Г. ОДИНЦОВО, С ЮДИНО, Ш 1-Е УСПЕНСКОЕ, Д. 1, ЛИТЕРА Р3, ЭТАЖ 3/ПОМЕЩЕНИЕ 15</t>
  </si>
  <si>
    <t>143041, РОССИЯ, МОСКОВСКАЯ ОБЛАСТЬ, Г.О. ОДИНЦОВСКИЙ, Г ГОЛИЦЫНО, Ш ПЕТРОВСКОЕ, Д. 33, ПОМЕЩ. 7</t>
  </si>
  <si>
    <t>ООО ТД ПРОФИТ</t>
  </si>
  <si>
    <t>РОССИЯ, МОСКОВСКАЯ ОБЛАСТЬ, Г.О. ОДИНЦОВСКИЙ, ПГТ. БОЛЬШИЕ ВЯЗЁМЫ, СТР. 114А, ЭТАЖ 1, ПОМЕЩ. 3</t>
  </si>
  <si>
    <t>ИП БУШУЕВА АНАСТАСИЯ ВЛАДИМИРОВНА</t>
  </si>
  <si>
    <t>ИП ГОНЧАРОВ СЕРГЕЙ РАФАИЛОВИЧ</t>
  </si>
  <si>
    <t>ИП НОВАК АЛЕКСАНДР ВАЛЕРЬЕВИЧ</t>
  </si>
  <si>
    <t>ИП МАЛЫШЕВСКАЯ ЕЛЕНА РУСЛАНОВНА</t>
  </si>
  <si>
    <t>ООО АВТОМАШ-МБ</t>
  </si>
  <si>
    <t>140011, МОСКОВСКАЯ ОБЛАСТЬ, Г ЛЮБЕРЦЫ, Ш НОВОРЯЗАНСКОЕ, ВЛД. 11</t>
  </si>
  <si>
    <t>ООО АВТОМОБИЛЬНАЯ КОМПАНИЯ ТЕХНОГАЗАВТО</t>
  </si>
  <si>
    <t>142715, РОССИЯ, МОСКОВСКАЯ ОБЛАСТЬ, Г.О. ЛЕНИНСКИЙ, Д АПАРИНКИ, ВЛД. 5, СТР. 18, КАБИНЕТ № 1</t>
  </si>
  <si>
    <t>ООО КАСКАД-Ф</t>
  </si>
  <si>
    <t>140032, МОСКОВСКАЯ ОБЛАСТЬ, Г ЛЮБЕРЦЫ, ПГТ МАЛАХОВКА, УЛ САККО И ВАНЦЕТТИ, Д. 10</t>
  </si>
  <si>
    <t>ООО ОЛЕУМ-АВТО</t>
  </si>
  <si>
    <t>140070, МОСКОВСКАЯ ОБЛАСТЬ, Г ЛЮБЕРЦЫ, ПГТ ТОМИЛИНО, УЛ ГОГОЛЯ, Д. 39/1, ЭТАЖ/ПОМ 1/17</t>
  </si>
  <si>
    <t>ООО СТД</t>
  </si>
  <si>
    <t>140090, МОСКОВСКАЯ ОБЛАСТЬ, Г ЛЮБЕРЦЫ, Г ДЗЕРЖИНСКИЙ, УЛ УГРЕШСКАЯ, Д. 32, СТР. 1, КВ. 519</t>
  </si>
  <si>
    <t>ИП БОЙКО ДМИТРИЙ ИГОРЕВИЧ</t>
  </si>
  <si>
    <t>ООО КД-ОЙЛ</t>
  </si>
  <si>
    <t>140090, РОССИЯ, МОСКОВСКАЯ ОБЛАСТЬ, Г.О. ЛЮБЕРЦЫ, Г. ДЗЕРЖИНСКИЙ, УЛ ЭНЕРГЕТИКОВ, Д. 24, ПОМЕЩ. 432</t>
  </si>
  <si>
    <t>ИП КОНОПКИН ЕВГЕНИЙ ЕВГЕНЬЕВИЧ</t>
  </si>
  <si>
    <t>ИП ВОРОНКОВ СЕРГЕЙ ГРИГОРЬЕВИЧ</t>
  </si>
  <si>
    <t>ООО ЛЕ МОНЛИД</t>
  </si>
  <si>
    <t>141031, МОСКОВСКАЯ ОБЛАСТЬ, Г МЫТИЩИ, Ш ОСТАШКОВСКОЕ, Д. 1</t>
  </si>
  <si>
    <t>141044, МОСКОВСКАЯ ОБЛАСТЬ, Г МЫТИЩИ, Д ГРИБКИ, УЛ СКЛАДСКАЯ, Д.5</t>
  </si>
  <si>
    <t>ООО ПРОМРЕСУРС</t>
  </si>
  <si>
    <t>141008, МОСКОВСКАЯ ОБЛАСТЬ, Г МЫТИЩИ, УЛ МИРА, Д. 8, ПОМЕЩ. 3</t>
  </si>
  <si>
    <t>ООО АВТОСЕЛЛЕР</t>
  </si>
  <si>
    <t>141031, МОСКОВСКАЯ ОБЛАСТЬ, Г.О. МЫТИЩИ, П НАГОРНОЕ, Ш ЛИПКИНСКОЕ, СТР. 1А/1, ПОМЕЩ. 17</t>
  </si>
  <si>
    <t>ООО ЗАПАДНЫЙ ПРОЕКТ</t>
  </si>
  <si>
    <t>141009, РОССИЯ, МОСКОВСКАЯ ОБЛАСТЬ, Г.О. МЫТИЩИ, Г МЫТИЩИ, УЛ КОЛОНЦОВА, СТР. 5/18</t>
  </si>
  <si>
    <t>ООО ДЦ АЛТУФЬЕВО</t>
  </si>
  <si>
    <t>141031, МОСКОВСКАЯ ОБЛАСТЬ, Г МЫТИЩИ, П НАГОРНОЕ, КМ МКАД 85-Й (ТПЗ АЛТУФЬЕВО ТЕР), ВЛД. 5, СТР. 4, ЭТ/ПОМ 1/1</t>
  </si>
  <si>
    <t>ООО ПРОЕКТ ПЕГАСУС</t>
  </si>
  <si>
    <t>141013, МОСКОВСКАЯ ОБЛАСТЬ, Г МЫТИЩИ, ПЕР 1-Й СИЛИКАТНЫЙ, Д. 12Б/1, ПОМЕЩ. 21</t>
  </si>
  <si>
    <t>ООО АВТО ЛИДЕР</t>
  </si>
  <si>
    <t>141044, РОССИЯ, МОСКОВСКАЯ ОБЛАСТЬ, Г.О. МЫТИЩИ, Д ГРИБКИ, Ш ДМИТРОВСКОЕ, СТР. 52, ПОМЕЩ. 20 ЭТАЖ 2</t>
  </si>
  <si>
    <t>ООО ПМ СОЛЮШНС</t>
  </si>
  <si>
    <t>141011, РОССИЯ, МОСКОВСКАЯ ОБЛАСТЬ, Г.О. МЫТИЩИ, Г МЫТИЩИ, ПРОЕЗД ФУРАЖНЫЙ, ВЛД. 4, СТР. 1, ЭТАЖ 2, ПОМЕЩ. 52</t>
  </si>
  <si>
    <t>ООО ГРУЗОВОЙ МАГНАТ</t>
  </si>
  <si>
    <t>141011, РОССИЯ, МОСКОВСКАЯ ОБЛАСТЬ, Г.О. МЫТИЩИ, Г МЫТИЩИ, УЛ КОММУНИСТИЧЕСКАЯ, Д. 23, ЭТ/ПОМ 3/321Л</t>
  </si>
  <si>
    <t>ИП Кунцене Наталья Викторовна</t>
  </si>
  <si>
    <t>ИП ТАЛАГАЕВ ПАВЕЛ ВИКТОРОВИЧ</t>
  </si>
  <si>
    <t>ООО ИМПОРТ-МАСЛО</t>
  </si>
  <si>
    <t>143360, РОССИЯ, МОСКОВСКАЯ ОБЛАСТЬ, Г.О. НАРО-ФОМИНСКИЙ, Г АПРЕЛЕВКА, УЛ ФЕВРАЛЬСКАЯ, Д. 10, КОМ. 1</t>
  </si>
  <si>
    <t>ИП ПЕТЕРС НАТАЛЬЯ АЛЕНТИНОВНА</t>
  </si>
  <si>
    <t>ООО МЕТРОЛОГ</t>
  </si>
  <si>
    <t>142412, МОСКОВСКАЯ ОБЛАСТЬ, Г. НОГИНСК, УЛ НОВОНОГИНСКАЯ, Д. 15, ЗД. АДМИНИСТРАЦИИ, ЭТАЖ 2 ОФИС 1</t>
  </si>
  <si>
    <t>ИП АХТЕМОВ ТИМУР ВАДИМОВИЧ</t>
  </si>
  <si>
    <t>ИП ВАСЮКОВ РОМАН ВЛАДИМИРОВИЧ</t>
  </si>
  <si>
    <t>ИП НАЗАРОВ МАКСИМ ВАДИМОВИЧ</t>
  </si>
  <si>
    <t>ООО СД-ТРАК ПАРТС</t>
  </si>
  <si>
    <t>142410, МОСКОВСКАЯ ОБЛАСТЬ, Г. НОГИНСК, УЛ БЕТОННАЯ, Д. 2А, ПОМЕЩЕНИЕ 4</t>
  </si>
  <si>
    <t>ООО АВТОПАРТНЕР-СЕРВИС</t>
  </si>
  <si>
    <t>142440, МОСКОВСКАЯ ОБЛАСТЬ, Г НОГИНСК, ПГТ ОБУХОВО, УЛ ЯКОВЛЕВА, Д. 15, ПОМЕЩ. 38</t>
  </si>
  <si>
    <t>ООО ДОМ ИНСТРУМЕНТОФФ</t>
  </si>
  <si>
    <t>142440, РОССИЯ, МОСКОВСКАЯ ОБЛАСТЬ, Г.О. БОГОРОДСКИЙ, ПГТ. ОБУХОВО, Ш КУДИНОВСКОЕ, Д. 11, КВ. 13</t>
  </si>
  <si>
    <t>ИП САМОХВАЛОВ ДМИТРИЙ СЕРГЕЕВИЧ</t>
  </si>
  <si>
    <t>ИП МИШКИН ИЛЬЯ АНАТОЛЬЕВИЧ</t>
  </si>
  <si>
    <t>ОООАТЛАНТИС</t>
  </si>
  <si>
    <t>143006, МОСКОВСКАЯ ОБЛАСТЬ, Г. ОДИНЦОВО, УЛ ВЕРХНЕ-ПРОЛЕТАРСКАЯ, Д.5</t>
  </si>
  <si>
    <t>АО РОДОВОЙ ГЕРБ</t>
  </si>
  <si>
    <t>143041, МОСКОВСКАЯ ОБЛАСТЬ, Р-Н ОДИНЦОВСКИЙ, Г ГОЛИЦЫНО, Ш МОЖАЙСКОЕ, Д.77</t>
  </si>
  <si>
    <t>ИП КАЛУГИНА НАТАЛЬЯ АНАТОЛЬЕВНА</t>
  </si>
  <si>
    <t>ООО УНИПРОМ</t>
  </si>
  <si>
    <t>143180, МОСКОВСКАЯ ОБЛАСТЬ, Г ОДИНЦОВО, С ВВЕДЕНСКОЕ, Д. 61, ОФИС 101, 1 ЭТАЖ</t>
  </si>
  <si>
    <t>ИП РОЖКОВ АЛЕКСЕЙ СЕРГЕЕВИЧ</t>
  </si>
  <si>
    <t>ИП Поздняков Алексей Олегович</t>
  </si>
  <si>
    <t>ИП РУБЦОВ АНАТОЛИЙ ВАЛЕРЬЕВИЧ</t>
  </si>
  <si>
    <t>АО АВТОПАРТС</t>
  </si>
  <si>
    <t>143005, МОСКОВСКАЯ ОБЛАСТЬ, Г. ОДИНЦОВО, УЛ ЧИКИНА, Д. 14, ПОМЕЩ. 8</t>
  </si>
  <si>
    <t>ЗАО ПРЕМИУМ ОТЕЛЬ МЕНЕДЖМЕНТ</t>
  </si>
  <si>
    <t>143082, МОСКОВСКАЯ ОБЛАСТЬ, Г.О. ОДИНЦОВСКИЙ, Д БАРВИХА, Д. 114, СТР. 3</t>
  </si>
  <si>
    <t>ООО АВТЭК-МАЗДА</t>
  </si>
  <si>
    <t>143025, МОСКОВСКАЯ ОБЛАСТЬ, Г.О. ОДИНЦОВСКИЙ, С НЕМЧИНОВКА, УЛ МОСКОВСКАЯ, СТР. 10, ПАВ. 302</t>
  </si>
  <si>
    <t>МЕСТНАЯ РЕЛИГИОЗНАЯ ОРГАНИЗАЦИЯ ОРТОДОКСАЛЬНОГО ИУДАИЗМА ОДИНЦОВСКОГО РАЙОНА МОСКОВСКОЙ ОБЛАСТИ ЕВРЕЙСКАЯ ОБЩИНА В ЖУКОВКЕ</t>
  </si>
  <si>
    <t>143082, МОСКОВСКАЯ ОБЛАСТЬ, Г. ОДИНЦОВО, Д ЖУКОВКА</t>
  </si>
  <si>
    <t>ООО ЮНИСПАРТ</t>
  </si>
  <si>
    <t>143085, МОСКОВСКАЯ ОБЛАСТЬ, Г ОДИНЦОВО, ПГТ ЗАРЕЧЬЕ, УЛ ТОРГОВАЯ, СТР. 1, ЭТАЖ/ПОМ 1/108</t>
  </si>
  <si>
    <t>ООО НПО МЕТХИМСМАЗ</t>
  </si>
  <si>
    <t>143072, МОСКОВСКАЯ ОБЛАСТЬ, Г.О. ОДИНЦОВСКИЙ, ПГТ. ВНИИССОК, УЛ ДРУЖБЫ, Д. 2, ПОМЕЩ. 324, ОФИС 2</t>
  </si>
  <si>
    <t>ООО ТД - МКМ</t>
  </si>
  <si>
    <t>142703, МОСКОВСКАЯ ОБЛАСТЬ, Г.О. ЛЕНИНСКИЙ, Г ВИДНОЕ, УЛ СТРОИТЕЛЬНАЯ, Д. 3, ПОМЕЩ. 10</t>
  </si>
  <si>
    <t>ООО ТЕХНО-ГРАД</t>
  </si>
  <si>
    <t>140090, МОСКОВСКАЯ ОБЛАСТЬ, Г ЛЮБЕРЦЫ, Г ДЗЕРЖИНСКИЙ, Ш ДЗЕРЖИНСКОЕ, Д. 2, ОФИС 10</t>
  </si>
  <si>
    <t>140011, МОСКОВСКАЯ ОБЛАСТЬ, Г.О. ЛЮБЕРЦЫ, Г ЛЮБЕРЦЫ, Ш НОВОРЯЗАНСКОЕ, Д. 3, ОФИС 5</t>
  </si>
  <si>
    <t>ООО АВ ТРЕЙД</t>
  </si>
  <si>
    <t>140000, МОСКОВСКАЯ ОБЛАСТЬ, Г ЛЮБЕРЦЫ, ПР-Д КОТЕЛЬНИЧЕСКИЙ, Д.24А, ОФИС 10</t>
  </si>
  <si>
    <t>ООО ЭМЕКС.РУ</t>
  </si>
  <si>
    <t>140090, МОСКОВСКАЯ ОБЛАСТЬ, Г ЛЮБЕРЦЫ, Г ДЗЕРЖИНСКИЙ, УЛ ЭНЕРГЕТИКОВ, Д. 22, СТР. 1, ОФИС 201</t>
  </si>
  <si>
    <t>140070, МОСКОВСКАЯ ОБЛАСТЬ, Г ЛЮБЕРЦЫ, ПГТ ТОМИЛИНО, УЛ ГОГОЛЯ, Д. 13, ПОМЕЩЕНИЕ 7</t>
  </si>
  <si>
    <t>ООО ТД КИМОЙЛ</t>
  </si>
  <si>
    <t>140053, МОСКОВСКАЯ ОБЛАСТЬ, Г КОТЕЛЬНИКИ, Ш ДЗЕРЖИНСКОЕ, Д.3А, ПОМЕЩЕНИЕ 1</t>
  </si>
  <si>
    <t>ООО ЕВРАЗИЯ ПАРТНЕРС</t>
  </si>
  <si>
    <t>140070, МОСКОВСКАЯ ОБЛАСТЬ, Г ЛЮБЕРЦЫ, ПГТ ТОМИЛИНО, УЛ ГОГОЛЯ, Д. 39/1, КОМ. 16</t>
  </si>
  <si>
    <t>ОООМАГНА</t>
  </si>
  <si>
    <t>140080, МОСКОВСКАЯ ОБЛАСТЬ, Г ЛЫТКАРИНО, П ТУРАЕВО, ТЕР ПРОМЗОНА ТУРАЕВО, СТР. 12, ПОМЕЩ. 8</t>
  </si>
  <si>
    <t>ООО СТАЙЛЕРАВТО</t>
  </si>
  <si>
    <t>140060, МОСКОВСКАЯ ОБЛАСТЬ, Г ЛЮБЕРЦЫ, РП ОКТЯБРЬСКИЙ, УЛ ЛЕНИНА, Д. 47, ЛИТЕРА К, КОМ. 14/3</t>
  </si>
  <si>
    <t>ООО ЗЕРОЙЛ</t>
  </si>
  <si>
    <t>140011, РОССИЯ, МОСКОВСКАЯ ОБЛАСТЬ, Г.О. ЛЮБЕРЦЫ, Г ЛЮБЕРЦЫ, УЛ ЮБИЛЕЙНАЯ, Д. 8А, КОМ. 1</t>
  </si>
  <si>
    <t>ИП МАХМАДИЕВ ХАМЗА БУРХОНИДДИНОВИЧ</t>
  </si>
  <si>
    <t>ИП ПЕТРОВА АЛЕКСАНДРА ДМИТРИЕВНА</t>
  </si>
  <si>
    <t>ИП РОЖКОВ ЯРОСЛАВ ВЛАДИСЛАВОВИЧ</t>
  </si>
  <si>
    <t>ЗАО ЗУБР ОВК</t>
  </si>
  <si>
    <t>141052, МОСКОВСКАЯ ОБЛАСТЬ, Г МЫТИЩИ, Д СУХАРЕВО, Д. 133, КАБИНЕТ 13</t>
  </si>
  <si>
    <t>ИП Волков Анатолий Анатольевич</t>
  </si>
  <si>
    <t>ООО МАСТЕР ЭКСПРЕСС</t>
  </si>
  <si>
    <t>141407, МОСКОВСКАЯ ОБЛАСТЬ, Г ХИМКИ, ПР-КТ ЮБИЛЕЙНЫЙ, СТР. 6А, ПОМ/КОМ 19/3</t>
  </si>
  <si>
    <t>ИП БУРКОВА ТАТЬЯНА ВЛАДИМИРОВНА</t>
  </si>
  <si>
    <t>ООО БОРНТРАКСЕРВИС</t>
  </si>
  <si>
    <t>141508, МОСКОВСКАЯ ОБЛАСТЬ, Г СОЛНЕЧНОГОРСК, Д РЕКИНО-КРЕСТЫ, Д. 100</t>
  </si>
  <si>
    <t>ИП СЫСОЕВА АНАСТАСИЯ СЕРГЕЕВНА</t>
  </si>
  <si>
    <t>141006, МОСКОВСКАЯ ОБЛАСТЬ, Г МЫТИЩИ, ПР-КТ ОЛИМПИЙСКИЙ, ВЛД. 39, СТР. 1, ОФИС 1</t>
  </si>
  <si>
    <t>ООО ГК ПРОФТОРГ</t>
  </si>
  <si>
    <t>141006, МОСКОВСКАЯ ОБЛАСТЬ, Г МЫТИЩИ, ПР-Д ВОРОНИНА, СТР. 7А/2, ОФИС 33 ЭТАЖ 2</t>
  </si>
  <si>
    <t>ООО ТЕХНОЛОГИИ ДОРОЖНОГО СТРОИТЕЛЬСТВА</t>
  </si>
  <si>
    <t>141006, МОСКОВСКАЯ ОБЛАСТЬ, Г МЫТИЩИ, ПР-Д 159, ВЛД. 4, СТР. 1, ПОМЕЩ. 47</t>
  </si>
  <si>
    <t>ООО УК ОПЕРАТОР</t>
  </si>
  <si>
    <t>141008, РОССИЯ, МОСКОВСКАЯ ОБЛАСТЬ, Г.О. МЫТИЩИ, Г МЫТИЩИ, УЛ КОЛПАКОВА, СТР. 44, ПОМЕЩ. 2.03</t>
  </si>
  <si>
    <t>ИП РАКОВ КИРИЛЛ ОЛЕГОВИЧ</t>
  </si>
  <si>
    <t>ИП БОРЗОВ АНДРЕЙ НИКОЛАЕВИЧ</t>
  </si>
  <si>
    <t>ИП ТЕНИЧЕНКО СЕРГЕЙ ЛЕОНИДОВИЧ</t>
  </si>
  <si>
    <t>ООО НАРА АВТО ТРАНС</t>
  </si>
  <si>
    <t>МОСКОВСКАЯ ОБЛАСТЬ, Г.О. НАРО-ФОМИНСКИЙ, Г НАРО-ФОМИНСК, СТР. 172</t>
  </si>
  <si>
    <t>ИП КОВАЛЕВСКИЙ МАКСИМ АЛЕКСАНДРОВИЧ</t>
  </si>
  <si>
    <t>ИП ЛОПАНОВ ВЯЧЕСЛАВ ВЛАДИМИРОВИЧ</t>
  </si>
  <si>
    <t>ООО ТЦ АВТОБАУ</t>
  </si>
  <si>
    <t>143302, МОСКОВСКАЯ ОБЛАСТЬ, Г НАРО-ФОМИНСК, ТЕР МНОГОФУНКЦИОНАЛЬНЫЙ ПРОМЫШЛЕННЫЙ ОКРУГ КОТОВО, СТР. 18</t>
  </si>
  <si>
    <t>ИП МЕЛЬНИКОВ ДМИТРИЙ НИКОЛАЕВИЧ</t>
  </si>
  <si>
    <t>ИП ХИЖНЯК СВЕТЛАНА ВЛАДИМИРОВНА</t>
  </si>
  <si>
    <t>ИП ЛЕБЕДЕВ АЛЕКСАНДР АНАТОЛЬЕВИЧ</t>
  </si>
  <si>
    <t>ООО ИНСТРОТЕХ</t>
  </si>
  <si>
    <t>142403, МОСКОВСКАЯ ОБЛАСТЬ, Г.О. БОГОРОДСКИЙ, Г НОГИНСК, ПЕР АПТЕЧНЫЙ, Д. 1</t>
  </si>
  <si>
    <t>ИП АРТЮШКИН ДЕНИС ВАЛЕРЬЕВИЧ</t>
  </si>
  <si>
    <t>ООО ЮРАВТО</t>
  </si>
  <si>
    <t>142408, МОСКОВСКАЯ ОБЛАСТЬ, Г. НОГИНСК, УЛ МОСКОВСКАЯ, Д. 1, ЛИТЕРА М, ОФИС 3</t>
  </si>
  <si>
    <t>ИП БАЛАКИН ВЛАДИМИР ДМИТРИЕВИЧ</t>
  </si>
  <si>
    <t>АО ЛИНКПАРТ</t>
  </si>
  <si>
    <t>142450, РОССИЯ, МОСКОВСКАЯ ОБЛАСТЬ, Г.О. БОГОРОДСКИЙ, Г СТАРАЯ КУПАВНА, УЛ СОВЕТСКАЯ, Д. 1А</t>
  </si>
  <si>
    <t>ООО ПАРТНЕР МОТОРС</t>
  </si>
  <si>
    <t>142412, РОССИЯ, МОСКОВСКАЯ ОБЛАСТЬ, Г.О. БОГОРОДСКИЙ, Г НОГИНСК, УЛ КЛИМОВА, Д. 24</t>
  </si>
  <si>
    <t>ИП Мельников Сергей Анатольевич</t>
  </si>
  <si>
    <t>ООО БВГ</t>
  </si>
  <si>
    <t>143041, МОСКОВСКАЯ ОБЛАСТЬ, Г.О. ОДИНЦОВСКИЙ, ТЕР. МИНСКОЕ ШОССЕ, КМ 43-Й, СТР. 2</t>
  </si>
  <si>
    <t>ООО  АГРОЦЕНТРЗАХАРОВО</t>
  </si>
  <si>
    <t>143003, МОСКОВСКАЯ ОБЛАСТЬ, Г.О. ОДИНЦОВСКИЙ, Г ОДИНЦОВО, УЛ МАРШАЛА НЕДЕЛИНА, СТР. 6Б, ЭТАЖ 3, ПОМЕЩ. 309</t>
  </si>
  <si>
    <t>ИП ЛУЧАЙ АЛЕКСЕЙ ЛЕОНИДОВИЧ</t>
  </si>
  <si>
    <t>ООО ИНТЕР ТРЕЙД</t>
  </si>
  <si>
    <t>143025, РОССИЯ, МОСКОВСКАЯ ОБЛАСТЬ, Г.О. ОДИНЦОВСКИЙ, ПГТ. НОВОИВАНОВСКОЕ, УЛ ЗАПАДНАЯ, СТР. 6, КОМ 25</t>
  </si>
  <si>
    <t>ООО АВТЭК</t>
  </si>
  <si>
    <t>143025, МОСКОВСКАЯ ОБЛАСТЬ, Г ОДИНЦОВО, С НЕМЧИНОВКА, УЛ МОСКОВСКАЯ, Д. 63, СЕКЦИЯ 09</t>
  </si>
  <si>
    <t>ИП РАБИНОВИЧ ГЕННАДИЙ ГЕННАДЬЕВИЧ</t>
  </si>
  <si>
    <t>ООО СМАРТЭК</t>
  </si>
  <si>
    <t>143002, МОСКОВСКАЯ ОБЛАСТЬ, Г. ОДИНЦОВО, УЛ ЗАПАДНАЯ, Д. 9, СТР. 10</t>
  </si>
  <si>
    <t>ИП ВАЙНЕВА ЕКАТЕРИНА АНАТОЛЬЕВНА</t>
  </si>
  <si>
    <t>ООО КУНЦЕВО АТ</t>
  </si>
  <si>
    <t>143025, МОСКОВСКАЯ ОБЛАСТЬ, Г ОДИНЦОВО, С НЕМЧИНОВКА, УЛ МОСКОВСКАЯ, Д. 61, КОМ. 405</t>
  </si>
  <si>
    <t>ООО ТЦ КУНЦЕВО ЛИМИТЕД</t>
  </si>
  <si>
    <t>ООО ХТС</t>
  </si>
  <si>
    <t>142031, РОССИЯ, МОСКОВСКАЯ ОБЛАСТЬ, Г.О. ДОМОДЕДОВО, Д ШЕСТОВО, Д. 22М</t>
  </si>
  <si>
    <t>ООО РАПИДКОМПАНИ</t>
  </si>
  <si>
    <t>141400, МОСКОВСКАЯ ОБЛАСТЬ, Г ХИМКИ, УЛ БЕРЕЗОВАЯ АЛЛЕЯ, Д. 3, ПОМЕЩ. 4</t>
  </si>
  <si>
    <t>ООО СПЕЦИАЛЬНОЕ ОБОРУДОВАНИЕ</t>
  </si>
  <si>
    <t>143420, МОСКОВСКАЯ ОБЛАСТЬ, Г.О. КРАСНОГОРСК, Д МИХАЛКОВО, ТЕР. МЭЙДЖОР СИТИ, СТР. 10, КОМ. 74</t>
  </si>
  <si>
    <t>ООО ТОПЛИВНАЯ КОМПАНИЯ РЕСУРС</t>
  </si>
  <si>
    <t>140103, МОСКОВСКАЯ ОБЛАСТЬ, Г РАМЕНСКОЕ, УЛ КРЫМСКАЯ, Д. 5, КВ. 211</t>
  </si>
  <si>
    <t>ООО ЦЕППЕЛИН РУСЛАНД</t>
  </si>
  <si>
    <t>143441, МОСКОВСКАЯ ОБЛАСТЬ, Г КРАСНОГОРСК, ПГТ ПУТИЛКОВО, ДОР МКАД ВНЕШ, ООК ЗАО ГРИНВУД, СТР. 31</t>
  </si>
  <si>
    <t>ООО КРАМП</t>
  </si>
  <si>
    <t>142324, МОСКОВСКАЯ ОБЛАСТЬ, Г ЧЕХОВ, Д ЛЮТОРЕЦКОЕ, ТЕР ПРОМЗОНА ЛЮТОРЕЦКОЕ, ВЛД. 6, СТР. 1, ПОМЕЩ. 101</t>
  </si>
  <si>
    <t>ООО ДЕЛФИН КЕМИКАЛС</t>
  </si>
  <si>
    <t>141201, МОСКОВСКАЯ ОБЛАСТЬ, Г. ПУШКИНО, Ш ЯРОСЛАВСКОЕ, Д. 1А, КОМ. 405 ЭТАЖ 4</t>
  </si>
  <si>
    <t>ООО ПАНАВТО</t>
  </si>
  <si>
    <t>143085, РОССИЯ, МОСКОВСКАЯ ОБЛАСТЬ, Г.О. ОДИНЦОВСКИЙ, ПГТ. ЗАРЕЧЬЕ, УЛ ТОРГОВАЯ, Д. 4, СТР. 1</t>
  </si>
  <si>
    <t>ООО МАСТАК ЦЕНТР</t>
  </si>
  <si>
    <t>143006, МОСКОВСКАЯ ОБЛАСТЬ, Г. ОДИНЦОВО, УЛ ВНУКОВСКАЯ, Д. 9, ЛИТЕР Б, ЭТ/ПОМ/КОМ 1/I/46</t>
  </si>
  <si>
    <t>ООО ФАВОРИТ МОТОРС Ф</t>
  </si>
  <si>
    <t>143964, МОСКОВСКАЯ ОБЛАСТЬ, Г РЕУТОВ, УЛ МКАД 3 КМ, Д. 11, КОМ. 11</t>
  </si>
  <si>
    <t>ООО СЕРВИС ЛАЙН</t>
  </si>
  <si>
    <t>143395, МОСКОВСКАЯ ОБЛАСТЬ, Г.О. НАРО-ФОМИНСКИЙ, С ПЕТРОВСКОЕ, Д. 5, СТР. 4, ПОМЕЩ. 1</t>
  </si>
  <si>
    <t>ООО МЕХАНИКУС</t>
  </si>
  <si>
    <t>141305, МОСКОВСКАЯ ОБЛАСТЬ, Г. СЕРГИЕВ ПОСАД, Ш СКОБЯНОЕ, Д. 8, ЭТАЖ 1, ПОМЕЩЕНИЕ 1, КОМНАТА 18</t>
  </si>
  <si>
    <t>ООО БЕЛСКАНСЕРВИС</t>
  </si>
  <si>
    <t>143131, РОССИЯ, МОСКОВСКАЯ ОБЛАСТЬ, М.О. РУЗСКИЙ, ПГТ. ТУЧКОВО, УЛ ВОСТОЧНАЯ, Д. 5/2</t>
  </si>
  <si>
    <t>ИП НВАЕРЕСИУБА НИКОЛАС ИФЕАНЬИ</t>
  </si>
  <si>
    <t>ИП ОДИНОЧЕНКО ВЛАДИМИР ВЛАДИМИРОВИЧ</t>
  </si>
  <si>
    <t>ООО ВИЛЛИ АВТО</t>
  </si>
  <si>
    <t>143002, РОССИЯ, МОСКОВСКАЯ ОБЛАСТЬ, Г.О. ОДИНЦОВСКИЙ, Г ОДИНЦОВО, УЛ САДОВАЯ, Д. 1А, ПОМЕЩ. 3</t>
  </si>
  <si>
    <t>ООО МАРРУС</t>
  </si>
  <si>
    <t>143032, РОССИЯ, МОСКОВСКАЯ ОБЛАСТЬ, Г.О. ОДИНЦОВСКИЙ, П ГОРКИ-10, Д. 23, КВ. 267</t>
  </si>
  <si>
    <t>ООО РУСДОРПРОГРЕСС</t>
  </si>
  <si>
    <t>143180, РОССИЯ, МОСКОВСКАЯ ОБЛАСТЬ, Г.О. ОДИНЦОВСКИЙ, Г ЗВЕНИГОРОД, УЛ ЧЕХОВА, Д. 1, ЦОКОЛЬНЫЙ ЭТАЖ, ПОМЕЩ. 3, ОФИС 5</t>
  </si>
  <si>
    <t>ООО МБ-ПАРТС</t>
  </si>
  <si>
    <t>143026, РОССИЯ, МОСКОВСКАЯ ОБЛАСТЬ, Г.О. ОДИНЦОВСКИЙ, ПГТ. НОВОИВАНОВСКОЕ, Ш МОЖАЙСКОЕ, Д. 165, СТР. 1, ПОМЕЩ. 36</t>
  </si>
  <si>
    <t>ООО АРКУДА</t>
  </si>
  <si>
    <t>143020, РОССИЯ, МОСКОВСКАЯ ОБЛАСТЬ, Г.О. ОДИНЦОВСКИЙ, Д ЛИКИНО, УЛ ПРОМЫШЛЕННАЯ, Д. 1, ПОМЕЩ. 2, 3</t>
  </si>
  <si>
    <t>ИП ХОЛИКОВ АЗИМЖОН ГУЛОМЖОНОВИЧ</t>
  </si>
  <si>
    <t>ИП ГОСУДАРЕВА ТАТЬЯНА МИХАЙЛОВНА</t>
  </si>
  <si>
    <t>ИП ЗОЛОТАРЕВ РОМАН АЛЕКСАНДРОВИЧ</t>
  </si>
  <si>
    <t>ООО ТОРГСЕРВИС 50</t>
  </si>
  <si>
    <t>143405, РОССИЯ, МОСКОВСКАЯ ОБЛАСТЬ, Г.О. КРАСНОГОРСК, Г КРАСНОГОРСК, Ш ИЛЬИНСКОЕ, Д. 2А, КВ. 15</t>
  </si>
  <si>
    <t>ИП ВЛАСОВ АРТЕМ ВАЛЕРЬЕВИЧ</t>
  </si>
  <si>
    <t>ООО АВТОБУССЕРВИС</t>
  </si>
  <si>
    <t>142672, МОСКОВСКАЯ ОБЛАСТЬ, Г. ОРЕХОВО-ЗУЕВО, Г ЛИКИНО-ДУЛЁВО, УЛ СОВЕТСКАЯ, Д. 41, ОФИС 5</t>
  </si>
  <si>
    <t>ООО ОРЕХОВО-АВТО</t>
  </si>
  <si>
    <t>142600, МОСКОВСКАЯ ОБЛАСТЬ, Г. ОРЕХОВО-ЗУЕВО, ТУП КОМИССАРИАТСКИЙ, Д.1</t>
  </si>
  <si>
    <t>АО НОВОТЕХ</t>
  </si>
  <si>
    <t>142602, РОССИЯ, МОСКОВСКАЯ ОБЛАСТЬ, Г.О. ОРЕХОВО-ЗУЕВСКИЙ, Г ОРЕХОВО-ЗУЕВО, УЛ ВОЛОДАРСКОГО, Д. 106, КОМ. 25</t>
  </si>
  <si>
    <t>ИП ПАУКОВ ЛЕОНИД ВЯЧЕСЛАВОВИЧ</t>
  </si>
  <si>
    <t>ООО АВТОМИГ-СЕРВИС</t>
  </si>
  <si>
    <t>142105, МОСКОВСКАЯ ОБЛАСТЬ, Г ПОДОЛЬСК, УЛ БОЛЬШАЯ СЕРПУХОВСКАЯ, Д.65В</t>
  </si>
  <si>
    <t>ИП АЛДОНИН ПАВЕЛ АЛЕКСАНДРОВИЧ</t>
  </si>
  <si>
    <t>ООО АТВАРМОР</t>
  </si>
  <si>
    <t>142143, РОССИЯ, МОСКОВСКАЯ ОБЛАСТЬ, Г.О. ПОДОЛЬСК, С ПОКРОВ, Д. 151, КОМ. 19 ЧАСТЬ</t>
  </si>
  <si>
    <t>ООО ФИТ ПОДОЛЬСК</t>
  </si>
  <si>
    <t>142114, МОСКОВСКАЯ ОБЛАСТЬ, Г.О. ПОДОЛЬСК, Г ПОДОЛЬСК, УЛ КЛЕМЕНТА ГОТВАЛЬДА, Д. 4Б</t>
  </si>
  <si>
    <t>ООО ПОДОРОЖНИК АВТО ПЛЮС</t>
  </si>
  <si>
    <t>108823, МОСКОВСКАЯ ОБЛАСТЬ, Г.О. ПОДОЛЬСК, Г ПОДОЛЬСК, УЛ ПРОФСОЮЗНАЯ, Д. 1</t>
  </si>
  <si>
    <t>ИП ХАЛИМЕНКО ИГОРЬ ВЯЧЕСЛАВОВИЧ</t>
  </si>
  <si>
    <t>ИП РОДЕНКО-БЫЧКОВА ЕЛЕНА НИКОЛАЕВНА</t>
  </si>
  <si>
    <t>ИП ПОЛЯКОВ ОЛЕГ ИГОРЕВИЧ</t>
  </si>
  <si>
    <t>ООО ТРАКХОЛДИНГ</t>
  </si>
  <si>
    <t>141201, МОСКОВСКАЯ ОБЛАСТЬ, Г ПУШКИНО, Ш ЯРОСЛАВСКОЕ, Д. 2В, ОФИС 401</t>
  </si>
  <si>
    <t>ООО РЕМСТРОЙСНАБ</t>
  </si>
  <si>
    <t>141270, МОСКОВСКАЯ ОБЛАСТЬ, Г ПУШКИНО, ПГТ СОФРИНО, УЛ ПОБЕДЫ, Д. 10, ЭТ/ПОМ 3/308</t>
  </si>
  <si>
    <t>ИП ЕРМАКОВ ЮРИЙ ВИКТОРОВИЧ</t>
  </si>
  <si>
    <t>ИП Бобров Юрий Сергеевич</t>
  </si>
  <si>
    <t>ООО УКРЫВНЫЕ МАТЕРИАЛЫ</t>
  </si>
  <si>
    <t>141261, МОСКОВСКАЯ ОБЛАСТЬ, Г ПУШКИНО, ПГТ ПРАВДИНСКИЙ, УЛ ЛЕСНАЯ, Д. 15</t>
  </si>
  <si>
    <t>ООО ТЕХНОЛОГИЯ ДВИЖЕНИЯ</t>
  </si>
  <si>
    <t>141282, МОСКОВСКАЯ ОБЛАСТЬ, Г. ПУШКИНО, Г ИВАНТЕЕВКА, УЛ ЗАВОДСКАЯ, Д. 8, ЛИТЕРА П, СКЛ. 3 (МАТ.-ТЕХ.)</t>
  </si>
  <si>
    <t>ООО ТК СМ-ОЙЛ</t>
  </si>
  <si>
    <t>141241, РОССИЯ, МОСКОВСКАЯ ОБЛАСТЬ, Г.О. ПУШКИНСКИЙ, Г ПУШКИНО, МКР. МАМОНТОВКА, УЛ ЦЕНТРАЛЬНАЯ, Д. 2, ОФИС 9</t>
  </si>
  <si>
    <t>ИП МОРОЗОВ ДМИТРИЙ СЕРГЕЕВИЧ</t>
  </si>
  <si>
    <t>ООО СТРОЙДОМ-БЫТЬ ДОБРУ</t>
  </si>
  <si>
    <t>141232, РОССИЯ, МОСКОВСКАЯ ОБЛАСТЬ, Г.О. ПУШКИНСКИЙ, Д СТЕПАНЬКОВО, МКР. СТЕПАНЬКОВСКАЯ СЛОБОДА, УЛ ЛУГОВАЯ, Д. 17</t>
  </si>
  <si>
    <t>ИП ЛАЗАРЕВА НАТАЛЬЯ ГЕННАДЬЕВНА</t>
  </si>
  <si>
    <t>ИП СОБОЛЕВ ИВАН АНАТОЛЬЕВИЧ</t>
  </si>
  <si>
    <t>ИП ПОПОВ НИКОЛАЙ СЕРГЕЕВИЧ</t>
  </si>
  <si>
    <t>ООО ТЕХЗОНА</t>
  </si>
  <si>
    <t>140130, РОССИЯ, МОСКОВСКАЯ ОБЛАСТЬ, М.О. РАМЕНСКИЙ, ПГТ. КРАТОВО, УЛ ТУПОЛЕВА, Д. 87, ПОМЕЩ. 52, 53, 54</t>
  </si>
  <si>
    <t>ИП ИЗОТОВА МАРИНА МИХАЙЛОВНА</t>
  </si>
  <si>
    <t>ИП ДОРОФЕЕВ СЕРГЕЙ ВЛАДИМИРОВИЧ</t>
  </si>
  <si>
    <t>ООО РУСТЕК</t>
  </si>
  <si>
    <t>140125, МОСКОВСКАЯ ОБЛАСТЬ, М.О. РАМЕНСКИЙ, КВ-Л 40340, СТР. 50</t>
  </si>
  <si>
    <t>ИП ЗАБИРОВ ГЕОРГИЙ КОНСТАНТИНОВИЧ</t>
  </si>
  <si>
    <t>ИП ШИЛЛЕРТ МАКСИМ ОЛЕГОВИЧ</t>
  </si>
  <si>
    <t>ИП ЗАБИРОВ НИКИТА КОНСТАНТИНОВИЧ</t>
  </si>
  <si>
    <t>ИП РОДИЧЕВ ОЛЕГ НИКОЛАЕВИЧ</t>
  </si>
  <si>
    <t>ИП ДЕГТЯРЕВ ВИТАЛИЙ ВЛАДИМИРОВИЧ</t>
  </si>
  <si>
    <t>ООО НПФ АЗОТ</t>
  </si>
  <si>
    <t>141321, МОСКОВСКАЯ ОБЛАСТЬ, Г.О. СЕРГИЕВО-ПОСАДСКИЙ, Г КРАСНОЗАВОДСК, ПЛ РДУЛТОВСКОГО, Д. 1/4, СТР. 1, ПОМЕЩ. 2</t>
  </si>
  <si>
    <t>ИП АНИСИМОВА ГАЛИНА МИХАЙЛОВНА</t>
  </si>
  <si>
    <t>ООО Транс - Групп</t>
  </si>
  <si>
    <t>141300, МОСКОВСКАЯ ОБЛАСТЬ, Г. СЕРГИЕВ ПОСАД, УЛ КЛЕМЕНТЬЕВСКАЯ, Д.29, -, 120</t>
  </si>
  <si>
    <t>ООО ГОЛДЕН  БАГ</t>
  </si>
  <si>
    <t>143103, МОСКОВСКАЯ ОБЛАСТЬ, Г. СЕРГИЕВ ПОСАД, ПР-КТ КРАСНОЙ АРМИИ, Д. 205А, ЭТАЖ ПОДВАЛЬНЫЙ, ПОМЕЩ. 1, КОМНАТА 2</t>
  </si>
  <si>
    <t>ООО ТД АЗОТ</t>
  </si>
  <si>
    <t>141321, МОСКОВСКАЯ ОБЛАСТЬ, Р-Н СЕРГИЕВО-ПОСАДСКИЙ, Г КРАСНОЗАВОДСК, УЛ НОВАЯ, Д. 2А, ОФИС 11 ЭТАЖ1</t>
  </si>
  <si>
    <t>ООО ВАША КОМПАНИЯ</t>
  </si>
  <si>
    <t>141301, МОСКОВСКАЯ ОБЛАСТЬ, Г. СЕРГИЕВ ПОСАД, Ш НОВОУГЛИЧСКОЕ, Д. 38, КВ. 2</t>
  </si>
  <si>
    <t>ИП ВАСИЛЬЕВ РУСЛАН ВЛАДИМИРОВИЧ</t>
  </si>
  <si>
    <t>ИП ИВАНОВ АЛЕКСЕЙ АЛЕКСЕЕВИЧ</t>
  </si>
  <si>
    <t>ИП ПРОВАДА АННА РОМАНОВНА</t>
  </si>
  <si>
    <t>ИП Носов Леонид Владимирович</t>
  </si>
  <si>
    <t>ООО КОМПАНИЯ ОКА-СЕРПУХОВ</t>
  </si>
  <si>
    <t>142204, МОСКОВСКАЯ ОБЛАСТЬ, Г СЕРПУХОВ, УЛ ПУШКИНА, Д. 45, К. 14, ПОМЕЩ. 1</t>
  </si>
  <si>
    <t>ООО АПЕЛЬСИН</t>
  </si>
  <si>
    <t>142207, МОСКОВСКАЯ ОБЛАСТЬ, Г СЕРПУХОВ, ПЕР ЦЕНТРАЛЬНЫЙ, Д. 30, СТР. 10, ПОМЕЩ. 6</t>
  </si>
  <si>
    <t>ИП НАЛЕВИН ИВАН ВИКТОРОВИЧ</t>
  </si>
  <si>
    <t>АО ТИТАН</t>
  </si>
  <si>
    <t>142211, РОССИЯ, МОСКОВСКАЯ ОБЛАСТЬ, Г.О. СЕРПУХОВ, Г СЕРПУХОВ, УЛ ПУШКИНА, Д. 9, ПОМЕЩ. 5</t>
  </si>
  <si>
    <t>ИП Бутрина Татьяна Владимировна</t>
  </si>
  <si>
    <t>ООО КОМПАС АВТО</t>
  </si>
  <si>
    <t>143041, РОССИЯ, МОСКОВСКАЯ ОБЛАСТЬ, Г.О. ОДИНЦОВСКИЙ, ТЕР. МИНСКОЕ ШОССЕ, КМ 43-Й, СТР. 2, ПОМЕЩ. 36</t>
  </si>
  <si>
    <t>ООО ТОРГ СЕРВИС</t>
  </si>
  <si>
    <t>143006, МОСКОВСКАЯ ОБЛАСТЬ, Г. ОДИНЦОВО, УЛ БЕЛОРУССКАЯ, Д. 3, КВ 268</t>
  </si>
  <si>
    <t>ООО АМС-МОТОРС</t>
  </si>
  <si>
    <t>143001, РОССИЯ, МОСКОВСКАЯ ОБЛАСТЬ, Г.О. ОДИНЦОВСКИЙ, П ТРЕХГОРКА, УЛ ТРЕХГОРНАЯ, Д. 4, ПОМЕЩ. 26</t>
  </si>
  <si>
    <t>ООО СПУТНИК АВТО</t>
  </si>
  <si>
    <t>143091, РОССИЯ, МОСКОВСКАЯ ОБЛАСТЬ, Г.О. КРАСНОЗНАМЕНСК, Г КРАСНОЗНАМЕНСК, УЛ. БЕРЕЗОВАЯ АЛЛЕЯ, Д. 1/2, КОМ. 120</t>
  </si>
  <si>
    <t>ООО СПИНПАРТС</t>
  </si>
  <si>
    <t>143026, РОССИЯ, МОСКОВСКАЯ ОБЛАСТЬ, Г.О. ОДИНЦОВСКИЙ, ПГТ. НОВОИВАНОВСКОЕ, Ш МОЖАЙСКОЕ, Д. 165, СТР. 1, ЭТАЖ 8, ПОМЕЩ. 9, 10, 11</t>
  </si>
  <si>
    <t>ООО БИК ТРЕЙДИНГ</t>
  </si>
  <si>
    <t>143007, РОССИЯ, МОСКОВСКАЯ ОБЛАСТЬ, Г.О. ОДИНЦОВСКИЙ, Г ОДИНЦОВО, УЛ МОЛОДЕЖНАЯ, Д. 46, СТР. 1, ПОМЕЩ. 15, КОМ. 4</t>
  </si>
  <si>
    <t>ООО ЗАКАТ-2</t>
  </si>
  <si>
    <t>142605, МОСКОВСКАЯ ОБЛАСТЬ, Г. ОРЕХОВО-ЗУЕВО, Ш МАЛОДУБЕНСКОЕ, Д.30</t>
  </si>
  <si>
    <t>ИП НИКИФОРОВА ЕЛЕНА БОРИСОВНА</t>
  </si>
  <si>
    <t>ИП АТАМАНОВА ИРИНА ЮРЬЕВНА</t>
  </si>
  <si>
    <t>ООО ОПТИМА ПЛЮС</t>
  </si>
  <si>
    <t>142600, РОССИЯ, МОСКОВСКАЯ ОБЛАСТЬ, Г.О. ОРЕХОВО-ЗУЕВСКИЙ, Г ОРЕХОВО-ЗУЕВО, Б-Р ЦЕНТРАЛЬНЫЙ, Д. 10, КВ. 44</t>
  </si>
  <si>
    <t>ИП Аркадьев Алексей Васильевич</t>
  </si>
  <si>
    <t>ИП НАЗАРОВ ОЛЕГ ВЯЧЕСЛАВОВИЧ</t>
  </si>
  <si>
    <t>ИП ДОРИН ПЕТР ВИКТОРОВИЧ</t>
  </si>
  <si>
    <t>ИП КАЖАЕВ ВАСИЛИЙ АЛЕКСЕЕВИЧ</t>
  </si>
  <si>
    <t>ИП ИЗМАЙЛОВ РАВИЛЬ ВЯЛИЕВИЧ</t>
  </si>
  <si>
    <t>ИП РЫЖЕНКОВ ЕВГЕНИЙ АНАТОЛЬЕВИЧ</t>
  </si>
  <si>
    <t>ИП БУБНОВА ГАЛИНА АФАНАСЬЕВНА</t>
  </si>
  <si>
    <t>ЗАО ТСК ТЕХИНКОМ</t>
  </si>
  <si>
    <t>142116, МОСКОВСКАЯ ОБЛАСТЬ, Г ПОДОЛЬСК, Ш ДОМОДЕДОВСКОЕ, Д.7</t>
  </si>
  <si>
    <t>ООО МЕГА ЗАПЧАСТЬ</t>
  </si>
  <si>
    <t>142105, РОССИЯ, МОСКОВСКАЯ ОБЛАСТЬ, Г.О. ПОДОЛЬСК, Г ПОДОЛЬСК, УЛ БОЛЬШАЯ СЕРПУХОВСКАЯ, Д. 43, СТР. 12, ПОМЕЩ. 9, КОМНАТА 11</t>
  </si>
  <si>
    <t>ООО АЛЬЯНС ГРУПП</t>
  </si>
  <si>
    <t>142101, МОСКОВСКАЯ ОБЛАСТЬ, Г ПОДОЛЬСК, УЛ ПЛЕЩЕЕВСКАЯ, Д. 11А, СТР. 2, ОФИС 401</t>
  </si>
  <si>
    <t>ИП УШАКОВ ДМИТРИЙ АЛЕКСАНДРОВИЧ</t>
  </si>
  <si>
    <t>АО ДЕЛФИН ГРУП</t>
  </si>
  <si>
    <t>141200, МОСКОВСКАЯ ОБЛАСТЬ, Г. ПУШКИНО, Ш ЯРОСЛАВСКОЕ, Д. 1А, ЭТАЖ 4 КОМ. 402</t>
  </si>
  <si>
    <t>ООО ТЕКТРОН</t>
  </si>
  <si>
    <t>141201, МОСКОВСКАЯ ОБЛАСТЬ, Г. ПУШКИНО, Ш ЯРОСЛАВСКОЕ, Д. 1А, ЭТ/КОМНАТА 3/308</t>
  </si>
  <si>
    <t>141202, МОСКОВСКАЯ ОБЛАСТЬ, Г.О. ПУШКИНСКИЙ, ТЕР. КРАСНОАРМЕЙСКОЕ ШОССЕ, КМ 5-Й, СТР. 1</t>
  </si>
  <si>
    <t>ИП АКУЛЕНКО АРТЁМ ВЛАДИМИРОВИЧ</t>
  </si>
  <si>
    <t>141207, МОСКОВСКАЯ ОБЛАСТЬ, Г. ПУШКИНО, УЛ НАДСОНОВСКАЯ, Д. 24, ПОМЕЩ. 11(19)</t>
  </si>
  <si>
    <t>ООО АЛЬФА-ТЕХПРОМ</t>
  </si>
  <si>
    <t>141231, МОСКОВСКАЯ ОБЛАСТЬ, Г ПУШКИНО, ПГТ ЛЕСНОЙ, УЛ СОВЕТСКАЯ, Д. 3В, К. 1, КВ. 12</t>
  </si>
  <si>
    <t>ООО КОМПАНИЯ ПЛЮС-Х</t>
  </si>
  <si>
    <t>141204, МОСКОВСКАЯ ОБЛАСТЬ, Г. ПУШКИНО, УЛ УЧИНСКАЯ, Д. 7, ЭТАЖ/ОФИС 2/17</t>
  </si>
  <si>
    <t>ООО АГРОСЕРВИС</t>
  </si>
  <si>
    <t>141221, МОСКОВСКАЯ ОБЛАСТЬ, Г ПУШКИНО, С ТАРАСОВКА, УЛ БОЛЬШАЯ ТАРАСОВСКАЯ, Д. 81</t>
  </si>
  <si>
    <t>ИП БУШУЕВА АЛЁНА ПАВЛОВНА</t>
  </si>
  <si>
    <t>ИП КЛАДЬКО ДМИТРИЙ ВИКТОРОВИЧ</t>
  </si>
  <si>
    <t>ИП ТОПУРИЯ АНЗОР БОРИСОВИЧ</t>
  </si>
  <si>
    <t>ИП ШИНДЯКОВ АНДРЕЙ НИКОЛАЕВИЧ</t>
  </si>
  <si>
    <t>140170, МОСКОВСКАЯ ОБЛАСТЬ, Г РАМЕНСКОЕ, Д ВОХРИНКА, Д. 27</t>
  </si>
  <si>
    <t>ИП Мотягина Галина Сергеевна</t>
  </si>
  <si>
    <t>ИП ИГНАТКИН МАКСИМ ЕГОРОВИЧ</t>
  </si>
  <si>
    <t>ИП ВОРОБЬЁВ СЕРГЕЙ ВАЛЕРЬЕВИЧ</t>
  </si>
  <si>
    <t>ИП АЛЕКСЕЕВ АРТЁМ ВАДИМОВИЧ</t>
  </si>
  <si>
    <t>ИП НАЗАРОВ АНДРЕЙ АЛЕКСАНДРОВИЧ</t>
  </si>
  <si>
    <t>ИП СМИРНОВ АЛЕКСАНДР ИГОРЕВИЧ</t>
  </si>
  <si>
    <t>ООО МИТАН-ОИЛ ГРУПП</t>
  </si>
  <si>
    <t>140125, РОССИЯ, МОСКОВСКАЯ ОБЛАСТЬ, Г.О. ЛЮБЕРЦЫ, Д ОСТРОВЦЫ, УЛ ЦЕНТРАЛЬНАЯ, Д. 83Б, ЭТАЖ 3,ОФИС 13.</t>
  </si>
  <si>
    <t>ООО ЛЕМАРИС</t>
  </si>
  <si>
    <t>140104, РОССИЯ, МОСКОВСКАЯ ОБЛАСТЬ, М.О. РАМЕНСКИЙ, Г РАМЕНСКОЕ, УЛ ВЫСОКОВОЛЬТНАЯ, Д. 22, ПОМЕЩ. 24.5</t>
  </si>
  <si>
    <t>ООО ГК ПРОФ-ЛАЙН</t>
  </si>
  <si>
    <t>140126, РОССИЯ, МОСКОВСКАЯ ОБЛАСТЬ, М.О. РАМЕНСКИЙ, Д ТИМОНИНО, УЛ ПОЛЕВАЯ, Д. 13</t>
  </si>
  <si>
    <t>ИП БЫЧКОВ АЛЕКСАНДР РОМАНОВИЧ</t>
  </si>
  <si>
    <t>ИП ЖАЖОЯН АРТАК СЕНЖИКОВИЧ</t>
  </si>
  <si>
    <t>140005, РОССИЯ, МОСКОВСКАЯ ОБЛАСТЬ, Г.О. ЛЮБЕРЦЫ, Г ЛЮБЕРЦЫ, УЛ КИРОВА, Д. 20А, ЭТАЖ 4, ОФИС 420</t>
  </si>
  <si>
    <t>ООО АТАМАН-ИМПОРТ</t>
  </si>
  <si>
    <t>143968, МОСКОВСКАЯ ОБЛАСТЬ, Г РЕУТОВ, УЛ РЕУТОВСКИХ ОПОЛЧЕНЦЕВ, Д. 14, КВ. 394</t>
  </si>
  <si>
    <t>ООО ГК РУСТЕХ</t>
  </si>
  <si>
    <t>143960, РОССИЯ, МОСКОВСКАЯ ОБЛАСТЬ, Г.О. РЕУТОВ, Г РЕУТОВ, УЛ ТРАНСПОРТНАЯ, Д. 2В, ПОМЕЩ. 6</t>
  </si>
  <si>
    <t>ИП Козина Галина Валентиновна</t>
  </si>
  <si>
    <t>ИП КЛОЧКОВ ДМИТРИЙ ВИКТОРОВИЧ</t>
  </si>
  <si>
    <t>141342, МОСКОВСКАЯ ОБЛАСТЬ, Г СЕРГИЕВ ПОСАД, ПГТ БОГОРОДСКОЕ, Д. 132</t>
  </si>
  <si>
    <t>ООО СНАБЖАЕМ-ВСЕМ</t>
  </si>
  <si>
    <t>141304, МОСКОВСКАЯ ОБЛАСТЬ, Г СЕРГИЕВ ПОСАД, УЛ ВОЗНЕСЕНСКАЯ, Д. 107, ПОМЕЩ. 12 ЭТАЖ 1</t>
  </si>
  <si>
    <t>ООО ХОТЬСТРОЙ</t>
  </si>
  <si>
    <t>141372, МОСКОВСКАЯ ОБЛАСТЬ, Р-Н СЕРГИЕВО-ПОСАДСКИЙ, Г ХОТЬКОВО, ПЕР ГОРБУНОВСКИЙ 1-Й, Д. 7, ОФИС 1.8</t>
  </si>
  <si>
    <t>ООО ТЯГАЧ</t>
  </si>
  <si>
    <t>141305, МОСКОВСКАЯ ОБЛАСТЬ, Г СЕРГИЕВ ПОСАД, Ш МОСКОВСКОЕ, Д. 3Б, ОФИС 11</t>
  </si>
  <si>
    <t>ООО МЕРСИН</t>
  </si>
  <si>
    <t>141304, РОССИЯ, МОСКОВСКАЯ ОБЛАСТЬ, Г.О. СЕРГИЕВО-ПОСАДСКИЙ, Г СЕРГИЕВ ПОСАД, УЛ ВОЗНЕСЕНСКАЯ, ДВЛД. 107, ПОМЕЩ. 12 ЭТАЖ 1, КОМ. 7</t>
  </si>
  <si>
    <t>ООО ГЛОБАЛ РИТЕЙЛ</t>
  </si>
  <si>
    <t>141302, РОССИЯ, МОСКОВСКАЯ ОБЛАСТЬ, Г.О. СЕРГИЕВО-ПОСАДСКИЙ, Г СЕРГИЕВ ПОСАД, УЛ ШЛЯКОВА, Д. 25, ЭТАЖ 4, ПОМЕЩ. 5</t>
  </si>
  <si>
    <t>ИП ЖДАНОВА СВЕТЛАНА ВАЛЕРЬЕВНА</t>
  </si>
  <si>
    <t>ООО КАПДАНТИБ</t>
  </si>
  <si>
    <t>143103, МОСКОВСКАЯ ОБЛАСТЬ, Г. ОДИНЦОВО, Д КАПАНЬ, УЧАСТОК 41А, ПОМЕЩ. 9, ЭТАЖ 1</t>
  </si>
  <si>
    <t>ООО СТРАНА ЛОСОСЯ</t>
  </si>
  <si>
    <t>143002, РОССИЯ, МОСКОВСКАЯ ОБЛАСТЬ, Г.О. ОДИНЦОВСКИЙ, Г ОДИНЦОВО, УЛ ЖЕЛЕЗНОДОРОЖНАЯ, Д. 4, ЛИТЕР Г, ПОМЕЩ. 1</t>
  </si>
  <si>
    <t>ООО АВМ</t>
  </si>
  <si>
    <t>143081, МОСКОВСКАЯ ОБЛАСТЬ, Г.О. ОДИНЦОВСКИЙ, Д ЛАПИНО, Д. 41А</t>
  </si>
  <si>
    <t>ООО ТЭКНОЛ</t>
  </si>
  <si>
    <t>143074, РОССИЯ, МОСКОВСКАЯ ОБЛАСТЬ, Г.О. ОДИНЦОВСКИЙ, П НОВЫЙ ГОРОДОК, Д. 37, КВ. 18</t>
  </si>
  <si>
    <t>ООО АВТОКИМ</t>
  </si>
  <si>
    <t>143006, РОССИЯ, МОСКОВСКАЯ ОБЛАСТЬ, Г.О. ОДИНЦОВСКИЙ, Г ОДИНЦОВО, ПРОЕЗД ТРАНСПОРТНЫЙ, Д. 10, ПОМЕЩ. 1</t>
  </si>
  <si>
    <t>ИП ИЕВЛЕВ СВЯТОСЛАВ ДМИТРИЕВИЧ</t>
  </si>
  <si>
    <t>ООО ТОЙМАКО</t>
  </si>
  <si>
    <t>143025, РОССИЯ, МОСКОВСКАЯ ОБЛАСТЬ, Г.О. ОДИНЦОВСКИЙ, С НЕМЧИНОВКА, УЛ МОСКОВСКАЯ, СТР. 10, ПАВ. 300</t>
  </si>
  <si>
    <t>ООО ТЕРРАТЕХ</t>
  </si>
  <si>
    <t>143050, РОССИЯ, МОСКОВСКАЯ ОБЛАСТЬ, Г.О. ОДИНЦОВСКИЙ, Д МАЛЫЕ ВЯЗЁМЫ, Д. 1, КОМ. 234</t>
  </si>
  <si>
    <t>ИП Государева Ольга Сергеевна</t>
  </si>
  <si>
    <t>ООО ВЕРАНС</t>
  </si>
  <si>
    <t>142605, МОСКОВСКАЯ ОБЛАСТЬ, Г ОРЕХОВО-ЗУЕВО, П ПРИГОРОДНЫЙ, Д. 46</t>
  </si>
  <si>
    <t>ООО ГОСПАРТНЕР</t>
  </si>
  <si>
    <t>142600, РОССИЯ, МОСКОВСКАЯ ОБЛАСТЬ, Г.О. ОРЕХОВО-ЗУЕВСКИЙ, Г ОРЕХОВО-ЗУЕВО, УЛ ЛЕНИНА, Д. 78, ОФИС 2</t>
  </si>
  <si>
    <t>ИП ПАВЕЛЬЕВА ОКСАНА АНАТОЛЬЕВНА</t>
  </si>
  <si>
    <t>АО ЭЛИНП</t>
  </si>
  <si>
    <t>142530, МОСКОВСКАЯ ОБЛАСТЬ, Г ПАВЛОВСКИЙ ПОСАД, Г ЭЛЕКТРОГОРСК, УЛ БУДЕННОГО, Д. 5</t>
  </si>
  <si>
    <t>ИП МАЙОРОВ ДМИТРИЙ БОРИСОВИЧ</t>
  </si>
  <si>
    <t>ООО АШК</t>
  </si>
  <si>
    <t>142116, МОСКОВСКАЯ ОБЛАСТЬ, Г.О. ПОДОЛЬСК, Г ПОДОЛЬСК, УЛ ЛОБАЧЕВА, Д. 23, СТР. 4, ПОМЕЩ. 10</t>
  </si>
  <si>
    <t>ИП ВАРЛАМОВА ВАЛЕНТИНА ДМИТРИЕВНА</t>
  </si>
  <si>
    <t>ИП ШАГОВ СЕРГЕЙ ВАЛЕРЬЕВИЧ</t>
  </si>
  <si>
    <t>ООО ДИВИНОЙЛ РУС</t>
  </si>
  <si>
    <t>142115, МОСКОВСКАЯ ОБЛАСТЬ, Г ПОДОЛЬСК, УЛ ПРАВДЫ, Д. 38, ПОМЕЩ. 5</t>
  </si>
  <si>
    <t>ИП САФРОНОВА ЕКАТЕРИНА АЛЕКСАНДРОВНА</t>
  </si>
  <si>
    <t>ИП СИДОРОВА НАТАЛЬЯ ИВАНОВНА</t>
  </si>
  <si>
    <t>ИП КОЗЛОВ ДМИТРИЙ НИКОЛАЕВИЧ</t>
  </si>
  <si>
    <t>ИП РЫБАК ВЛАДИМИР АЛЕКСЕЕВИЧ</t>
  </si>
  <si>
    <t>ООО НПФ АДЕКВАТ</t>
  </si>
  <si>
    <t>141220, МОСКОВСКАЯ ОБЛАСТЬ, Г. ПУШКИНО, П ЧЕЛЮСКИНСКИЙ, УЛ ТРАКТОРНАЯ 1-Я, Д. 1, КВ. 24</t>
  </si>
  <si>
    <t>ООО ПУШКИНСКИЙ ЗАВОД</t>
  </si>
  <si>
    <t>141201, МОСКОВСКАЯ ОБЛАСТЬ, Г. ПУШКИНО, Ш ЯРОСЛАВСКОЕ, Д. 1 А, ЭТ/КОМ 5/511</t>
  </si>
  <si>
    <t>ООО ТЕХФИЛ</t>
  </si>
  <si>
    <t>141260, МОСКОВСКАЯ ОБЛАСТЬ, Г ПУШКИНО, ПГТ ПРАВДИНСКИЙ, УЛ ГЕРЦЕНА, Д. 1, КВ. 9</t>
  </si>
  <si>
    <t>ИП ВОЛОБУЕВА ОЛЬГА АЛЕКСАНДРОВНА</t>
  </si>
  <si>
    <t>ИП АВАНЕСЯН ЭДУАРД АРТУРОВИЧ</t>
  </si>
  <si>
    <t>ООО ПРОДТЕХ</t>
  </si>
  <si>
    <t>141201, МОСКОВСКАЯ ОБЛАСТЬ, Г. ПУШКИНО, УЛ НОВАЯ, Д. 16, ЭТАЖ 2 ПОМ.212</t>
  </si>
  <si>
    <t>ООО АВТОПАРТИС</t>
  </si>
  <si>
    <t>141202, РОССИЯ, МОСКОВСКАЯ ОБЛАСТЬ, Г.О. ПУШКИНСКИЙ, Г ПУШКИНО, Ш ЯРОСЛАВСКОЕ, Д. 149, ПОМЕЩ. №2Н, ОФИС №2НП/5/1</t>
  </si>
  <si>
    <t>ООО ТЕХСЕРВИС-МСК</t>
  </si>
  <si>
    <t>141281, МОСКОВСКАЯ ОБЛАСТЬ, Г. ПУШКИНО, Г ИВАНТЕЕВКА, УЛ ТРУДОВАЯ, Д. 19</t>
  </si>
  <si>
    <t>ООО АВТО-БАО</t>
  </si>
  <si>
    <t>141207, РОССИЯ, МОСКОВСКАЯ ОБЛАСТЬ, Г.О. ПУШКИНСКИЙ, Г ПУШКИНО, УЛ 50 ЛЕТ КОМСОМОЛА, Д. 34, ОФИС 1</t>
  </si>
  <si>
    <t>ООО ЛЕНГЛИ</t>
  </si>
  <si>
    <t>142290, МОСКОВСКАЯ ОБЛАСТЬ, Г СЕРПУХОВ, Г ПУЩИНО, МКР Г, Д. 1</t>
  </si>
  <si>
    <t>ИП ПЕТИН МИХАИЛ ГРИГОРЬЕВИЧ</t>
  </si>
  <si>
    <t>ИП ШЛЕНОВА ЕЛЕНА ИГОРЕВНА</t>
  </si>
  <si>
    <t>ООО ЕВРОИНСТРУМЕНТ</t>
  </si>
  <si>
    <t>140103, МОСКОВСКАЯ ОБЛАСТЬ, Г РАМЕНСКОЕ, Ш ДОНИНСКОЕ, Д. 20, СТР. 8</t>
  </si>
  <si>
    <t>ИП КУЗЬМИН НИКОЛАЙ НИКОЛАЕВИЧ</t>
  </si>
  <si>
    <t>140188, МОСКОВСКАЯ ОБЛАСТЬ, Г ЖУКОВСКИЙ, УЛ МОЛОДЕЖНАЯ, Д. 29, ОФИС 1</t>
  </si>
  <si>
    <t>ООО КВАДРО</t>
  </si>
  <si>
    <t>140181, РОССИЯ, МОСКОВСКАЯ ОБЛАСТЬ, Г.О. ЖУКОВСКИЙ, Г ЖУКОВСКИЙ, УЛ ЧКАЛОВА, Д. 40, ПОМЕЩ. 26</t>
  </si>
  <si>
    <t>140153, МОСКОВСКАЯ ОБЛАСТЬ, М.О. РАМЕНСКИЙ, С БЫКОВО, УЛ ТЕАТРАЛЬНАЯ, Д. 3, ПОМЕЩ. 145П</t>
  </si>
  <si>
    <t>ИП БОЙКО ДАНИЛ ОЛЕГОВИЧ</t>
  </si>
  <si>
    <t>ИП СПИРИН АНАТОЛИЙ СЕРГЕЕВИЧ</t>
  </si>
  <si>
    <t>ИП ТРУШКО АЛЕКСАНДР ВАДИМОВИЧ</t>
  </si>
  <si>
    <t>ИП Сотсков Александр Алексеевич</t>
  </si>
  <si>
    <t>ИП ЩЕРБАКОВ СЕРГЕЙ АЛЕКСАНДРОВИЧ</t>
  </si>
  <si>
    <t>ИП АНТОННИКОВА ОЛЬГА СЕРГЕЕВНА</t>
  </si>
  <si>
    <t>ООО Сотка</t>
  </si>
  <si>
    <t>141302, МОСКОВСКАЯ ОБЛАСТЬ, Г. СЕРГИЕВ ПОСАД, УЛ ВИФАНСКАЯ, Д.21</t>
  </si>
  <si>
    <t>ИП Семчук Светлана Евгеньевна</t>
  </si>
  <si>
    <t>ООО ПЕТРОЛ</t>
  </si>
  <si>
    <t>141300, МОСКОВСКАЯ ОБЛАСТЬ, Г. СЕРГИЕВ ПОСАД, УЛ 5-Й КМ (АТОДОРОГА М-8 ХОЛМОГОРЫ СЕРГИЕВ ПОСАД ТЕР.), СТР. 6</t>
  </si>
  <si>
    <t>ИП ЛЕБЕДЕВ АЛЕКСЕЙ НИКОЛАЕВИЧ</t>
  </si>
  <si>
    <t>ИП ЗАЙЦЕВ МИХАИЛ ЮРЬЕВИЧ</t>
  </si>
  <si>
    <t>ИП ЕЛИЗАРОВ СЕРГЕЙ АЛЕКСАНДРОВИЧ</t>
  </si>
  <si>
    <t>ООО ББТР</t>
  </si>
  <si>
    <t>141407, РОССИЯ, МОСКОВСКАЯ ОБЛАСТЬ, Г.О. ХИМКИ, Г ХИМКИ, УЛ БАБАКИНА, СТР. 5А, ПОМЕЩ. 007</t>
  </si>
  <si>
    <t>ИП РОДИОНОВА НАТАЛЬЯ ВАСИЛЬЕВНА</t>
  </si>
  <si>
    <t>ИП КУЛЬКОВ ДМИТРИЙ АЛЕКСЕЕВИЧ</t>
  </si>
  <si>
    <t>ИП МАЛЕЕВ МИХАИЛ АЛЕКСАНДРОВИЧ</t>
  </si>
  <si>
    <t>ИП ЗАРГАРЯН ОЛЬГА ВЛАДИМИРОВНА</t>
  </si>
  <si>
    <t>ИП Холянова Людмила Васильевна</t>
  </si>
  <si>
    <t>ИП КОЛЕСОВ СЕРГЕЙ НИКОЛАЕВИЧ</t>
  </si>
  <si>
    <t>ИП ХОЛЯНОВ АЛЕКСАНДР ВАЛЕРЬЯНОВИЧ</t>
  </si>
  <si>
    <t>ИП МАКСИМОВ ДМИТРИЙ ЕВГЕНЬЕВИЧ</t>
  </si>
  <si>
    <t>ООО АШАН</t>
  </si>
  <si>
    <t>141031, РОССИЯ, МОСКОВСКАЯ ОБЛАСТЬ, Г.О. МЫТИЩИ, Г МЫТИЩИ, Ш ОСТАШКОВСКОЕ, Д. 1</t>
  </si>
  <si>
    <t>ИП ИВАНОВА АЛЕКСАНДРА СЕРГЕЕВНА</t>
  </si>
  <si>
    <t>ООО ТАП77</t>
  </si>
  <si>
    <t>140014, МОСКОВСКАЯ ОБЛАСТЬ, Г ЛЮБЕРЦЫ, УЛ ХЛЕБОЗАВОДСКАЯ, Д. 8, ЛИТЕР Ж, КОМ. 2</t>
  </si>
  <si>
    <t>ООО ТОЙОТА МОТОР</t>
  </si>
  <si>
    <t>141031, МОСКОВСКАЯ ОБЛАСТЬ, Г.О. МЫТИЩИ, П ВЕШКИ, ТЕР. ТПЗ АЛТУФЬЕВО, КМ МКАД 84, ВЛД. 5, СТР. 1</t>
  </si>
  <si>
    <t>ООО ФН МАШИНЫ</t>
  </si>
  <si>
    <t>141407, РОССИЯ, МОСКОВСКАЯ ОБЛАСТЬ, Г.О. ХИМКИ, Г ХИМКИ, УЛ ПАНФИЛОВА, ВЛД. 21, СТР. 1, ЭТАЖ 16, ПОМЕЩ. 3</t>
  </si>
  <si>
    <t>ООО СТРЭКСТЭН</t>
  </si>
  <si>
    <t>141201, МОСКОВСКАЯ ОБЛАСТЬ, Г. ПУШКИНО, Ш ЯРОСЛАВСКОЕ, Д. 1 А, ЭТ/КОМНАТА 5/502</t>
  </si>
  <si>
    <t>ООО СПЕЦМАШ-М</t>
  </si>
  <si>
    <t>141044, МОСКОВСКАЯ ОБЛАСТЬ, Г.О. МЫТИЩИ, Д ГРИБКИ, УЛ АНГАРСКАЯ, СТР. 40А/1, ПОМЕЩ. 7</t>
  </si>
  <si>
    <t>АО СОВИНТЕРАВТОСЕРВИС</t>
  </si>
  <si>
    <t>142718, РОССИЯ, МОСКОВСКАЯ ОБЛАСТЬ, Г.О. ЛЕНИНСКИЙ, С БУЛАТНИКОВО, Ш СИМФЕРОПОЛЬСКОЕ, Д. 3, СТР. 8, КАБ. 401</t>
  </si>
  <si>
    <t>ООО МБ-ИЗМАЙЛОВО</t>
  </si>
  <si>
    <t>143912, МОСКОВСКАЯ ОБЛАСТЬ, Г БАЛАШИХА, Ш ЭНТУЗИАСТОВ (ЗАПАДНАЯ КОММУНАЛЬНАЯ ЗОНА ТЕР.), ВЛД. 2, КАБИНЕТ 2030 АВТОЦЕНТР № 2</t>
  </si>
  <si>
    <t>ООО МК БАЙКАЛ</t>
  </si>
  <si>
    <t>143980, МОСКОВСКАЯ ОБЛАСТЬ, Г БАЛАШИХА, УЛ ПОЛИКАХИНА (ЖЕЛЕЗНОДОРОЖНЫЙ МКР.), Д. 1, КВ. 116</t>
  </si>
  <si>
    <t>ИП АВДЕЕВА ОКСАНА АЛЕКСАНДРОВНА</t>
  </si>
  <si>
    <t>ООО АЛЬФА СК</t>
  </si>
  <si>
    <t>142900, МОСКОВСКАЯ ОБЛАСТЬ, Г КАШИРА, УЛ СТРОИТЕЛЬНАЯ, Д. 1</t>
  </si>
  <si>
    <t>ИП ШЛЫГАНОВ ЮРИЙ ВАЛЕНТИНОВИЧ</t>
  </si>
  <si>
    <t>ООО ЮНАЙТЕД ИНДАСТРИАЛ</t>
  </si>
  <si>
    <t>141402, РОССИЯ, МОСКОВСКАЯ ОБЛАСТЬ, Г.О. ХИМКИ, Г ХИМКИ, УЛ ЛЕНИНГРАДСКАЯ, ВЛД. 39, СТР. 6</t>
  </si>
  <si>
    <t>ИП Астафуров Алексей Анатольевич</t>
  </si>
  <si>
    <t>ИП СПИРИДОНОВ НИКОЛАЙ НИКОЛАЕВИЧ</t>
  </si>
  <si>
    <t>ООО НПП КВАЛИТЕТ</t>
  </si>
  <si>
    <t>140000, МОСКОВСКАЯ ОБЛАСТЬ, Г ЛЮБЕРЦЫ, ПР-Д КОТЕЛЬНИЧЕСКИЙ, Д. 4, ЛИТЕРА В, КОМ. 7</t>
  </si>
  <si>
    <t>ООО КВАЛИТЕТ - АВИА</t>
  </si>
  <si>
    <t>140000, МОСКОВСКАЯ ОБЛАСТЬ, Г ЛЮБЕРЦЫ, ПР-Д КОТЕЛЬНИЧЕСКИЙ, Д. 4, ЛИТЕРА Ц, КОМ. 13</t>
  </si>
  <si>
    <t>АО ПГ СПЕКТР-АВТО</t>
  </si>
  <si>
    <t>141201, МОСКОВСКАЯ ОБЛАСТЬ, Г.О. ПУШКИНСКИЙ, Г ПУШКИНО, Ш ЯРОСЛАВСКОЕ, Д. 1А, ЭТАЖ 5, КОМ. 506</t>
  </si>
  <si>
    <t>ИП ПОТАПОВ ЮРИЙ АЛЕКСЕЕВИЧ</t>
  </si>
  <si>
    <t>ИП САПОЖНИКОВ СЕРГЕЙ МИХАЙЛОВИЧ</t>
  </si>
  <si>
    <t>141983, МОСКОВСКАЯ ОБЛАСТЬ, Г ДУБНА, УЛ ПРОГРАММИСТОВ, Д. 4, СТР. 3, ОФИС 307</t>
  </si>
  <si>
    <t>ООО АЛЬБАТРОС</t>
  </si>
  <si>
    <t>141506, МОСКОВСКАЯ ОБЛАСТЬ, Г СОЛНЕЧНОГОРСК, УЛ ЛЕСНАЯ, Д. 13, ОФИС 13</t>
  </si>
  <si>
    <t>ИП БЕЗГОДКОВ ЕВГЕНИЙ АЛЕКСАНДРОВИЧ</t>
  </si>
  <si>
    <t>ООО ЛИДЕР-ПАРТС</t>
  </si>
  <si>
    <t>143986, МОСКОВСКАЯ ОБЛАСТЬ, Г БАЛАШИХА, УЛ СОВЕТСКАЯ (ЖЕЛЕЗНОДОРОЖНЫЙ МКР.), Д.78</t>
  </si>
  <si>
    <t>ООО ПКФ КАРЕ</t>
  </si>
  <si>
    <t>141506, МОСКОВСКАЯ ОБЛАСТЬ, Г СОЛНЕЧНОГОРСК, УЛ ЛЕСНАЯ, Д. 13, ОФИС 15</t>
  </si>
  <si>
    <t>ИП ПОРОТИКОВ АЛЕКСАНДР АЛЕКСАНДРОВИЧ</t>
  </si>
  <si>
    <t>ИП КАРПЕНКО ИРИНА ВАЛЕРЬЕВНА</t>
  </si>
  <si>
    <t>ИП ГОЛОВАЧЕВ ЮРИЙ ВАСИЛЬЕВИЧ</t>
  </si>
  <si>
    <t>ООО ТАИР</t>
  </si>
  <si>
    <t>141554, РОССИЯ, МОСКОВСКАЯ ОБЛАСТЬ, Г.О. СОЛНЕЧНОГОРСК, Д КРИВЦОВО, Д. 5А, ПОМЕЩ. 3, КОМ. 7</t>
  </si>
  <si>
    <t>ООО СВ СЕРВИС</t>
  </si>
  <si>
    <t>141503, РОССИЯ, МОСКОВСКАЯ ОБЛАСТЬ, Г.О. СОЛНЕЧНОГОРСК, Г СОЛНЕЧНОГОРСК, УЛ ЖЕЛЕЗНОДОРОЖНАЯ, СТР. 16/1, ПОМЕЩ. 4</t>
  </si>
  <si>
    <t>ООО УСАДЬБА МОРОЗОВКА</t>
  </si>
  <si>
    <t>141570, МОСКОВСКАЯ ОБЛАСТЬ, Г.О. СОЛНЕЧНОГОРСК, Д ЛЬЯЛОВО, ТЕР. ПАНСИОНАТ МОРОЗОВКА, СТР. 1</t>
  </si>
  <si>
    <t>ИП ИВАНОВ КОНСТАНТИН ВЛАДИМИРОВИЧ</t>
  </si>
  <si>
    <t>ООО СТУП-ОЙЛ</t>
  </si>
  <si>
    <t>142800, МОСКОВСКАЯ ОБЛАСТЬ, Г СТУПИНО, УЛ ПРИСТАНЦИОННАЯ, Д.17</t>
  </si>
  <si>
    <t>ООО ПРИОРИТЕТ-СТ</t>
  </si>
  <si>
    <t>142803, МОСКОВСКАЯ ОБЛАСТЬ, Г СТУПИНО, ПР-КТ ПОБЕДЫ, Д. 63/24, ПОМЕЩ. 6</t>
  </si>
  <si>
    <t>ООО ПРОММИНЖЕНИРИНГ</t>
  </si>
  <si>
    <t>142800, РОССИЯ, МОСКОВСКАЯ ОБЛАСТЬ, Г.О. СТУПИНО, Г СТУПИНО, УЛ ЖДАНОВА, ВЛД. 4А, СТР. 3, ПОМЕЩ. 84</t>
  </si>
  <si>
    <t>ИП ИЛЬЯСОВ ЯРОСЛАВ ИГОРЕВИЧ</t>
  </si>
  <si>
    <t>ИП ДРЯННОВ ПАВЕЛ АЛЕКСАНДРОВИЧ</t>
  </si>
  <si>
    <t>ИП СТАТИВКИН АНДРЕЙ ЕВГЕНЬЕВИЧ</t>
  </si>
  <si>
    <t>ООО ЦЕНТРОСНАБ</t>
  </si>
  <si>
    <t>141501, МОСКОВСКАЯ ОБЛАСТЬ, Г ХИМКИ, УЛ МОЛОДЕЖНАЯ, Д. 70, КВ. 570</t>
  </si>
  <si>
    <t>ООО ГЛОБУС ФОРВАРД ЛОГИСТИКС</t>
  </si>
  <si>
    <t>141402, МОСКОВСКАЯ ОБЛАСТЬ, Г.О. ХИМКИ, Г ХИМКИ, УЛ МОСКОВСКАЯ, Д. 14, ПОМЕЩ. 001</t>
  </si>
  <si>
    <t>141544, МОСКОВСКАЯ ОБЛАСТЬ, Г.О. ХИМКИ, Д ЮРЛОВО, УЛ ЗЕЛЕНАЯ, Д. 8, ПОМЕЩ. 109</t>
  </si>
  <si>
    <t>ООО КОМПАНИЯ ГРУЗОВИК</t>
  </si>
  <si>
    <t>141701, МОСКОВСКАЯ ОБЛАСТЬ, Г ДОЛГОПРУДНЫЙ, ПР-Д ТРАНСПОРТНЫЙ, Д. 7, СТР. 1</t>
  </si>
  <si>
    <t>ООО АРТ ОЙЛ ПРЕМЬЕР</t>
  </si>
  <si>
    <t>141701, МОСКОВСКАЯ ОБЛАСТЬ, Г ДОЛГОПРУДНЫЙ, УЛ ЛЕТНАЯ, Д. 1А, ОФИС 208</t>
  </si>
  <si>
    <t>ООО ОПТИМУС-ТРАК</t>
  </si>
  <si>
    <t>141446, РОССИЯ, МОСКОВСКАЯ ОБЛАСТЬ, Г.О. ХИМКИ, Г ХИМКИ, МКР. ПОДРЕЗКОВО, КВ-Л КИРИЛЛОВКА, Д. 2, СТР. 1</t>
  </si>
  <si>
    <t>ООО РЕАЛ</t>
  </si>
  <si>
    <t>141402, РОССИЯ, МОСКОВСКАЯ ОБЛАСТЬ, Г.О. ХИМКИ, Г ХИМКИ, УЛ РЕПИНА, Д. 2/27, ЭТАЖ 4, ПОМЕЩ. 10/ОФИС№401/2</t>
  </si>
  <si>
    <t>ООО ГОЛДЕН ТРЕЙД</t>
  </si>
  <si>
    <t>141432, РОССИЯ, МОСКОВСКАЯ ОБЛАСТЬ, Г.О. ХИМКИ, Г ХИМКИ, ТЕР МЕЖДУНАРОДНЫЙ АЭРОПОРТ ШЕРЕМЕТЬЕВО, ВЛД. 5, ПОМЕЩ. 504/2</t>
  </si>
  <si>
    <t>ООО ВСТМ</t>
  </si>
  <si>
    <t>141401, РОССИЯ, МОСКОВСКАЯ ОБЛАСТЬ, Г.О. ХИМКИ, Г ХИМКИ, УЛ ЮННАТОВ, Д. 19, СТР. 1, ПОМЕЩ. 134</t>
  </si>
  <si>
    <t>ООО ХАЙТЕКШИНА</t>
  </si>
  <si>
    <t>141700, РОССИЯ, МОСКОВСКАЯ ОБЛАСТЬ, Г.О. ДОЛГОПРУДНЫЙ, Г ДОЛГОПРУДНЫЙ, Б-Р КОСМОНАВТА СЕРЕБРОВА А.А., Д. 2, КВ. 261</t>
  </si>
  <si>
    <t>ООО АИРГРУПП</t>
  </si>
  <si>
    <t>141402, РОССИЯ, МОСКОВСКАЯ ОБЛАСТЬ, Г.О. ХИМКИ, Г ХИМКИ, Ш ВАШУТИНСКОЕ, Д. 15, ОФИС 3.01</t>
  </si>
  <si>
    <t>ООО ИМПОРТТРАК</t>
  </si>
  <si>
    <t>141704, РОССИЯ, МОСКОВСКАЯ ОБЛАСТЬ, Г.О. ДОЛГОПРУДНЫЙ, Г ДОЛГОПРУДНЫЙ, Ш СТАРОЕ ДМИТРОВСКОЕ, Д. 17, КВ. 255</t>
  </si>
  <si>
    <t>ИП ПЫЛЬЦЫН АНДРЕЙ АЛЕКСЕЕВИЧ</t>
  </si>
  <si>
    <t>ИП КОРШУНОВА МАРИНА АНАТОЛЬЕВНА</t>
  </si>
  <si>
    <t>ООО РЕМОНТНИК</t>
  </si>
  <si>
    <t>141109, МОСКОВСКАЯ ОБЛАСТЬ, Г ЩЁЛКОВО, УЛ ТАЛСИНСКАЯ, Д.25, ОФИС 251</t>
  </si>
  <si>
    <t>ООО АГРАНА ФРУТ МОСКОВСКИЙ РЕГИОН</t>
  </si>
  <si>
    <t>142214, МОСКОВСКАЯ ОБЛАСТЬ, Г СЕРПУХОВ, УЛ ФЕСТИВАЛЬНАЯ, Д. 5</t>
  </si>
  <si>
    <t>ИП Койнов Алексей Сергеевич</t>
  </si>
  <si>
    <t>ООО НА КОЛЕСАХ</t>
  </si>
  <si>
    <t>141103, РОССИЯ, МОСКОВСКАЯ ОБЛАСТЬ, Г.О. ЩЁЛКОВО, Г ЩЁЛКОВО, УЛ ЧКАЛОВСКАЯ, ВЛД. 6А, ПОМЕЩ. 2</t>
  </si>
  <si>
    <t>ООО КОНТУР-СЕРВИС</t>
  </si>
  <si>
    <t>141195, МОСКОВСКАЯ ОБЛАСТЬ, Г ФРЯЗИНО, УЛ ЦЕНТРАЛЬНАЯ, Д. 10</t>
  </si>
  <si>
    <t>АО ГАЗПРОМНЕФТЬ МЗСМ</t>
  </si>
  <si>
    <t>141191, МОСКОВСКАЯ ОБЛАСТЬ, Г.О. ФРЯЗИНО, Г ФРЯЗИНО, УЛ ОЗЕРНАЯ, Д. 6А</t>
  </si>
  <si>
    <t>ИП САЙФУЛЛИН ВЛАДЛЕН НАРКИСОВИЧ</t>
  </si>
  <si>
    <t>ООО СОВРЕМЕННЫЕ ТЕХНОЛОГИИ</t>
  </si>
  <si>
    <t>144000, МОСКОВСКАЯ ОБЛАСТЬ, Г ЭЛЕКТРОСТАЛЬ, УЛ КРАСНАЯ, Д. 30Б, ПОМ.ПОЗ. 1-23/608</t>
  </si>
  <si>
    <t>ООО НАРИН ГИДА</t>
  </si>
  <si>
    <t>142432, РОССИЯ, МОСКОВСКАЯ ОБЛАСТЬ, Г.О. ЧЕРНОГОЛОВКА, Г ЧЕРНОГОЛОВКА, ПРОЕЗД 3-Й, Д. 6, КОМ. 1</t>
  </si>
  <si>
    <t>ИП БОЛОТОВ КОНСТАНТИН СЕРГЕЕВИЧ</t>
  </si>
  <si>
    <t>ИП Березин Вячеслав Викторович</t>
  </si>
  <si>
    <t>ИП РАГИМОВ ЭЛЬБУРУС ХАНКИШИ ОГЛЫ</t>
  </si>
  <si>
    <t>ИП ПЕКАРЕВИЧ ДМИТРИЙ ВЛАДИМИРОВИЧ</t>
  </si>
  <si>
    <t>ИП ЛЕВЧЕНКО ДЕНИС ВЛАДИСЛАВОВИЧ</t>
  </si>
  <si>
    <t>ИП ЗАХАРОВА НОННА ВЛАДИМИРОВНА</t>
  </si>
  <si>
    <t>ИП Стрюкова Маргарита Александровна</t>
  </si>
  <si>
    <t>ИП ШАШЕРО АНДРЕЙ ПЕТРОВИЧ</t>
  </si>
  <si>
    <t>ИП МАНАКОВ АРТЁМ ВАЛЕРЬЕВИЧ</t>
  </si>
  <si>
    <t>ИП ТРЫНОВА ОЛЬГА АЛЕКСАНДРОВНА</t>
  </si>
  <si>
    <t>142184, МОСКОВСКАЯ ОБЛАСТЬ, Г ПОДОЛЬСК, УЛ ЮЖНЫЙ ПОСЕЛОК (КЛИМОВСК МКР.), Д. 32, ОФИС 2</t>
  </si>
  <si>
    <t>ООО ТРАКДРАЙВ</t>
  </si>
  <si>
    <t>142100, РОССИЯ, МОСКОВСКАЯ ОБЛАСТЬ, Г.О. ПОДОЛЬСК, Г ПОДОЛЬСК, ПР-КТ ЛЕНИНА, Д. 107/49, ОФИС 402Н</t>
  </si>
  <si>
    <t>142110, РОССИЯ, МОСКОВСКАЯ ОБЛАСТЬ, Г.О. ПОДОЛЬСК, Г ПОДОЛЬСК, УЛ КЛЕМЕНТА ГОТВАЛЬДА, Д. 6В, ПОМЕЩ. 5, ОФИС 11К, ЭТАЖ 7</t>
  </si>
  <si>
    <t>ООО БИПТОП</t>
  </si>
  <si>
    <t>РОССИЯ, МОСКОВСКАЯ ОБЛАСТЬ, Г.О. ПОДОЛЬСК, Г ПОДОЛЬСК, УЛ 50 ЛЕТ ВЛКСМ, Д. 20, ЭТАЖ 1, ПОМЕЩЕНИЕ 3</t>
  </si>
  <si>
    <t>ООО ЗСТОРГ</t>
  </si>
  <si>
    <t>142100, РОССИЯ, МОСКОВСКАЯ ОБЛАСТЬ, Г.О. ПОДОЛЬСК, Г ПОДОЛЬСК, УЛ КОМСОМОЛЬСКАЯ, Д. 81, КВ. 94</t>
  </si>
  <si>
    <t>142116, РОССИЯ, МОСКОВСКАЯ ОБЛАСТЬ, Г.О. ПОДОЛЬСК, Г ПОДОЛЬСК, ПР-КТ РЕВОЛЮЦИОННЫЙ, Д. 32/34, ПОМЕЩ. 3, КОМ. 2Б</t>
  </si>
  <si>
    <t>ООО СМОЛЕНСКАЯ ВОДА</t>
  </si>
  <si>
    <t>142118, РОССИЯ, МОСКОВСКАЯ ОБЛАСТЬ, Г.О. ПОДОЛЬСК, Г ПОДОЛЬСК, МКР. КУЗНЕЧИКИ, УЛ ГЕНЕРАЛА СМИРНОВА, Д. 10, КВ. 269</t>
  </si>
  <si>
    <t>ИП ХВАН ПОЛИНА ВАЛЕРЬЕВНА</t>
  </si>
  <si>
    <t>ООО АЙВЕНГО</t>
  </si>
  <si>
    <t>142210, МОСКОВСКАЯ ОБЛАСТЬ, Г СЕРПУХОВ, УЛ КАРЛА МАРКСА, Д. 2/1, ЛИТЕРА В ОБЪЕКТ 2, ПОМЕЩ. 35</t>
  </si>
  <si>
    <t>ИП ПОПОВИЧ РОМАН ВИТАЛЬЕВИЧ</t>
  </si>
  <si>
    <t>ИП Пресняков Руслан Геннадьевич</t>
  </si>
  <si>
    <t>ИП ФЕДОРЕНКО АЛИНА ЮРЬЕВНА</t>
  </si>
  <si>
    <t>ИП НАЛЕВИН МИХАИЛ ВИКТОРОВИЧ</t>
  </si>
  <si>
    <t>ИП Жуков Николай Сергеевич</t>
  </si>
  <si>
    <t>ООО ТТЕРМИНАЛ</t>
  </si>
  <si>
    <t>141580, МОСКОВСКАЯ ОБЛАСТЬ, Г.О. ХИМКИ, Д ЧЁРНАЯ ГРЯЗЬ, ТЕР. МНОГОФУНКЦИОНАЛЬНЫЙ ЛОГИСТИЧЕСКИЙ ПАРК, СТР. 1, ПОМЕЩ. 3, КОМ. 251</t>
  </si>
  <si>
    <t>ИП ГРАБОВСКИЙ АЛЕКСАНДР ТИМУРОВИЧ</t>
  </si>
  <si>
    <t>ООО АВТОДЕЛМА</t>
  </si>
  <si>
    <t>141533, МОСКОВСКАЯ ОБЛАСТЬ, Г СОЛНЕЧНОГОРСК, Д КОЧУГИНО, ТОРГ.ПАВИЛЬОН 01-М, ПОМ. 6</t>
  </si>
  <si>
    <t>141508, МОСКОВСКАЯ ОБЛАСТЬ, Г.О. СОЛНЕЧНОГОРСК, Д РЕКИНО-КРЕСТЫ, ТЕР. ПРОМЫШЛЕННАЯ ЗОНА N1, СТР. 1А</t>
  </si>
  <si>
    <t>ООО АВТ МОТОРС</t>
  </si>
  <si>
    <t>141580, МОСКОВСКАЯ ОБЛАСТЬ, Г ХИМКИ, Д ЧЁРНАЯ ГРЯЗЬ, УЛ СПОРТИВНАЯ, Д. 65, К. 1</t>
  </si>
  <si>
    <t>ООО СОЛАР-СТРОЙ</t>
  </si>
  <si>
    <t>141508, МОСКОВСКАЯ ОБЛАСТЬ, Г.О. СОЛНЕЧНОГОРСК, Г СОЛНЕЧНОГОРСК, УЛ МАРТОВСКАЯ, Д. 1А</t>
  </si>
  <si>
    <t>ООО АТОЛ ДЕТАЛЬ</t>
  </si>
  <si>
    <t>141504, МОСКОВСКАЯ ОБЛАСТЬ, Г СОЛНЕЧНОГОРСК, УЛ ОБУХОВСКАЯ, Д. 28, ЭТ/ПОМ/КОМ 2/1/1</t>
  </si>
  <si>
    <t>ООО МК-КОМПЛЕКТ</t>
  </si>
  <si>
    <t>141580, РОССИЯ, МОСКОВСКАЯ ОБЛАСТЬ, Г.О. ХИМКИ, Д ДУБРОВКИ, УЛ АЭРОПОРТОВСКАЯ, СТР. 2/2</t>
  </si>
  <si>
    <t>ИП РАДЕВИЧ СЕРГЕЙ НИКОЛАЕВИЧ</t>
  </si>
  <si>
    <t>ООО КОМПАНИЯ Е.Т.Л.</t>
  </si>
  <si>
    <t>142800, МОСКОВСКАЯ ОБЛАСТЬ, Г СТУПИНО, УЛ ЗАГОРОДНАЯ, Д.3</t>
  </si>
  <si>
    <t>ИП КОМАРОВ АЛЕКСАНДР ИГОРЕВИЧ</t>
  </si>
  <si>
    <t>ИП ШЕВЛЯКОВ ВАДИМ ЕВГЕНЬЕВИЧ</t>
  </si>
  <si>
    <t>ИП БОЛИНКОВ ЮРИЙ ВИТАЛЬЕВИЧ</t>
  </si>
  <si>
    <t>ООО ЦЕНТР ДИСТРИБЬЮЦИИ</t>
  </si>
  <si>
    <t>141402, МОСКОВСКАЯ ОБЛАСТЬ, Г ХИМКИ, УЛ ЛЕНИНГРАДСКАЯ, ВЛД. 39, СТР. 6, ЭТАЖ/ОФИС 7/3, 11</t>
  </si>
  <si>
    <t>ООО ДЕНЕБ</t>
  </si>
  <si>
    <t>141401, МОСКОВСКАЯ ОБЛАСТЬ, Г ХИМКИ, УЛ РАБОЧАЯ, Д. 2А, СТР. 31, ПОМЕЩ. 24</t>
  </si>
  <si>
    <t>ИП КАЛИНА ИЛЬЯ АНДРЕЕВИЧ</t>
  </si>
  <si>
    <t>ООО КМ</t>
  </si>
  <si>
    <t>141407, МОСКОВСКАЯ ОБЛАСТЬ, Г.О. ХИМКИ, Г ХИМКИ, УЛ ПАНФИЛОВА, Д. 4, ПОМЕЩ. 001</t>
  </si>
  <si>
    <t>ООО ИНСТРУМЕНТЫ</t>
  </si>
  <si>
    <t>141720, МОСКОВСКАЯ ОБЛАСТЬ, Г ДОЛГОПРУДНЫЙ, ПР-КТ ЛИХАЧЕВСКИЙ, Д. 46, СТР. 2, ЭТАЖ/ПОМ 2/7</t>
  </si>
  <si>
    <t>141701, МОСКОВСКАЯ ОБЛАСТЬ, Г ДОЛГОПРУДНЫЙ, ПР-Д ЛИХАЧЕВСКИЙ, Д. 8, ПОМЕЩ. XXI</t>
  </si>
  <si>
    <t>ООО ВЕРТИКАЛЬ МСК</t>
  </si>
  <si>
    <t>141402, МОСКОВСКАЯ ОБЛАСТЬ, Г ХИМКИ, Ш ВАШУТИНСКОЕ, ВЛД. 24Б, ПОМЕЩ. 65</t>
  </si>
  <si>
    <t>ООО КВАЛИТИГРУПП</t>
  </si>
  <si>
    <t>141801, РОССИЯ, МОСКОВСКАЯ ОБЛАСТЬ, М.О. ДМИТРОВСКИЙ, Г ДМИТРОВ, МКР ИМ ВЛАДИМИРА МАХАЛИНА, Д. 37, КВ. 165</t>
  </si>
  <si>
    <t>ООО ПРЕМИУМ-ОЙЛ</t>
  </si>
  <si>
    <t>141701, МОСКОВСКАЯ ОБЛАСТЬ, Г ДОЛГОПРУДНЫЙ, ПР-Д ЛИХАЧЕВСКИЙ, Д. 8, ПОМЕЩ. LX ОФИС 517</t>
  </si>
  <si>
    <t>ООО ГРАНД ГРУПП</t>
  </si>
  <si>
    <t>141402, РОССИЯ, МОСКОВСКАЯ ОБЛАСТЬ, Г.О. ХИМКИ, Г ХИМКИ, Ш ВАШУТИНСКОЕ, Д. 6, ОФИС 1</t>
  </si>
  <si>
    <t>ООО ВАЛВОЛИН МСК</t>
  </si>
  <si>
    <t>141401, РОССИЯ, МОСКОВСКАЯ ОБЛАСТЬ, Г.О. ХИМКИ, Г ХИМКИ, УЛ РАБОЧАЯ, Д. 2, К. 95, ОФИС 524А</t>
  </si>
  <si>
    <t>ООО АТЛАНТИС</t>
  </si>
  <si>
    <t>141402, МОСКОВСКАЯ ОБЛАСТЬ, Г.О. ХИМКИ, Г ХИМКИ, УЛ ЛЕНИНГРАДСКАЯ, Д. 29, ЭТАЖ 8, ОФИС 812/2</t>
  </si>
  <si>
    <t>ООО ТД МЕЛИОР</t>
  </si>
  <si>
    <t>141402, РОССИЯ, МОСКОВСКАЯ ОБЛАСТЬ, Г.О. ХИМКИ, Г ХИМКИ, УЛ ЛЕНИНГРАДСКАЯ, Д. 29</t>
  </si>
  <si>
    <t>ООО ШИЛД ПЕТРОКЕМИКАЛЗ</t>
  </si>
  <si>
    <t>141501, РОССИЯ, МОСКОВСКАЯ ОБЛАСТЬ, Г.О. ХИМКИ, Г ХИМКИ, УЛ МОЛОДЕЖНАЯ, Д. 74, КВ. 351</t>
  </si>
  <si>
    <t>ООО КАМА МАРКЕТ РУС</t>
  </si>
  <si>
    <t>141544, МОСКОВСКАЯ ОБЛАСТЬ, Г.О. ХИМКИ, Д БРЁХОВО, СТР. 83</t>
  </si>
  <si>
    <t>ИП ГРОМОВА ВАЛЕНТИНА ВАЛЕРЬЕВНА</t>
  </si>
  <si>
    <t>ИП НИКОЛАЕВА МАРИЯ СЕРГЕЕВНА</t>
  </si>
  <si>
    <t>ИП РОМАНЮК ПАВЕЛ АЛЕКСЕЕВИЧ</t>
  </si>
  <si>
    <t>ООО АРСЕНАЛ-СПЕКТР</t>
  </si>
  <si>
    <t>141142, МОСКОВСКАЯ ОБЛАСТЬ, Г ЛОСИНО-ПЕТРОВСКИЙ, П ЮНОСТЬ, Д. 11, ПОМЕЩ. 1</t>
  </si>
  <si>
    <t>ООО ТРАНС-АВТО ПЛЮС</t>
  </si>
  <si>
    <t>143912, МОСКОВСКАЯ ОБЛАСТЬ, Г БАЛАШИХА, Ш ЭНТУЗИАСТОВ (ЗАПАДНАЯ КОММУНАЛЬНАЯ ЗОНА ТЕР.), ВЛД. 2, КАБИНЕТ 305 АВТОЦЕНТР №3</t>
  </si>
  <si>
    <t>ООО ВЕДА</t>
  </si>
  <si>
    <t>141108, МОСКОВСКАЯ ОБЛАСТЬ, Г.О. ЩЁЛКОВО, Г ЩЁЛКОВО, УЛ ЗАВОДСКАЯ, СТР. 3В, ОФИС 305</t>
  </si>
  <si>
    <t>ООО СКА</t>
  </si>
  <si>
    <t>141075, МОСКОВСКАЯ ОБЛАСТЬ, Г КОРОЛЁВ, УЛ ДЕКАБРИСТОВ, Д. 6/8, КВ. 190</t>
  </si>
  <si>
    <t>ООО АВТОФЭМИЛИ</t>
  </si>
  <si>
    <t>141107, МОСКОВСКАЯ ОБЛАСТЬ, Г ЩЁЛКОВО, УЛ БРАВАРСКАЯ, Д. 100, ЧАСТЬ ЗД. МАГАЗИН-ПРОХОДНАЯ, ПОМЕЩ. 25</t>
  </si>
  <si>
    <t>ИП ЧЕРЕВКО АНДРЕЙ ВЛАДИМИРОВИЧ</t>
  </si>
  <si>
    <t>ИП ХРАМОВ ВЛАДИМИР ВЛАДИМИРОВИЧ</t>
  </si>
  <si>
    <t>ИП Антошин Валерий Викторович</t>
  </si>
  <si>
    <t>ООО РЕСУРСЫ ТЕХНОЛОГИЙ</t>
  </si>
  <si>
    <t>144010, МОСКОВСКАЯ ОБЛАСТЬ, Г ЭЛЕКТРОСТАЛЬ, УЛ ЯЛАГИНА, Д. 13, КВ. 206</t>
  </si>
  <si>
    <t>ИП БЕЛОГРУДОВ НИКИТА АЛЕКСАНДРОВИЧ</t>
  </si>
  <si>
    <t>ИП КОНДРАШОВА КАРИНА АНДРЕЕВНА</t>
  </si>
  <si>
    <t>ИП ГОЛОВАНОВ ДМИТРИЙ ВЛАДИМИРОВИЧ</t>
  </si>
  <si>
    <t>ИП МАЛЯРОВ ПАВЕЛ СЕРГЕЕВИЧ</t>
  </si>
  <si>
    <t>ИП СТРОКИН АЛЕКСЕЙ МИХАЙЛОВИЧ</t>
  </si>
  <si>
    <t>ИП КОБЛОВ ИВАН ВАЛЕРЬЕВИЧ</t>
  </si>
  <si>
    <t>ИП РОМАНОВА ТАТЬЯНА АНАТОЛЬЕВНА</t>
  </si>
  <si>
    <t>ООО АВТОПРИЮТ</t>
  </si>
  <si>
    <t>142181, МОСКОВСКАЯ ОБЛАСТЬ, Г ПОДОЛЬСК, УЛ ЗАВОДСКАЯ (КЛИМОВСК МКР.), Д. 2, КОМ. 6</t>
  </si>
  <si>
    <t>ООО КУРОРТ ЦАРЬГРАД СПАС-ТЕШИЛОВО</t>
  </si>
  <si>
    <t>142261, РОССИЯ, МОСКОВСКАЯ ОБЛАСТЬ, Г.О. СЕРПУХОВ, Д СПАС-ТЕШИЛОВО, Д. 3</t>
  </si>
  <si>
    <t>ООО ПРО ТО</t>
  </si>
  <si>
    <t>142200, РОССИЯ, МОСКОВСКАЯ ОБЛАСТЬ, Г.О. СЕРПУХОВ, Г СЕРПУХОВ, УЛ СОВЕТСКАЯ, Д. 31/21, ОФИС 207</t>
  </si>
  <si>
    <t>ИП ВОСКАНЯН ВААГ АРАЕВИЧ</t>
  </si>
  <si>
    <t>ООО ОБЛДОРТРАНСАЗС-СОЛНЕЧНОГОРСК</t>
  </si>
  <si>
    <t>141503, МОСКОВСКАЯ ОБЛАСТЬ, Г СОЛНЕЧНОГОРСК, УЛ ОБУХОВСКАЯ, Д.17, К.А</t>
  </si>
  <si>
    <t>ИП ПРОХОРОВ ПАВЕЛ АЛЕКСАНДРОВИЧ</t>
  </si>
  <si>
    <t>ИП БИБАНИН ИВАН СЕРГЕЕВИЧ</t>
  </si>
  <si>
    <t>ООО ТМХ РУС</t>
  </si>
  <si>
    <t>141407, МОСКОВСКАЯ ОБЛАСТЬ, Г ХИМКИ, Ш КУРКИНСКОЕ, СТР. 2, ЭТАЖ 14 Ч НЕЖ ПОМ 1401</t>
  </si>
  <si>
    <t>ООО СЕВЕР-СКАН АВТО</t>
  </si>
  <si>
    <t>141532, МОСКОВСКАЯ ОБЛАСТЬ, Г СОЛНЕЧНОГОРСК, ПГТ РАДУМЛЯ, ТЕР ТЕХЦЕНТР, СТР. 49/4, ОФИС 28</t>
  </si>
  <si>
    <t>ИП ФАТЕЕВА ЕЛЕНА СЕРГЕЕВНА</t>
  </si>
  <si>
    <t>ООО АВТОФАРМ+</t>
  </si>
  <si>
    <t>142803, МОСКОВСКАЯ ОБЛАСТЬ, Г СТУПИНО, УЛ ФРУНЗЕ, Д. 10, ОФИС 23</t>
  </si>
  <si>
    <t>ООО ЮНИОН</t>
  </si>
  <si>
    <t>142800, РОССИЯ, МОСКОВСКАЯ ОБЛАСТЬ, Г.О. СТУПИНО, Г СТУПИНО, УЛ ЗАГОРОДНАЯ, Д. 15, ПОМЕЩ. 12</t>
  </si>
  <si>
    <t>ООО ТЦ ШЕРЕМЕТЬЕВО</t>
  </si>
  <si>
    <t>141402, МОСКОВСКАЯ ОБЛАСТЬ, Г.О. ХИМКИ, Г ХИМКИ, Ш ЛЕНИНГРАДСКОЕ, СТР. 24, ЭТАЖ 2, ПОМЕЩ. 1</t>
  </si>
  <si>
    <t>ИП РЫЖОВ АЛЕКСАНДР АЛЕКСАНДРОВИЧ</t>
  </si>
  <si>
    <t>ООО БЭСТ ПРАЙС</t>
  </si>
  <si>
    <t>141401, МОСКОВСКАЯ ОБЛАСТЬ, Г ХИМКИ, УЛ ПОБЕДЫ, Д.11</t>
  </si>
  <si>
    <t>ООО КОРОНА МОТОРС</t>
  </si>
  <si>
    <t>141407, РОССИЯ, МОСКОВСКАЯ ОБЛАСТЬ, Г.О. ХИМКИ, Г ХИМКИ, УЛ ПАНФИЛОВА, Д. 4, ЭТАЖ/ПОМЕЩ. 1/001, РАБОЧЕЕ МЕСТО 1</t>
  </si>
  <si>
    <t>ООО КАЙМАН РУС</t>
  </si>
  <si>
    <t>141402, МОСКОВСКАЯ ОБЛАСТЬ, Г ХИМКИ, Ш ЛЕНИНГРАДСКОЕ, ВЛД. 29 Г</t>
  </si>
  <si>
    <t>ООО ДИСТРИБЬЮТОРСКИЙ ЦЕНТР ЮНИСОО</t>
  </si>
  <si>
    <t>ООО АВТОФОРУМ ШЕРЕМЕТЬЕВО</t>
  </si>
  <si>
    <t>141402, МОСКОВСКАЯ ОБЛАСТЬ, Г ХИМКИ, УЛ ЛЕНИНГРАДСКАЯ, ВЛД. 23, СТР. 3</t>
  </si>
  <si>
    <t>ООО АЛЬЯНС ТРАКС</t>
  </si>
  <si>
    <t>141701, МОСКОВСКАЯ ОБЛАСТЬ, Г ДОЛГОПРУДНЫЙ, ПР-Д ЛИХАЧЕВСКИЙ, ДОМ 16</t>
  </si>
  <si>
    <t>ООО ТОЙС МАРКЕТ</t>
  </si>
  <si>
    <t>141407, МОСКОВСКАЯ ОБЛАСТЬ, Г ХИМКИ, УЛ ГОРШИНА, Д. 5, ПОМЕЩ. 7А</t>
  </si>
  <si>
    <t>ООО ПКФ ЮНИОН</t>
  </si>
  <si>
    <t>141544, РОССИЯ, МОСКОВСКАЯ ОБЛАСТЬ, Г.О. ХИМКИ, Д БРЁХОВО, СТР. 83, ПОМЕЩ. 5</t>
  </si>
  <si>
    <t>ООО ОТПК ЦЕНТРОСНАБ</t>
  </si>
  <si>
    <t>141401, МОСКОВСКАЯ ОБЛАСТЬ, Г.О. ХИМКИ, Г ХИМКИ, УЛ ЗАВОДСКАЯ, Д. 1, ПОМЕЩ./ОФИС 24/308</t>
  </si>
  <si>
    <t>ООО ПО ГРУПП РУС</t>
  </si>
  <si>
    <t>141402, МОСКОВСКАЯ ОБЛАСТЬ, Г.О. ХИМКИ, Г ХИМКИ, УЛ ЛЕНИНГРАДСКАЯ, Д. 1, К. В, ОФИС 13</t>
  </si>
  <si>
    <t>АО РОЛЬФ</t>
  </si>
  <si>
    <t>141410, РОССИЯ, МОСКОВСКАЯ ОБЛАСТЬ, Г.О. ХИМКИ, Г ХИМКИ, Ш ЛЕНИНГРАДСКОЕ, ВЛД. 21</t>
  </si>
  <si>
    <t>ООО МС-КОМПАНИЯ</t>
  </si>
  <si>
    <t>141435, РОССИЯ, МОСКОВСКАЯ ОБЛАСТЬ, Г.О. ХИМКИ, Г ХИМКИ, МКР. НОВОГОРСК, УЛ ИВАНОВСКАЯ 1 КВАРТАЛ, Д. 6, К. 1, КВ. 11</t>
  </si>
  <si>
    <t>ООО ИНКРО</t>
  </si>
  <si>
    <t>141407, РОССИЯ, МОСКОВСКАЯ ОБЛАСТЬ, Г.О. ХИМКИ, Г ХИМКИ, УЛ ЛАВОЧКИНА, Д. 13, К. 6, ПОМЕЩ. 12, ОФИС 10</t>
  </si>
  <si>
    <t>ООО Е-ЛАБ</t>
  </si>
  <si>
    <t>141407, РОССИЯ, МОСКОВСКАЯ ОБЛАСТЬ, Г.О. ХИМКИ, Г ХИМКИ, УЛ БАБАКИНА, Д. 15, ПОМЕЩ. 6</t>
  </si>
  <si>
    <t>ООО ГРАВИС</t>
  </si>
  <si>
    <t>141402, РОССИЯ, МОСКОВСКАЯ ОБЛАСТЬ, Г.О. ХИМКИ, Г ХИМКИ, УЛ ЛЕНИНГРАДСКАЯ, Д. 1, К. В, ОФИС 56</t>
  </si>
  <si>
    <t>ООО ЭКСПЕРТ ЗАП</t>
  </si>
  <si>
    <t>141402, РОССИЯ, МОСКОВСКАЯ ОБЛАСТЬ, Г.О. ХИМКИ, Г ХИМКИ, УЛ СОЮЗНАЯ, СТР. 7</t>
  </si>
  <si>
    <t>ООО СИНТРА</t>
  </si>
  <si>
    <t>141402, РОССИЯ, МОСКОВСКАЯ ОБЛАСТЬ, Г.О. ХИМКИ, Г ХИМКИ, УЛ ЛЕНИНГРАДСКАЯ, ВЛД. 39, СТР. 6, ПОМЕЩ. ОВ02_02А_10</t>
  </si>
  <si>
    <t>ООО ТПХ</t>
  </si>
  <si>
    <t>141402, РОССИЯ, МОСКОВСКАЯ ОБЛАСТЬ, Г.О. ХИМКИ, Г ХИМКИ, УЛ ЛЕНИНГРАДСКАЯ, Д. 29, ЭТАЖ 9, ОФИС 904/2</t>
  </si>
  <si>
    <t>ООО СКЛАДСКАЯ ЛОГИСТИКА</t>
  </si>
  <si>
    <t>141700, РОССИЯ, МОСКОВСКАЯ ОБЛАСТЬ, Г.О. ДОЛГОПРУДНЫЙ, Г ДОЛГОПРУДНЫЙ, Б-Р НОВЫЙ, Д. 3, ПОМЕЩ. 8</t>
  </si>
  <si>
    <t>ООО ШИФТЕР</t>
  </si>
  <si>
    <t>141407, РОССИЯ, МОСКОВСКАЯ ОБЛАСТЬ, Г.О. ХИМКИ, Г ХИМКИ, Ш КУРКИНСКОЕ, Д. 26, КВ. 36</t>
  </si>
  <si>
    <t>ООО ТНП ИМПОРТ</t>
  </si>
  <si>
    <t>141701, РОССИЯ, МОСКОВСКАЯ ОБЛАСТЬ, Г.О. ДОЛГОПРУДНЫЙ, Г ДОЛГОПРУДНЫЙ, УЛ ПЕРВОМАЙСКАЯ, Д. 3А, ПОМЕЩ. 352</t>
  </si>
  <si>
    <t>ООО РС-ХРАН</t>
  </si>
  <si>
    <t>141704, РОССИЯ, МОСКОВСКАЯ ОБЛАСТЬ, Г.О. ДОЛГОПРУДНЫЙ, Г ДОЛГОПРУДНЫЙ, ПР-КТ ПАЦАЕВА, Д. 5, КВ. 66</t>
  </si>
  <si>
    <t>ИП МОЖНЯКОВ СЕРГЕЙ ЮРЬЕВИЧ</t>
  </si>
  <si>
    <t>ИП БАДАСЯН НЕРСЕС ЭДУАРДОВИЧ</t>
  </si>
  <si>
    <t>ООО ОЛИМП-АВТО</t>
  </si>
  <si>
    <t>142300, МОСКОВСКАЯ ОБЛАСТЬ, Г ЧЕХОВ, Ш СИМФЕРОПОЛЬСКОЕ, Д. 8, К. АПК, ПОМЕЩ. 27, ЭТАЖ 1</t>
  </si>
  <si>
    <t>ИП НЕПИЮЩИЙ АЛЕКСАНДР АЛЕКСАНДРОВИЧ</t>
  </si>
  <si>
    <t>ИП СИНЯЕВ АНДРЕЙ ОЛЕГОВИЧ</t>
  </si>
  <si>
    <t>ИП РОГАЧЕВА ЛЮБОВЬ ВЛАДИМИРОВНА</t>
  </si>
  <si>
    <t>ИП РАКОВСКАЯ НАТАЛЬЯ ВАСИЛЬЕВНА</t>
  </si>
  <si>
    <t>ИП ЛАВРОВА ЕЛЕНА ВЯЧЕСЛАВОВНА</t>
  </si>
  <si>
    <t>ИП ФОНЬКИНА ТАТЬЯНА АЛЕКСЕЕВНА</t>
  </si>
  <si>
    <t>ИП ВОЛКОВА ИРИНА ПЕТРОВНА</t>
  </si>
  <si>
    <t>ООО Ю.Т.С.</t>
  </si>
  <si>
    <t>МОСКОВСКАЯ ОБЛАСТЬ, Г.О. ЛОСИНО-ПЕТРОВСКИЙ, Г ЛОСИНО-ПЕТРОВСКИЙ, УЛ КИРОВА, СТР. 7Б, К. 1, КОМ. 1</t>
  </si>
  <si>
    <t>ИП ОСАУЛЕЦ ИВАН СЕРГЕЕВИЧ</t>
  </si>
  <si>
    <t>ООО ЗИОН</t>
  </si>
  <si>
    <t>141109, МОСКОВСКАЯ ОБЛАСТЬ, Г ЩЁЛКОВО, УЛ КОСМОДЕМЬЯНСКАЯ, Д. 17, К. 2, КВ. 10</t>
  </si>
  <si>
    <t>ООО АБИЕС</t>
  </si>
  <si>
    <t>141150, РОССИЯ, МОСКОВСКАЯ ОБЛАСТЬ, Г.О. ЛОСИНО-ПЕТРОВСКИЙ, Д ОСЕЕВО, ТЕР. АГРАРНАЯ, УЛ ПРОМЫШЛЕННАЯ, СТР. 6Б</t>
  </si>
  <si>
    <t>ИП РАЗДОБУДЬКО АРТЕМ АНДРЕЕВИЧ</t>
  </si>
  <si>
    <t>ИП КУЗЬМИН МИХАИЛ ЮРЬЕВИЧ</t>
  </si>
  <si>
    <t>ИП Нугаев Ринат Равильевич</t>
  </si>
  <si>
    <t>ИП МАСЛЕННИКОВ ДМИТРИЙ АЛЕКСАНДРОВИЧ</t>
  </si>
  <si>
    <t>ИП ШАРИПОВ АЛЕКСАНДР БОРИСОВИЧ</t>
  </si>
  <si>
    <t>ИП ВЕДИН ЕВГЕНИЙ ЮРЬЕВИЧ</t>
  </si>
  <si>
    <t>ООО МЭЙДЖОР - АВТО ЛР</t>
  </si>
  <si>
    <t>140090, МОСКОВСКАЯ ОБЛАСТЬ, Г ЛЮБЕРЦЫ, Г ДЗЕРЖИНСКИЙ, УЛ АЛЕКСЕЕВСКАЯ, Д. 12, ЭТАЖ 2 КОМН54</t>
  </si>
  <si>
    <t>ООО СПЕЦТРАНСКОМПЛЕКТ</t>
  </si>
  <si>
    <t>140090, МОСКОВСКАЯ ОБЛАСТЬ, Г ЛЮБЕРЦЫ, Г ДЗЕРЖИНСКИЙ, УЛ ЭНЕРГЕТИКОВ, Д. 24, ОФИС 336</t>
  </si>
  <si>
    <t>ИП СЁМИКОВА ЕЛЕНА СТЕФАНОВНА</t>
  </si>
  <si>
    <t>ИП ЧУКИН ГРИГОРИЙ ВАЛЕНТИНОВИЧ</t>
  </si>
  <si>
    <t>ИП ЧУЛКОВ ВАЛЕНТИН ВЯЧЕСЛАВОВИЧ</t>
  </si>
  <si>
    <t>ИП ИВЧЕНКО МАРИЯ ИГОРЕВНА</t>
  </si>
  <si>
    <t>АО ПОДОЛЬСКАГРОПРОМСНАБ</t>
  </si>
  <si>
    <t>142116, МОСКОВСКАЯ ОБЛАСТЬ, Г ПОДОЛЬСК, П СЕЛЬХОЗТЕХНИКА, Ш ДОМОДЕДОВСКОЕ, Д. 20Д</t>
  </si>
  <si>
    <t>ИП ФЕДЮШКИН ДМИТРИЙ АЛЕКСАНДРОВИЧ</t>
  </si>
  <si>
    <t>ООО ЭИР-ПАРТ</t>
  </si>
  <si>
    <t>140055, РОССИЯ, МОСКОВСКАЯ ОБЛАСТЬ, Г.О. КОТЕЛЬНИКИ, Г КОТЕЛЬНИКИ, Ш ДЗЕРЖИНСКОЕ, Д. 2, ЭТАЖ 4, ПОМЕЩ. 401</t>
  </si>
  <si>
    <t>ООО НАК МАШИНЕРИ</t>
  </si>
  <si>
    <t>143405, МОСКОВСКАЯ ОБЛАСТЬ, Г КРАСНОГОРСК, Ш ИЛЬИНСКОЕ, Д. 1А, ПОМ/КОМ 38/1 /04</t>
  </si>
  <si>
    <t>АО ЛОНМАДИ</t>
  </si>
  <si>
    <t>141441, МОСКОВСКАЯ ОБЛАСТЬ, Г.О. ХИМКИ, Д ЕЛИНО, ТЕР. ПРОМЫШЛЕННАЯ ЗОНА, СТР. 1, ЭТАЖ 3, ПОМЕЩ. 211</t>
  </si>
  <si>
    <t>ООО РЕЙНСКИЕ МАСЛА</t>
  </si>
  <si>
    <t>142712, МОСКОВСКАЯ ОБЛАСТЬ, Г ВИДНОЕ, ПГТ ГОРКИ ЛЕНИНСКИЕ, УЛ ЗАПАДНАЯ (ТЕХНОПАРК ПРОМЗОНА), ВЛД. 23, СТР. 1, ЭТАЖ 2 ПОМЕЩЕНИЕ 1</t>
  </si>
  <si>
    <t>ИП ПОДВОЙСКИЙ АЛЕКСАНДР ЛЕОНИДОВИЧ</t>
  </si>
  <si>
    <t>ИП САФРОНОВА АННА АЛЕКСЕЕВНА</t>
  </si>
  <si>
    <t>АО САФАРИ-215</t>
  </si>
  <si>
    <t>143900, МОСКОВСКАЯ ОБЛАСТЬ, Г БАЛАШИХА, УЛ ЗВЕЗДНАЯ, Д.15</t>
  </si>
  <si>
    <t>ООО МЭЙДЖОР-АВТО</t>
  </si>
  <si>
    <t>143420, МОСКОВСКАЯ ОБЛАСТЬ, Г КРАСНОГОРСК, ТЕР АВТОДОРОГА БАЛТИЯ, СКЛАД. КОМП КУЛ. БАЛТ, ПОМЕЩ. 43</t>
  </si>
  <si>
    <t>ООО ГАК МОТОР РУС</t>
  </si>
  <si>
    <t>143440, РОССИЯ, МОСКОВСКАЯ ОБЛАСТЬ, Г.О. КРАСНОГОРСК, ПГТ. ПУТИЛКОВО, ТЕР. ГРИНВУД, СТР. 1, ЭТАЖ 3, ПОМЕЩ. 92-98</t>
  </si>
  <si>
    <t>ИП ЖУКОВ ЮРИЙ ВЯЧЕСЛАВОВИЧ</t>
  </si>
  <si>
    <t>ИП МАРТИРОСЯН ВАРАЗДАТ АРУТЮНОВИЧ</t>
  </si>
  <si>
    <t>ИП ЕВСЕЕВ АЛЕКСЕЙ АНАТОЛЬЕВИЧ</t>
  </si>
  <si>
    <t>ИП КОЗЛОВСКИЙ МИХАИЛ ВИКТОРОВИЧ</t>
  </si>
  <si>
    <t>ИП БАГАЕВ АРТЕМИЙ РОМАНОВИЧ</t>
  </si>
  <si>
    <t>ИП ИРГАШЕВ АРТЕМ РУСЛАНОВИЧ</t>
  </si>
  <si>
    <t>АО КРОТЕКС</t>
  </si>
  <si>
    <t>142715, РОССИЯ, МОСКОВСКАЯ ОБЛАСТЬ, Г.О. ЛЕНИНСКИЙ, П СОВХОЗА ИМ. ЛЕНИНА, КМ МКАД 24, ЗД. 2</t>
  </si>
  <si>
    <t>ООО  МОРЕМАН</t>
  </si>
  <si>
    <t>ИП Локтев Алексей Владимирович</t>
  </si>
  <si>
    <t>ИП Галкин Сергей Владимирович</t>
  </si>
  <si>
    <t>ИП ДМИТРАЩЕНКО ЛЮБОВЬ ВЛАДИМИРОВНА</t>
  </si>
  <si>
    <t>ИП АНДРОНОВ ДМИТРИЙ ВИКТОРОВИЧ</t>
  </si>
  <si>
    <t>ООО ФАВОРИТ МОТОРС ГРУПП</t>
  </si>
  <si>
    <t>140073, МОСКОВСКАЯ ОБЛАСТЬ, Г ЛЮБЕРЦЫ, РП ТОМИЛИНО, МКР ПТИЦЕФАБРИКА, ЛИТЕРА 2С, ОФИС 15</t>
  </si>
  <si>
    <t>ООО ТРОЛЬ-АВТО</t>
  </si>
  <si>
    <t>142455, РОССИЯ, МОСКОВСКАЯ ОБЛАСТЬ, Г.О. БОГОРОДСКИЙ, Г ЭЛЕКТРОУГЛИ, УЛ ЗАВОДСКАЯ, Д. 4</t>
  </si>
  <si>
    <t>ООО ФАВОРИТ МОТОРС АВТОКВАРТАЛ</t>
  </si>
  <si>
    <t>140073, МОСКОВСКАЯ ОБЛАСТЬ, Г ЛЮБЕРЦЫ, РП ТОМИЛИНО, МКР ПТИЦЕФАБРИКА, ВЛД. 2С2, ПОМЕЩ. 13</t>
  </si>
  <si>
    <t>ООО ВЕСТОЙЛ</t>
  </si>
  <si>
    <t>143968, МОСКОВСКАЯ ОБЛАСТЬ, Г РЕУТОВ, УЛ ПОБЕДЫ, Д.28</t>
  </si>
  <si>
    <t>ООО ШАТЕ-М ПЛЮС</t>
  </si>
  <si>
    <t>142116, МОСКОВСКАЯ ОБЛАСТЬ, Г ПОДОЛЬСК, П СЕЛЬХОЗТЕХНИКА, Ш ДОМОДЕДОВСКОЕ, Д. 22, КОМ. 12-14, ЭТАЖ 2</t>
  </si>
  <si>
    <t>ИП АЛИФИРОВЕЦ ЕКАТЕРИНА АНАТОЛЬЕВНА</t>
  </si>
  <si>
    <t>ИП КАТЕРЕВ РУСЛАН ШАРИФОВИЧ</t>
  </si>
  <si>
    <t>ИП РЫБАЛЬЧЕНКО АНДРЕЙ НИКОЛАЕВИЧ</t>
  </si>
  <si>
    <t>ИП СУБОЧЕВ АЛЕКСЕЙ ВЛАДИМИРОВИЧ</t>
  </si>
  <si>
    <t>ИП МАЛОВ РУСЛАН АЛЕКСАНДРОВИЧ</t>
  </si>
  <si>
    <t>ИП МОЖАЕВ АНДРЕЙ ВЛАДИМИРОВИЧ</t>
  </si>
  <si>
    <t>ИП ЧЕРНЕНКОВ СЕРГЕЙ АЛЕКСАНДРОВИЧ</t>
  </si>
  <si>
    <t>ИП СЛУЦКИЙ АНТОН АЛЕКСАНДРОВИЧ</t>
  </si>
  <si>
    <t>ИП ИВАСИШИНА ВИКТОРИЯ СТАНИСЛАВОВНА</t>
  </si>
  <si>
    <t>ИП ХМЕЛЬНИЦКИЙ ЛЕОНИД АДОЛЬФОВИЧ</t>
  </si>
  <si>
    <t>ИП ЛЕКС СЕРГЕЙ ЮРЬЕВИЧ</t>
  </si>
  <si>
    <t>ИП Тимощенко Александр Александрович</t>
  </si>
  <si>
    <t>ИП Телегина Елена Ивановна</t>
  </si>
  <si>
    <t>ИП Белов Сергей Владимирович</t>
  </si>
  <si>
    <t>ИП РУСАЧЕНКО ДМИТРИЙ НИКОЛАЕВИЧ</t>
  </si>
  <si>
    <t>ООО СПЕЦСЕРВИСЦЕНТР</t>
  </si>
  <si>
    <t>142108, РОССИЯ, МОСКОВСКАЯ ОБЛАСТЬ, Г.О. ПОДОЛЬСК, П СОСНОВЫЙ БОР, УЛ ОБЪЕЗДНАЯ ДОРОГА, Д. 1, КВ. 491</t>
  </si>
  <si>
    <t>ООО РОММАРКЕТ</t>
  </si>
  <si>
    <t>142100, РОССИЯ, МОСКОВСКАЯ ОБЛАСТЬ, Г.О. ПОДОЛЬСК, Г ПОДОЛЬСК, УЛ КОМСОМОЛЬСКАЯ, Д. 28, ОФИС 369</t>
  </si>
  <si>
    <t>ООО ЮНАЙТЕД ОЙЛ РУС</t>
  </si>
  <si>
    <t>140050, РОССИЯ, МОСКОВСКАЯ ОБЛАСТЬ, Г.О. ЛЮБЕРЦЫ, ПГТ. КРАСКОВО, УЛ 2-Я ЗАВОДСКАЯ, Д. 6, ОФИС 1</t>
  </si>
  <si>
    <t>ИП СМОЛЕНСКИЙ ВЛАДИМИР ВАСИЛЬЕВИЧ</t>
  </si>
  <si>
    <t>ИП ХМЕЛЬНИЦКИЙ ИГОРЬ АДОЛЬФОВИЧ</t>
  </si>
  <si>
    <t>ИП КРАШЕНИННИКОВА ЛАРИСА СЛАВЯНОВНА</t>
  </si>
  <si>
    <t>ИП ФАДЕЕВА ЕЛЕНА ВАЛЕНТИНОВНА</t>
  </si>
  <si>
    <t>ФКУЗ САНАТОРИЙ РУЗА МВД РОССИИ</t>
  </si>
  <si>
    <t>143126, МОСКОВСКАЯ ОБЛАСТЬ, Г РУЗА, П ГОРБОВО</t>
  </si>
  <si>
    <t>ИП ПАНЧЕНКОВА АЛИНА СЕРГЕЕВНА</t>
  </si>
  <si>
    <t>ИП ПУГАЧЕВ ИГОРЬ АЛЕКСАНДРОВИЧ</t>
  </si>
  <si>
    <t>ГБУЗ МОСКОВСКОЙ ОБЛАСТИ СЕРЕБРЯНО-ПРУДСКАЯ БОЛЬНИЦА</t>
  </si>
  <si>
    <t>142970, МОСКОВСКАЯ ОБЛАСТЬ, ПГТ СЕРЕБРЯНЫЕ ПРУДЫ, УЛ ШКОЛЬНАЯ, Д. 4</t>
  </si>
  <si>
    <t>ИП ЛАЗАРЕВА СВЕТЛАНА АНАТОЛЬЕВНА</t>
  </si>
  <si>
    <t>ИП КЛИМЕНТОВ ВИТАЛИЙ ВЛАДИМИРОВИЧ</t>
  </si>
  <si>
    <t>ИП Бурцев Александр Иванович</t>
  </si>
  <si>
    <t>ООО ЗК</t>
  </si>
  <si>
    <t>141900, МОСКОВСКАЯ ОБЛАСТЬ, Г ТАЛДОМ, УЛ СОВЕТСКАЯ, Д. 14А</t>
  </si>
  <si>
    <t>ООО АСТРА</t>
  </si>
  <si>
    <t>143700, МОСКОВСКАЯ ОБЛАСТЬ, РП ШАХОВСКАЯ, УЛ БАЗАЕВА, Д.20-А</t>
  </si>
  <si>
    <t>ООО СВ-ПРОЕКТ</t>
  </si>
  <si>
    <t>140090, МОСКОВСКАЯ ОБЛАСТЬ, Г ЛЮБЕРЦЫ, Г ДЗЕРЖИНСКИЙ, УЛ ЭНЕРГЕТИКОВ, Д. 22, СТР. 1, ОФИС 101</t>
  </si>
  <si>
    <t>ООО АРСЕНАЛ</t>
  </si>
  <si>
    <t>143908, РОССИЯ, МОСКОВСКАЯ ОБЛАСТЬ, Г.О. БАЛАШИХА, Г БАЛАШИХА, УЛ ДОРОФЕЕВА, Д. 1, ПОМЕЩ. 20</t>
  </si>
  <si>
    <t>141014, МОСКОВСКАЯ ОБЛАСТЬ, Г МЫТИЩИ, УЛ КРАСНОАРМЕЙСКАЯ, ВЛД. 39, СТР. 1, ЭТАЖ 1 ПОМ 14</t>
  </si>
  <si>
    <t>ООО АВТОЛОГИСТИКА-ТРАНС</t>
  </si>
  <si>
    <t>141580, РОССИЯ, МОСКОВСКАЯ ОБЛАСТЬ, Г.О. ХИМКИ, Д ПИКИНО, УЛ ТРАНСПОРТНАЯ, СТР. 1</t>
  </si>
  <si>
    <t>ООО ТРАНСМЕХСЕРВИС</t>
  </si>
  <si>
    <t>142105, МОСКОВСКАЯ ОБЛАСТЬ, Г.О. ПОДОЛЬСК, Г ПОДОЛЬСК, УЛ БОЛЬШАЯ СЕРПУХОВСКАЯ, Д. 43, СТР. 11, ПОМЕЩ. 3, ЭТАЖ ОФИС 3 3Б</t>
  </si>
  <si>
    <t>ООО ТОРГОВЫЙ ДОМ СФЕРА</t>
  </si>
  <si>
    <t>140055, РОССИЯ, МОСКОВСКАЯ ОБЛАСТЬ, Г.О. КОТЕЛЬНИКИ, Г КОТЕЛЬНИКИ, Ш ДЗЕРЖИНСКОЕ, Д. 13, ПОМЕЩ. 1</t>
  </si>
  <si>
    <t>143409, РОССИЯ, МОСКОВСКАЯ ОБЛАСТЬ, Г.О. КРАСНОГОРСК, Г КРАСНОГОРСК, УЛ УСПЕНСКАЯ, Д. 5, ПОМЕЩ. 14, ОФИС 509-5</t>
  </si>
  <si>
    <t>ООО ГЛОБАЛ ТРАК СЕРВИС ЦЕНТР</t>
  </si>
  <si>
    <t>141202, МОСКОВСКАЯ ОБЛАСТЬ, Г ПУШКИНО, ТЕР 33-Й КМ АВТОДОРОГИ М8 ХОЛМОГОРЫ, ВЛД. 1, ПОМЕЩ. 65</t>
  </si>
  <si>
    <t>ООО ЭВЕРЕСТ ШОП</t>
  </si>
  <si>
    <t>141701, МОСКОВСКАЯ ОБЛАСТЬ, Г ДОЛГОПРУДНЫЙ, ПР-Д ЛИХАЧЕВСКИЙ, Д. 8, ЭТ/ПОМ 1/VIII</t>
  </si>
  <si>
    <t>ООО ГРИНТЕХ ЭНЕРДЖИ</t>
  </si>
  <si>
    <t>143401, РОССИЯ, МОСКОВСКАЯ ОБЛАСТЬ, Г.О. КРАСНОГОРСК, Г КРАСНОГОРСК, Б-Р СТРОИТЕЛЕЙ, Д. 4, К. 1, ПОМЕЩ. VII</t>
  </si>
  <si>
    <t>ООО ТТМ ЦЕНТР СЕВЕР</t>
  </si>
  <si>
    <t>141707, МОСКОВСКАЯ ОБЛАСТЬ, Г ДОЛГОПРУДНЫЙ, УЛ ЖУКОВСКОГО, Д. 12</t>
  </si>
  <si>
    <t>ИП САВЕЛЬЕВ ПАВЕЛ СЕРГЕЕВИЧ</t>
  </si>
  <si>
    <t>ИП БРЕТЫШЕВА АНАСТАСИЯ АНДРЕЕВНА</t>
  </si>
  <si>
    <t>ИП БОЖЕВОЛЬНЫЙ ПЕТР ВЛАДИМИРОВИЧ</t>
  </si>
  <si>
    <t>ИП ЗАБОТИН НИКОЛАЙ НИКОЛАЕВИЧ</t>
  </si>
  <si>
    <t>ИП РОГОВАСТОВ ВАДИМ ЮРЬЕВИЧ</t>
  </si>
  <si>
    <t>ООО СТРОЙАВТОМАТИКА</t>
  </si>
  <si>
    <t>141727, МОСКОВСКАЯ ОБЛАСТЬ, Г ДОЛГОПРУДНЫЙ, Ш НОВОЕ (ПАВЕЛЬЦЕВО МКР), Д. 30А</t>
  </si>
  <si>
    <t>141008, МОСКОВСКАЯ ОБЛАСТЬ, Г.О. МЫТИЩИ, Г МЫТИЩИ, УЛ КОЛПАКОВА, СТР. 24А, ОФИС 3.02</t>
  </si>
  <si>
    <t>ИП ЮХИМЕНКО РОМАН ВАДИМОВИЧ</t>
  </si>
  <si>
    <t>ООО МЕРЛИОН</t>
  </si>
  <si>
    <t>143401, МОСКОВСКАЯ ОБЛАСТЬ, Г КРАСНОГОРСК, Б-Р СТРОИТЕЛЕЙ, Д. 4, К. 1, ЭТАЖ 8, КАБИНЕТ 819</t>
  </si>
  <si>
    <t>ООО НТК НОРДОИЛ</t>
  </si>
  <si>
    <t>141900, РОССИЯ, МОСКОВСКАЯ ОБЛАСТЬ, Г.О. ТАЛДОМСКИЙ, Г ТАЛДОМ, УЛ СОВЕТСКАЯ, Д. 45А, КАБ. 2</t>
  </si>
  <si>
    <t>ООО ОДОЛЕНЬ-АВИА</t>
  </si>
  <si>
    <t>143981, МОСКОВСКАЯ ОБЛАСТЬ, Г БАЛАШИХА, УЛ ЦЕНТРАЛЬНАЯ (КУЧИНО МКР.), СТР.104</t>
  </si>
  <si>
    <t>ООО ТД РЕМЕЗА</t>
  </si>
  <si>
    <t>143930, МОСКОВСКАЯ ОБЛАСТЬ, Г.О. БАЛАШИХА, Г БАЛАШИХА, МКР. САЛТЫКОВКА, Ш НОСОВИХИНСКОЕ, ВЛД. 253, СТР. 11</t>
  </si>
  <si>
    <t>ООО ЮТАРА</t>
  </si>
  <si>
    <t>140002, РОССИЯ, МОСКОВСКАЯ ОБЛАСТЬ, Г.О. ЛЮБЕРЦЫ, Г ЛЮБЕРЦЫ, ПР-КТ ОКТЯБРЬСКИЙ, Д. 1</t>
  </si>
  <si>
    <t>ООО ТД МИТЛИС</t>
  </si>
  <si>
    <t>142006, МОСКОВСКАЯ ОБЛАСТЬ, Г.О. ДОМОДЕДОВО, Г ДОМОДЕДОВО, МКР. ВОСТРЯКОВО, УЛ ВЛАДЕНИЕ АГРОКОМПЛЕКС, СТР. 8, ПОМЕЩ. 2</t>
  </si>
  <si>
    <t>ООО СМАРТТУЛЗ</t>
  </si>
  <si>
    <t>141402, РОССИЯ, МОСКОВСКАЯ ОБЛАСТЬ, Г.О. ХИМКИ, Г ХИМКИ, УЛ РЕПИНА, Д. 2/27, ПОМЕЩ. 10, 3 ЭТАЖ, ОФИС 301/7</t>
  </si>
  <si>
    <t>ООО ПРОФМАРКЕТСИСТЕМ</t>
  </si>
  <si>
    <t>142715, РОССИЯ, МОСКОВСКАЯ ОБЛАСТЬ, Г.О. ЛЕНИНСКИЙ, Д АПАРИНКИ, ВЛД. 5, СТР. 18, КОМ. 17</t>
  </si>
  <si>
    <t>ООО РВБ</t>
  </si>
  <si>
    <t>142181, РОССИЯ, МОСКОВСКАЯ ОБЛАСТЬ, Г.О. ПОДОЛЬСК, Д КОЛЕДИНО, ТЕР. ИНДУСТРИАЛЬНЫЙ ПАРК КОЛЕДИНО, Д. 6, СТР. 1</t>
  </si>
  <si>
    <t>ООО КОМПАНИЯ СТЭК ПРОФИ</t>
  </si>
  <si>
    <t>141402, РОССИЯ, МОСКОВСКАЯ ОБЛАСТЬ, Г.О. ХИМКИ, Г ХИМКИ, УЛ ЛЕНИНГРАДСКАЯ, Д. 29, ЭТАЖ/ОФИС 9/(923/2)</t>
  </si>
  <si>
    <t>ООО БАЙКОМ.РУ</t>
  </si>
  <si>
    <t>141280, МОСКОВСКАЯ ОБЛАСТЬ, Г ПУШКИНО, Г ИВАНТЕЕВКА, МКР ГОЛЛАНДСКИЙ КВАРТАЛ, Д. 26, К. 1, ПОМЕЩ. 14</t>
  </si>
  <si>
    <t>ООО КАПИТАЛИНВЕСТ</t>
  </si>
  <si>
    <t>141407, РОССИЯ, МОСКОВСКАЯ ОБЛАСТЬ, Г.О. ХИМКИ, Г ХИМКИ, УЛ БАБАКИНА, Д. 15, КВ. 364</t>
  </si>
  <si>
    <t>ООО ХИМАВТО</t>
  </si>
  <si>
    <t>141204, РОССИЯ, МОСКОВСКАЯ ОБЛАСТЬ, Г.О. ПУШКИНСКИЙ, Г ПУШКИНО, УЛ ГРИБОЕДОВА, Д. 7, ПОМЕЩ. 24</t>
  </si>
  <si>
    <t>ООО МОСПАРТС</t>
  </si>
  <si>
    <t>140008, РОССИЯ, МОСКОВСКАЯ ОБЛАСТЬ, Г.О. ЛЮБЕРЦЫ, Г ЛЮБЕРЦЫ, УЛ 3-Е ПОЧТОВОЕ ОТДЕЛЕНИЕ, Д. 50А, ПОМЕЩ. 3</t>
  </si>
  <si>
    <t>ООО ТК АЗИЯ +</t>
  </si>
  <si>
    <t>141014, РОССИЯ, МОСКОВСКАЯ ОБЛАСТЬ, Г.О. МЫТИЩИ, Г МЫТИЩИ, ПР-КТ ОКТЯБРЬСКИЙ, Д. 4</t>
  </si>
  <si>
    <t>ООО АЛЬФАТРАКТ</t>
  </si>
  <si>
    <t>143002, РОССИЯ, МОСКОВСКАЯ ОБЛАСТЬ, Г.О. ОДИНЦОВСКИЙ, Г ОДИНЦОВО, УЛ ЮЖНАЯ, Д. 8А, ОФИС 332</t>
  </si>
  <si>
    <t>ИП ЯГОДКИН МАКСИМ ВИКТОРОВИЧ</t>
  </si>
  <si>
    <t>ИП АНТИКЯН ОЛЬГА ЕВГЕНЬЕВНА</t>
  </si>
  <si>
    <t>Мурманская область</t>
  </si>
  <si>
    <t>ООО АВТО АРСЕНАЛ</t>
  </si>
  <si>
    <t>184511, МУРМАНСКАЯ ОБЛАСТЬ, Г МОНЧЕГОРСК, ПР-КТ МЕТАЛЛУРГОВ, Д. 35, 16</t>
  </si>
  <si>
    <t>ООО КОЛАТЕХПРОМ</t>
  </si>
  <si>
    <t>183038, МУРМАНСКАЯ ОБЛАСТЬ, Г МУРМАНСК, УЛ ДЗЕРЖИНСКОГО, Д. 8, 44</t>
  </si>
  <si>
    <t>ИП Лисова Екатерина Константиновна</t>
  </si>
  <si>
    <t>ООО МТПК</t>
  </si>
  <si>
    <t>184381, МУРМАНСКАЯ ОБЛАСТЬ, Р-Н КОЛЬСКИЙ, Г КОЛА, УЛ ПРИВОКЗАЛЬНАЯ, Д. 3</t>
  </si>
  <si>
    <t>ИП ПЕЛЫХ АНДРЕЙ ИВАНОВИЧ</t>
  </si>
  <si>
    <t>ООО КТП</t>
  </si>
  <si>
    <t>ИП ЯКУШИК ДМИТРИЙ МИХАЙЛОВИЧ</t>
  </si>
  <si>
    <t>ИП ХОЛОДОВ НИКОЛАЙ ГЕННАДЬЕВИЧ</t>
  </si>
  <si>
    <t>ИП ИЛЬИНСКИЙ АЛЕКСАНДР СЕРГЕЕВИЧ</t>
  </si>
  <si>
    <t>ИП МИЩЕНКО СВЕТЛАНА ЮРЬЕВНА</t>
  </si>
  <si>
    <t>ИП ЦУРКОВА АНАСТАСИЯ СЕРГЕЕВНА</t>
  </si>
  <si>
    <t>ИП Зябирова Любовь Николаевна</t>
  </si>
  <si>
    <t>ИП ЯКУНИН ВАДИМ ЛЕОНИДОВИЧ</t>
  </si>
  <si>
    <t>ИП ПАСТУХОВА ЕЛЕНА АЛЕКСАНДРОВНА</t>
  </si>
  <si>
    <t>ИП ХАТОВНЕВ КОНСТАНТИН ВЛАДИМИРОВИЧ</t>
  </si>
  <si>
    <t>ИП ОРЁЛ МАРИНА НИКОЛАЕВНА</t>
  </si>
  <si>
    <t>ИП МАКАРОВ АЛЕКСАНДР ИВАНОВИЧ</t>
  </si>
  <si>
    <t>ИП ИГОЛКИНА ОЛЬГА НИКОЛАЕВНА</t>
  </si>
  <si>
    <t>ИП УТЮШЕВ РУСЛАН РАМИСОВИЧ</t>
  </si>
  <si>
    <t>ИП ПЕЧЁНКИН ЕГОР СЕРГЕЕВИЧ</t>
  </si>
  <si>
    <t>ООО СПУТНИК</t>
  </si>
  <si>
    <t>183038, МУРМАНСКАЯ ОБЛАСТЬ, Г МУРМАНСК, УЛ ДЗЕРЖИНСКОГО, Д. 8, КВ. 44</t>
  </si>
  <si>
    <t>ООО МОТОТЕХЦЕНТР</t>
  </si>
  <si>
    <t>183038, МУРМАНСКАЯ ОБЛАСТЬ, Г МУРМАНСК, УЛ ДОМОСТРОИТЕЛЬНАЯ, Д. 9</t>
  </si>
  <si>
    <t>ООО АКСЕЛЬ-РЕНОРД</t>
  </si>
  <si>
    <t>183038, МУРМАНСКАЯ ОБЛАСТЬ, Г.О. ГОРОД МУРМАНСК, Г МУРМАНСК, ПР-КТ КОЛЬСКИЙ, Д. 83, ПОМЕЩ. 4</t>
  </si>
  <si>
    <t>ООО ЭГИР</t>
  </si>
  <si>
    <t>183038, МУРМАНСКАЯ ОБЛАСТЬ, Г МУРМАНСК, УЛ ДОМОСТРОИТЕЛЬНАЯ, Д. 2, ОФИС 308Е</t>
  </si>
  <si>
    <t>ООО МАСТЕХ</t>
  </si>
  <si>
    <t>183038, МУРМАНСКАЯ ОБЛАСТЬ, Г МУРМАНСК, УЛ САМОЙЛОВОЙ, Д. 14, ОФИС 16</t>
  </si>
  <si>
    <t>ООО ПОЛАРЛИНК</t>
  </si>
  <si>
    <t>183038, МУРМАНСКАЯ ОБЛАСТЬ, Г.О. ГОРОД МУРМАНСК, Г МУРМАНСК, ПР-КТ КОЛЬСКИЙ, Д. 110А, ПОМЕЩ. 1-43</t>
  </si>
  <si>
    <t>ООО БРИСК</t>
  </si>
  <si>
    <t>183038, МУРМАНСКАЯ ОБЛАСТЬ, Г.О. ГОРОД МУРМАНСК, Г МУРМАНСК, УЛ КАПИТАНА ЕГОРОВА, Д. 14, ОФИС 100</t>
  </si>
  <si>
    <t>ИП ЛАРИОНОВ АЛЕКСЕЙ СЕРГЕЕВИЧ</t>
  </si>
  <si>
    <t>ИП ПРУЩИК ИГОРЬ ПАВЛОВИЧ</t>
  </si>
  <si>
    <t>ИП КУЧЕРЯВЕНКО АНЖЕЛА ВИКТОРОВНА</t>
  </si>
  <si>
    <t>ИП ГЕРЕШ СЕРГЕЙ ВЛАДИМИРОВИЧ</t>
  </si>
  <si>
    <t>ИП РУБЦОВ КИРИЛЛ ВЛАДИМИРОВИЧ</t>
  </si>
  <si>
    <t>АО КОВДОРСКИЙ ГОК</t>
  </si>
  <si>
    <t>184141, МУРМАНСКАЯ ОБЛАСТЬ, Р-Н КОВДОРСКИЙ, Г КОВДОР, УЛ СУХАЧЕВА, Д.5</t>
  </si>
  <si>
    <t>ИП КОЛЕСНИК СТЕПАН АЛЕКСАНДРОВИЧ</t>
  </si>
  <si>
    <t>ООО МУРМАНТЕХ</t>
  </si>
  <si>
    <t>184367, РОССИЯ, МУРМАНСКАЯ ОБЛАСТЬ, М.Р-Н КОЛЬСКИЙ, ПГТ КИЛЬДИНСТРОЙ, Г.П. КИЛЬДИНСТРОЙ, УЛ НАБЕРЕЖНАЯ, Д. 5, КВ. 61</t>
  </si>
  <si>
    <t>ИП ЛЕДНЕВА АНАСТАСИЯ ОЛЕГОВНА</t>
  </si>
  <si>
    <t>ИП ПОПОВ АНДРЕЙ АЛЕКСЕЕВИЧ</t>
  </si>
  <si>
    <t>ИП ШИХОВА ИРИНА ЮРЬЕВНА</t>
  </si>
  <si>
    <t>ООО ТЕРРИТОРИЯ МЕДВЕДИЦЫ</t>
  </si>
  <si>
    <t>184630, РОССИЯ, МУРМАНСКАЯ ОБЛАСТЬ, М.Р-Н КОЛЬСКИЙ, С ТЕРИБЕРКА, С.П. ТЕРИБЕРКА, УЛ КОМСОМОЛЬСКАЯ, Д. 4А</t>
  </si>
  <si>
    <t>ИП ЕВСЕЕВА ЖАННА АЛЕКСАНДРОВНА</t>
  </si>
  <si>
    <t>ОООСЕВРЕС</t>
  </si>
  <si>
    <t>183032, МУРМАНСКАЯ ОБЛАСТЬ, Г МУРМАНСК, УЛ ПОЛЯРНЫЕ ЗОРИ, Д. 13, КВ. 106</t>
  </si>
  <si>
    <t>ООО АВТО ПРО</t>
  </si>
  <si>
    <t>184250, РОССИЯ, МУРМАНСКАЯ ОБЛАСТЬ, М.О. ГОРОД КИРОВСК, Г КИРОВСК, УЛ ШИЛЕЙКО, Д. 6, КВ. 9</t>
  </si>
  <si>
    <t>ООО МАРИН САПЛАЙ</t>
  </si>
  <si>
    <t>183052, МУРМАНСКАЯ ОБЛАСТЬ, Г МУРМАНСК, ПР-КТ КОЛЬСКИЙ, Д.91, К.1, 32</t>
  </si>
  <si>
    <t>ООО АВТО СИТИ 51</t>
  </si>
  <si>
    <t>183038, МУРМАНСКАЯ ОБЛАСТЬ, Г МУРМАНСК, Ш ВЕРХНЕ-РОСТИНСКОЕ, Д. 55</t>
  </si>
  <si>
    <t>ООО МУРМАН-ГАРАНТ</t>
  </si>
  <si>
    <t>183074, МУРМАНСКАЯ ОБЛАСТЬ, Г МУРМАНСК, УЛ ПОЛЯРНЫЙ КРУГ, Д. 4, КВ. 5</t>
  </si>
  <si>
    <t>ООО СМК</t>
  </si>
  <si>
    <t>183038, МУРМАНСКАЯ ОБЛАСТЬ, Г МУРМАНСК, УЛ ТРАЛОВАЯ, Д. 2, ПОМЕЩ. 1</t>
  </si>
  <si>
    <t>ООО ИНСТРУМЕНТ-1</t>
  </si>
  <si>
    <t>ООО СЕВЕРТРАНС</t>
  </si>
  <si>
    <t>183052, МУРМАНСКАЯ ОБЛАСТЬ, Г МУРМАНСК, ПР-КТ КОЛЬСКИЙ, Д. 118</t>
  </si>
  <si>
    <t>ИП ФЕДОРОВА ВИКТОРИЯ АЛЕКСАНДРОВНА</t>
  </si>
  <si>
    <t>ООО МИСТЕРИЯ</t>
  </si>
  <si>
    <t>183010, МУРМАНСКАЯ ОБЛАСТЬ, Г.О. ГОРОД МУРМАНСК, Г МУРМАНСК, УЛ АЛЕКСЕЯ ГЕНЕРАЛОВА, Д. 3/20, КВ. 7</t>
  </si>
  <si>
    <t>ИП Маслак Владимир Николаевич</t>
  </si>
  <si>
    <t>ООО АЛЬЯНС ПЛЮС</t>
  </si>
  <si>
    <t>183038, МУРМАНСКАЯ ОБЛАСТЬ, Г МУРМАНСК, УЛ ВОРОВСКОГО, Д.5, К.23, 223</t>
  </si>
  <si>
    <t>ИП ПЕРШИН ИГОРЬ ИННОКЕНТЬЕВИЧ</t>
  </si>
  <si>
    <t>ИП БЕЦИВУ ДЕНИС КОНСТАНТИНОВИЧ</t>
  </si>
  <si>
    <t>ООО МС ГРУПП</t>
  </si>
  <si>
    <t>183052, МУРМАНСКАЯ ОБЛАСТЬ, Г МУРМАНСК, ПР-КТ КОЛЬСКИЙ, Д.140, К.5, 8</t>
  </si>
  <si>
    <t>АО НК РОСНЕФТЬ-МУРМАНСКНЕФТЕПРОДУКТ</t>
  </si>
  <si>
    <t>183038, МУРМАНСКАЯ ОБЛАСТЬ, Г МУРМАНСК, УЛ КАРЛА МАРКСА, Д. 27</t>
  </si>
  <si>
    <t>ИП ИВАЩЕНКО БОРИС СЕРГЕЕВИЧ</t>
  </si>
  <si>
    <t>ИП БАЛЫНЕЦ АНТОН ВЛАДИМИРОВИЧ</t>
  </si>
  <si>
    <t>ИП ТУЛИН ДМИТРИЙ АЛЕКСАНДРОВИЧ</t>
  </si>
  <si>
    <t>ООО СЕВЕРАВТО</t>
  </si>
  <si>
    <t>184209, МУРМАНСКАЯ ОБЛАСТЬ, Г АПАТИТЫ, УЛ ЖЕМЧУЖНАЯ, ВЛД. 9А</t>
  </si>
  <si>
    <t>ИП СЕМЁНОВ СЕРГЕЙ БОРИСОВИЧ</t>
  </si>
  <si>
    <t>ИП ШЕФАТОВ ДМИТРИЙ ИВАНОВИЧ</t>
  </si>
  <si>
    <t>ИП Иванов Сергей Борисович</t>
  </si>
  <si>
    <t>ИП КОЛЕСНИКОВ СЕРГЕЙ ВАЛЕРЬЕВИЧ</t>
  </si>
  <si>
    <t>ИП ЗАЙЦЕВ ЮРИЙ ЛЕОНИДОВИЧ</t>
  </si>
  <si>
    <t>ИП КУТЕЛЬМАХ ПАВЕЛ ИГОРЕВИЧ</t>
  </si>
  <si>
    <t>ИП КАТАЕВА ЛЮДМИЛА ВИКТОРОВНА</t>
  </si>
  <si>
    <t>ИП МУЗЫЧЕНКО КИРИЛЛ СЕРГЕЕВИЧ</t>
  </si>
  <si>
    <t>ИП МИШИН СЕРГЕЙ АЛЕКСАНДРОВИЧ</t>
  </si>
  <si>
    <t>ООО ФЛАМИНГО</t>
  </si>
  <si>
    <t>184650, МУРМАНСКАЯ ОБЛАСТЬ, Г ПОЛЯРНЫЙ, УЛ ДУШЕНОВА, Д.13, 21</t>
  </si>
  <si>
    <t>ООО АКСЕЛЬ-МОТОРС МУРМАНСК</t>
  </si>
  <si>
    <t>183038, РОССИЯ, МУРМАНСКАЯ ОБЛАСТЬ, Г.О. ГОРОД МУРМАНСК, Г МУРМАНСК, ПР-КТ КОЛЬСКИЙ, Д. 81</t>
  </si>
  <si>
    <t>183038, МУРМАНСКАЯ ОБЛАСТЬ, Г МУРМАНСК, УЛ ОКТЯБРЬСКАЯ, Д. 32, КВ. 2</t>
  </si>
  <si>
    <t>ООО КС ГРУПП</t>
  </si>
  <si>
    <t>183036, МУРМАНСКАЯ ОБЛАСТЬ, Г.О. ГОРОД МУРМАНСК, Г МУРМАНСК, УЛ МИРА, Д. 27, КВ 22</t>
  </si>
  <si>
    <t>ООО ПРАГМАТИКА МУРМАНСК</t>
  </si>
  <si>
    <t>183038, РОССИЯ, МУРМАНСКАЯ ОБЛАСТЬ, Г.О. ГОРОД МУРМАНСК, Г МУРМАНСК, ПР-КТ КОЛЬСКИЙ, Д. 110, ПОМЕЩ. 17</t>
  </si>
  <si>
    <t>ООО ВИТЭК</t>
  </si>
  <si>
    <t>183010, МУРМАНСКАЯ ОБЛАСТЬ, Г МУРМАНСК, ПЕР ХИБИНСКИЙ, Д. 2</t>
  </si>
  <si>
    <t>ИП МИКИТАЕВ ВЛАДИМИР АНДРЕЕВИЧ</t>
  </si>
  <si>
    <t>ИП БАБИЙ СЕРГЕЙ ИВАНОВИЧ</t>
  </si>
  <si>
    <t>ИП ПОЛОЗКОВ МИХАИЛ МИХАЙЛОВИЧ</t>
  </si>
  <si>
    <t>ООО КОЛОС</t>
  </si>
  <si>
    <t>Нижегородская область</t>
  </si>
  <si>
    <t>606210, НИЖЕГОРОДСКАЯ ОБЛАСТЬ, Р-Н ЛЫСКОВСКИЙ, Г ЛЫСКОВО, УЛ НЕСТЕРОВА, Д.7</t>
  </si>
  <si>
    <t>ИП ПИСКИЖОВ АЛЕКСЕЙ МИХАЙЛОВИЧ</t>
  </si>
  <si>
    <t>ИП СИДОРИН АНАТОЛИЙ НИКОЛАЕВИЧ</t>
  </si>
  <si>
    <t>ИП КОСТИН РОМАН АЛЕКСАНДРОВИЧ</t>
  </si>
  <si>
    <t>ИП РУБАНОВ АЛЕКСАНДР СЕРГЕЕВИЧ</t>
  </si>
  <si>
    <t>ИП САЛТЫКОВ ИВАН ПАВЛОВИЧ</t>
  </si>
  <si>
    <t>ООО БУДАНОВА</t>
  </si>
  <si>
    <t>606710, РОССИЯ, НИЖЕГОРОДСКАЯ ОБЛАСТЬ, М.О. КРАСНОБАКОВСКИЙ, РП КРАСНЫЕ БАКИ, ПЕР НИКОЛЬСКИЙ, Д. 1</t>
  </si>
  <si>
    <t>ИП РОЖКОВА ЕЛЕНА ЕВГЕНЬЕВНА</t>
  </si>
  <si>
    <t>ИП КУЗНЕЦОВА ОЛЬГА НИКОЛАЕВНА</t>
  </si>
  <si>
    <t>ГБУ КЦСОН ТОНКИНСКОГО МО</t>
  </si>
  <si>
    <t>606970, РОССИЯ, НИЖЕГОРОДСКАЯ ОБЛАСТЬ, М.О. ТОНКИНСКИЙ, РП ТОНКИНО, УЛ КОММУНИСТИЧЕСКАЯ, Д. 3, ПОМЕЩ. 1</t>
  </si>
  <si>
    <t>ПК ТОНШАЕВСКОЕ РАЙПО</t>
  </si>
  <si>
    <t>606950, НИЖЕГОРОДСКАЯ ОБЛАСТЬ, Р-Н ТОНШАЕВСКИЙ, РП ТОНШАЕВО, УЛ ЦЕНТРАЛЬНАЯ, Д. 45</t>
  </si>
  <si>
    <t>ПО ТОНШАЕВСКИЙ УНИВЕРСАМ</t>
  </si>
  <si>
    <t>606950, НИЖЕГОРОДСКАЯ ОБЛАСТЬ, Р-Н ТОНШАЕВСКИЙ, РП ТОНШАЕВО, УЛ ЧКАЛОВА, Д. 2</t>
  </si>
  <si>
    <t>ИП ВАРАКСИН ИВАН АРКАДЬЕВИЧ</t>
  </si>
  <si>
    <t>ИП ЛЕБЕДЕВ ВЯЧЕСЛАВ ВЛАДИМИРОВИЧ</t>
  </si>
  <si>
    <t>ИП Рехалов Виктор Артемьевич</t>
  </si>
  <si>
    <t>ИП КОЛУПАЕВ АЛЕКСАНДР АЛЕКСАНДРОВИЧ</t>
  </si>
  <si>
    <t>МОУ ШАТКОВСКАЯ ОШ</t>
  </si>
  <si>
    <t>607700, РОССИЯ, НИЖЕГОРОДСКАЯ ОБЛАСТЬ, М.О. ШАТКОВСКИЙ, РП ШАТКИ, УЛ ОКОЛИЦА, ЗД. 18</t>
  </si>
  <si>
    <t>ИП ГОЛОВКИН ВИКТОР АЛЕКСАНДРОВИЧ</t>
  </si>
  <si>
    <t>ООО СТАРТ</t>
  </si>
  <si>
    <t>606900, НИЖЕГОРОДСКАЯ ОБЛАСТЬ, Г ШАХУНЬЯ, РП ВАХТАН, УЛ МАЯКОВСКОГО, Д.70, 2</t>
  </si>
  <si>
    <t>ИП Гитинов Гитин Магомед Гаджиевич</t>
  </si>
  <si>
    <t>ИП АМОСОВА ТАТЬЯНА ВЯЧЕСЛАВОВНА</t>
  </si>
  <si>
    <t>ИП Самохвалов Александр Иванович</t>
  </si>
  <si>
    <t>ИП АНДРЕЕВА ГАЛИНА АРКАДЬЕВНА</t>
  </si>
  <si>
    <t>607220, НИЖЕГОРОДСКАЯ ОБЛАСТЬ, Г АРЗАМАС, УЛ 9 МАЯ, Д.1, К.1</t>
  </si>
  <si>
    <t>ИП ФУФИНА НАТАЛЬЯ ВИКТОРОВНА</t>
  </si>
  <si>
    <t>ГБУ КЦСОН БАЛАХНИНСКОГО МО</t>
  </si>
  <si>
    <t>606403, НИЖЕГОРОДСКАЯ ОБЛАСТЬ, Р-Н БАЛАХНИНСКИЙ, Г БАЛАХНА, УЛ СВЕРДЛОВА, Д.30</t>
  </si>
  <si>
    <t>ИП ВЕСЕЛКОВ АЛЕКСЕЙ ЕВГЕНЬЕВИЧ</t>
  </si>
  <si>
    <t>ИП МЕДОКИН ДМИТРИЙ ВИКТОРОВИЧ</t>
  </si>
  <si>
    <t>ПК КАНТАУРОВСКОЕ ПО</t>
  </si>
  <si>
    <t>606472, НИЖЕГОРОДСКАЯ ОБЛАСТЬ, Г БОР, С КАНТАУРОВО (КАНТАУРОВСКИЙ С/С), УЛ КООПЕРАТИВНАЯ, Д. 36</t>
  </si>
  <si>
    <t>ООО ПРЕДПРИЯТИЕ ПАССАТ</t>
  </si>
  <si>
    <t>606440, РОССИЯ, НИЖЕГОРОДСКАЯ ОБЛАСТЬ, М.О. ГОРОД БОР, Г БОР, УЛ ОСТРОВСКОГО, Д. 24</t>
  </si>
  <si>
    <t>ИП СУРОВ ИГОРЬ ИВАНОВИЧ</t>
  </si>
  <si>
    <t>ИП МУХАМАДУЛЛОЕВ ЛУТФУЛО ИБОДУЛЛОЕВИЧ</t>
  </si>
  <si>
    <t>ИП КАДЫРОВ АЛЛАБЕРДИ ТЕМИРБАЕВИЧ</t>
  </si>
  <si>
    <t>МАУ ГОРОДСКОГО ОКРУГА Г.ВЫКСА НИЖЕГОРОДСКОЙ ОБЛАСТИ ФОК БАТАШЕВ АРЕНА</t>
  </si>
  <si>
    <t>607067, НИЖЕГОРОДСКАЯ ОБЛАСТЬ, Г ВЫКСА, УЛ ЛОКТЯ, ЗД. 2А</t>
  </si>
  <si>
    <t>ИП АЛЕКСИН АНДРЕЙ АЛЕКСАНДРОВИЧ</t>
  </si>
  <si>
    <t>ИП РЫЖУХИН СЕРГЕЙ ВИТАЛЬЕВИЧ</t>
  </si>
  <si>
    <t>ИП НИКОЛЬСКИЙ РОМАН ВЛАДИМИРОВИЧ</t>
  </si>
  <si>
    <t>ИП Шепелев Андрей Александрович</t>
  </si>
  <si>
    <t>ИП ХОХЛОВА НАТАЛЬЯ ВЛАДИМИРОВНА</t>
  </si>
  <si>
    <t>ИП ПУШКОВА НАТАЛЬЯ ВЛАДИМИРОВНА</t>
  </si>
  <si>
    <t>ИП АЖИМОВ АНДРЕЙ ЛЬВОВИЧ</t>
  </si>
  <si>
    <t>ИП НИКУЛИН АЛЕКСАНДР ГЕОРГИЕВИЧ</t>
  </si>
  <si>
    <t>ИП АШМАРИН НИКОЛАЙ ЮРЬЕВИЧ</t>
  </si>
  <si>
    <t>ООО СИНТЕЗ-ПАК</t>
  </si>
  <si>
    <t>606000, НИЖЕГОРОДСКАЯ ОБЛАСТЬ, Г ДЗЕРЖИНСК, Ш ПОРТОВОЕ, Д. 10, К. 4, ПОМЕЩ. 8</t>
  </si>
  <si>
    <t>ООО НПО ОРГАНИК-ПРОГРЕСС</t>
  </si>
  <si>
    <t>606037, НИЖЕГОРОДСКАЯ ОБЛАСТЬ, Г ДЗЕРЖИНСК, УЛ САМОХВАЛОВА, Д.6Е, ОФИС 17</t>
  </si>
  <si>
    <t>ООО ВЭ ТЭ ИКС ПРО</t>
  </si>
  <si>
    <t>606025, НИЖЕГОРОДСКАЯ ОБЛАСТЬ, Г.О. ГОРОД ДЗЕРЖИНСК, Г ДЗЕРЖИНСК, ПР-КТ ЦИОЛКОВСКОГО, Д. 15, ОФИС 236</t>
  </si>
  <si>
    <t>ООО ФЕЛИКС ТС</t>
  </si>
  <si>
    <t>606000, НИЖЕГОРОДСКАЯ ОБЛАСТЬ, Г ДЗЕРЖИНСК, УЛ ВАТУТИНА, Д. 31А, КАБИНЕТ 8 ЭТАЖ 2</t>
  </si>
  <si>
    <t>ООО ТД ДХПС</t>
  </si>
  <si>
    <t>606000, РОССИЯ, НИЖЕГОРОДСКАЯ ОБЛАСТЬ, Г.О. ГОРОД ДЗЕРЖИНСК, Г ДЗЕРЖИНСК, Ш ВОСТОЧНОЕ, Д. 28Г</t>
  </si>
  <si>
    <t>ООО ПКФ ХИМАВАНГАРД</t>
  </si>
  <si>
    <t>606008, НИЖЕГОРОДСКАЯ ОБЛАСТЬ, Г ДЗЕРЖИНСК, УЛ УРИЦКОГО, Д. 2А, ПОМЕЩ. Б</t>
  </si>
  <si>
    <t>ИП ЕРИСКИНА ИРИНА ВЯЧЕСЛАВОВНА</t>
  </si>
  <si>
    <t>ООО ДЗЕРЖИНСКИЙ ЗАВОД ОРГАНИЧЕСКОГО СИНТЕЗА</t>
  </si>
  <si>
    <t>606000, НИЖЕГОРОДСКАЯ ОБЛАСТЬ, Г ДЗЕРЖИНСК, Ш РЕЧНОЕ, Д. 2А, КОМ. 27</t>
  </si>
  <si>
    <t>ООО ПКФ СВ-ХИМ</t>
  </si>
  <si>
    <t>606002, НИЖЕГОРОДСКАЯ ОБЛАСТЬ, Г ДЗЕРЖИНСК, УЛ КРАСНОАРМЕЙСКАЯ, Д. 17В</t>
  </si>
  <si>
    <t>ООО ХИМПРОМ</t>
  </si>
  <si>
    <t>606000, НИЖЕГОРОДСКАЯ ОБЛАСТЬ, Г ДЗЕРЖИНСК, Ш ПОРТОВОЕ, Д.10, К.1070</t>
  </si>
  <si>
    <t>ООО ПКФ ЗАВОД ДЗЕРЖИНСКИХ АНТИФРИЗОВ</t>
  </si>
  <si>
    <t>606033, НИЖЕГОРОДСКАЯ ОБЛАСТЬ, Г ДЗЕРЖИНСК, УЛ СТРОИТЕЛЕЙ, Д.9В, 33</t>
  </si>
  <si>
    <t>ИП ХРИСТОВ КИРИЛЛ ПАВЛОВИЧ</t>
  </si>
  <si>
    <t>ООО ТДТЕХНОСНАБХИМ</t>
  </si>
  <si>
    <t>606002, НИЖЕГОРОДСКАЯ ОБЛАСТЬ, Г ДЗЕРЖИНСК, УЛ КРАСНОАРМЕЙСКАЯ, Д. 21Г, ОФИС 4,5,6</t>
  </si>
  <si>
    <t>ООО СПЕЦАВТОРЕСУРС</t>
  </si>
  <si>
    <t>606019, НИЖЕГОРОДСКАЯ ОБЛАСТЬ, Г.О. ГОРОД ДЗЕРЖИНСК, Г ДЗЕРЖИНСК, УЛ ЧЕРНЯХОВСКОГО, Д. 41, ОФИС 121</t>
  </si>
  <si>
    <t>ООО ДРАЙВ-М</t>
  </si>
  <si>
    <t>606007, НИЖЕГОРОДСКАЯ ОБЛАСТЬ, Г ДЗЕРЖИНСК, УЛ СОВЕТСКАЯ, Д. 5, ПОМ. П1</t>
  </si>
  <si>
    <t>ООО ДОХЗ АВТОХИМ</t>
  </si>
  <si>
    <t>606002, НИЖЕГОРОДСКАЯ ОБЛАСТЬ, Г ДЗЕРЖИНСК, УЛ ЛЕРМОНТОВА, Д. 8, ПОМЕЩ. 9</t>
  </si>
  <si>
    <t>ООО БЕСТВЕЙ ДЗЕРЖИНСК</t>
  </si>
  <si>
    <t>606002, НИЖЕГОРОДСКАЯ ОБЛАСТЬ, Г ДЗЕРЖИНСК, УЛ КРАСНОАРМЕЙСКАЯ, Д. 21, ПОМЕЩ. Р4</t>
  </si>
  <si>
    <t>ООО СИНТЕЗ ОКА-ПОЛИУРЕТАН</t>
  </si>
  <si>
    <t>606000, НИЖЕГОРОДСКАЯ ОБЛАСТЬ, Г ДЗЕРЖИНСК, Ш ВОСТОЧНОЕ, Д. 88, К. 1, КАБИНЕТ 15</t>
  </si>
  <si>
    <t>ИП ОБОРИН МАКСИМ АЛЕКСАНДРОВИЧ</t>
  </si>
  <si>
    <t>ООО ПРОМОЙЛ НН</t>
  </si>
  <si>
    <t>606019, НИЖЕГОРОДСКАЯ ОБЛАСТЬ, Г ДЗЕРЖИНСК, УЛ ЧЕРНЯХОВСКОГО, Д. 35, ПОМЕЩ. 14А</t>
  </si>
  <si>
    <t>ООО НАУЧНО-ПРОИЗВОДСТВЕННОЕ ОБЪЕДИНЕНИЕ ХИМ-СИНТЕЗ+</t>
  </si>
  <si>
    <t>606026, РОССИЯ, НИЖЕГОРОДСКАЯ ОБЛАСТЬ, Г.О. ГОРОД ДЗЕРЖИНСК, Г ДЗЕРЖИНСК, УЛ ГАЙДАРА, Д. 27/13, КВ. 9</t>
  </si>
  <si>
    <t>ООО ГРУППА ПРОМПЭК</t>
  </si>
  <si>
    <t>606000, РОССИЯ, НИЖЕГОРОДСКАЯ ОБЛАСТЬ, Г.О. ГОРОД ДЗЕРЖИНСК, Г ДЗЕРЖИНСК, Ш АВТОЗАВОДСКОЕ, Д. 51В, ОФИС 3</t>
  </si>
  <si>
    <t>ООО ДОМКА</t>
  </si>
  <si>
    <t>606000, РОССИЯ, НИЖЕГОРОДСКАЯ ОБЛАСТЬ, Г.О. ГОРОД ДЗЕРЖИНСК, Г ДЗЕРЖИНСК, Ш ИГУМНОВСКОЕ, Д. 18А</t>
  </si>
  <si>
    <t>ИП ВЕДЕНЕЕВ ИЛЬЯ ВЛАДИМИРОВИЧ</t>
  </si>
  <si>
    <t>ООО  АГРОСЕЙЛ</t>
  </si>
  <si>
    <t>607684, НИЖЕГОРОДСКАЯ ОБЛАСТЬ, Р-Н КСТОВСКИЙ, Д РЖАВКА, ТЕР ПРОМЗОНА, СТР. 2, ПОМЕЩ. 2</t>
  </si>
  <si>
    <t>ООО СЦ АГРОДОК</t>
  </si>
  <si>
    <t>607684, НИЖЕГОРОДСКАЯ ОБЛАСТЬ, Р-Н КСТОВСКИЙ, Д РЖАВКА, ТЕР ПРОМЗОНА, СТР. 2, ПОМЕЩ. 4</t>
  </si>
  <si>
    <t>ГБУ ЦСОГПВИИ ГОРОДСКОГО ОКРУГА ГОРОД КУЛЕБАКИ</t>
  </si>
  <si>
    <t>607018, НИЖЕГОРОДСКАЯ ОБЛАСТЬ, Г КУЛЕБАКИ, УЛ ВОРОВСКОГО, Д.47, --, --</t>
  </si>
  <si>
    <t>ИП ПЕГАСОВ СЕРГЕЙ АЛЕКСАНДРОВИЧ</t>
  </si>
  <si>
    <t>ООО РЕМБРЭНД52</t>
  </si>
  <si>
    <t>606100, РОССИЯ, НИЖЕГОРОДСКАЯ ОБЛАСТЬ, М.О. ПАВЛОВСКИЙ, Г ПАВЛОВО, УЛ НИЖЕГОРОДСКАЯ, Д. 14</t>
  </si>
  <si>
    <t>ООО РЕГИОНАВТО 152</t>
  </si>
  <si>
    <t>606108, НИЖЕГОРОДСКАЯ ОБЛАСТЬ, Р-Н ПАВЛОВСКИЙ, Г ПАВЛОВО, УЛ ФАВОРСКОГО, Д. 74</t>
  </si>
  <si>
    <t>ООО СПЕЦОВКА</t>
  </si>
  <si>
    <t>606106, НИЖЕГОРОДСКАЯ ОБЛАСТЬ, Р-Н ПАВЛОВСКИЙ, Г ПАВЛОВО, УЛ НОВАЯ, Д. 20, КВ. 53</t>
  </si>
  <si>
    <t>ИП УТЕМОВ ВЛАДИМИР ВЛАДИМИРОВИЧ</t>
  </si>
  <si>
    <t>ИП НОВОЖИЛОВ ВЯЧЕСЛАВ АЛЕКСАНДРОВИЧ</t>
  </si>
  <si>
    <t>ИП ПЛАТОНОВ АЛЕКСАНДР ВЛАДИМИРОВИЧ</t>
  </si>
  <si>
    <t>ИП Корчин Кирилл Николаевич</t>
  </si>
  <si>
    <t>ГБУ КЦСОН ГОРОДСКОГО ОКРУГА Г. ПЕРВОМАЙСК</t>
  </si>
  <si>
    <t>607760, НИЖЕГОРОДСКАЯ ОБЛАСТЬ, Г ПЕРВОМАЙСК, УЛ ОКТЯБРЬСКАЯ, Д. 19, ПОМЕЩЕНИЕ 6</t>
  </si>
  <si>
    <t>ИП УЛЫБИН ВИКТОР МИХАЙЛОВИЧ</t>
  </si>
  <si>
    <t>ИП ТИХОНОВ АНДРЕЙ ПАВЛОВИЧ</t>
  </si>
  <si>
    <t>ИП ПЛАТОНОВА ЕКАТЕРИНА АЛЕКСАНДРОВНА</t>
  </si>
  <si>
    <t>ИП КАЛЯМАГИН ОЛЕГ СЕРГЕЕВИЧ</t>
  </si>
  <si>
    <t>ООО КРУГ</t>
  </si>
  <si>
    <t>606170, НИЖЕГОРОДСКАЯ ОБЛАСТЬ, Р-Н СОСНОВСКИЙ, РП СОСНОВСКОЕ, УЛ ЛЕНИНА, Д. 17</t>
  </si>
  <si>
    <t>ООО  РУНО</t>
  </si>
  <si>
    <t>ИП РЕНЕВ МИХАИЛ ЮРЬЕВИЧ</t>
  </si>
  <si>
    <t>ИП АБРАМОВА ЮЛИЯ ПАВЛОВНА</t>
  </si>
  <si>
    <t>ИП Игнатьев Антон Викторович</t>
  </si>
  <si>
    <t>ГБУ ШАХУНСКИЙ ДОМ-ИНТЕРНАТ</t>
  </si>
  <si>
    <t>606910, НИЖЕГОРОДСКАЯ ОБЛАСТЬ, Г ШАХУНЬЯ, УЛ ПЕРВОМАЙСКАЯ, Д.66А</t>
  </si>
  <si>
    <t>ИП Самохвалова Галина Викторовна</t>
  </si>
  <si>
    <t>ИП ПЕРШИН НИКОЛАЙ ВЛАДИМИРОВИЧ</t>
  </si>
  <si>
    <t>ИП ПОСТОЕНКО ВЛАДИМИР АНДРЕЕВИЧ</t>
  </si>
  <si>
    <t>ООО ТОРГСЕРВИС 52</t>
  </si>
  <si>
    <t>606503, НИЖЕГОРОДСКАЯ ОБЛАСТЬ, Р-Н ГОРОДЕЦКИЙ, Г ГОРОДЕЦ, УЛ РЕСПУБЛИКАНСКАЯ, Д. 86А, ОФИС 1</t>
  </si>
  <si>
    <t>ИП САЗАНОВ АЛЕКСАНДР ЕВГЕНЬЕВИЧ</t>
  </si>
  <si>
    <t>ИП ЛУКИН ЮРИЙ АЛЕКСЕЕВИЧ</t>
  </si>
  <si>
    <t>ИП КРАСИЛЬНИКОВА ТАТЬЯНА АНАТОЛЬЕВНА</t>
  </si>
  <si>
    <t>ООО ИНКОНЕЛЬ</t>
  </si>
  <si>
    <t>603009, НИЖЕГОРОДСКАЯ ОБЛАСТЬ, Г НИЖНИЙ НОВГОРОД, УЛ НЕВСКАЯ, Д. 19А, ОФИС 308А</t>
  </si>
  <si>
    <t>ООО ПРОФ-ТЕХ</t>
  </si>
  <si>
    <t>606443, НИЖЕГОРОДСКАЯ ОБЛАСТЬ, Г БОР, УЛ ЧУГУНОВА, Д. 6</t>
  </si>
  <si>
    <t>ООО ТРАКТРАНССЕРВИС</t>
  </si>
  <si>
    <t>606473, РОССИЯ, НИЖЕГОРОДСКАЯ ОБЛАСТЬ, М.О. ГОРОД БОР, Д ФИЛИППОВСКОЕ (КАНТАУРОВСКИЙ С/С), УЛ СЛОБОДКА, Д. 42</t>
  </si>
  <si>
    <t>ООО АДВАНПАРТС</t>
  </si>
  <si>
    <t>606440, РОССИЯ, НИЖЕГОРОДСКАЯ ОБЛАСТЬ, М.О. ГОРОД БОР, Г БОР, ПЕР ПОЛЕВОЙ, Д. 12, К. 1, ОФИС 4</t>
  </si>
  <si>
    <t>ИП Малышев Владислав Евгеньевич</t>
  </si>
  <si>
    <t>ИП Башмаков Вадим Дмитриевич</t>
  </si>
  <si>
    <t>ГБУ СТРОЧКОВСКИЙ ДОМ-ИНТЕРНАТ</t>
  </si>
  <si>
    <t>606519, НИЖЕГОРОДСКАЯ ОБЛАСТЬ, Р-Н ГОРОДЕЦКИЙ, С СТРОЧКОВО, УЛ ПОЛЕВАЯ, Д. 5</t>
  </si>
  <si>
    <t>ИП РОДИОНОВ АЛЕКСЕЙ ЕВСТАФЬЕВИЧ</t>
  </si>
  <si>
    <t>ГАОУ ДО НО СШ ФОК В Г. ГОРОДЕЦ НИЖЕГОРОДСКОЙ ОБЛАСТИ</t>
  </si>
  <si>
    <t>606508, НИЖЕГОРОДСКАЯ ОБЛАСТЬ, Р-Н ГОРОДЕЦКИЙ, Г ГОРОДЕЦ, УЛ НОВАЯ, Д. 122</t>
  </si>
  <si>
    <t>ООО ФРИДОМ</t>
  </si>
  <si>
    <t>606554, РОССИЯ, НИЖЕГОРОДСКАЯ ОБЛАСТЬ, М.О. ГОРОД ЧКАЛОВСК, Д ЯКОВЛЕВО, Д. 1</t>
  </si>
  <si>
    <t>ИП ЕРМАКОВА ЕВГЕНЬЯ СЕРГЕЕВНА</t>
  </si>
  <si>
    <t>ИП ЗАБОТИНА ЮЛИЯ ВИТАЛЬЕВНА</t>
  </si>
  <si>
    <t>ИП ЗАЙЦЕВ АЛЕКСЕЙ ВЛАДИМИРОВИЧ</t>
  </si>
  <si>
    <t>ИП ГУЛЬНЕВ ИГОРЬ НИКОЛАЕВИЧ</t>
  </si>
  <si>
    <t>ИП ЕГОРОВ АНДРЕЙ ВАЛЕНТИНОВИЧ</t>
  </si>
  <si>
    <t>ИП ВАРЮХОВ ВЛАДИМИР АЛЕКСАНДРОВИЧ</t>
  </si>
  <si>
    <t>ООО ТОСОЛ-СИНТЕЗ ТРЕЙДИНГ</t>
  </si>
  <si>
    <t>606000, НИЖЕГОРОДСКАЯ ОБЛАСТЬ, Г ДЗЕРЖИНСК, УЛ ВАТУТИНА, Д. 31А, КАБИНЕТ 25</t>
  </si>
  <si>
    <t>ООО АВТО` Р - НН</t>
  </si>
  <si>
    <t>606008, НИЖЕГОРОДСКАЯ ОБЛАСТЬ, Г ДЗЕРЖИНСК, УЛ ОКТЯБРЬСКАЯ, Д.36А, ОФИС 5</t>
  </si>
  <si>
    <t>ООО ПКФ МИГ И КОМПАНИЯ</t>
  </si>
  <si>
    <t>606016, НИЖЕГОРОДСКАЯ ОБЛАСТЬ, Г ДЗЕРЖИНСК, УЛ СТУДЕНЧЕСКАЯ, Д. 34В, ЛИТЕР Д, ПОМЕЩ. 1</t>
  </si>
  <si>
    <t>ООО ИНСТРОБ</t>
  </si>
  <si>
    <t>606023, НИЖЕГОРОДСКАЯ ОБЛАСТЬ, Г ДЗЕРЖИНСК, ПР-КТ ЛЕНИНА, Д.45</t>
  </si>
  <si>
    <t>ООО НОВАЯ ВЕРСИЯ</t>
  </si>
  <si>
    <t>606015, НИЖЕГОРОДСКАЯ ОБЛАСТЬ, Г ДЗЕРЖИНСК, ПЕР ЗАПАДНЫЙ, Д.5, 18</t>
  </si>
  <si>
    <t>ИП ВДОВИНА НАТАЛИЯ БОРИСОВНА</t>
  </si>
  <si>
    <t>ООО РЕГИОН-С</t>
  </si>
  <si>
    <t>606000, НИЖЕГОРОДСКАЯ ОБЛАСТЬ, Г ДЗЕРЖИНСК, Ш ВОСТОЧНОЕ, Д. 2</t>
  </si>
  <si>
    <t>ООО ТД ОПОРА</t>
  </si>
  <si>
    <t>606024, НИЖЕГОРОДСКАЯ ОБЛАСТЬ, Г ДЗЕРЖИНСК, УЛ ЧАПАЕВА, Д.77, 15А</t>
  </si>
  <si>
    <t>ООО ЭКСПРО</t>
  </si>
  <si>
    <t>606023, НИЖЕГОРОДСКАЯ ОБЛАСТЬ, Г ДЗЕРЖИНСК, ПР-КТ ЛЕНИНА, Д.45, 10</t>
  </si>
  <si>
    <t>ООО ТД ХИМАВТО</t>
  </si>
  <si>
    <t>606016, НИЖЕГОРОДСКАЯ ОБЛАСТЬ, Г ДЗЕРЖИНСК, ПР-КТ ЛЕНИНА, Д. 100, ОФИС 203</t>
  </si>
  <si>
    <t>ООО МОЗЕР</t>
  </si>
  <si>
    <t>606002, НИЖЕГОРОДСКАЯ ОБЛАСТЬ, Г ДЗЕРЖИНСК, УЛ КРАСНОАРМЕЙСКАЯ, Д. 17В, ОФИС 3</t>
  </si>
  <si>
    <t>ООО ОЙЛТОРГ</t>
  </si>
  <si>
    <t>606002, НИЖЕГОРОДСКАЯ ОБЛАСТЬ, Г ДЗЕРЖИНСК, УЛ КРАСНОАРМЕЙСКАЯ, Д.17/2474, ОФИС 2</t>
  </si>
  <si>
    <t>ООО НАФТАХИМ-ЭКСПОРТ</t>
  </si>
  <si>
    <t>606000, НИЖЕГОРОДСКАЯ ОБЛАСТЬ, Г ДЗЕРЖИНСК, УЛ КИРОВА, Д. 6/12, КВ. 35</t>
  </si>
  <si>
    <t>ООО ПЕРИТОН</t>
  </si>
  <si>
    <t>606026, НИЖЕГОРОДСКАЯ ОБЛАСТЬ, Г ДЗЕРЖИНСК, УЛ БУДЕННОГО, Д. 1А, КВ. 17</t>
  </si>
  <si>
    <t>ООО ПК ДЗР-ХИМ</t>
  </si>
  <si>
    <t>606000, НИЖЕГОРОДСКАЯ ОБЛАСТЬ, Г.О. ГОРОД ДЗЕРЖИНСК, Г ДЗЕРЖИНСК, Ш РЕЧНОЕ, Д. 5Д</t>
  </si>
  <si>
    <t>606002, НИЖЕГОРОДСКАЯ ОБЛАСТЬ, Г.О. ГОРОД ДЗЕРЖИНСК, Г ДЗЕРЖИНСК, УЛ ЛЕРМОНТОВА, Д. 5, КВ. 28</t>
  </si>
  <si>
    <t>ООО КАР-А-ВАН</t>
  </si>
  <si>
    <t>603004, НИЖЕГОРОДСКАЯ ОБЛАСТЬ, Г НИЖНИЙ НОВГОРОД, ПР-КТ ЛЕНИНА, Д. 95А, КАБИНЕТ 2</t>
  </si>
  <si>
    <t>ИП МАРЧЕНКО ВЯЧЕСЛАВ ЮРЬЕВИЧ</t>
  </si>
  <si>
    <t>606002, НИЖЕГОРОДСКАЯ ОБЛАСТЬ, Г ДЗЕРЖИНСК, ПЕР ГАРАЖНЫЙ, Д. 8, ПОМЕЩ. 3</t>
  </si>
  <si>
    <t>ООО ТД РОКА ХЕМИКАЛС</t>
  </si>
  <si>
    <t>606016, РОССИЯ, НИЖЕГОРОДСКАЯ ОБЛАСТЬ, Г.О. ГОРОД ДЗЕРЖИНСК, Г ДЗЕРЖИНСК, ПР-КТ ЛЕНИНА, Д. 105Б, ОФИС 2</t>
  </si>
  <si>
    <t>ООО ПОЛЮС-ДЗР</t>
  </si>
  <si>
    <t>606070, РОССИЯ, НИЖЕГОРОДСКАЯ ОБЛАСТЬ, М.О. ВОЛОДАРСКИЙ, Г ВОЛОДАРСК, УЛ КАЛИНИНСКАЯ, ДВЛД. 9, КОМ. 2</t>
  </si>
  <si>
    <t>ООО ПРЕМИУМОЙЛ</t>
  </si>
  <si>
    <t>606016, РОССИЯ, НИЖЕГОРОДСКАЯ ОБЛАСТЬ, Г.О. ГОРОД ДЗЕРЖИНСК, Г ДЗЕРЖИНСК, ПР-КТ ЛЕНИНА, Д. 100, ОФИС 108</t>
  </si>
  <si>
    <t>ООО ПРОМИКС</t>
  </si>
  <si>
    <t>606030, РОССИЯ, НИЖЕГОРОДСКАЯ ОБЛАСТЬ, Г.О. ГОРОД ДЗЕРЖИНСК, Г ДЗЕРЖИНСК, УЛ ПОПОВА, Д. 28Б, КВ. 165</t>
  </si>
  <si>
    <t>ООО ОИЛТРАНС</t>
  </si>
  <si>
    <t>606034, РОССИЯ, НИЖЕГОРОДСКАЯ ОБЛАСТЬ, Г.О. ГОРОД ДЗЕРЖИНСК, Г ДЗЕРЖИНСК, ПР-КТ ЦИОЛКОВСКОГО, Д. 68, КВ. 64</t>
  </si>
  <si>
    <t>ИП БАЖАНОВ АЛЕКСАНДР АЛЕКСАНДРОВИЧ</t>
  </si>
  <si>
    <t>ИП ГУСЕВА ЕЛЕНА НИКОЛАЕВНА</t>
  </si>
  <si>
    <t>ООО СТЗ-НН</t>
  </si>
  <si>
    <t>607657, НИЖЕГОРОДСКАЯ ОБЛАСТЬ, Р-Н КСТОВСКИЙ, Г КСТОВО, УЛ ПАРКОВАЯ, Д. 7, ОФИС 136</t>
  </si>
  <si>
    <t>ИП СМЕТАНИН АЛЕКСАНДР АНАТОЛЬЕВИЧ</t>
  </si>
  <si>
    <t>ИП Зубков Андрей Петрович</t>
  </si>
  <si>
    <t>ИП ПЕГАСОВА АЛЕВТИНА ИВАНОВНА</t>
  </si>
  <si>
    <t>ИП СУСТАЕВА ОЛЬГА АЛЕКСАНДРОВНА</t>
  </si>
  <si>
    <t>ИП КРЮКОВА МАРИНА ЛЕОНИДОВНА</t>
  </si>
  <si>
    <t>ИП МАСЛЕННИКОВ МИХАИЛ АЛЕКСАНДРОВИЧ</t>
  </si>
  <si>
    <t>ООО ЦЕНТРАЛЬНОЕ</t>
  </si>
  <si>
    <t>607530, НИЖЕГОРОДСКАЯ ОБЛАСТЬ, Р-Н КРАСНООКТЯБРЬСКИЙ, С УРАЗОВКА, УЛ СОВЕТСКАЯ, Д. 2</t>
  </si>
  <si>
    <t>ИП Нестерова Надежда Александровна</t>
  </si>
  <si>
    <t>ИП ХРЕНКОВА МАРИНА ВАЛЕРЬЕВНА</t>
  </si>
  <si>
    <t>606210, НИЖЕГОРОДСКАЯ ОБЛАСТЬ, Р-Н ЛЫСКОВСКИЙ, Д ЧЕРНАЯ МАЗА, УЛ ПОБЕДЫ, Д. 16</t>
  </si>
  <si>
    <t>ИП ГАВРИЛОВ ДМИТРИЙ АНДРЕЕВИЧ</t>
  </si>
  <si>
    <t>ИП Плеханов Александр Викторович</t>
  </si>
  <si>
    <t>ПК ПОЧИНКОВСКОЕ РАЙПО</t>
  </si>
  <si>
    <t>607910, НИЖЕГОРОДСКАЯ ОБЛАСТЬ, Р-Н ПОЧИНКОВСКИЙ, С ПОЧИНКИ, ПЛ ЛЕНИНА, Д.49</t>
  </si>
  <si>
    <t>ИП ПОТАПОВ ДМИТРИЙ АЛЕКСАНДРОВИЧ</t>
  </si>
  <si>
    <t>ИП ГУСЕВА ЮЛИЯ МИХАЙЛОВНА</t>
  </si>
  <si>
    <t>ГБУ ЦСОГПВИИ СЕРГАЧСКОГО РАЙОНА</t>
  </si>
  <si>
    <t>607511, НИЖЕГОРОДСКАЯ ОБЛАСТЬ, Р-Н СЕРГАЧСКИЙ, Г СЕРГАЧ, УЛ СВЕРДЛОВА, Д. 23</t>
  </si>
  <si>
    <t>ИП КУЗНЕЦОВА ОКСАНА ВИКТОРОВНА</t>
  </si>
  <si>
    <t>ИП Чудихина Ольга Федоровна</t>
  </si>
  <si>
    <t>ГБУ КЦСОН ШАТКОВСКОГО МУНИЦИПАЛЬНОГО ОКРУГА</t>
  </si>
  <si>
    <t>607700, НИЖЕГОРОДСКАЯ ОБЛАСТЬ, М.О. ШАТКОВСКИЙ, РП ШАТКИ, УЛ ФЕДЕРАТИВНАЯ, Д. 27</t>
  </si>
  <si>
    <t>ИП БАРАНОВ СЕРГЕЙ АЛЕКСЕЕВИЧ</t>
  </si>
  <si>
    <t>ООО ГРАНИТ</t>
  </si>
  <si>
    <t>606910, НИЖЕГОРОДСКАЯ ОБЛАСТЬ, Г ШАХУНЬЯ, УЛ ЯРАНСКОЕ ШОССЕ, Д.7</t>
  </si>
  <si>
    <t>ООО ЛОЙМИНА</t>
  </si>
  <si>
    <t>606673, НИЖЕГОРОДСКАЯ ОБЛАСТЬ, Р-Н СОКОЛЬСКИЙ, Д КОРОВИНО, ЗД. 7</t>
  </si>
  <si>
    <t>ИП Волкова Наталья Михайловна</t>
  </si>
  <si>
    <t>ГБУ ЦСПСД Г.О.Г. АРЗАМАС</t>
  </si>
  <si>
    <t>607221, НИЖЕГОРОДСКАЯ ОБЛАСТЬ, Г АРЗАМАС, УЛ 2-Я ВОКЗАЛЬНАЯ, Д.1 А</t>
  </si>
  <si>
    <t>ИП КОТКОВ СЕРГЕЙ ЮРЬЕВИЧ</t>
  </si>
  <si>
    <t>ИП КУДЕШОВ ВАЛЕРИЙ ВАЛЕРЬЕВИЧ</t>
  </si>
  <si>
    <t>ИП Канаева Евгения Александровна</t>
  </si>
  <si>
    <t>ИП КОСТЫЛЕВ ДМИТРИЙ ВЛАДИМИРОВИЧ</t>
  </si>
  <si>
    <t>ИП Гасин Николай Александрович</t>
  </si>
  <si>
    <t>ИП КОРОБОВ ДМИТРИЙ РОМАНОВИЧ</t>
  </si>
  <si>
    <t>ИП ФОКИН МАКСИМ АЛЕКСЕЕВИЧ</t>
  </si>
  <si>
    <t>ИП БЛИНОВ КИРИЛЛ ВИКТОРОВИЧ</t>
  </si>
  <si>
    <t>ИП ДУБКОВА НАТАЛЬЯ ВЛАДИМИРОВНА</t>
  </si>
  <si>
    <t>ИП МИХЕЕВА ТАТЬЯНА ГЕННАДЬЕВНА</t>
  </si>
  <si>
    <t>ИП ФИЛАТОВА ЯНА ВИКТОРОВНА</t>
  </si>
  <si>
    <t>ИП МАКОВ АЛЕКСАНДР ПАВЛОВИЧ</t>
  </si>
  <si>
    <t>ИП ДУРМАНОВ АНТОН ЮРЬЕВИЧ</t>
  </si>
  <si>
    <t>ИП ФРОЛОВА МАРИНА ВЛАДИМИРОВНА</t>
  </si>
  <si>
    <t>ИП ХУСЯИНОВ НАИЛЬ ТАГИРОВИЧ</t>
  </si>
  <si>
    <t>ИП ДОЛГОВА ЮЛИЯ ЮРЬЕВНА</t>
  </si>
  <si>
    <t>ООО Т-С-И</t>
  </si>
  <si>
    <t>606000, НИЖЕГОРОДСКАЯ ОБЛАСТЬ, Г ДЗЕРЖИНСК, УЛ ВАТУТИНА, Д. 31А, КОМ. 7 ЭТАЖ 2</t>
  </si>
  <si>
    <t>606042, НИЖЕГОРОДСКАЯ ОБЛАСТЬ, Г ДЗЕРЖИНСК, П ГОРБАТОВКА, УЛ СОВЕТСКАЯ, Д. 14</t>
  </si>
  <si>
    <t>ООО ПКФ ПРОМПЭК</t>
  </si>
  <si>
    <t>606000, НИЖЕГОРОДСКАЯ ОБЛАСТЬ, Г ДЗЕРЖИНСК, Ш АВТОЗАВОДСКОЕ, Д. 1</t>
  </si>
  <si>
    <t>ООО НАФТАХИМ</t>
  </si>
  <si>
    <t>606000, НИЖЕГОРОДСКАЯ ОБЛАСТЬ, Г ДЗЕРЖИНСК, ТЕР ВОСТОЧНЫЙ ПРОМРАЙОН СИНТЕЗ, К.913</t>
  </si>
  <si>
    <t>ООО ПКТЕХНОЛОГИЯ ОЙЛ</t>
  </si>
  <si>
    <t>606000, НИЖЕГОРОДСКАЯ ОБЛАСТЬ, Г ДЗЕРЖИНСК, УЛ ЛЕРМОНТОВА, Д. 20Д, КОМ. 18</t>
  </si>
  <si>
    <t>ООО ВИ КЕМИКАЛЗ</t>
  </si>
  <si>
    <t>606016, НИЖЕГОРОДСКАЯ ОБЛАСТЬ, Г.О. ГОРОД ДЗЕРЖИНСК, Г ДЗЕРЖИНСК, ПЕР УЧЕБНЫЙ, Д. 12Б, ОФИС 02</t>
  </si>
  <si>
    <t>ООО ВЕКТОР ПЛЮС</t>
  </si>
  <si>
    <t>606002, НИЖЕГОРОДСКАЯ ОБЛАСТЬ, Г ДЗЕРЖИНСК, УЛ КРАСНОАРМЕЙСКАЯ, Д.17/2270</t>
  </si>
  <si>
    <t>ООО  АЛХИМГРУПП</t>
  </si>
  <si>
    <t>606008, РОССИЯ, НИЖЕГОРОДСКАЯ ОБЛАСТЬ, Г.О. ГОРОД ДЗЕРЖИНСК, Г ДЗЕРЖИНСК, АЛЛЕЯ ПАРКОВАЯ, Д. 6, ПОМЕЩ. 412, ОФИС 13</t>
  </si>
  <si>
    <t>ООО КЕМИКАЛ ГРУПП</t>
  </si>
  <si>
    <t>606037, НИЖЕГОРОДСКАЯ ОБЛАСТЬ, Г ДЗЕРЖИНСК, УЛ БУДЕННОГО, Д. 15 А, КВ. 60</t>
  </si>
  <si>
    <t>ООО ТД ЦЕНТР-СВАРКИ</t>
  </si>
  <si>
    <t>606002, НИЖЕГОРОДСКАЯ ОБЛАСТЬ, Г.О. ГОРОД ДЗЕРЖИНСК, Г ДЗЕРЖИНСК, УЛ КРАСНОАРМЕЙСКАЯ, Д. 34А</t>
  </si>
  <si>
    <t>ООО ФАЙТЕР ГРУПП</t>
  </si>
  <si>
    <t>606008, НИЖЕГОРОДСКАЯ ОБЛАСТЬ, Г.О. ГОРОД ДЗЕРЖИНСК, Г ДЗЕРЖИНСК, УЛ ОКТЯБРЬСКАЯ, Д. 36А, ОФИС 1</t>
  </si>
  <si>
    <t>ООО СПЕЦОБЕСПЕЧЕНИЕ</t>
  </si>
  <si>
    <t>606002, НИЖЕГОРОДСКАЯ ОБЛАСТЬ, Г.О. ГОРОД ДЗЕРЖИНСК, Г ДЗЕРЖИНСК, ПР-КТ СВЕРДЛОВА, Д. 39, КВ. 6</t>
  </si>
  <si>
    <t>ООО ОЛЕУМ ТРЕЙД</t>
  </si>
  <si>
    <t>606033, НИЖЕГОРОДСКАЯ ОБЛАСТЬ, Г.О. ГОРОД ДЗЕРЖИНСК, Г ДЗЕРЖИНСК, ПР-КТ ЦИОЛКОВСКОГО, Д. 79А, КВ. 22</t>
  </si>
  <si>
    <t>ООО РЕСУРС ПЕТРОЛЕУМ</t>
  </si>
  <si>
    <t>606033, НИЖЕГОРОДСКАЯ ОБЛАСТЬ, Г ДЗЕРЖИНСК, УЛ ФРУНЗЕ (БАБУШКИНО ТЕР.), Д. 1А, КАБИНЕТ 19</t>
  </si>
  <si>
    <t>ООО ЦХИСО</t>
  </si>
  <si>
    <t>606040, РОССИЯ, НИЖЕГОРОДСКАЯ ОБЛАСТЬ, Г.О. ГОРОД ДЗЕРЖИНСК, П БАБИНО, УЛ ОГОРОДНАЯ, Д. 14</t>
  </si>
  <si>
    <t>ООО ТД ГРИНСОН</t>
  </si>
  <si>
    <t>606000, РОССИЯ, НИЖЕГОРОДСКАЯ ОБЛАСТЬ, Г.О. ГОРОД ДЗЕРЖИНСК, Г ДЗЕРЖИНСК, Ш РЕЧНОЕ, Д. 3Г</t>
  </si>
  <si>
    <t>ООО ГК ТСКР</t>
  </si>
  <si>
    <t>606000, РОССИЯ, НИЖЕГОРОДСКАЯ ОБЛАСТЬ, Г.О. ГОРОД ДЗЕРЖИНСК, Г ДЗЕРЖИНСК, УЛ ВАТУТИНА, Д. 31А, КОМ. 20</t>
  </si>
  <si>
    <t>ООО ТАНК-М</t>
  </si>
  <si>
    <t>606000, РОССИЯ, НИЖЕГОРОДСКАЯ ОБЛАСТЬ, Г.О. ГОРОД ДЗЕРЖИНСК, Г ДЗЕРЖИНСК, ПР-КТ ЛЕНИНА, Д. 61, ПОМЕЩ. П6</t>
  </si>
  <si>
    <t>ООО ХИМСТАЙЛ</t>
  </si>
  <si>
    <t>606033, РОССИЯ, НИЖЕГОРОДСКАЯ ОБЛАСТЬ, Г.О. ГОРОД ДЗЕРЖИНСК, Г ДЗЕРЖИНСК, ПР-КТ ЦИОЛКОВСКОГО, Д. 77Б, КВ. 48</t>
  </si>
  <si>
    <t>ООО ДЕКСОЙЛ</t>
  </si>
  <si>
    <t>606015, РОССИЯ, НИЖЕГОРОДСКАЯ ОБЛАСТЬ, Г.О. ГОРОД ДЗЕРЖИНСК, Г ДЗЕРЖИНСК, ПР-КТ ЛЕНИНА, Д. 1, ОФИС 117</t>
  </si>
  <si>
    <t>ИП ЛЕУШКИНА ЮЛИЯ ЮРЬЕВНА</t>
  </si>
  <si>
    <t>ИП ДОЛГОВ СЕРГЕЙ АЛЕКСАНДРОВИЧ</t>
  </si>
  <si>
    <t>ИП МИРОНОВ СЕРГЕЙ ВЯЧЕСЛАВОВИЧ</t>
  </si>
  <si>
    <t>ИП ВАРЮХОВ ЕГОР ВЛАДИМИРОВИЧ</t>
  </si>
  <si>
    <t>ООО ТД АГРОДОК</t>
  </si>
  <si>
    <t>607684, НИЖЕГОРОДСКАЯ ОБЛАСТЬ, Р-Н КСТОВСКИЙ, Д РЖАВКА, ТЕР ПРОМЗОНА, СТР. 2, ПОМЕЩ. 5</t>
  </si>
  <si>
    <t>607655, НИЖЕГОРОДСКАЯ ОБЛАСТЬ, М.О. КСТОВСКИЙ, Г КСТОВО, УЛ 1 МАЯ, Д. 2</t>
  </si>
  <si>
    <t>ООО ТК НН</t>
  </si>
  <si>
    <t>607657, РОССИЯ, НИЖЕГОРОДСКАЯ ОБЛАСТЬ, М.О. КСТОВСКИЙ, Г КСТОВО, ПРОЕЗД ТИПОГРАФСКИЙ, ЗД. 11А</t>
  </si>
  <si>
    <t>ИП УШАКОВ ИВАН ИВАНОВИЧ</t>
  </si>
  <si>
    <t>ИП БАРЫКИН ДЕНИС НИКОЛАЕВИЧ</t>
  </si>
  <si>
    <t>ИП ТУМАНОВА ВАЛЕНТИНА ВАСИЛЬЕВНА</t>
  </si>
  <si>
    <t>ИП ПАВЛОВСКИЙ ИЛЬЯ ТИХОНОВИЧ</t>
  </si>
  <si>
    <t>ИП ЛИСИН ОЛЕГ АНАТОЛЬЕВИЧ</t>
  </si>
  <si>
    <t>ИП Анисимов Сергей Александрович</t>
  </si>
  <si>
    <t>ЗАОГИДРОТЕХНИКА-НН</t>
  </si>
  <si>
    <t>603043, НИЖЕГОРОДСКАЯ ОБЛАСТЬ, Г НИЖНИЙ НОВГОРОД, УЛ ГЕРОЯ СОВЕТСКОГО СОЮЗА ПОЮЩЕВА, Д.16Б</t>
  </si>
  <si>
    <t>ООО ЭФТЕК НН</t>
  </si>
  <si>
    <t>603095, НИЖЕГОРОДСКАЯ ОБЛАСТЬ, Г НИЖНИЙ НОВГОРОД, УЛ ШУВАЛОВСКИЙ КАНАЛ, Д. 6</t>
  </si>
  <si>
    <t>ООО АВТОГРАФФ</t>
  </si>
  <si>
    <t>603053, НИЖЕГОРОДСКАЯ ОБЛАСТЬ, Г НИЖНИЙ НОВГОРОД, УЛ БОРСКАЯ, Д. 17, КОМ. 3</t>
  </si>
  <si>
    <t>ООО ИНТЕРАВТОЦЕНТР</t>
  </si>
  <si>
    <t>603123, НИЖЕГОРОДСКАЯ ОБЛАСТЬ, Г НИЖНИЙ НОВГОРОД, Ш ЮЖНОЕ, Д. 1</t>
  </si>
  <si>
    <t>ИП Дебанова Наталья Александровна</t>
  </si>
  <si>
    <t>ООО ОЙЛОПТТОРГ</t>
  </si>
  <si>
    <t>603132, РОССИЯ, НИЖЕГОРОДСКАЯ ОБЛАСТЬ, Г.О. ГОРОД НИЖНИЙ НОВГОРОД, Г НИЖНИЙ НОВГОРОД, УЛ АДМИРАЛА МАКАРОВА, Д. 1, КВ. 34</t>
  </si>
  <si>
    <t>ООО АВТОРЕН</t>
  </si>
  <si>
    <t>603028, НИЖЕГОРОДСКАЯ ОБЛАСТЬ, Г.О. ГОРОД НИЖНИЙ НОВГОРОД, Г НИЖНИЙ НОВГОРОД, Ш МОСКОВСКОЕ, Д. 34, ПОМЕЩ. П1, КОМ. 60</t>
  </si>
  <si>
    <t>ООО СБК-ТОРГ НН</t>
  </si>
  <si>
    <t>603065, НИЖЕГОРОДСКАЯ ОБЛАСТЬ, Г НИЖНИЙ НОВГОРОД, УЛ ДЬЯКОНОВА, Д. 6В, ПОМЕЩ. ПОМ.3</t>
  </si>
  <si>
    <t>ООО КАРПЛЕКС</t>
  </si>
  <si>
    <t>603069, РОССИЯ, НИЖЕГОРОДСКАЯ ОБЛАСТЬ, Г.О. ГОРОД НИЖНИЙ НОВГОРОД, Г НИЖНИЙ НОВГОРОД, УЛ ОРЕХОВСКАЯ, Д. 52Е, ПОМЕЩ. П22</t>
  </si>
  <si>
    <t>ООО САВЛАД</t>
  </si>
  <si>
    <t>603083, НИЖЕГОРОДСКАЯ ОБЛАСТЬ, Г НИЖНИЙ НОВГОРОД, УЛ СТАРЫХ ПРОИЗВОДСТВЕННИКОВ, Д. 21, КВ. 53</t>
  </si>
  <si>
    <t>ИП ДАВЫДОВ ВЛАДИМИР ВЛАДИМИРОВИЧ</t>
  </si>
  <si>
    <t>ООО ТЕРРА СЕРВИС</t>
  </si>
  <si>
    <t>603053, НИЖЕГОРОДСКАЯ ОБЛАСТЬ, Г.О. ГОРОД НИЖНИЙ НОВГОРОД, Г НИЖНИЙ НОВГОРОД, УЛ БОРСКАЯ, Д. 17, ОФИС 3</t>
  </si>
  <si>
    <t>ООО ОТП</t>
  </si>
  <si>
    <t>603083, РОССИЯ, НИЖЕГОРОДСКАЯ ОБЛАСТЬ, Г.О. ГОРОД НИЖНИЙ НОВГОРОД, Г НИЖНИЙ НОВГОРОД, УЛ СТАРЫХ ПРОИЗВОДСТВЕННИКОВ, Д. 13, КВ. 224</t>
  </si>
  <si>
    <t>ООО ТСС</t>
  </si>
  <si>
    <t>603043, РОССИЯ, НИЖЕГОРОДСКАЯ ОБЛАСТЬ, Г.О. ГОРОД НИЖНИЙ НОВГОРОД, Г НИЖНИЙ НОВГОРОД, УЛ ГЕРОЯ СОВЕТСКОГО СОЮЗА ПОЮЩЕВА, Д. 16В, ПОМЕЩ. П4</t>
  </si>
  <si>
    <t>ООО ПРОМСВЯЗЬТРАНС</t>
  </si>
  <si>
    <t>603041, РОССИЯ, НИЖЕГОРОДСКАЯ ОБЛАСТЬ, Г.О. ГОРОД НИЖНИЙ НОВГОРОД, Г НИЖНИЙ НОВГОРОД, ПР-КТ МОЛОДЕЖНЫЙ, Д. 80, К. 4, ЭТАЖ 2 ПОМЕЩЕНИЕ 6</t>
  </si>
  <si>
    <t>ИП БОМБЕРГЕР ЛИЛИЯ РОЛАНДОВНА</t>
  </si>
  <si>
    <t>ИП МАЛИНОВ АНДРЕЙ АЛЕКСАНДРОВИЧ</t>
  </si>
  <si>
    <t>ИП МАРИНИН ВАДИМ ВЛАДИМИРОВИЧ</t>
  </si>
  <si>
    <t>ООО ТМК</t>
  </si>
  <si>
    <t>603002, НИЖЕГОРОДСКАЯ ОБЛАСТЬ, Г НИЖНИЙ НОВГОРОД, УЛ МАРАТА, Д.25</t>
  </si>
  <si>
    <t>ИП ОСТРОВСКАЯ ЮЛИЯ ВЛАДИМИРОВНА</t>
  </si>
  <si>
    <t>606000, РОССИЯ, НИЖЕГОРОДСКАЯ ОБЛАСТЬ, Г.О. ГОРОД ДЗЕРЖИНСК, Г ДЗЕРЖИНСК, Ш МОСКОВСКОЕ, Д. 44</t>
  </si>
  <si>
    <t>ИП ЛИХОДЕЕВА АННА СЕРГЕЕВНА</t>
  </si>
  <si>
    <t>ИП МОШКОВА АЛЛА ВЛАДИМИРОВНА</t>
  </si>
  <si>
    <t>ООО ЛУИДОР-АВТО НН</t>
  </si>
  <si>
    <t>603028, НИЖЕГОРОДСКАЯ ОБЛАСТЬ, Г НИЖНИЙ НОВГОРОД, Ш МОСКОВСКОЕ, Д.86А</t>
  </si>
  <si>
    <t>ООО НПН</t>
  </si>
  <si>
    <t>603124, НИЖЕГОРОДСКАЯ ОБЛАСТЬ, Г НИЖНИЙ НОВГОРОД, УЛ ВТОРЧЕРМЕТА, Д. 6, ЛИТЕР А1, ОФИС 14</t>
  </si>
  <si>
    <t>ООО АС52</t>
  </si>
  <si>
    <t>603053, НИЖЕГОРОДСКАЯ ОБЛАСТЬ, Г НИЖНИЙ НОВГОРОД, УЛ БОРСКАЯ, Д. 17, ПОМЕЩ. П4Г ОФИС 11</t>
  </si>
  <si>
    <t>ООО АГАТ-ВЯТКА</t>
  </si>
  <si>
    <t>603124, НИЖЕГОРОДСКАЯ ОБЛАСТЬ, Г НИЖНИЙ НОВГОРОД, Ш МОСКОВСКОЕ, Д. 294 Д, ОФИС 314</t>
  </si>
  <si>
    <t>ООО АГАТ-КОМИ</t>
  </si>
  <si>
    <t>603124, НИЖЕГОРОДСКАЯ ОБЛАСТЬ, Г НИЖНИЙ НОВГОРОД, Ш МОСКОВСКОЕ, Д. 294Д, ОФИС 314</t>
  </si>
  <si>
    <t>603116, НИЖЕГОРОДСКАЯ ОБЛАСТЬ, Г НИЖНИЙ НОВГОРОД, УЛ ГОРДЕЕВСКАЯ, Д.59Б</t>
  </si>
  <si>
    <t>603124, НИЖЕГОРОДСКАЯ ОБЛАСТЬ, Г НИЖНИЙ НОВГОРОД, Ш МОСКОВСКОЕ, Д.294Б, СТР. 1</t>
  </si>
  <si>
    <t>ООО  С-ТЕХНИКС</t>
  </si>
  <si>
    <t>603093, НИЖЕГОРОДСКАЯ ОБЛАСТЬ, Г.О. ГОРОД НИЖНИЙ НОВГОРОД, Г НИЖНИЙ НОВГОРОД, УЛ РОДИОНОВА, Д. 192, К. 1, ПОМЕЩ. 152 ОФИС 908/3</t>
  </si>
  <si>
    <t>ООО НИЖЕГОРОДЕЦ НИВА</t>
  </si>
  <si>
    <t>603028, НИЖЕГОРОДСКАЯ ОБЛАСТЬ, Г НИЖНИЙ НОВГОРОД, Ш МОСКОВСКОЕ, Д. 34, КАБИНЕТ 27</t>
  </si>
  <si>
    <t>ИП Чакрыгин Андрей Владимирович</t>
  </si>
  <si>
    <t>ООО Л-АВТО МОТОРС</t>
  </si>
  <si>
    <t>603028, НИЖЕГОРОДСКАЯ ОБЛАСТЬ, Г НИЖНИЙ НОВГОРОД, Ш МОСКОВСКОЕ, Д. 86А, КАБИНЕТ 3</t>
  </si>
  <si>
    <t>ООО АВТОТЕХКОМ-НН</t>
  </si>
  <si>
    <t>603070, НИЖЕГОРОДСКАЯ ОБЛАСТЬ, Г НИЖНИЙ НОВГОРОД, УЛ СЕРГЕЯ ЕСЕНИНА, Д. 10, КВ. 27</t>
  </si>
  <si>
    <t>ООО ВИКТОРИЯ</t>
  </si>
  <si>
    <t>603124, РОССИЯ, НИЖЕГОРОДСКАЯ ОБЛАСТЬ, Г.О. ГОРОД НИЖНИЙ НОВГОРОД, Г НИЖНИЙ НОВГОРОД, Ш МОСКОВСКОЕ, Д. 294Б, ПОМЕЩ. П1 ОФИС 5</t>
  </si>
  <si>
    <t>603011, РОССИЯ, НИЖЕГОРОДСКАЯ ОБЛАСТЬ, Г.О. ГОРОД НИЖНИЙ НОВГОРОД, Г НИЖНИЙ НОВГОРОД, УЛ ИСКРЫ, Д. 1А, КВ. 19</t>
  </si>
  <si>
    <t>603124, РОССИЯ, НИЖЕГОРОДСКАЯ ОБЛАСТЬ, Г.О. ГОРОД НИЖНИЙ НОВГОРОД, Г НИЖНИЙ НОВГОРОД, Ш МОСКОВСКОЕ, Д. 294Б, СТР. 1, ПОМЕЩ. П1 ОФИС 501</t>
  </si>
  <si>
    <t>ООО ГАЛАНТ</t>
  </si>
  <si>
    <t>603124, РОССИЯ, НИЖЕГОРОДСКАЯ ОБЛАСТЬ, Г.О. ГОРОД НИЖНИЙ НОВГОРОД, Г НИЖНИЙ НОВГОРОД, Ш МОСКОВСКОЕ, Д. 294Б, СТР. 1, ПОМЕЩ. П1 ОФИС 411</t>
  </si>
  <si>
    <t>603124, РОССИЯ, НИЖЕГОРОДСКАЯ ОБЛАСТЬ, Г.О. ГОРОД НИЖНИЙ НОВГОРОД, Г НИЖНИЙ НОВГОРОД, Ш МОСКОВСКОЕ, Д. 294Д, ПОМЕЩ. П1 ОФИС 315</t>
  </si>
  <si>
    <t>603163, НИЖЕГОРОДСКАЯ ОБЛАСТЬ, Г НИЖНИЙ НОВГОРОД, УЛ РОДИОНОВА, Д. 203, ОФИС 31</t>
  </si>
  <si>
    <t>ООО ЗАПЧАСТЬ-НН</t>
  </si>
  <si>
    <t>603034, НИЖЕГОРОДСКАЯ ОБЛАСТЬ, Г НИЖНИЙ НОВГОРОД, УЛ ИЛЬМЕНСКАЯ, Д.19</t>
  </si>
  <si>
    <t>ООО ВОЛГА-СИНТЕЗ</t>
  </si>
  <si>
    <t>603090, НИЖЕГОРОДСКАЯ ОБЛАСТЬ, Г НИЖНИЙ НОВГОРОД, ПР-КТ ЛЕНИНА, Д. 73, ПОМЕЩ. 402</t>
  </si>
  <si>
    <t>ООО ДЗР.РУ</t>
  </si>
  <si>
    <t>606002, НИЖЕГОРОДСКАЯ ОБЛАСТЬ, Г ДЗЕРЖИНСК, УЛ КРАСНОАРМЕЙСКАЯ, Д. 17В, ОФИС 5</t>
  </si>
  <si>
    <t>ООО АВАЛОН АВТО</t>
  </si>
  <si>
    <t>603034, НИЖЕГОРОДСКАЯ ОБЛАСТЬ, Г НИЖНИЙ НОВГОРОД, УЛ ШЛИССЕЛЬБУРГСКАЯ, Д. 23, К. А, ПОМЕЩ. 1</t>
  </si>
  <si>
    <t>603152, РОССИЯ, НИЖЕГОРОДСКАЯ ОБЛАСТЬ, Г.О. ГОРОД НИЖНИЙ НОВГОРОД, Г НИЖНИЙ НОВГОРОД, УЛ КАЩЕНКО, Д. 2Б, ОФИС 414</t>
  </si>
  <si>
    <t>ИП ЧЕРЕШНЕВ СЕРГЕЙ МИХАЙЛОВИЧ</t>
  </si>
  <si>
    <t>ИП Зарубин Сергей Александрович</t>
  </si>
  <si>
    <t>ЗАО ЗАРЕЧЬЕ</t>
  </si>
  <si>
    <t>603014, НИЖЕГОРОДСКАЯ ОБЛАСТЬ, Г НИЖНИЙ НОВГОРОД, УЛ 50-ЛЕТИЯ ПОБЕДЫ, Д.4/1, 24</t>
  </si>
  <si>
    <t>ООО АМИГО</t>
  </si>
  <si>
    <t>603052, НИЖЕГОРОДСКАЯ ОБЛАСТЬ, Г НИЖНИЙ НОВГОРОД, Ш СОРМОВСКОЕ, Д. 24Ц, КОМ. 26</t>
  </si>
  <si>
    <t>ООО ПОЛИЭФИР</t>
  </si>
  <si>
    <t>603079, НИЖЕГОРОДСКАЯ ОБЛАСТЬ, Г НИЖНИЙ НОВГОРОД, Ш МОСКОВСКОЕ, Д.83 А, К.3</t>
  </si>
  <si>
    <t>ИП ФРОЛОВ АЛЕКСЕЙ НИКОЛАЕВИЧ</t>
  </si>
  <si>
    <t>ООО АВТОСАЛОН 152</t>
  </si>
  <si>
    <t>603157, НИЖЕГОРОДСКАЯ ОБЛАСТЬ, Г НИЖНИЙ НОВГОРОД, УЛ КРАСНЫХ ЗОРЬ, Д.24, К.5</t>
  </si>
  <si>
    <t>ИП САЛЯКАЕВА ТАТЬЯНА ВЛАДИМИРОВНА</t>
  </si>
  <si>
    <t>ООО ГОРИЗОНТ</t>
  </si>
  <si>
    <t>603148, НИЖЕГОРОДСКАЯ ОБЛАСТЬ, Г НИЖНИЙ НОВГОРОД, УЛ ЧААДАЕВА, Д. 34, КВ. 33</t>
  </si>
  <si>
    <t>ООО ИКСОРА-ТРЕЙД</t>
  </si>
  <si>
    <t>603157, РОССИЯ, НИЖЕГОРОДСКАЯ ОБЛАСТЬ, Г.О. ГОРОД НИЖНИЙ НОВГОРОД, Г НИЖНИЙ НОВГОРОД, УЛ КОМИНТЕРНА, Д. 34А, КОМ. 2</t>
  </si>
  <si>
    <t>ООО КАРПАРТС</t>
  </si>
  <si>
    <t>603079, РОССИЯ, НИЖЕГОРОДСКАЯ ОБЛАСТЬ, Г.О. ГОРОД НИЖНИЙ НОВГОРОД, Г НИЖНИЙ НОВГОРОД, Ш МОСКОВСКОЕ, Д. 105, ОФИС 36</t>
  </si>
  <si>
    <t>ООО ПРОМТОРГ НН</t>
  </si>
  <si>
    <t>603157, РОССИЯ, НИЖЕГОРОДСКАЯ ОБЛАСТЬ, Г.О. ГОРОД НИЖНИЙ НОВГОРОД, Г НИЖНИЙ НОВГОРОД, УЛ БЕРЕЗОВСКАЯ, Д. 111, ПОМЕЩ. 5</t>
  </si>
  <si>
    <t>ООО АВТОЛИГА</t>
  </si>
  <si>
    <t>603124, НИЖЕГОРОДСКАЯ ОБЛАСТЬ, Г.О. ГОРОД НИЖНИЙ НОВГОРОД, Г НИЖНИЙ НОВГОРОД, Ш МОСКОВСКОЕ, Д. 302Г, ПОМЕЩ. 12</t>
  </si>
  <si>
    <t>ИП ГЛОТОВ ПАВЕЛ ВЛАДИМИРОВИЧ</t>
  </si>
  <si>
    <t>ИП МАЙОРОВ МИХАИЛ ЮРЬЕВИЧ</t>
  </si>
  <si>
    <t>ООО ЛАНТАНА-АВТО</t>
  </si>
  <si>
    <t>603093, НИЖЕГОРОДСКАЯ ОБЛАСТЬ, Г НИЖНИЙ НОВГОРОД, УЛ ДЕЛОВАЯ, Д.7</t>
  </si>
  <si>
    <t>ООО АВТОЛИГА-ВОСТОК</t>
  </si>
  <si>
    <t>603124, НИЖЕГОРОДСКАЯ ОБЛАСТЬ, Г.О. ГОРОД НИЖНИЙ НОВГОРОД, Г НИЖНИЙ НОВГОРОД, Ш МОСКОВСКОЕ, Д. 302Г, ПОМЕЩ. 18</t>
  </si>
  <si>
    <t>ООО МАКОДЕС</t>
  </si>
  <si>
    <t>603093, НИЖЕГОРОДСКАЯ ОБЛАСТЬ, Г НИЖНИЙ НОВГОРОД, УЛ ДЕЛОВАЯ, Д. 7, ХРАНИЛИЩЕ 2</t>
  </si>
  <si>
    <t>ООО ККМ</t>
  </si>
  <si>
    <t>603155, НИЖЕГОРОДСКАЯ ОБЛАСТЬ, Г НИЖНИЙ НОВГОРОД, НАБ ВЕРХНЕ-ВОЛЖСКАЯ, Д. 19, КВ. 6</t>
  </si>
  <si>
    <t>ООО АВТОРИТЭЙЛ ПРО</t>
  </si>
  <si>
    <t>603028, НИЖЕГОРОДСКАЯ ОБЛАСТЬ, Г.О. ГОРОД НИЖНИЙ НОВГОРОД, Г НИЖНИЙ НОВГОРОД, Ш КОМСОМОЛЬСКОЕ, Д. 5В, СКЛ. 5 ПОМЕЩ. 15</t>
  </si>
  <si>
    <t>ООО ГЛИССАДА</t>
  </si>
  <si>
    <t>603163, РОССИЯ, НИЖЕГОРОДСКАЯ ОБЛАСТЬ, Г.О. ГОРОД НИЖНИЙ НОВГОРОД, Г НИЖНИЙ НОВГОРОД, Ш КАЗАНСКОЕ, Д. 6, ПОМЕЩ. П4, КОМ. 1</t>
  </si>
  <si>
    <t>603000, РОССИЯ, НИЖЕГОРОДСКАЯ ОБЛАСТЬ, Г.О. ГОРОД НИЖНИЙ НОВГОРОД, Г НИЖНИЙ НОВГОРОД, УЛ ИЛЬИНСКАЯ, Д. 45А, ПОМЕЩ. П8</t>
  </si>
  <si>
    <t>ИП ВИКУЛОВА ИРИНА АЛЕКСАНДРОВНА</t>
  </si>
  <si>
    <t>ООО ЛИНАРИС</t>
  </si>
  <si>
    <t>603152, НИЖЕГОРОДСКАЯ ОБЛАСТЬ, Г НИЖНИЙ НОВГОРОД, УЛ ЛАРИНА, Д. 19А, К. 3</t>
  </si>
  <si>
    <t>ООО БЕЛГАЗАВТОСЕРВИС-НН</t>
  </si>
  <si>
    <t>603024, НИЖЕГОРОДСКАЯ ОБЛАСТЬ, Г.О. ГОРОД НИЖНИЙ НОВГОРОД, Г НИЖНИЙ НОВГОРОД, УЛ ДУНАЕВА, Д. 17, ПОМЕЩ. 4</t>
  </si>
  <si>
    <t>ООО АЛЬКОМ-НН</t>
  </si>
  <si>
    <t>603132, НИЖЕГОРОДСКАЯ ОБЛАСТЬ, Г НИЖНИЙ НОВГОРОД, УЛ ПРАВДИНСКАЯ, Д. 10</t>
  </si>
  <si>
    <t>ООО КУРУС</t>
  </si>
  <si>
    <t>603152, РОССИЯ, НИЖЕГОРОДСКАЯ ОБЛАСТЬ, Г.О. ГОРОД НИЖНИЙ НОВГОРОД, Г НИЖНИЙ НОВГОРОД, УЛ КАЩЕНКО, Д. 19, ЭТАЖ ЦОКОЛЬНЫЙ № 1</t>
  </si>
  <si>
    <t>ООО  КОМПАНИЯ ВОЛГА</t>
  </si>
  <si>
    <t>603028, НИЖЕГОРОДСКАЯ ОБЛАСТЬ, Г НИЖНИЙ НОВГОРОД, Ш МОСКОВСКОЕ, Д.231</t>
  </si>
  <si>
    <t>ИП ДАВЫДОВА НАТАЛЬЯ АЛЕКСАНДРОВНА</t>
  </si>
  <si>
    <t>ИП МУЛЛОВА ИРИНА ПЕТРОВНА</t>
  </si>
  <si>
    <t>ООО  МЕГА-ОЙЛ</t>
  </si>
  <si>
    <t>603032, НИЖЕГОРОДСКАЯ ОБЛАСТЬ, Г НИЖНИЙ НОВГОРОД, УЛ БАУМАНА, Д.177 А</t>
  </si>
  <si>
    <t>АО ИТЕКО РЕСУРС</t>
  </si>
  <si>
    <t>607635, РОССИЯ, НИЖЕГОРОДСКАЯ ОБЛАСТЬ, Г.О. ГОРОД НИЖНИЙ НОВГОРОД, СП. КУДЬМА, УЛ ИНДУСТРИАЛЬНАЯ, ЗД. 8, ПОМЕЩ. 25</t>
  </si>
  <si>
    <t>ООО РЕГИОН - Т</t>
  </si>
  <si>
    <t>603087, НИЖЕГОРОДСКАЯ ОБЛАСТЬ, Г НИЖНИЙ НОВГОРОД, Ш КАЗАНСКОЕ, Д. 10, К. 6, ПОМЕЩ. П2</t>
  </si>
  <si>
    <t>ИП ХАРИТОНОВ ЛЕОНИД АНТОНОВИЧ</t>
  </si>
  <si>
    <t>ИП ИСАКОВА ЭЛЕОНОРА АЛБЕРТОВНА</t>
  </si>
  <si>
    <t>ООО АВТОЛЮКС-НН</t>
  </si>
  <si>
    <t>603089, НИЖЕГОРОДСКАЯ ОБЛАСТЬ, Г НИЖНИЙ НОВГОРОД, УЛ РЕСПУБЛИКАНСКАЯ, Д.24</t>
  </si>
  <si>
    <t>ООО АВТОКОНТРАКТЫ</t>
  </si>
  <si>
    <t>603089, НИЖЕГОРОДСКАЯ ОБЛАСТЬ, Г НИЖНИЙ НОВГОРОД, УЛ ГАРАЖНАЯ, Д. 9, ОФИС 305</t>
  </si>
  <si>
    <t>ООО БРЕНТСТОР</t>
  </si>
  <si>
    <t>603136, РОССИЯ, НИЖЕГОРОДСКАЯ ОБЛАСТЬ, Г.О. ГОРОД НИЖНИЙ НОВГОРОД, Г НИЖНИЙ НОВГОРОД, УЛ ВАНЕЕВА, Д. 229, ПОМЕЩ. 13 ОФИС 2</t>
  </si>
  <si>
    <t>ООО ТЕХНОАЗС</t>
  </si>
  <si>
    <t>603136, РОССИЯ, НИЖЕГОРОДСКАЯ ОБЛАСТЬ, Г.О. ГОРОД НИЖНИЙ НОВГОРОД, Г НИЖНИЙ НОВГОРОД, УЛ ИМЕНИ ГЕНЕРАЛА ИВЛИЕВА И.Д., Д. 33Б</t>
  </si>
  <si>
    <t>ИП Переверзева Вера Петровна</t>
  </si>
  <si>
    <t>ИП ТЕЛКОВ ВЛАДИМИР АЛЕКСАНДРОВИЧ</t>
  </si>
  <si>
    <t>АО НЕФТЕПРОДУКТ</t>
  </si>
  <si>
    <t>603950, НИЖЕГОРОДСКАЯ ОБЛАСТЬ, Г НИЖНИЙ НОВГОРОД, УЛ КОМИНТЕРНА, Д. 27</t>
  </si>
  <si>
    <t>ООО СВЯТОГОР-НН</t>
  </si>
  <si>
    <t>603107, НИЖЕГОРОДСКАЯ ОБЛАСТЬ, Г.О. ГОРОД НИЖНИЙ НОВГОРОД, Г НИЖНИЙ НОВГОРОД, ПР-КТ ГАГАРИНА, Д. 178Ш, ОФИС 205</t>
  </si>
  <si>
    <t>603037, НИЖЕГОРОДСКАЯ ОБЛАСТЬ, Г НИЖНИЙ НОВГОРОД, УЛ ФЕДОСЕЕНКО, Д.11А</t>
  </si>
  <si>
    <t>ООО А-ДЕТАЛЬ-НН</t>
  </si>
  <si>
    <t>603037, НИЖЕГОРОДСКАЯ ОБЛАСТЬ, Г НИЖНИЙ НОВГОРОД, УЛ КУЛЬТУРЫ, Д.100А</t>
  </si>
  <si>
    <t>ООО КОМПЛЕКСНЫЕ РЕШЕНИЯ</t>
  </si>
  <si>
    <t>603003, НИЖЕГОРОДСКАЯ ОБЛАСТЬ, Г НИЖНИЙ НОВГОРОД, УЛ ЩЕРБАКОВА, Д. 14, КВ. 32</t>
  </si>
  <si>
    <t>ООО СИМЭКС-ХИМ</t>
  </si>
  <si>
    <t>606000, НИЖЕГОРОДСКАЯ ОБЛАСТЬ, Г ДЗЕРЖИНСК, Ш АВТОЗАВОДСКОЕ, ЗД. 99В, КАБИНЕТ 1</t>
  </si>
  <si>
    <t>ООО ОЙЛ ТРЕЙД КОМПАНИ</t>
  </si>
  <si>
    <t>603127, НИЖЕГОРОДСКАЯ ОБЛАСТЬ, Г НИЖНИЙ НОВГОРОД, УЛ ФЕДОСЕЕНКО, Д. 51, КОМ. 2</t>
  </si>
  <si>
    <t>603139, НИЖЕГОРОДСКАЯ ОБЛАСТЬ, Г НИЖНИЙ НОВГОРОД, УЛ ГАУГЕЛЯ, Д. 22, КВ. 16</t>
  </si>
  <si>
    <t>ООО ИНКОМ СЕРВИС</t>
  </si>
  <si>
    <t>603050, НИЖЕГОРОДСКАЯ ОБЛАСТЬ, Г НИЖНИЙ НОВГОРОД, УЛ ВАСИЛИЯ ИВАНОВА, Д. 14, К. 6, КВ. 252</t>
  </si>
  <si>
    <t>603127, НИЖЕГОРОДСКАЯ ОБЛАСТЬ, Г НИЖНИЙ НОВГОРОД, УЛ ФЕДОСЕЕНКО, Д. 52, ПОМЕЩ. 1 ЛИТ. А, ОФИС 30</t>
  </si>
  <si>
    <t>ООО ТЕХМАС 52</t>
  </si>
  <si>
    <t>603127, РОССИЯ, НИЖЕГОРОДСКАЯ ОБЛАСТЬ, Г.О. ГОРОД НИЖНИЙ НОВГОРОД, Г НИЖНИЙ НОВГОРОД, УЛ ФЕДОСЕЕНКО, Д. 52, ПОМЕЩ. 1, ОФ. 12</t>
  </si>
  <si>
    <t>603139, РОССИЯ, НИЖЕГОРОДСКАЯ ОБЛАСТЬ, Г.О. ГОРОД НИЖНИЙ НОВГОРОД, Г НИЖНИЙ НОВГОРОД, УЛ ГАУГЕЛЯ, Д. 6А, КВ. 23</t>
  </si>
  <si>
    <t>ИП ЛЮТОВ ДМИТРИЙ СЕРГЕЕВИЧ</t>
  </si>
  <si>
    <t>ИП ЗАМЯТНИН СЕРГЕЙ АЛЕКСАНДРОВИЧ</t>
  </si>
  <si>
    <t>ИП ВИШНЕВСКИЙ НИКИТА СЕРГЕЕВИЧ</t>
  </si>
  <si>
    <t>ООО ПРОМЭКСПОРТ-СЕРВИС</t>
  </si>
  <si>
    <t>603000, НИЖЕГОРОДСКАЯ ОБЛАСТЬ, Г НИЖНИЙ НОВГОРОД, УЛ СОРЕВНОВАНИЯ, Д. 1, ПОМЕЩ. П7</t>
  </si>
  <si>
    <t>ООО ИБЕРИС РУС</t>
  </si>
  <si>
    <t>606103, НИЖЕГОРОДСКАЯ ОБЛАСТЬ, М.О. ПАВЛОВСКИЙ, Г ПАВЛОВО, УЛ ПАРКОВАЯ, Д. 8</t>
  </si>
  <si>
    <t>ООО МАРШАЛ ОЙЛ</t>
  </si>
  <si>
    <t>607602, РОССИЯ, НИЖЕГОРОДСКАЯ ОБЛАСТЬ, М.О. БОГОРОДСКИЙ, Г БОГОРОДСК, УЛ КРАСНОАРМЕЙСКАЯ, Д. 141А</t>
  </si>
  <si>
    <t>ИП МЕНЬШОВ АРТУР КОНСТАНТИНОВИЧ</t>
  </si>
  <si>
    <t>ИП Друзягин Антон Алексеевич</t>
  </si>
  <si>
    <t>ООО АЛЬЯНС АВТО-ДЕТАЛЬ</t>
  </si>
  <si>
    <t>607760, РОССИЯ, НИЖЕГОРОДСКАЯ ОБЛАСТЬ, Г.О. ГОРОД ПЕРВОМАЙСК, Г ПЕРВОМАЙСК, ПЕР 2-КЛУБНЫЙ, Д. 2, ОФИС 1</t>
  </si>
  <si>
    <t>ИП Столбова Жанна Валерьевна</t>
  </si>
  <si>
    <t>ИП КУКЛИН ВЛАДИМИР БОРИСОВИЧ</t>
  </si>
  <si>
    <t>ИП РЫЖКИН ИГОРЬ АЛЕКСЕЕВИЧ</t>
  </si>
  <si>
    <t>ООО БЦР-АВТО ПЛЮС</t>
  </si>
  <si>
    <t>603053, НИЖЕГОРОДСКАЯ ОБЛАСТЬ, Г НИЖНИЙ НОВГОРОД, УЛ БОРСКАЯ, Д. 17, КОМ. 38</t>
  </si>
  <si>
    <t>ООО МОСКВОРЕЧЬЕ-НИЖНИЙ</t>
  </si>
  <si>
    <t>603016, НИЖЕГОРОДСКАЯ ОБЛАСТЬ, Г.О. ГОРОД НИЖНИЙ НОВГОРОД, Г НИЖНИЙ НОВГОРОД, УЛ МОНАСТЫРКА, Д. 13А, ОФИС 1, 3, 4, 5, 6, 7</t>
  </si>
  <si>
    <t>ООО ПРЕМИУМАВТО-НН</t>
  </si>
  <si>
    <t>603053, НИЖЕГОРОДСКАЯ ОБЛАСТЬ, Г НИЖНИЙ НОВГОРОД, УЛ БОРСКАЯ, Д. 17, ПОМЕЩ. 2</t>
  </si>
  <si>
    <t>ООО СБК НН</t>
  </si>
  <si>
    <t>603065, НИЖЕГОРОДСКАЯ ОБЛАСТЬ, Г НИЖНИЙ НОВГОРОД, УЛ ДЬЯКОНОВА, Д. 6В, ПОМЕЩ. ПОМ.2</t>
  </si>
  <si>
    <t>ООО ТЕПЛОДОМ</t>
  </si>
  <si>
    <t>603101, НИЖЕГОРОДСКАЯ ОБЛАСТЬ, Г.О. ГОРОД НИЖНИЙ НОВГОРОД, Г НИЖНИЙ НОВГОРОД, УЛ ВАТУТИНА, Д. 11, ОФИС 24</t>
  </si>
  <si>
    <t>ООО ДОРС-НН</t>
  </si>
  <si>
    <t>603041, РОССИЯ, НИЖЕГОРОДСКАЯ ОБЛАСТЬ, Г.О. ГОРОД НИЖНИЙ НОВГОРОД, Г НИЖНИЙ НОВГОРОД, УЛ ТОЛБУХИНА, Д. 5А</t>
  </si>
  <si>
    <t>ООО ТД ХИМПРОМ-ОПТОВИК</t>
  </si>
  <si>
    <t>603142, НИЖЕГОРОДСКАЯ ОБЛАСТЬ, Г НИЖНИЙ НОВГОРОД, УЛ МОНЧЕГОРСКАЯ, Д. 17А, К. 1, КВ. 213</t>
  </si>
  <si>
    <t>ОООГАММАЭКОПРОМ</t>
  </si>
  <si>
    <t>603016, НИЖЕГОРОДСКАЯ ОБЛАСТЬ, Г НИЖНИЙ НОВГОРОД, УЛ ГЕРОЯ ЮРИЯ СМИРНОВА, Д. 1А, ПОМЕЩ. ЛИТЕР А1</t>
  </si>
  <si>
    <t>ООО СПЕЦАВТОДОРС</t>
  </si>
  <si>
    <t>ООО РЕТРАК СЕРВИС</t>
  </si>
  <si>
    <t>603064, НИЖЕГОРОДСКАЯ ОБЛАСТЬ, Г.О. ГОРОД НИЖНИЙ НОВГОРОД, Г НИЖНИЙ НОВГОРОД, УЛ ОКСКАЯ ГАВАНЬ, Д. 3, ОФИС 228,229</t>
  </si>
  <si>
    <t>ИП ТУРОВ ДМИТРИЙ ЕВГЕНЬЕВИЧ</t>
  </si>
  <si>
    <t>ИП ГРЕНЬКОВА ОКСАНА ПЕТРОВНА</t>
  </si>
  <si>
    <t>ИП ИВАНОВА НАДЕЖДА ПЕТРОВНА</t>
  </si>
  <si>
    <t>ИП ФИЛИМОНОВ АЛЕКСАНДР АЛЕКСАНДРОВИЧ</t>
  </si>
  <si>
    <t>603010, НИЖЕГОРОДСКАЯ ОБЛАСТЬ, Г НИЖНИЙ НОВГОРОД, УЛ ЗЕЛЕНОДОЛЬСКАЯ, Д. 46, КВ. 35</t>
  </si>
  <si>
    <t>ИП Кощеева Татьяна Сергеевна</t>
  </si>
  <si>
    <t>ООО КНЯГИНЯ</t>
  </si>
  <si>
    <t>603152, НИЖЕГОРОДСКАЯ ОБЛАСТЬ, Г НИЖНИЙ НОВГОРОД, УЛ КАЩЕНКО, Д. 6, ПОМ. 1</t>
  </si>
  <si>
    <t>ЗАО РОСМА</t>
  </si>
  <si>
    <t>603163, НИЖЕГОРОДСКАЯ ОБЛАСТЬ, Г НИЖНИЙ НОВГОРОД, Ш КАЗАНСКОЕ, Д.6, П8</t>
  </si>
  <si>
    <t>ИП КУКЛАЕВ ЕВГЕНИЙ СЕРГЕЕВИЧ</t>
  </si>
  <si>
    <t>603124, НИЖЕГОРОДСКАЯ ОБЛАСТЬ, Г НИЖНИЙ НОВГОРОД, Ш МОСКОВСКОЕ, Д.294 Б, СТР.1</t>
  </si>
  <si>
    <t>ООО ТЕХНИКА ДЛЯ БИЗНЕСА</t>
  </si>
  <si>
    <t>ООО АГАТ-ВЭН</t>
  </si>
  <si>
    <t>603034, НИЖЕГОРОДСКАЯ ОБЛАСТЬ, Г НИЖНИЙ НОВГОРОД, Ш КОМСОМОЛЬСКОЕ, Д. 7В</t>
  </si>
  <si>
    <t>ООО АВТОМОБИЛИ ВОСТОКА</t>
  </si>
  <si>
    <t>603092, НИЖЕГОРОДСКАЯ ОБЛАСТЬ, Г НИЖНИЙ НОВГОРОД, Ш МОСКОВСКОЕ, Д. 302Г, ПОМЕЩ. 3</t>
  </si>
  <si>
    <t>ООО МЕЩЕРА</t>
  </si>
  <si>
    <t>603124, НИЖЕГОРОДСКАЯ ОБЛАСТЬ, Г НИЖНИЙ НОВГОРОД, УЛ ВЯЗНИКОВСКАЯ, Д. 2А, ОФИС 25</t>
  </si>
  <si>
    <t>ООО ФЕНИКС-ОЙЛ</t>
  </si>
  <si>
    <t>603092, НИЖЕГОРОДСКАЯ ОБЛАСТЬ, Г НИЖНИЙ НОВГОРОД, Ш МОСКОВСКОЕ, Д. 302К, ОФИС 2</t>
  </si>
  <si>
    <t>ООО ПРОФПОСТАВКА</t>
  </si>
  <si>
    <t>603116, НИЖЕГОРОДСКАЯ ОБЛАСТЬ, Г НИЖНИЙ НОВГОРОД, УЛ ГОРДЕЕВСКАЯ, Д. 97А, ОФИС 1</t>
  </si>
  <si>
    <t>ООО ВИНДО</t>
  </si>
  <si>
    <t>603124, НИЖЕГОРОДСКАЯ ОБЛАСТЬ, Г НИЖНИЙ НОВГОРОД, УЛ ВТОРЧЕРМЕТА, Д. 6, ПОМЕЩ. 9</t>
  </si>
  <si>
    <t>603124, РОССИЯ, НИЖЕГОРОДСКАЯ ОБЛАСТЬ, Г.О. ГОРОД НИЖНИЙ НОВГОРОД, Г НИЖНИЙ НОВГОРОД, ПРОЕЗД БАЗОВЫЙ, Д. 3, КОМ. 67,68,69,70,71,72,73,74,75,76,77</t>
  </si>
  <si>
    <t>ООО АЛМА ПРОФИ</t>
  </si>
  <si>
    <t>603124, РОССИЯ, НИЖЕГОРОДСКАЯ ОБЛАСТЬ, Г.О. ГОРОД НИЖНИЙ НОВГОРОД, Г НИЖНИЙ НОВГОРОД, УЛ ЛЕСНОЙ ГОРОДОК, Д. 5, КВ. 103</t>
  </si>
  <si>
    <t>603124, РОССИЯ, НИЖЕГОРОДСКАЯ ОБЛАСТЬ, Г.О. ГОРОД НИЖНИЙ НОВГОРОД, Г НИЖНИЙ НОВГОРОД, Ш МОСКОВСКОЕ, Д. 294Б, СТР. 1, ПОМЕЩ. П1 ОФИС 413</t>
  </si>
  <si>
    <t>ИП КУРЯТНИКОВА ДИНАРА СЕРГЕЕВНА</t>
  </si>
  <si>
    <t>ООО МЕГА-ОЙЛ НИЖНИЙ НОВГОРОД</t>
  </si>
  <si>
    <t>603032, НИЖЕГОРОДСКАЯ ОБЛАСТЬ, Г НИЖНИЙ НОВГОРОД, УЛ БАУМАНА, Д.177, К.А</t>
  </si>
  <si>
    <t>603053, НИЖЕГОРОДСКАЯ ОБЛАСТЬ, Г НИЖНИЙ НОВГОРОД, УЛ БОРСКАЯ, Д. 17, ПОМЕЩ. 34</t>
  </si>
  <si>
    <t>ООО ПК БАКСС</t>
  </si>
  <si>
    <t>603090, НИЖЕГОРОДСКАЯ ОБЛАСТЬ, Г НИЖНИЙ НОВГОРОД, ПР-КТ ЛЕНИНА, Д. 73, ОФИС 412/1</t>
  </si>
  <si>
    <t>ИП ТОМИНА ЛАРИСА ВИТАЛЬЕВНА</t>
  </si>
  <si>
    <t>ООО ГРУППА ОРДЕР</t>
  </si>
  <si>
    <t>603058, НИЖЕГОРОДСКАЯ ОБЛАСТЬ, Г НИЖНИЙ НОВГОРОД, УЛ ГЕРОЯ ПОПОВА, Д.35Б</t>
  </si>
  <si>
    <t>603034, НИЖЕГОРОДСКАЯ ОБЛАСТЬ, Г НИЖНИЙ НОВГОРОД, УЛ УДМУРТСКАЯ, Д. 37В, ОФИС 1</t>
  </si>
  <si>
    <t>ООО ТД БАКСС-ТРЕЙДИНГ НН</t>
  </si>
  <si>
    <t>603090, НИЖЕГОРОДСКАЯ ОБЛАСТЬ, Г НИЖНИЙ НОВГОРОД, ПР-КТ ЛЕНИНА, Д. 73, ОФИС 412/2</t>
  </si>
  <si>
    <t>ООО ГОСТЕХСЕРВИС</t>
  </si>
  <si>
    <t>603032, НИЖЕГОРОДСКАЯ ОБЛАСТЬ, Г НИЖНИЙ НОВГОРОД, Б-Р ЗАРЕЧНЫЙ, Д. 5, КВ. 460</t>
  </si>
  <si>
    <t>ООО ЛЕТО</t>
  </si>
  <si>
    <t>603034, НИЖЕГОРОДСКАЯ ОБЛАСТЬ, Г.О. ГОРОД НИЖНИЙ НОВГОРОД, Г НИЖНИЙ НОВГОРОД, УЛ УДМУРТСКАЯ, Д. 37В, ОФИС 1</t>
  </si>
  <si>
    <t>ИП ГАНИНА ГЮЗЕЛЬ АНЯСОВНА</t>
  </si>
  <si>
    <t>ИП МАКОВЕЙ АННА НИКОЛАЕВНА</t>
  </si>
  <si>
    <t>603035, НИЖЕГОРОДСКАЯ ОБЛАСТЬ, Г НИЖНИЙ НОВГОРОД, УЛ ЧААДАЕВА, Д. 1, К. 103, ЛИТЕР ИИИИ1, КОМНАТА 9</t>
  </si>
  <si>
    <t>ООО ПРОМПОСТАВКА-НН</t>
  </si>
  <si>
    <t>603087, РОССИЯ, НИЖЕГОРОДСКАЯ ОБЛАСТЬ, Г.О. ГОРОД НИЖНИЙ НОВГОРОД, Г НИЖНИЙ НОВГОРОД, Ш КАЗАНСКОЕ, Д. 21, КВ. 83</t>
  </si>
  <si>
    <t>ИП МАКОВЕЙ МИХАИЛ ВИКТОРОВИЧ</t>
  </si>
  <si>
    <t>ООО ЕВРОАВТОЗАПЧАСТЬ</t>
  </si>
  <si>
    <t>603074, НИЖЕГОРОДСКАЯ ОБЛАСТЬ, Г НИЖНИЙ НОВГОРОД, УЛ НАРОДНАЯ, Д. 22, ПОМЕЩ. 2</t>
  </si>
  <si>
    <t>ООО МОТОЙЛ ВОЛГА</t>
  </si>
  <si>
    <t>603074, НИЖЕГОРОДСКАЯ ОБЛАСТЬ, Г НИЖНИЙ НОВГОРОД, УЛ МАРШАЛА ВОРОНОВА, Д. 11, ОФИС 3</t>
  </si>
  <si>
    <t>ИП ИЛЬИН АНДРЕЙ СЕРГЕЕВИЧ</t>
  </si>
  <si>
    <t>ООО ПАРТБАС ЛОГИСТИК</t>
  </si>
  <si>
    <t>603044, НИЖЕГОРОДСКАЯ ОБЛАСТЬ, Г.О. ГОРОД НИЖНИЙ НОВГОРОД, Г НИЖНИЙ НОВГОРОД, ПР-КТ ГЕРОЕВ, Д. 11А, ПОМЕЩ. 1</t>
  </si>
  <si>
    <t>ООО ИСКРА-НН</t>
  </si>
  <si>
    <t>603035, НИЖЕГОРОДСКАЯ ОБЛАСТЬ, Г.О. ГОРОД НИЖНИЙ НОВГОРОД, Г НИЖНИЙ НОВГОРОД, УЛ ЧААДАЕВА, Д. 1, К. 103, ПОМЕЩ. 10</t>
  </si>
  <si>
    <t>ООО ГЛОБАЛ</t>
  </si>
  <si>
    <t>603157, РОССИЯ, НИЖЕГОРОДСКАЯ ОБЛАСТЬ, Г.О. ГОРОД НИЖНИЙ НОВГОРОД, Г НИЖНИЙ НОВГОРОД, УЛ БЕРЕЗОВСКАЯ, Д. 101, КВ. 85</t>
  </si>
  <si>
    <t>ООО ФОРС</t>
  </si>
  <si>
    <t>603074, РОССИЯ, НИЖЕГОРОДСКАЯ ОБЛАСТЬ, Г.О. ГОРОД НИЖНИЙ НОВГОРОД, Г НИЖНИЙ НОВГОРОД, УЛ БУРНАКОВСКАЯ, Д. 97, КВ. 200</t>
  </si>
  <si>
    <t>ООО ОРИГАНА</t>
  </si>
  <si>
    <t>603074, РОССИЯ, НИЖЕГОРОДСКАЯ ОБЛАСТЬ, Г.О. ГОРОД НИЖНИЙ НОВГОРОД, Г НИЖНИЙ НОВГОРОД, Ш СОРМОВСКОЕ, Д. 13А</t>
  </si>
  <si>
    <t>ООО ОДИССЕЙ</t>
  </si>
  <si>
    <t>603035, РОССИЯ, НИЖЕГОРОДСКАЯ ОБЛАСТЬ, Г.О. ГОРОД НИЖНИЙ НОВГОРОД, Г НИЖНИЙ НОВГОРОД, УЛ ЧААДАЕВА, Д. 2Ю</t>
  </si>
  <si>
    <t>ИП ФРОЛОВ СЕРГЕЙ АЛЕКСЕЕВИЧ</t>
  </si>
  <si>
    <t>ИП ВОРОНИН ВАДИМ АЛЕКСАНДРОВИЧ</t>
  </si>
  <si>
    <t>ООО ИНТЕРАВТО</t>
  </si>
  <si>
    <t>603163, НИЖЕГОРОДСКАЯ ОБЛАСТЬ, Г НИЖНИЙ НОВГОРОД, УЛ ВЕРХНЕ-ПЕЧЕРСКАЯ, Д. 4, К. 1, КВ. 135</t>
  </si>
  <si>
    <t>ООО АС-ШИНА</t>
  </si>
  <si>
    <t>603106, НИЖЕГОРОДСКАЯ ОБЛАСТЬ, Г.О. ГОРОД НИЖНИЙ НОВГОРОД, Г НИЖНИЙ НОВГОРОД, УЛ ИМЕНИ ГЕНЕРАЛА ИВЛИЕВА И.Д., Д. 24А, ЭТАЖ 2 ПОМЕЩ.4,5</t>
  </si>
  <si>
    <t>ООО АВТОЛИГА-ЮГ</t>
  </si>
  <si>
    <t>603124, НИЖЕГОРОДСКАЯ ОБЛАСТЬ, Г.О. ГОРОД НИЖНИЙ НОВГОРОД, Г НИЖНИЙ НОВГОРОД, Ш МОСКОВСКОЕ, Д. 247, ПОМЕЩ. 62</t>
  </si>
  <si>
    <t>ООО ДЭЙЛИ-АВТО</t>
  </si>
  <si>
    <t>603000, НИЖЕГОРОДСКАЯ ОБЛАСТЬ, Г НИЖНИЙ НОВГОРОД, УЛ СТУДЕНАЯ, Д.55А, 10</t>
  </si>
  <si>
    <t>ООО АВТОЛИГА-ЛИОН</t>
  </si>
  <si>
    <t>603124, НИЖЕГОРОДСКАЯ ОБЛАСТЬ, Г.О. ГОРОД НИЖНИЙ НОВГОРОД, Г НИЖНИЙ НОВГОРОД, Ш МОСКОВСКОЕ, Д. 243, ПОМЕЩ. 15</t>
  </si>
  <si>
    <t>603163, НИЖЕГОРОДСКАЯ ОБЛАСТЬ, Г НИЖНИЙ НОВГОРОД, Ш КАЗАНСКОЕ, Д. 1А, ОФИС 15</t>
  </si>
  <si>
    <t>ООО ХЕЛБИ-ТРЕЙД</t>
  </si>
  <si>
    <t>606000, РОССИЯ, НИЖЕГОРОДСКАЯ ОБЛАСТЬ, Г.О. ГОРОД ДЗЕРЖИНСК, Г ДЗЕРЖИНСК, УЛ БУТЛЕРОВА, Д. 3, ПОМЕЩ. П7, ПОМЕЩЕНИЕ 22</t>
  </si>
  <si>
    <t>ООО ГАРАНТЗАПЧАСТЬ</t>
  </si>
  <si>
    <t>603005, НИЖЕГОРОДСКАЯ ОБЛАСТЬ, Г НИЖНИЙ НОВГОРОД, УЛ ПИСКУНОВА, Д. 14А, ОФИС 17А</t>
  </si>
  <si>
    <t>ООО АРЕАЛ ГРУПП</t>
  </si>
  <si>
    <t>603006, НИЖЕГОРОДСКАЯ ОБЛАСТЬ, Г НИЖНИЙ НОВГОРОД, УЛ ВАРВАРСКАЯ, Д. 27/8, ОФИС 62</t>
  </si>
  <si>
    <t>ИП ДАНИЛОВА-СИМШАГ НИНА ДМИТРИЕВНА</t>
  </si>
  <si>
    <t>ООО АВТОПРОФИЛЬ</t>
  </si>
  <si>
    <t>603028, НИЖЕГОРОДСКАЯ ОБЛАСТЬ, Г.О. ГОРОД НИЖНИЙ НОВГОРОД, Г НИЖНИЙ НОВГОРОД, Ш КОМСОМОЛЬСКОЕ, Д. 7Г, ОФИС 201</t>
  </si>
  <si>
    <t>ООО ПАРТНЕРЫ</t>
  </si>
  <si>
    <t>603144, НИЖЕГОРОДСКАЯ ОБЛАСТЬ, Г НИЖНИЙ НОВГОРОД, УЛ ПОЛЯРНАЯ, Д. 65Б</t>
  </si>
  <si>
    <t>ИП КУПРИЯНОВ АРТЕМ СТАНИСЛАВОВИЧ</t>
  </si>
  <si>
    <t>ООО ЕМЕКС-НН</t>
  </si>
  <si>
    <t>603081, НИЖЕГОРОДСКАЯ ОБЛАСТЬ, Г НИЖНИЙ НОВГОРОД, УЛ ТЕРЕШКОВОЙ, Д. 3, ПОМЕЩ. П1</t>
  </si>
  <si>
    <t>ООО  ПИГМЕНТ</t>
  </si>
  <si>
    <t>603009, НИЖЕГОРОДСКАЯ ОБЛАСТЬ, Г НИЖНИЙ НОВГОРОД, УЛ УГЛОВА, Д.2А</t>
  </si>
  <si>
    <t>ООО РПС</t>
  </si>
  <si>
    <t>603009, РОССИЯ, НИЖЕГОРОДСКАЯ ОБЛАСТЬ, Г.О. ГОРОД НИЖНИЙ НОВГОРОД, Г НИЖНИЙ НОВГОРОД, ПР-КТ ГАГАРИНА, Д. 166</t>
  </si>
  <si>
    <t>ИП ФОЛАНИН СЕРГЕЙ ВИКЕНТЬЕВИЧ</t>
  </si>
  <si>
    <t>ООО ЛИДВЕН</t>
  </si>
  <si>
    <t>603144, РОССИЯ, НИЖЕГОРОДСКАЯ ОБЛАСТЬ, Г.О. ГОРОД НИЖНИЙ НОВГОРОД, Г НИЖНИЙ НОВГОРОД, УЛ ГАГИНСКАЯ, Д. 7</t>
  </si>
  <si>
    <t>ООО ТФК АВТОТЕХИМПОРТ</t>
  </si>
  <si>
    <t>603037, НИЖЕГОРОДСКАЯ ОБЛАСТЬ, Г НИЖНИЙ НОВГОРОД, УЛ ФЕДОСЕЕНКО, Д. 48Б</t>
  </si>
  <si>
    <t>ИП ГЛУБОКОВА ИРАИДА ВАЛЕРЬЕВНА</t>
  </si>
  <si>
    <t>АО СОВХИМТЕХ</t>
  </si>
  <si>
    <t>603079, НИЖЕГОРОДСКАЯ ОБЛАСТЬ, Г НИЖНИЙ НОВГОРОД, Ш МОСКОВСКОЕ, Д.83 Б</t>
  </si>
  <si>
    <t>ООО ТД ТПТ</t>
  </si>
  <si>
    <t>603098, НИЖЕГОРОДСКАЯ ОБЛАСТЬ, Г НИЖНИЙ НОВГОРОД, УЛ АРТЕЛЬНАЯ, Д. 1, ОФИС 111</t>
  </si>
  <si>
    <t>ООО Б-ПЛЮС НН</t>
  </si>
  <si>
    <t>603104, НИЖЕГОРОДСКАЯ ОБЛАСТЬ, Г НИЖНИЙ НОВГОРОД, УЛ НАРТОВА, Д. 6, ЛИТЕР Г, ОФИС 7</t>
  </si>
  <si>
    <t>ООО НАВИГАТОР СМ</t>
  </si>
  <si>
    <t>603093, НИЖЕГОРОДСКАЯ ОБЛАСТЬ, Г.О. ГОРОД НИЖНИЙ НОВГОРОД, Г НИЖНИЙ НОВГОРОД, УЛ РОДИОНОВА, Д. 171, ОФИС 304</t>
  </si>
  <si>
    <t>ИП ИРИСОВА АЛЛА ВАСИЛЬЕВНА</t>
  </si>
  <si>
    <t>ИП РЕТИНА ЕЛЕНА ВИКТОРОВНА</t>
  </si>
  <si>
    <t>ООО СВЯТОГОР</t>
  </si>
  <si>
    <t>607635, НИЖЕГОРОДСКАЯ ОБЛАСТЬ, Г.О. ГОРОД НИЖНИЙ НОВГОРОД, СП. КУДЬМА, УЛ КУДЬМИНСКАЯ ПРОМЫШЛЕННАЯ ЗОНА N1, ЗД. 53А, КАБИНЕТ 21</t>
  </si>
  <si>
    <t>ИП РОДИОНОВА ЛЮБОВЬ ФЕДОРОВНА</t>
  </si>
  <si>
    <t>ООО ПРОМТЕХОЙЛ</t>
  </si>
  <si>
    <t>603037, НИЖЕГОРОДСКАЯ ОБЛАСТЬ, Г НИЖНИЙ НОВГОРОД, УЛ ТОРФЯНАЯ, Д. 30, ПОМЕЩ. 3 ОФИС 5</t>
  </si>
  <si>
    <t>ИП ХАРУЗИН АНДРЕЙ АЛЕКСАНДРОВИЧ</t>
  </si>
  <si>
    <t>ООО ДИНАМИКА</t>
  </si>
  <si>
    <t>603068, РОССИЯ, НИЖЕГОРОДСКАЯ ОБЛАСТЬ, Г.О. ГОРОД НИЖНИЙ НОВГОРОД, Г НИЖНИЙ НОВГОРОД, УЛ ПЛАНЕТНАЯ, Д. 35</t>
  </si>
  <si>
    <t>ИП САВОСИН ВАСИЛИЙ АНДРЕЕВИЧ</t>
  </si>
  <si>
    <t>ИП НИМАНИХИН АЛЕКСАНДР АЛЕКСЕЕВИЧ</t>
  </si>
  <si>
    <t>ИП Асямолов Вячеслав</t>
  </si>
  <si>
    <t>ИП БЕЛОВА ЕКАТЕРИНА ЮРЬЕВНА</t>
  </si>
  <si>
    <t>ИП ОГУРЦОВА ТАТЬЯНА АЛЕКСАНДРОВНА</t>
  </si>
  <si>
    <t>ООО ТРАКТ</t>
  </si>
  <si>
    <t>606108, НИЖЕГОРОДСКАЯ ОБЛАСТЬ, Р-Н ПАВЛОВСКИЙ, Г ПАВЛОВО, УЛ 8-Е МАРТА, ДОМ 15 А</t>
  </si>
  <si>
    <t>ООО ПАВЛОВО- АВТОСИТИ</t>
  </si>
  <si>
    <t>606138, НИЖЕГОРОДСКАЯ ОБЛАСТЬ, Р-Н ПАВЛОВСКИЙ, С БОЛЬШОЕ ДАВЫДОВО, УЛ ДОРОЖНАЯ, Д. 2А</t>
  </si>
  <si>
    <t>ИП ИВКО ИВАН АЛЕКСАНДРОВИЧ</t>
  </si>
  <si>
    <t>ООО ИНТЕХ</t>
  </si>
  <si>
    <t>606100, НИЖЕГОРОДСКАЯ ОБЛАСТЬ, Р-Н ПАВЛОВСКИЙ, Г ПАВЛОВО, УЛ НИЖЕГОРОДСКАЯ, Д. 14</t>
  </si>
  <si>
    <t>ООО ВЫМПЕЛДРАЙФ</t>
  </si>
  <si>
    <t>606135, НИЖЕГОРОДСКАЯ ОБЛАСТЬ, Р-Н ПАВЛОВСКИЙ, С ТАРЕМСКОЕ, УЛ ШКОЛЬНАЯ, Д. 18А, КВ. 7</t>
  </si>
  <si>
    <t>ИП ТЮТИН ЭДУАРД ВИКТОРОВИЧ</t>
  </si>
  <si>
    <t>ИП СКРЫПНИК АЛЕКСЕЙ МИХАЙЛОВИЧ</t>
  </si>
  <si>
    <t>ООО БАЛЧУГ</t>
  </si>
  <si>
    <t>603105, НИЖЕГОРОДСКАЯ ОБЛАСТЬ, Г НИЖНИЙ НОВГОРОД, УЛ ВАНЕЕВА, Д. 34, ПОМЕЩ. 13</t>
  </si>
  <si>
    <t>ИП ЦЫПИН ЕВГЕНИЙ НИКОЛАЕВИЧ</t>
  </si>
  <si>
    <t>ИП Денисов Алексей Николаевич</t>
  </si>
  <si>
    <t>ГБУ НО РЦСМ</t>
  </si>
  <si>
    <t>603041, НИЖЕГОРОДСКАЯ ОБЛАСТЬ, Г НИЖНИЙ НОВГОРОД, УЛ КРАСНЫХ ПАРТИЗАН, Д. 8А</t>
  </si>
  <si>
    <t>ООО  НИЖБЕЛ</t>
  </si>
  <si>
    <t>603117, НИЖЕГОРОДСКАЯ ОБЛАСТЬ, Г.О. ГОРОД НИЖНИЙ НОВГОРОД, Г НИЖНИЙ НОВГОРОД, УЛ БЕРЕГОВАЯ, Д. 17</t>
  </si>
  <si>
    <t>ГБУЗ НО ИКБ № 23 Г.Н.НОВГОРОДА</t>
  </si>
  <si>
    <t>603041, НИЖЕГОРОДСКАЯ ОБЛАСТЬ, Г НИЖНИЙ НОВГОРОД, ПР-КТ ИЛЬИЧА, Д. 54</t>
  </si>
  <si>
    <t>ООО МАГИСТРАЛЬ-НН</t>
  </si>
  <si>
    <t>603016, НИЖЕГОРОДСКАЯ ОБЛАСТЬ, Г НИЖНИЙ НОВГОРОД, УЛ МОНАСТЫРКА, Д. 13, К. 3</t>
  </si>
  <si>
    <t>ИП РОМАШОВ ВЛАДИМИР ЕВГЕНЬЕВИЧ</t>
  </si>
  <si>
    <t>ООО БЦР-АВТО ПЛЮС СЕРВИС</t>
  </si>
  <si>
    <t>ООО ПОЛИХИМ</t>
  </si>
  <si>
    <t>603016, НИЖЕГОРОДСКАЯ ОБЛАСТЬ, Г НИЖНИЙ НОВГОРОД, УЛ ЮЛИУСА ФУЧИКА, Д. 8А, ОФИС 319</t>
  </si>
  <si>
    <t>ООО КУЗОВНОЙ ЦЕНТР АВТОГРАФФ</t>
  </si>
  <si>
    <t>ИП КОБЫЛЯНСКАЯ НАТАЛЬЯ ВИКТОРОВНА</t>
  </si>
  <si>
    <t>ООО 4 СОЛЬДО</t>
  </si>
  <si>
    <t>ООО УНИПАРТС</t>
  </si>
  <si>
    <t>603053, НИЖЕГОРОДСКАЯ ОБЛАСТЬ, Г НИЖНИЙ НОВГОРОД, УЛ МЕЛЬНИКОВА, Д. 14, КВ. 13</t>
  </si>
  <si>
    <t>603142, НИЖЕГОРОДСКАЯ ОБЛАСТЬ, Г НИЖНИЙ НОВГОРОД, УЛ МОНЧЕГОРСКАЯ, Д. 34, КВ. 91</t>
  </si>
  <si>
    <t>ИП РЕДЬКИН РОМАН ВИКТОРОВИЧ</t>
  </si>
  <si>
    <t>ООО КОМПАНИЯ МАРИН СТОР</t>
  </si>
  <si>
    <t>603111, НИЖЕГОРОДСКАЯ ОБЛАСТЬ, Г НИЖНИЙ НОВГОРОД, УЛ КОМСОМОЛЬСКАЯ, Д. 10, КВ. 141</t>
  </si>
  <si>
    <t>ООО ТАКОН</t>
  </si>
  <si>
    <t>603016, НИЖЕГОРОДСКАЯ ОБЛАСТЬ, Г НИЖНИЙ НОВГОРОД, УЛ ЮЛИУСА ФУЧИКА, Д. 130А, ОФИС 417</t>
  </si>
  <si>
    <t>ООО КМТ НН</t>
  </si>
  <si>
    <t>603043, НИЖЕГОРОДСКАЯ ОБЛАСТЬ, Г.О. ГОРОД НИЖНИЙ НОВГОРОД, Г НИЖНИЙ НОВГОРОД, УЛ ГЕРОЯ СОВЕТСКОГО СОЮЗА ПОЮЩЕВА, Д. 22, ОФИС 407</t>
  </si>
  <si>
    <t>АО ПЛАТФОРМА А</t>
  </si>
  <si>
    <t>603004, РОССИЯ, НИЖЕГОРОДСКАЯ ОБЛАСТЬ, Г.О. ГОРОД НИЖНИЙ НОВГОРОД, Г НИЖНИЙ НОВГОРОД, ПР-КТ ЛЕНИНА, Д. 107, КАБИНЕТ 219</t>
  </si>
  <si>
    <t>ИП ХВАЛЮТИН АНДРЕЙ ВЛАДИМИРОВИЧ</t>
  </si>
  <si>
    <t>ИП ДОМОЖИРОВ ВИТАЛИЙ АЛЕКСАНДРОВИЧ</t>
  </si>
  <si>
    <t>ИП СЕНИНЕЦ ПЕТР ЮРЬЕВИЧ</t>
  </si>
  <si>
    <t>ИП ЧЕРНЯВСКИЙ ДМИТРИЙ КОНСТАНТИНОВИЧ</t>
  </si>
  <si>
    <t>ИП СЕДОВ ИЛЬЯ АНДРЕЕВИЧ</t>
  </si>
  <si>
    <t>АО НАС</t>
  </si>
  <si>
    <t>603108, НИЖЕГОРОДСКАЯ ОБЛАСТЬ, Г НИЖНИЙ НОВГОРОД, УЛ КУЗБАССКАЯ, Д. 7А</t>
  </si>
  <si>
    <t>ИП Ганин Сергей Юрьевич</t>
  </si>
  <si>
    <t>ИП ЧАКРЫГИН СЕРГЕЙ ВЛАДИМИРОВИЧ</t>
  </si>
  <si>
    <t>ООО ПЛАТИНУМ</t>
  </si>
  <si>
    <t>603163, НИЖЕГОРОДСКАЯ ОБЛАСТЬ, Г НИЖНИЙ НОВГОРОД, Ш КАЗАНСКОЕ, Д. 1А</t>
  </si>
  <si>
    <t>ИП Бойко Олег Владимирович</t>
  </si>
  <si>
    <t>ООО АГРОТЕХПАРК</t>
  </si>
  <si>
    <t>ООО АГАТ-ЦЕНТР</t>
  </si>
  <si>
    <t>603124, НИЖЕГОРОДСКАЯ ОБЛАСТЬ, Г НИЖНИЙ НОВГОРОД, Ш МОСКОВСКОЕ, Д.294Г</t>
  </si>
  <si>
    <t>ООО ПУЛЬСАР МОТО</t>
  </si>
  <si>
    <t>603108, РОССИЯ, НИЖЕГОРОДСКАЯ ОБЛАСТЬ, Г.О. ГОРОД НИЖНИЙ НОВГОРОД, Г НИЖНИЙ НОВГОРОД, УЛ ЭЛЕКТРОВОЗНАЯ, Д. 17</t>
  </si>
  <si>
    <t>ИП РУМЯНЦЕВА ЮЛИЯ АЛЕКСАНДРОВНА</t>
  </si>
  <si>
    <t>ООО ЛУИДОР-ГАРАНТ</t>
  </si>
  <si>
    <t>603152, НИЖЕГОРОДСКАЯ ОБЛАСТЬ, Г.О. ГОРОД НИЖНИЙ НОВГОРОД, Г НИЖНИЙ НОВГОРОД, УЛ ЛАРИНА, Д. 18, ПОМЕЩ. 53</t>
  </si>
  <si>
    <t>ООО СТАНДАРТОЙЛ</t>
  </si>
  <si>
    <t>603108, НИЖЕГОРОДСКАЯ ОБЛАСТЬ, Г НИЖНИЙ НОВГОРОД, УЛ ВЫСОКОВОЛЬТНАЯ, Д. 16, ЛИТЕР Б, ПОМЕЩ. 14</t>
  </si>
  <si>
    <t>ООО НИЖЕГОРОДЕЦ ВОСТОК</t>
  </si>
  <si>
    <t>603028, НИЖЕГОРОДСКАЯ ОБЛАСТЬ, Г НИЖНИЙ НОВГОРОД, Ш КОМСОМОЛЬСКОЕ, Д. 14А, ЛИТЕРА К, ОФИС 1</t>
  </si>
  <si>
    <t>ООО ПРОМТОРГ</t>
  </si>
  <si>
    <t>603116, НИЖЕГОРОДСКАЯ ОБЛАСТЬ, Г.О. ГОРОД НИЖНИЙ НОВГОРОД, Г НИЖНИЙ НОВГОРОД, УЛ ГОРДЕЕВСКАЯ, Д. 97А, ПОМЕЩ. П31</t>
  </si>
  <si>
    <t>ООО НИЖЕГОРОДЕЦ ДЕЛЬТА</t>
  </si>
  <si>
    <t>603028, НИЖЕГОРОДСКАЯ ОБЛАСТЬ, Г НИЖНИЙ НОВГОРОД, Ш МОСКОВСКОЕ, Д. 34, КАБИНЕТ 23</t>
  </si>
  <si>
    <t>603124, НИЖЕГОРОДСКАЯ ОБЛАСТЬ, Г НИЖНИЙ НОВГОРОД, Ш МОСКОВСКОЕ, Д. 294Г, ОФИС 212</t>
  </si>
  <si>
    <t>ООО МИР-А</t>
  </si>
  <si>
    <t>603010, РОССИЯ, НИЖЕГОРОДСКАЯ ОБЛАСТЬ, Г.О. ГОРОД НИЖНИЙ НОВГОРОД, Г НИЖНИЙ НОВГОРОД, УЛ АРТЕМОВСКАЯ, Д. 22</t>
  </si>
  <si>
    <t>ООО ТОРГОВЫЙ ДОМ ЗАРЕЧНЫЙ</t>
  </si>
  <si>
    <t>603002, НИЖЕГОРОДСКАЯ ОБЛАСТЬ, Г НИЖНИЙ НОВГОРОД, УЛ ФАБРИЧНАЯ, Д.2</t>
  </si>
  <si>
    <t>ООО  РУСАВТОДЕТАЛЬ</t>
  </si>
  <si>
    <t>606108, НИЖЕГОРОДСКАЯ ОБЛАСТЬ, М.О. ПАВЛОВСКИЙ, Г ПАВЛОВО, УЛ 8-Е МАРТА, Д. 15Г, СТР. 1, ПОМЕЩ. 5</t>
  </si>
  <si>
    <t>ООО 7 ФУТОВ</t>
  </si>
  <si>
    <t>607680, НИЖЕГОРОДСКАЯ ОБЛАСТЬ, М.О. КСТОВСКИЙ, Д КУЗЬМИНКА, ТЕР. НАБЕРЕЖНАЯ ГРЕБНОГО КАНАЛА, СТР. 4А, ОФИС 1</t>
  </si>
  <si>
    <t>ООО БЕТА-ОЙЛ</t>
  </si>
  <si>
    <t>603032, НИЖЕГОРОДСКАЯ ОБЛАСТЬ, Г НИЖНИЙ НОВГОРОД, УЛ ПАМИРСКАЯ, Д. 11, ОФИС 317</t>
  </si>
  <si>
    <t>ООО САМ</t>
  </si>
  <si>
    <t>603029, НИЖЕГОРОДСКАЯ ОБЛАСТЬ, Г НИЖНИЙ НОВГОРОД, УЛ УСИЕВИЧА, Д. 19, КВ. 16</t>
  </si>
  <si>
    <t>ООО ВЕРТЕКС</t>
  </si>
  <si>
    <t>603064, РОССИЯ, НИЖЕГОРОДСКАЯ ОБЛАСТЬ, Г.О. ГОРОД НИЖНИЙ НОВГОРОД, Г НИЖНИЙ НОВГОРОД, УЛ НОВИКОВА-ПРИБОЯ, Д. 12, ОФИС 601</t>
  </si>
  <si>
    <t>ИП ДЕМЬЯНЕНКО АЛЕКСЕЙ ВАЛЕРЬЕВИЧ</t>
  </si>
  <si>
    <t>АО ВОЛГАНЕФТЕХИМ</t>
  </si>
  <si>
    <t>603052, НИЖЕГОРОДСКАЯ ОБЛАСТЬ, Г НИЖНИЙ НОВГОРОД, Ш СОРМОВСКОЕ, Д. 24, К. 20</t>
  </si>
  <si>
    <t>603124, НИЖЕГОРОДСКАЯ ОБЛАСТЬ, Г НИЖНИЙ НОВГОРОД, УЛ ВТОРЧЕРМЕТА, Д.6</t>
  </si>
  <si>
    <t>ИП САВКИНА ЛАРИСА ЕВГЕНЬЕВНА</t>
  </si>
  <si>
    <t>ООО ВАЛВО-ТРЕЙД</t>
  </si>
  <si>
    <t>603074, НИЖЕГОРОДСКАЯ ОБЛАСТЬ, Г НИЖНИЙ НОВГОРОД, УЛ МАРШАЛА ВОРОНОВА, Д. 11, ОФИС 6</t>
  </si>
  <si>
    <t>ООО РИТ</t>
  </si>
  <si>
    <t>603157, РОССИЯ, НИЖЕГОРОДСКАЯ ОБЛАСТЬ, Г.О. ГОРОД НИЖНИЙ НОВГОРОД, Г НИЖНИЙ НОВГОРОД, УЛ КОМИНТЕРНА, Д. 24, КВ. 76</t>
  </si>
  <si>
    <t>ИП ПРОХОРОВА ЮЛИЯ СЕРГЕЕВНА</t>
  </si>
  <si>
    <t>ИП ЧЕРНЫЙ НИКОЛАЙ НИКОЛАЕВИЧ</t>
  </si>
  <si>
    <t>ООО АВТОМОБИЛИ БАВАРИИ</t>
  </si>
  <si>
    <t>603163, НИЖЕГОРОДСКАЯ ОБЛАСТЬ, Г НИЖНИЙ НОВГОРОД, УЛ БРИНСКОГО, Д.12</t>
  </si>
  <si>
    <t>ООО РОТАЦИОННЫЕ КОМПРЕССОРЫ</t>
  </si>
  <si>
    <t>603001, НИЖЕГОРОДСКАЯ ОБЛАСТЬ, Г НИЖНИЙ НОВГОРОД, УЛ ЧЕРНИГОВСКАЯ, Д. 15, КОМ. 1</t>
  </si>
  <si>
    <t>ООО АЛЬТЕРА НН</t>
  </si>
  <si>
    <t>603057, НИЖЕГОРОДСКАЯ ОБЛАСТЬ, Г НИЖНИЙ НОВГОРОД, ПР-КТ ГАГАРИНА, Д.29, К.Д</t>
  </si>
  <si>
    <t>ИП ШОРИНОВ ВАДИМ ВАЛЕРЬЕВИЧ</t>
  </si>
  <si>
    <t>ИП ОВЧАРОВА ИРИНА АЛЕКСЕЕВНА</t>
  </si>
  <si>
    <t>ООО АГАТ НА КОМСОМОЛЬСКОМ</t>
  </si>
  <si>
    <t>ООО ПОВОЛЖСКИЕ СЕТИ</t>
  </si>
  <si>
    <t>603028, НИЖЕГОРОДСКАЯ ОБЛАСТЬ, Г НИЖНИЙ НОВГОРОД, Ш КОМСОМОЛЬСКОЕ, Д. 7Г, ОФИС 203</t>
  </si>
  <si>
    <t>ООО ПРАЙМАВТО</t>
  </si>
  <si>
    <t>603163, НИЖЕГОРОДСКАЯ ОБЛАСТЬ, Г НИЖНИЙ НОВГОРОД, Ш КАЗАНСКОЕ, Д. 1А, ОФИС 6</t>
  </si>
  <si>
    <t>ООО ПРОМЭКСПОРТ-СМ</t>
  </si>
  <si>
    <t>603000, НИЖЕГОРОДСКАЯ ОБЛАСТЬ, Г НИЖНИЙ НОВГОРОД, УЛ СОРЕВНОВАНИЯ, Д. 1, ПОМЕЩ. П8</t>
  </si>
  <si>
    <t>ООО ТЕРМИНАЛ НЕФТЕПРОДУКТ</t>
  </si>
  <si>
    <t>603155, НИЖЕГОРОДСКАЯ ОБЛАСТЬ, Г НИЖНИЙ НОВГОРОД, УЛ БОЛЬШАЯ ПЕЧЕРСКАЯ, Д. 33, ПОМЕЩ. 1</t>
  </si>
  <si>
    <t>ООО ИЛАМА</t>
  </si>
  <si>
    <t>603093, НИЖЕГОРОДСКАЯ ОБЛАСТЬ, Г.О. ГОРОД НИЖНИЙ НОВГОРОД, Г НИЖНИЙ НОВГОРОД, УЛ ДЕЛОВАЯ, Д. 1, СТР. 4, КОМ. 1</t>
  </si>
  <si>
    <t>ИП КАМЗИН ОЛЕГ ИГОРЕВИЧ</t>
  </si>
  <si>
    <t>ООО ТЕХНОКОНТИНЕНТ</t>
  </si>
  <si>
    <t>603074, НИЖЕГОРОДСКАЯ ОБЛАСТЬ, Г НИЖНИЙ НОВГОРОД, УЛ БУРНАКОВСКАЯ, Д. 3А</t>
  </si>
  <si>
    <t>ООО ТСЦ-НН</t>
  </si>
  <si>
    <t>603141, НИЖЕГОРОДСКАЯ ОБЛАСТЬ, Г НИЖНИЙ НОВГОРОД, УЛ ШАПОШНИКОВА, Д. 15, ЛИТЕР Д, ПОМЕЩ. 10</t>
  </si>
  <si>
    <t>ИП ФАДЕЕВА НАТАЛЬЯ СЕРГЕЕВНА</t>
  </si>
  <si>
    <t>ООО ДЕЛОРИУМ</t>
  </si>
  <si>
    <t>603123, НИЖЕГОРОДСКАЯ ОБЛАСТЬ, Г НИЖНИЙ НОВГОРОД, Ш ЮЖНОЕ, Д. 19А, КВ. 73</t>
  </si>
  <si>
    <t>ООО САПФИР АВТО</t>
  </si>
  <si>
    <t>603152, НИЖЕГОРОДСКАЯ ОБЛАСТЬ, Г НИЖНИЙ НОВГОРОД, УЛ ЛАРИНА, Д. 21, ПОМЕЩ. 56</t>
  </si>
  <si>
    <t>ООО АВТОЦЕНТР НА ГАГАРИНА</t>
  </si>
  <si>
    <t>603107, НИЖЕГОРОДСКАЯ ОБЛАСТЬ, Г НИЖНИЙ НОВГОРОД, ПР-КТ ГАГАРИНА, Д. 65А</t>
  </si>
  <si>
    <t>ООО ТД РПС</t>
  </si>
  <si>
    <t>603009, НИЖЕГОРОДСКАЯ ОБЛАСТЬ, Г.О. ГОРОД НИЖНИЙ НОВГОРОД, Г НИЖНИЙ НОВГОРОД, ПР-КТ ГАГАРИНА, Д. 166, ОФИС 320</t>
  </si>
  <si>
    <t>ООО ПЕТРОЛ ТРЕЙД</t>
  </si>
  <si>
    <t>603152, НИЖЕГОРОДСКАЯ ОБЛАСТЬ, Г НИЖНИЙ НОВГОРОД, УЛ ЛАРИНА, Д. 23</t>
  </si>
  <si>
    <t>ООО НИЖХИМГАРАНТ</t>
  </si>
  <si>
    <t>603137, РОССИЯ, НИЖЕГОРОДСКАЯ ОБЛАСТЬ, Г.О. ГОРОД НИЖНИЙ НОВГОРОД, Г НИЖНИЙ НОВГОРОД, ПР-КТ ГАГАРИНА, Д. 101, К. 5, КВ. 326</t>
  </si>
  <si>
    <t>ООО ТК МСК-НН</t>
  </si>
  <si>
    <t>607635, РОССИЯ, НИЖЕГОРОДСКАЯ ОБЛАСТЬ, Г.О. ГОРОД НИЖНИЙ НОВГОРОД, СП. НОВИНКИ, УЛ НИЖЕГОРОДСКАЯ, Д. 9, КВ. 13</t>
  </si>
  <si>
    <t>ООО ОРГАНИКДЕЗ</t>
  </si>
  <si>
    <t>603024, РОССИЯ, НИЖЕГОРОДСКАЯ ОБЛАСТЬ, Г.О. ГОРОД НИЖНИЙ НОВГОРОД, Г НИЖНИЙ НОВГОРОД, УЛ ПОЛТАВСКАЯ, Д. 14, ПОМЕЩ. 5А</t>
  </si>
  <si>
    <t>ООО ВЕКТОР СИЛЫ</t>
  </si>
  <si>
    <t>603107, РОССИЯ, НИЖЕГОРОДСКАЯ ОБЛАСТЬ, Г.О. ГОРОД НИЖНИЙ НОВГОРОД, Г НИЖНИЙ НОВГОРОД, ПР-КТ ГАГАРИНА, Д. 69, ОФИС 13</t>
  </si>
  <si>
    <t>ООО ГК ВНП</t>
  </si>
  <si>
    <t>603137, РОССИЯ, НИЖЕГОРОДСКАЯ ОБЛАСТЬ, Г.О. ГОРОД НИЖНИЙ НОВГОРОД, Г НИЖНИЙ НОВГОРОД, УЛ МАРШАЛА ГОЛОВАНОВА, Д. 41, КВ. 34</t>
  </si>
  <si>
    <t>ООО ГНБ</t>
  </si>
  <si>
    <t>607635, РОССИЯ, НИЖЕГОРОДСКАЯ ОБЛАСТЬ, Г.О. ГОРОД НИЖНИЙ НОВГОРОД, СП. НОВИНКИ, УЛ НОВАЯ, Д. 140</t>
  </si>
  <si>
    <t>ООО МАНТОВ-РРР</t>
  </si>
  <si>
    <t>603141, РОССИЯ, НИЖЕГОРОДСКАЯ ОБЛАСТЬ, Г.О. ГОРОД НИЖНИЙ НОВГОРОД, П ЧЕРЕПИЧНЫЙ, Д. 14В, ОФИС 220</t>
  </si>
  <si>
    <t>ИП КОРОБКА АНДРЕЙ НИКОЛАЕВИЧ</t>
  </si>
  <si>
    <t>ИП Трубская Ольга Николаевна</t>
  </si>
  <si>
    <t>ИП РЕДЬКИН СЕРГЕЙ МИХАЙЛОВИЧ</t>
  </si>
  <si>
    <t>ООО АВТОЛИГА-ЦЕНТР</t>
  </si>
  <si>
    <t>603124, НИЖЕГОРОДСКАЯ ОБЛАСТЬ, Г.О. ГОРОД НИЖНИЙ НОВГОРОД, Г НИЖНИЙ НОВГОРОД, Ш МОСКОВСКОЕ, Д. 245А, ПОМЕЩ. 14</t>
  </si>
  <si>
    <t>ООО ВОЛГА-ОЙЛ</t>
  </si>
  <si>
    <t>603022, НИЖЕГОРОДСКАЯ ОБЛАСТЬ, Г НИЖНИЙ НОВГОРОД, УЛ ОКСКИЙ СЪЕЗД, Д. 1, ПОМЕЩ. 2, КОМНАТА 1</t>
  </si>
  <si>
    <t>ООО АВТОЛИГА-СПОРТ</t>
  </si>
  <si>
    <t>603124, НИЖЕГОРОДСКАЯ ОБЛАСТЬ, Г НИЖНИЙ НОВГОРОД, Ш МОСКОВСКОЕ, Д. 245А, ПОМЕЩ. 5</t>
  </si>
  <si>
    <t>ООО АВТОЛИГА-ЗАПАД</t>
  </si>
  <si>
    <t>603124, НИЖЕГОРОДСКАЯ ОБЛАСТЬ, Г НИЖНИЙ НОВГОРОД, Ш МОСКОВСКОЕ, Д. 247, ПОМЕЩ. 62</t>
  </si>
  <si>
    <t>ГБОУ ДО СШОР ПО СОВРЕМЕННОМУ ПЯТИБОРЬЮ И КОННОМУ СПОРТУ ИМЕНИ И.А.СОИ</t>
  </si>
  <si>
    <t>603093, НИЖЕГОРОДСКАЯ ОБЛАСТЬ, Г НИЖНИЙ НОВГОРОД, УЛ ОВРАЖНАЯ, Д.62</t>
  </si>
  <si>
    <t>ООО ПАРТИМПОРТ</t>
  </si>
  <si>
    <t>603089, НИЖЕГОРОДСКАЯ ОБЛАСТЬ, Г НИЖНИЙ НОВГОРОД, УЛ ГАРАЖНАЯ, Д. 9, ОФИС 306</t>
  </si>
  <si>
    <t>ООО ВОСТОРГ 52</t>
  </si>
  <si>
    <t>603089, НИЖЕГОРОДСКАЯ ОБЛАСТЬ, Г НИЖНИЙ НОВГОРОД, УЛ ПОЛТАВСКАЯ, Д. 32, ОФИС 21</t>
  </si>
  <si>
    <t>ООО КАМЕЛИЯ</t>
  </si>
  <si>
    <t>603105, РОССИЯ, НИЖЕГОРОДСКАЯ ОБЛАСТЬ, Г.О. ГОРОД НИЖНИЙ НОВГОРОД, Г НИЖНИЙ НОВГОРОД, УЛ ТИМИРЯЗЕВА, Д. 41, ПОМЕЩ. П7</t>
  </si>
  <si>
    <t>ООО ТИРОПАНЕФТРАНС</t>
  </si>
  <si>
    <t>606000, НИЖЕГОРОДСКАЯ ОБЛАСТЬ, Г.О. ГОРОД ДЗЕРЖИНСК, Г ДЗЕРЖИНСК, Ш ИГУМНОВСКОЕ, Д. 4А</t>
  </si>
  <si>
    <t>ИП Каргин Валентин Васильевич</t>
  </si>
  <si>
    <t>ООО ТСК</t>
  </si>
  <si>
    <t>603041, НИЖЕГОРОДСКАЯ ОБЛАСТЬ, Г.О. ГОРОД НИЖНИЙ НОВГОРОД, Г НИЖНИЙ НОВГОРОД, УЛ СПУТНИКА, Д. 32, КВ. 40</t>
  </si>
  <si>
    <t>ООО  АЛЕКС ГРУПП</t>
  </si>
  <si>
    <t>603127, НИЖЕГОРОДСКАЯ ОБЛАСТЬ, Г НИЖНИЙ НОВГОРОД, УЛ КОНОВАЛОВА, Д. 9, КАБИНЕТ 108</t>
  </si>
  <si>
    <t>ООО ПОЛИКОМ</t>
  </si>
  <si>
    <t>606002, НИЖЕГОРОДСКАЯ ОБЛАСТЬ, Г.О. ГОРОД ДЗЕРЖИНСК, Г ДЗЕРЖИНСК, УЛ ЩОРСА, Д. 22</t>
  </si>
  <si>
    <t>ООО СОФИТ-СЕРВИС</t>
  </si>
  <si>
    <t>603037, НИЖЕГОРОДСКАЯ ОБЛАСТЬ, Г НИЖНИЙ НОВГОРОД, УЛ ФЕДОСЕЕНКО, Д. 41, ЛИТЕР Е</t>
  </si>
  <si>
    <t>ООО ТЕХНОДИЗЕЛЬ</t>
  </si>
  <si>
    <t>603037, НИЖЕГОРОДСКАЯ ОБЛАСТЬ, Г НИЖНИЙ НОВГОРОД, УЛ ФЕДОСЕЕНКО, Д. 51, ОФИС 1</t>
  </si>
  <si>
    <t>ООО КАМАЗ ЦЕНТР НН</t>
  </si>
  <si>
    <t>603003, НИЖЕГОРОДСКАЯ ОБЛАСТЬ, Г НИЖНИЙ НОВГОРОД, УЛ КОМИНТЕРНА, Д. 139, ПОМ 26</t>
  </si>
  <si>
    <t>ООО УК РУСЛАКТО</t>
  </si>
  <si>
    <t>603065, НИЖЕГОРОДСКАЯ ОБЛАСТЬ, Г НИЖНИЙ НОВГОРОД, УЛ ДЬЯКОНОВА, Д. 2В, ПОМЕЩ. 74</t>
  </si>
  <si>
    <t>ООО АФС-СЕРВИС</t>
  </si>
  <si>
    <t>603050, НИЖЕГОРОДСКАЯ ОБЛАСТЬ, Г НИЖНИЙ НОВГОРОД, УЛ ВАСИЛИЯ ИВАНОВА, Д. 14, К. 8, КВ. 206</t>
  </si>
  <si>
    <t>ООО РУСКОМПОЗИТ</t>
  </si>
  <si>
    <t>603003, НИЖЕГОРОДСКАЯ ОБЛАСТЬ, Г НИЖНИЙ НОВГОРОД, УЛ СВОБОДЫ, Д. 15, ОФИС 502</t>
  </si>
  <si>
    <t>ООО РЕВОЛЮЦИЯ</t>
  </si>
  <si>
    <t>603040, НИЖЕГОРОДСКАЯ ОБЛАСТЬ, Г НИЖНИЙ НОВГОРОД, ПР-КТ СОЮЗНЫЙ, Д. 1, КВ. 9</t>
  </si>
  <si>
    <t>ООО РЕТРАК ЦЕНТР</t>
  </si>
  <si>
    <t>603127, РОССИЯ, НИЖЕГОРОДСКАЯ ОБЛАСТЬ, Г.О. ГОРОД НИЖНИЙ НОВГОРОД, Г НИЖНИЙ НОВГОРОД, УЛ КОНОВАЛОВА, Д. 18В</t>
  </si>
  <si>
    <t>ИП ЗАИДОВА ГУЛДЖАХОН АБДУКАДЫРОВНА</t>
  </si>
  <si>
    <t>ИП ТУХТАБОЕВА ЗАРРИНА ФАРХОДЖОНОВНА</t>
  </si>
  <si>
    <t>ИП ПЕРЕВЕРЗЕВ ПАВЕЛ ВЛАДИМИРОВИЧ</t>
  </si>
  <si>
    <t>ИП Захаров Валерий Михайлович</t>
  </si>
  <si>
    <t>ИП КАПИН ОЛЕГ ЕВГЕНЬЕВИЧ</t>
  </si>
  <si>
    <t>ИП ЧУХМАНОВА ЕЛЕНА АЛЕКСАНДРОВНА</t>
  </si>
  <si>
    <t>ИП Низов Виктор Николаевич</t>
  </si>
  <si>
    <t>ИП КАРАСЁВ АНДРЕЙ ВИКТОРОВИЧ</t>
  </si>
  <si>
    <t>ИП ЛАДОНКИН ЕВГЕНИЙ ПАВЛОВИЧ</t>
  </si>
  <si>
    <t>ГБУ ЦСОГПВИИ Г.О.Г.АРЗАМАС</t>
  </si>
  <si>
    <t>607220, РОССИЯ, НИЖЕГОРОДСКАЯ ОБЛАСТЬ, Г.О. ГОРОД АРЗАМАС, Г АРЗАМАС, УЛ РЕВОЛЮЦИИ, Д. 18А</t>
  </si>
  <si>
    <t>ООО АНВЕК-ЭНЕРГО</t>
  </si>
  <si>
    <t>606422, НИЖЕГОРОДСКАЯ ОБЛАСТЬ, Р-Н БАЛАХНИНСКИЙ, РП БОЛЬШОЕ КОЗИНО, УЛ КРАСНОАРМЕЙСКАЯ, Д. 18А</t>
  </si>
  <si>
    <t>ГБУ СРЦН Г.О.Г. ВЫКСА</t>
  </si>
  <si>
    <t>607044, НИЖЕГОРОДСКАЯ ОБЛАСТЬ, Г ВЫКСА, РП БЛИЖНЕ-ПЕСОЧНОЕ, УЛ ЗУЕВА, ЗДАНИЕ 52, ПОМЕЩЕНИЕ 2</t>
  </si>
  <si>
    <t>ООО ТОСОЛНН</t>
  </si>
  <si>
    <t>606000, НИЖЕГОРОДСКАЯ ОБЛАСТЬ, Г.О. ГОРОД ДЗЕРЖИНСК, Г ДЗЕРЖИНСК, Ш РЕЧНОЕ, Д. 3Г, К. 1</t>
  </si>
  <si>
    <t>ООО НЕФТЬОРГХИМ+</t>
  </si>
  <si>
    <t>606015, НИЖЕГОРОДСКАЯ ОБЛАСТЬ, Г ДЗЕРЖИНСК, УЛ САМОХВАЛОВА, Д. 6 Б, ПОМЕЩ. 10</t>
  </si>
  <si>
    <t>ИП ЛЕМЗЯКОВА КСЕНИЯ АЛЕКСЕЕВНА</t>
  </si>
  <si>
    <t>ИП МОНАХОВА ЕКАТЕРИНА ВЛАДИМИРОВНА</t>
  </si>
  <si>
    <t>607686, НИЖЕГОРОДСКАЯ ОБЛАСТЬ, Р-Н КСТОВСКИЙ, СП СЕЛЕКЦИОННОЙ СТАНЦИИ, Д. 20, КВ. 34</t>
  </si>
  <si>
    <t>ООО ГАЛС</t>
  </si>
  <si>
    <t>603124, НИЖЕГОРОДСКАЯ ОБЛАСТЬ, Г НИЖНИЙ НОВГОРОД, Ш МОСКОВСКОЕ, Д.294 Г</t>
  </si>
  <si>
    <t>ООО ПО САБ</t>
  </si>
  <si>
    <t>603043, НИЖЕГОРОДСКАЯ ОБЛАСТЬ, Г НИЖНИЙ НОВГОРОД, УЛ КОМСОМОЛЬСКАЯ, Д. 11, ПОМ. П4</t>
  </si>
  <si>
    <t>ООО ПКФ НИАГАРА</t>
  </si>
  <si>
    <t>603016, НИЖЕГОРОДСКАЯ ОБЛАСТЬ, Г.О. ГОРОД НИЖНИЙ НОВГОРОД, Г НИЖНИЙ НОВГОРОД, УЛ МОНАСТЫРКА, Д. 13, ПОМЕЩ. 1</t>
  </si>
  <si>
    <t>ИП ЧЕРНЯВСКИЙ АЛЕКСАНДР КОНСТАНТИНОВИЧ</t>
  </si>
  <si>
    <t>ООО КОМТРАКСЕРВИС</t>
  </si>
  <si>
    <t>603124, НИЖЕГОРОДСКАЯ ОБЛАСТЬ, Г.О. ГОРОД НИЖНИЙ НОВГОРОД, Г НИЖНИЙ НОВГОРОД, Ш МОСКОВСКОЕ, Д. 294Б, ПОМЕЩ. П1, ОФ. 5</t>
  </si>
  <si>
    <t>ООО ТМК ОПТТОРГ</t>
  </si>
  <si>
    <t>603124, РОССИЯ, НИЖЕГОРОДСКАЯ ОБЛАСТЬ, Г.О. ГОРОД НИЖНИЙ НОВГОРОД, Г НИЖНИЙ НОВГОРОД, Ш МОСКОВСКОЕ, Д. 294Б, ПОМЕЩ. П1 ОФИС 8</t>
  </si>
  <si>
    <t>603124, РОССИЯ, НИЖЕГОРОДСКАЯ ОБЛАСТЬ, Г.О. ГОРОД НИЖНИЙ НОВГОРОД, Г НИЖНИЙ НОВГОРОД, Ш МОСКОВСКОЕ, Д. 294Д, ПОМЕЩ. П1 ОФИС 312</t>
  </si>
  <si>
    <t>ООО ТД ОТИДО</t>
  </si>
  <si>
    <t>603108, РОССИЯ, НИЖЕГОРОДСКАЯ ОБЛАСТЬ, Г.О. ГОРОД НИЖНИЙ НОВГОРОД, Г НИЖНИЙ НОВГОРОД, УЛ ЭЛЕКТРОВОЗНАЯ, Д. 7, ОФИС 101А</t>
  </si>
  <si>
    <t>ООО АС-ПАРТС</t>
  </si>
  <si>
    <t>603076, НИЖЕГОРОДСКАЯ ОБЛАСТЬ, Г НИЖНИЙ НОВГОРОД, УЛ КОСМОНАВТА КОМАРОВА, Д. 21, ПОМЕЩ. 8, КОМ. 2</t>
  </si>
  <si>
    <t>ИП ШАДРИН ПАВЕЛ ГЕННАДЬЕВИЧ</t>
  </si>
  <si>
    <t>ИП ЗАИДОВА НАЗИЯ ХАСАНШЕВНА</t>
  </si>
  <si>
    <t>ООО ВОСТОК ЛИГА АВТО</t>
  </si>
  <si>
    <t>603032, НИЖЕГОРОДСКАЯ ОБЛАСТЬ, Г.О. ГОРОД НИЖНИЙ НОВГОРОД, Г НИЖНИЙ НОВГОРОД, УЛ ПРАВДИНСКАЯ, Д. 27, ПОМЕЩ. 216</t>
  </si>
  <si>
    <t>603047, РОССИЯ, НИЖЕГОРОДСКАЯ ОБЛАСТЬ, Г.О. ГОРОД НИЖНИЙ НОВГОРОД, Г НИЖНИЙ НОВГОРОД, УЛ ГЕРОЯ РЯБЦЕВА, Д. 44, КВ. 2</t>
  </si>
  <si>
    <t>ИП ДЯГИЛЕВ ВИКТОР АЛЕКСАНДРОВИЧ</t>
  </si>
  <si>
    <t>ООО  ИНДАСТРИАЛ ГРУПП</t>
  </si>
  <si>
    <t>603124, НИЖЕГОРОДСКАЯ ОБЛАСТЬ, Г.О. ГОРОД НИЖНИЙ НОВГОРОД, Г НИЖНИЙ НОВГОРОД, ПРОЕЗД БАЗОВЫЙ, Д. 1, ЭТАЖ 2 ПОМ. 19 ОФИС 201</t>
  </si>
  <si>
    <t>ООО НАВИ</t>
  </si>
  <si>
    <t>603087, НИЖЕГОРОДСКАЯ ОБЛАСТЬ, Г НИЖНИЙ НОВГОРОД, УЛ НИЖНЕ-ПЕЧЕРСКАЯ, Д.10, 25</t>
  </si>
  <si>
    <t>ООО НОВАНЕФТЕХИМ</t>
  </si>
  <si>
    <t>ООО ХОЛВ ГРУПП</t>
  </si>
  <si>
    <t>603000, РОССИЯ, НИЖЕГОРОДСКАЯ ОБЛАСТЬ, Г.О. ГОРОД НИЖНИЙ НОВГОРОД, Г НИЖНИЙ НОВГОРОД, УЛ ГРУЗИНСКАЯ, Д. 5, К. 1, ПОМЕЩ./ОФИС П6/№307</t>
  </si>
  <si>
    <t>ИП РУБАН ОЛЬГА АЛЕКСАНДРОВНА</t>
  </si>
  <si>
    <t>ООО БЦР-ПЕЧЁРЫ</t>
  </si>
  <si>
    <t>603057, НИЖЕГОРОДСКАЯ ОБЛАСТЬ, Г НИЖНИЙ НОВГОРОД, ПР-КТ ГАГАРИНА, Д. 29Д, КАБИНЕТ 15</t>
  </si>
  <si>
    <t>ИП МАРАДЖАБОВА ЗАЙНАБДЖОН РАСУЛОВНА</t>
  </si>
  <si>
    <t>ИП ПРИВАЛОВ МИХАИЛ АЛЕКСАНДРОВИЧ</t>
  </si>
  <si>
    <t>ИП ГЛЕБОВ СЕРГЕЙ ОЛЕГОВИЧ</t>
  </si>
  <si>
    <t>ИП ПРИВАЛОВА ЕКАТЕРИНА ДМИТРИЕВНА</t>
  </si>
  <si>
    <t>ИП БИРЮКОВА ОКСАНА ГЕННАДЬЕВНА</t>
  </si>
  <si>
    <t>ООО СОТСНАБ</t>
  </si>
  <si>
    <t>606000, РОССИЯ, НИЖЕГОРОДСКАЯ ОБЛАСТЬ, Г.О. ГОРОД ДЗЕРЖИНСК, Г ДЗЕРЖИНСК, Ш АВТОЗАВОДСКОЕ, Д. 53А, ОФИС 1</t>
  </si>
  <si>
    <t>603035, РОССИЯ, НИЖЕГОРОДСКАЯ ОБЛАСТЬ, Г.О. ГОРОД НИЖНИЙ НОВГОРОД, Г НИЖНИЙ НОВГОРОД, УЛ ЧААДАЕВА, Д. 2Ю, КАБИНЕТ 14</t>
  </si>
  <si>
    <t>ИП МЫТАРЕВА ВИКТОРИЯ СЕРГЕЕВНА</t>
  </si>
  <si>
    <t>ООО ЮВЕСТА</t>
  </si>
  <si>
    <t>603071, НИЖЕГОРОДСКАЯ ОБЛАСТЬ, Г.О. ГОРОД НИЖНИЙ НОВГОРОД, Г НИЖНИЙ НОВГОРОД, НАБ ВОЛЖСКАЯ, Д. 24, КВ. 120</t>
  </si>
  <si>
    <t>ИП КОВАЛЖИ АЛЕСЯ СЕРГЕЕВНА</t>
  </si>
  <si>
    <t>ИП ШИБАНОВ НИКОЛАЙ ВЛАДИМИРОВИЧ</t>
  </si>
  <si>
    <t>ИП ГРИШАЕВА РИТА АЛЕКСАНДРОВНА</t>
  </si>
  <si>
    <t>ГБУ БУТУРЛИНСКИЙ ДОМ - ИНТЕРНАТ</t>
  </si>
  <si>
    <t>607430, НИЖЕГОРОДСКАЯ ОБЛАСТЬ, Р-Н БУТУРЛИНСКИЙ, РП БУТУРЛИНО, ПЕР ЗАВОДСКОЙ, Д.6</t>
  </si>
  <si>
    <t>ООО АРИНА</t>
  </si>
  <si>
    <t>606875, НИЖЕГОРОДСКАЯ ОБЛАСТЬ, Р-Н ВЕТЛУЖСКИЙ, РП ИМ.М.И.КАЛИНИНА, УЛ ПОЧТОВАЯ, Д. 60, 2</t>
  </si>
  <si>
    <t>ГБУВОЗНЕСЕНСКИЙ ДОМ-ИНТЕРНАТ</t>
  </si>
  <si>
    <t>607343, НИЖЕГОРОДСКАЯ ОБЛАСТЬ, Р-Н ВОЗНЕСЕНСКИЙ, С КРИУША, УЛ БОЛЬНИЧНАЯ, Д. 8</t>
  </si>
  <si>
    <t>ИП ЗАБРОДИН ОЛЕГ ИВАНОВИЧ</t>
  </si>
  <si>
    <t>ООО ТАН</t>
  </si>
  <si>
    <t>606268, НИЖЕГОРОДСКАЯ ОБЛАСТЬ, Г.О. ВОРОТЫНСКИЙ, С БЕЛАВКА, ТЕР. ДОРОЖНЫЙ СЕРВИС, ЗД. 1</t>
  </si>
  <si>
    <t>ИП ЛАЗАРЕВ НИКОЛАЙ НИКОЛАЕВИЧ</t>
  </si>
  <si>
    <t>ИП СВАТКОВСКАЯ ЛЮБОВЬ ГЕННАДЬЕВНА</t>
  </si>
  <si>
    <t>ИП АКСЕНОВ ДЕНИС ГРИГОРЬЕВИЧ</t>
  </si>
  <si>
    <t>ИП АВДЕЕВ АЛЕКСАНДР ИВАНОВИЧ</t>
  </si>
  <si>
    <t>ИП ТУКОВ СЕРГЕЙ ВЛАДИМИРОВИЧ</t>
  </si>
  <si>
    <t>ИП ЛЕЛИН РУСТАМ СЕРГЕЕВИЧ</t>
  </si>
  <si>
    <t>ИП КУЗНЕЦОВ МАКСИМ НИКОЛАЕВИЧ</t>
  </si>
  <si>
    <t>606260, НИЖЕГОРОДСКАЯ ОБЛАСТЬ, Р-Н ВОРОТЫНСКИЙ, РП ВОРОТЫНЕЦ, УЛ ПОКРОВСКАЯ, Д.3</t>
  </si>
  <si>
    <t>ИП КАРАСЕВ МАКСИМ АЛЕКСЕЕВИЧ</t>
  </si>
  <si>
    <t>ИП ТЮРИКОВ АЛЕКСЕЙ АЛЕКСАНДРОВИЧ</t>
  </si>
  <si>
    <t>ГБУ СРЦН Г.О.Г. АРЗАМАС</t>
  </si>
  <si>
    <t>607247, НИЖЕГОРОДСКАЯ ОБЛАСТЬ, Г АРЗАМАС, РП ВЫЕЗДНОЕ, УЛ ПУШКИНА, Д. 106</t>
  </si>
  <si>
    <t>ИП БЕЛОВ СЕРГЕЙ ЕВГЕНЬЕВИЧ</t>
  </si>
  <si>
    <t>ИП ЕМЕЛЬЯНОВ ВЛАДИМИР ГЕННАДЬЕВИЧ</t>
  </si>
  <si>
    <t>ИП ХВАТОВ ВИКТОР ВЛАДИМИРОВИЧ</t>
  </si>
  <si>
    <t>ИП Беляев Александр Васильевич</t>
  </si>
  <si>
    <t>ИП ЮРОВ СЕРГЕЙ ВЛАДИМИРОВИЧ</t>
  </si>
  <si>
    <t>ИП ВАСИЛЬЕВ АНДРЕЙ АЛЕКСАНДРОВИЧ</t>
  </si>
  <si>
    <t>ИП Булатов Анатолий Павлович</t>
  </si>
  <si>
    <t>Новгородская область</t>
  </si>
  <si>
    <t>174360, РОССИЯ, НОВГОРОДСКАЯ ОБЛАСТЬ, М.Р-Н ОКУЛОВСКИЙ, Д БЕРЕЗОВКА, Г.П. УГЛОВСКОЕ, СТР. 75Б, ПОМЕЩ. 2</t>
  </si>
  <si>
    <t>ООО АВТОПОРТ</t>
  </si>
  <si>
    <t>173021, РОССИЯ, НОВГОРОДСКАЯ ОБЛАСТЬ, Г.О. ВЕЛИКИЙ НОВГОРОД, Г ВЕЛИКИЙ НОВГОРОД, УЛ НЕХИНСКАЯ, Д. 59В, ПОМЕЩ. 30</t>
  </si>
  <si>
    <t>ООО СЕЗОНВН</t>
  </si>
  <si>
    <t>173526, РОССИЯ, НОВГОРОДСКАЯ ОБЛАСТЬ, М.Р-Н НОВГОРОДСКИЙ, РП ПАНКОВКА, Г.П. ПАНКОВСКОЕ, УЛ СТРОИТЕЛЬНАЯ, Д. 12, КВ. 13</t>
  </si>
  <si>
    <t>ИП ПОДОЙНИКОВ НИКОЛАЙ ПЕТРОВИЧ</t>
  </si>
  <si>
    <t>175310, НОВГОРОДСКАЯ ОБЛАСТЬ, Р-Н ДЕМЯНСКИЙ, РП ДЕМЯНСК, УЛ СОСНОВСКОГО, Д. 19А</t>
  </si>
  <si>
    <t>ИП МИРЗОЕВ ЭЛЬШАД ПОЛАТ ОГЛЫ</t>
  </si>
  <si>
    <t>ООО НОВГОРОД ЛОГИСТИК</t>
  </si>
  <si>
    <t>173000, РОССИЯ, НОВГОРОДСКАЯ ОБЛАСТЬ, Г.О. ВЕЛИКИЙ НОВГОРОД, Г ВЕЛИКИЙ НОВГОРОД, УЛ ФЁДОРОВСКИЙ РУЧЕЙ, Д. 2/13, ОФИС 503/1</t>
  </si>
  <si>
    <t>ООО КРОТ АВТО</t>
  </si>
  <si>
    <t>173000, РОССИЯ, НОВГОРОДСКАЯ ОБЛАСТЬ, Г.О. ВЕЛИКИЙ НОВГОРОД, Г ВЕЛИКИЙ НОВГОРОД, УЛ СЛАВНАЯ, Д. 32/23, ОФИС 8</t>
  </si>
  <si>
    <t>ООО ГРВ</t>
  </si>
  <si>
    <t>173003, РОССИЯ, НОВГОРОДСКАЯ ОБЛАСТЬ, Г.О. ВЕЛИКИЙ НОВГОРОД, Г ВЕЛИКИЙ НОВГОРОД, УЛ БОЛЬШАЯ САНКТ-ПЕТЕРБУРГСКАЯ, Д. 39, СТР. 8, ОФИС 2</t>
  </si>
  <si>
    <t>ООО ВАТС</t>
  </si>
  <si>
    <t>175429, НОВГОРОДСКАЯ ОБЛАСТЬ, Р-Н ВАЛДАЙСКИЙ, С ЕДРОВО, УЛ МОСКОВСКАЯ, Д. 105</t>
  </si>
  <si>
    <t>ООО СПЕКТР ДЕЛОВЫХ УСЛУГ</t>
  </si>
  <si>
    <t>175400, НОВГОРОДСКАЯ ОБЛАСТЬ, М.Р-Н ВАЛДАЙСКИЙ, Г ВАЛДАЙ, Г.П. ВАЛДАЙСКОЕ, УЛ РАДИЩЕВА, Д. 26, КВ 69</t>
  </si>
  <si>
    <t>ООО ВОСТОРГ 53</t>
  </si>
  <si>
    <t>173003, РОССИЯ, НОВГОРОДСКАЯ ОБЛАСТЬ, Г.О. ВЕЛИКИЙ НОВГОРОД, Г ВЕЛИКИЙ НОВГОРОД, УЛ БОЛЬШАЯ САНКТ-ПЕТЕРБУРГСКАЯ, Д. 86, ПОМЕЩ. 2, ОФИС №1</t>
  </si>
  <si>
    <t>ООО МК ЛОГИСТИК</t>
  </si>
  <si>
    <t>173021, РОССИЯ, НОВГОРОДСКАЯ ОБЛАСТЬ, Г.О. ВЕЛИКИЙ НОВГОРОД, Г ВЕЛИКИЙ НОВГОРОД, УЛ ЛОМОНОСОВА, Д. 37, КВ. 218</t>
  </si>
  <si>
    <t>ООО ТОВАРЫ ВН</t>
  </si>
  <si>
    <t>173530, РОССИЯ, НОВГОРОДСКАЯ ОБЛАСТЬ, М.Р-Н НОВГОРОДСКИЙ, РП ПРОЛЕТАРИЙ, Г.П. ПРОЛЕТАРСКОЕ, УЛ ЛЕНИНГРАДСКАЯ, Д. 16, ОФИС 1</t>
  </si>
  <si>
    <t>ООО НОВГОРОДСКИЙ МАГАЗИН</t>
  </si>
  <si>
    <t>173000, РОССИЯ, НОВГОРОДСКАЯ ОБЛАСТЬ, М.Р-Н НОВГОРОДСКИЙ, Д ШОЛОХОВО, С.П. САВИНСКОЕ, УЛ ПОЛЕВАЯ, ЗД. 1В</t>
  </si>
  <si>
    <t>ООО ДАЧА</t>
  </si>
  <si>
    <t>173025, РОССИЯ, НОВГОРОДСКАЯ ОБЛАСТЬ, Г.О. ВЕЛИКИЙ НОВГОРОД, Г ВЕЛИКИЙ НОВГОРОД, УЛ ПОПОВА, Д. 18, КВ. 16</t>
  </si>
  <si>
    <t>ИП КРАСИЛЬНИКОВ СЕРГЕЙ АЛЕКСЕЕВИЧ</t>
  </si>
  <si>
    <t>ИП МИХЕЕВ АЛЕКСЕЙ НИКОЛАЕВИЧ</t>
  </si>
  <si>
    <t>ООО ИНСТРУМЕНТАРИУМ</t>
  </si>
  <si>
    <t>175461, РОССИЯ, НОВГОРОДСКАЯ ОБЛАСТЬ, М.О. КРЕСТЕЦКИЙ, РП КРЕСТЦЫ, УЛ ЛЕСНАЯ, Д. 25, ОФИС 1</t>
  </si>
  <si>
    <t>ИП ВЕРКИНА ОЛЬГА НИКОЛАЕВНА</t>
  </si>
  <si>
    <t>174411, НОВГОРОДСКАЯ ОБЛАСТЬ, Р-Н БОРОВИЧСКИЙ, Г БОРОВИЧИ, ПЛ ВОЛОДАРСКОГО, Д. 34</t>
  </si>
  <si>
    <t>ООО МСТА-ЛАДА</t>
  </si>
  <si>
    <t>174416, НОВГОРОДСКАЯ ОБЛАСТЬ, Р-Н БОРОВИЧСКИЙ, Г БОРОВИЧИ, УЛ СОВЕТСКАЯ, Д.130В</t>
  </si>
  <si>
    <t>ООО ПАРИТЕТ ВН</t>
  </si>
  <si>
    <t>173009, НОВГОРОДСКАЯ ОБЛАСТЬ, Г ВЕЛИКИЙ НОВГОРОД, УЛ ПСКОВСКАЯ, Д. 29, 252</t>
  </si>
  <si>
    <t>ООО КС ТРЕЙД</t>
  </si>
  <si>
    <t>173021, НОВГОРОДСКАЯ ОБЛАСТЬ, Г ВЕЛИКИЙ НОВГОРОД, УЛ НЕХИНСКАЯ, Д. 57, ОФИС 11</t>
  </si>
  <si>
    <t>ООО ОЙЛТЕК</t>
  </si>
  <si>
    <t>173003, НОВГОРОДСКАЯ ОБЛАСТЬ, Г.О. ВЕЛИКИЙ НОВГОРОД, Г ВЕЛИКИЙ НОВГОРОД, УЛ М. ДЖАЛИЛЯ-ДУХОВСКАЯ, Д. 23А, ОФИС 1</t>
  </si>
  <si>
    <t>ИП МЕНЬШИКОВ ДЕНИС ПЕТРОВИЧ</t>
  </si>
  <si>
    <t>ИП ФОКИНА ОЛЬГА АЛЕКСАНДРОВНА</t>
  </si>
  <si>
    <t>ИП ТОВМАСЯН МАНУШАК МАРТИНОВНА</t>
  </si>
  <si>
    <t>ООО ГЕММА</t>
  </si>
  <si>
    <t>173025, НОВГОРОДСКАЯ ОБЛАСТЬ, Г ВЕЛИКИЙ НОВГОРОД, ПР-КТ МИРА, Д. 16/21, 4</t>
  </si>
  <si>
    <t>ООО ТК ЕВРОХИМСЕРВИС</t>
  </si>
  <si>
    <t>173020, НОВГОРОДСКАЯ ОБЛАСТЬ, Г ВЕЛИКИЙ НОВГОРОД, УЛ ДЕРЖАВИНА, Д. 15</t>
  </si>
  <si>
    <t>ООО АЛМЕТА</t>
  </si>
  <si>
    <t>173009, НОВГОРОДСКАЯ ОБЛАСТЬ, Г.О. ВЕЛИКИЙ НОВГОРОД, Г ВЕЛИКИЙ НОВГОРОД, Б-Р СТАРОРУССКИЙ, Д. 33, КВ. 49</t>
  </si>
  <si>
    <t>173008, НОВГОРОДСКАЯ ОБЛАСТЬ, Г ВЕЛИКИЙ НОВГОРОД, УЛ РАБОЧАЯ, Д. 19, ОФИС 1</t>
  </si>
  <si>
    <t>ООО РТК-ОПТ</t>
  </si>
  <si>
    <t>173009, НОВГОРОДСКАЯ ОБЛАСТЬ, Г ВЕЛИКИЙ НОВГОРОД, УЛ ПСКОВСКАЯ, Д. 56, К. 1, КВ. 44</t>
  </si>
  <si>
    <t>ИП ИВАНОВ АЛЕКСАНДР ВЛАДИМИРОВИЧ</t>
  </si>
  <si>
    <t>ИП АЛИМОВ АЛЕКСАНДР СЕРГЕЕВИЧ</t>
  </si>
  <si>
    <t>ООО АВТОЦЕНТР МАЯК</t>
  </si>
  <si>
    <t>173020, НОВГОРОДСКАЯ ОБЛАСТЬ, Р-Н НОВГОРОДСКИЙ, Д НОВАЯ ДЕРЕВНЯ</t>
  </si>
  <si>
    <t>ИП ЦВЕТКОВ АЛЕКСАНДР ИВАНОВИЧ</t>
  </si>
  <si>
    <t>ИП СМИРНОВ ВЛАДИМИР АЛЕКСЕЕВИЧ</t>
  </si>
  <si>
    <t>ИП ТОВМАСЯН МАРТИН ЛЕВИКОВИЧ</t>
  </si>
  <si>
    <t>ИП ТОВМАСЯН ГОР МАРТИНОВИЧ</t>
  </si>
  <si>
    <t>ООО АВТОЛИГА-СЕРВИС</t>
  </si>
  <si>
    <t>174408, НОВГОРОДСКАЯ ОБЛАСТЬ, Р-Н БОРОВИЧСКИЙ, Г БОРОВИЧИ, МКР 1 РАЗДОЛЬЕ, Д. 25</t>
  </si>
  <si>
    <t>ИП ГАРАЕВ РИНАТ ИЛЬДАРОВИЧ</t>
  </si>
  <si>
    <t>ИП ЕГОРОВ ЕВГЕНИЙ АЛЕКСАНДРОВИЧ</t>
  </si>
  <si>
    <t>ИП ШИХОВ МИХАИЛ ВАДИМОВИЧ</t>
  </si>
  <si>
    <t>ООО НОВГОРОДНЕФТЕПРОДУКТ</t>
  </si>
  <si>
    <t>173002, НОВГОРОДСКАЯ ОБЛАСТЬ, Г ВЕЛИКИЙ НОВГОРОД, УЛ ГЕРМАНА, Д. 20</t>
  </si>
  <si>
    <t>173003, НОВГОРОДСКАЯ ОБЛАСТЬ, Г ВЕЛИКИЙ НОВГОРОД, ПЕР БАЗОВЫЙ, Д. 6</t>
  </si>
  <si>
    <t>АО ГАРО-ТРЕЙД</t>
  </si>
  <si>
    <t>173003, НОВГОРОДСКАЯ ОБЛАСТЬ, Г ВЕЛИКИЙ НОВГОРОД, УЛ БОЛЬШАЯ САНКТ-ПЕТЕРБУРГСКАЯ, Д. 64</t>
  </si>
  <si>
    <t>ООО ТЕНЕФ НОВГОРОД</t>
  </si>
  <si>
    <t>173021, НОВГОРОДСКАЯ ОБЛАСТЬ, Г ВЕЛИКИЙ НОВГОРОД, УЛ НЕХИНСКАЯ, Д. 59В</t>
  </si>
  <si>
    <t>ИП ЕРЕМЕНКО ОЛЕГ ВАЛЕРЬЕВИЧ</t>
  </si>
  <si>
    <t>ИП ПОЛИКАНОВ ВЯЧЕСЛАВ ВЛАДИМИРОВИЧ</t>
  </si>
  <si>
    <t>ООО ГРУЗ АВТО ПЛЮС</t>
  </si>
  <si>
    <t>173008, НОВГОРОДСКАЯ ОБЛАСТЬ, Г ВЕЛИКИЙ НОВГОРОД, УЛ РАБОЧАЯ, Д. 55, К. 1</t>
  </si>
  <si>
    <t>ИП КАЗАЧЁНОК АРТЁМ ВЛАДИМИРОВИЧ</t>
  </si>
  <si>
    <t>ИП МИХАЙЛОВ ДАНИИЛ ЮРЬЕВИЧ</t>
  </si>
  <si>
    <t>ИП ЛИВАНСКАЯ АЛЛА АЛЕКСАНДРОВНА</t>
  </si>
  <si>
    <t>ООО АЙТИ НОВГРУП</t>
  </si>
  <si>
    <t>173024, РОССИЯ, НОВГОРОДСКАЯ ОБЛАСТЬ, Г.О. ВЕЛИКИЙ НОВГОРОД, Г ВЕЛИКИЙ НОВГОРОД, ПР-КТ АЛЕКСАНДРА КОРСУНОВА, Д. 30, К. 1, ЭТАЖ 2, ОФИС 1</t>
  </si>
  <si>
    <t>ИП МАСЛОВ АНТОН СЕРГЕЕВИЧ</t>
  </si>
  <si>
    <t>ИП Антонов Николай Николаевич</t>
  </si>
  <si>
    <t>ООО ТРАНЗИТ</t>
  </si>
  <si>
    <t>174406, НОВГОРОДСКАЯ ОБЛАСТЬ, Р-Н БОРОВИЧСКИЙ, Г БОРОВИЧИ, УЛ МОСКОВСКАЯ, Д. 113</t>
  </si>
  <si>
    <t>ООО БОРОВИЧИ ТРАК СЕРВИС</t>
  </si>
  <si>
    <t>174405, НОВГОРОДСКАЯ ОБЛАСТЬ, Р-Н БОРОВИЧСКИЙ, Г БОРОВИЧИ, УЛ ЛЯДОВА, Д. 8Ж</t>
  </si>
  <si>
    <t>ИП ШИХОВ ВАДИМ НИКОЛАЕВИЧ</t>
  </si>
  <si>
    <t>ИП ИЩЕНКО ЕЛИЗАВЕТА ИГОРЕВНА</t>
  </si>
  <si>
    <t>ИП ЦВЕТКОВ МИХАИЛ ВАСИЛЬЕВИЧ</t>
  </si>
  <si>
    <t>ООО ВОСТОК ПЛЮС</t>
  </si>
  <si>
    <t>173023, НОВГОРОДСКАЯ ОБЛАСТЬ, Г ВЕЛИКИЙ НОВГОРОД, УЛ ПОПОВА, Д. 4, К. 1, 65</t>
  </si>
  <si>
    <t>ООО РУС-АВТО ТРЕЙД</t>
  </si>
  <si>
    <t>173002, НОВГОРОДСКАЯ ОБЛАСТЬ, Г ВЕЛИКИЙ НОВГОРОД, УЛ ГЕРМАНА, Д. 21А</t>
  </si>
  <si>
    <t>ООО СЕВЕРАВТОВН</t>
  </si>
  <si>
    <t>173008, НОВГОРОДСКАЯ ОБЛАСТЬ, Г ВЕЛИКИЙ НОВГОРОД, УЛ БОЛЬШАЯ САНКТ-ПЕТЕРБУРГСКАЯ, Д. 122</t>
  </si>
  <si>
    <t>ООО ВСЁ ПРАВИЛЬНО</t>
  </si>
  <si>
    <t>173008, РОССИЯ, НОВГОРОДСКАЯ ОБЛАСТЬ, Г.О. ВЕЛИКИЙ НОВГОРОД, Г ВЕЛИКИЙ НОВГОРОД, УЛ БОЛЬШАЯ САНКТ-ПЕТЕРБУРГСКАЯ, Д. 107, ПОМЕЩ. 2</t>
  </si>
  <si>
    <t>ИП КУЗНЕЦОВА НАТАЛЬЯ АЛЕКСАНДРОВНА</t>
  </si>
  <si>
    <t>ИП СУВОРОВ ИВАН ОЛЕГОВИЧ</t>
  </si>
  <si>
    <t>ИП ПАНТЕЛЕЕВ ПАВЕЛ ВАЛЕРЬЕВИЧ</t>
  </si>
  <si>
    <t>173021, НОВГОРОДСКАЯ ОБЛАСТЬ, Р-Н НОВГОРОДСКИЙ, Д НОВАЯ МЕЛЬНИЦА, Д. 28А</t>
  </si>
  <si>
    <t>ИП ИЗМАЙЛОВ АРСЛАН ГАБДРАХМАНОВИЧ</t>
  </si>
  <si>
    <t>ИП СИСИЛЯТИН АЛЕКСАНДР АЛЕКСАНДРОВИЧ</t>
  </si>
  <si>
    <t>Новосибирская область</t>
  </si>
  <si>
    <t>ИП АРТЕМОВА НАТАЛЬЯ ВЛАДИМИРОВНА</t>
  </si>
  <si>
    <t>ИП ИВАНОВ НИКОЛАЙ АЛЕКСАНДРОВИЧ</t>
  </si>
  <si>
    <t>ИП РЫЖКОВА ЕЛЕНА АЛЕКСАНДРОВНА</t>
  </si>
  <si>
    <t>630088, РОССИЯ, НОВОСИБИРСКАЯ ОБЛАСТЬ, Г.О. ГОРОД НОВОСИБИРСК, Г НОВОСИБИРСК, ПРОЕЗД СЕВЕРНЫЙ, Д. 33</t>
  </si>
  <si>
    <t>ИП Бойцов Иван Николаевич</t>
  </si>
  <si>
    <t>630087, РОССИЯ, НОВОСИБИРСКАЯ ОБЛАСТЬ, Г.О. ГОРОД НОВОСИБИРСК, Г НОВОСИБИРСК, УЛ НЕМИРОВИЧА-ДАНЧЕНКО, Д. 158, КВ. 5</t>
  </si>
  <si>
    <t>ИП ЛАЙКЕР МАКСИМ ВАЛЕРЬЕВИЧ</t>
  </si>
  <si>
    <t>ИП ОВЧИННИКОВ АЛЕКСЕЙ ВИКТОРОВИЧ</t>
  </si>
  <si>
    <t>ИП ОСИПОВ ЕВГЕНИЙ АЛЕКСАНДРОВИЧ</t>
  </si>
  <si>
    <t>ООО ПКФ АВТОСПЕКТР</t>
  </si>
  <si>
    <t>630047, НОВОСИБИРСКАЯ ОБЛАСТЬ, Г НОВОСИБИРСК, УЛ КАУНАССКАЯ, Д. 5/1, КВ. 19</t>
  </si>
  <si>
    <t>ООО СИБОИЛ</t>
  </si>
  <si>
    <t>630005, НОВОСИБИРСКАЯ ОБЛАСТЬ, Г НОВОСИБИРСК, УЛ НИКОЛАЯ ОСТРОВСКОГО, ЗД. 111, КОРПУС 4 ЭТАЖ 1</t>
  </si>
  <si>
    <t>ООО СИБИРСКАЯ КОЛЕСНИЦА</t>
  </si>
  <si>
    <t>630007, НОВОСИБИРСКАЯ ОБЛАСТЬ, Г НОВОСИБИРСК, УЛ ФАБРИЧНАЯ, Д. 16, ЭТАЖ 3</t>
  </si>
  <si>
    <t>ООО РЕЙСМУС</t>
  </si>
  <si>
    <t>630088, НОВОСИБИРСКАЯ ОБЛАСТЬ, Г НОВОСИБИРСК, УЛ СИБИРЯКОВ-ГВАРДЕЙЦЕВ, Д. 49А, КОМ. 410</t>
  </si>
  <si>
    <t>ООО СЕЛЛЕР</t>
  </si>
  <si>
    <t>630007, РОССИЯ, НОВОСИБИРСКАЯ ОБЛАСТЬ, Г.О. ГОРОД НОВОСИБИРСК, Г НОВОСИБИРСК, УЛ СЕРЕБРЕННИКОВСКАЯ, Д. 14</t>
  </si>
  <si>
    <t>ООО ЭЛИТАВТО СИБИРЬ</t>
  </si>
  <si>
    <t>630083, НОВОСИБИРСКАЯ ОБЛАСТЬ, Г НОВОСИБИРСК, УЛ БОЛЬШЕВИСТСКАЯ, Д. 177</t>
  </si>
  <si>
    <t>ИП ПЕТРУК ИЛЬЯ ОЛЕГОВИЧ</t>
  </si>
  <si>
    <t>ООО ГК ЛУДУС</t>
  </si>
  <si>
    <t>630901, НОВОСИБИРСКАЯ ОБЛАСТЬ, Г НОВОСИБИРСК, УЛ ТЕВРИЗСКАЯ, Д.42</t>
  </si>
  <si>
    <t>ИП ДЕГТЯРЕНКО АРТЕМ АНАТОЛЬЕВИЧ</t>
  </si>
  <si>
    <t>ИП КУЗНЕЦОВ ПАВЕЛ ВЛАДИМИРОВИЧ</t>
  </si>
  <si>
    <t>ИП ОСЕТРОВ АЛЕКСЕЙ АЛЕКСАНДРОВИЧ</t>
  </si>
  <si>
    <t>ИП ЕВТУШЕНКО ДМИТРИЙ НИКОЛАЕВИЧ</t>
  </si>
  <si>
    <t>ИП КОНОНОВ ВЛАДЛЕН ЕВГЕНЬЕВИЧ</t>
  </si>
  <si>
    <t>ООО ТК РЕГИОН</t>
  </si>
  <si>
    <t>630005, НОВОСИБИРСКАЯ ОБЛАСТЬ, Г.О. ГОРОД НОВОСИБИРСК, Г НОВОСИБИРСК, УЛ НЕКРАСОВА, ЗД. 48, ОФИС 506Б</t>
  </si>
  <si>
    <t>ИП ИНОЗЕМЦЕВ ИГОРЬ АЛЕКСЕЕВИЧ</t>
  </si>
  <si>
    <t>ООО ТАЛАНТ</t>
  </si>
  <si>
    <t>630015, НОВОСИБИРСКАЯ ОБЛАСТЬ, Г НОВОСИБИРСК, УЛ КОРОЛЕВА, Д. 40, К. 8</t>
  </si>
  <si>
    <t>ООО ДЖИПИАЙ 54</t>
  </si>
  <si>
    <t>630015, НОВОСИБИРСКАЯ ОБЛАСТЬ, Г.О. ГОРОД НОВОСИБИРСК, Г НОВОСИБИРСК, УЛ ЭЛЕКТРОЗАВОДСКАЯ, ЗД. 4</t>
  </si>
  <si>
    <t>ООО СИБИРСКИЕ ЗАПЧАСТИ</t>
  </si>
  <si>
    <t>630089, НОВОСИБИРСКАЯ ОБЛАСТЬ, Г НОВОСИБИРСК, УЛ БОРИСА БОГАТКОВА, Д. 253/2, ПОМЕЩ. 119</t>
  </si>
  <si>
    <t>ООО ВАГ СЕРВИС</t>
  </si>
  <si>
    <t>630075, НОВОСИБИРСКАЯ ОБЛАСТЬ, Г НОВОСИБИРСК, УЛ ЗАЛЕССКОГО, ЗД. 7/2, ЭТАЖ 1</t>
  </si>
  <si>
    <t>ООО СИБИРСКОЙЛ</t>
  </si>
  <si>
    <t>630123, НОВОСИБИРСКАЯ ОБЛАСТЬ, Г.О. ГОРОД НОВОСИБИРСК, Г НОВОСИБИРСК, УЛ АЭРОПОРТ, Д. 2/3, ПОМЕЩ. 19</t>
  </si>
  <si>
    <t>630049, НОВОСИБИРСКАЯ ОБЛАСТЬ, Г НОВОСИБИРСК, ПР-КТ КРАСНЫЙ, Д. 153Б, ОФИС 9</t>
  </si>
  <si>
    <t>ФКУ НОВОСИБИРСКАЯ ПБСТИН МИНЗДРАВА РОССИИ</t>
  </si>
  <si>
    <t>630040, НОВОСИБИРСКАЯ ОБЛАСТЬ, Г НОВОСИБИРСК, УЛ ОХОТСКАЯ, Д.90</t>
  </si>
  <si>
    <t>ООО ИМПЭКС</t>
  </si>
  <si>
    <t>630001, НОВОСИБИРСКАЯ ОБЛАСТЬ, Г.О. ГОРОД НОВОСИБИРСК, Г НОВОСИБИРСК, УЛ ДУСИ КОВАЛЬЧУК, ЗД. 1, К. 1</t>
  </si>
  <si>
    <t>ООО ЭНЕРГИЯ-МАГ</t>
  </si>
  <si>
    <t>НОВОСИБИРСКАЯ ОБЛАСТЬ, Г НОВОСИБИРСК, УЛ ВАТУТИНА, СООР 103, ПОМЕЩ. 2</t>
  </si>
  <si>
    <t>ИП БОГДАНОВА МАРИНА АНДРЕЕВНА</t>
  </si>
  <si>
    <t>630088, НОВОСИБИРСКАЯ ОБЛАСТЬ, Г НОВОСИБИРСК, ПР-Д СЕВЕРНЫЙ, Д. 9/1, ПОМЕЩ. 1</t>
  </si>
  <si>
    <t>ООО НХК ЭНЕРГИЯ</t>
  </si>
  <si>
    <t>630033, РОССИЯ, НОВОСИБИРСКАЯ ОБЛАСТЬ, Г.О. ГОРОД НОВОСИБИРСК, Г НОВОСИБИРСК, УЛ ОЛОВОЗАВОДСКАЯ, СООР. 45/8</t>
  </si>
  <si>
    <t>ООО МИСКОМ</t>
  </si>
  <si>
    <t>630106, РОССИЯ, НОВОСИБИРСКАЯ ОБЛАСТЬ, Г.О. ГОРОД НОВОСИБИРСК, Г НОВОСИБИРСК, УЛ ПЕТУХОВА, Д. 82/2, КВ. 113</t>
  </si>
  <si>
    <t>ООО ПБО ЛИВИНС</t>
  </si>
  <si>
    <t>630088, НОВОСИБИРСКАЯ ОБЛАСТЬ, Г НОВОСИБИРСК, УЛ ПЕТУХОВА, Д.42</t>
  </si>
  <si>
    <t>ИП ХЛЮПИНА ВАЛЕНТИНА ЛЕОНИДОВНА</t>
  </si>
  <si>
    <t>ИП ШАТАЛИН ЕВГЕНИЙ ВЛАДИМИРОВИЧ</t>
  </si>
  <si>
    <t>ООО ИВЕРС-АВТО</t>
  </si>
  <si>
    <t>630088, НОВОСИБИРСКАЯ ОБЛАСТЬ, Г.О. ГОРОД НОВОСИБИРСК, Г НОВОСИБИРСК, ПРОЕЗД СЕВЕРНЫЙ, ЗД. 24/3, ОФИС 1</t>
  </si>
  <si>
    <t>ООО ТОРЕНС</t>
  </si>
  <si>
    <t>630088, РОССИЯ, НОВОСИБИРСКАЯ ОБЛАСТЬ, Г.О. ГОРОД НОВОСИБИРСК, Г НОВОСИБИРСК, ПРОЕЗД СЕВЕРНЫЙ, ЗД. 3А/12</t>
  </si>
  <si>
    <t>ООО ТД АЛЬФАХИМ</t>
  </si>
  <si>
    <t>630088, НОВОСИБИРСКАЯ ОБЛАСТЬ, Г.О. ГОРОД НОВОСИБИРСК, Г НОВОСИБИРСК, УЛ ПЕТУХОВА, Д. 69</t>
  </si>
  <si>
    <t>ИП УСЫНИН НИКИТА ЮРЬЕВИЧ</t>
  </si>
  <si>
    <t>ООО ЕТП</t>
  </si>
  <si>
    <t>630052, НОВОСИБИРСКАЯ ОБЛАСТЬ, Р-Н НОВОСИБИРСКИЙ, УЛ МАЛЫГИНА, Д. 11/2, ПОМЕЩ. 60</t>
  </si>
  <si>
    <t>ООО ПРОФИМПОРТ</t>
  </si>
  <si>
    <t>630052, РОССИЯ, НОВОСИБИРСКАЯ ОБЛАСТЬ, Г.О. ГОРОД НОВОСИБИРСК, Г НОВОСИБИРСК, УЛ ТРОЛЛЕЙНАЯ, Д. 83, ЭТАЖ 2, ПОМЕЩ. К19</t>
  </si>
  <si>
    <t>ООО АВТОЛЕКС</t>
  </si>
  <si>
    <t>630052, РОССИЯ, НОВОСИБИРСКАЯ ОБЛАСТЬ, Г.О. ГОРОД НОВОСИБИРСК, Г НОВОСИБИРСК, УЛ ТРОЛЛЕЙНАЯ, Д. 83, ЭТАЖ 2, ПОМЕЩ. К16</t>
  </si>
  <si>
    <t>ИП СЕМЁНОВ СЕРГЕЙ ВЛАДИМИРОВИЧ</t>
  </si>
  <si>
    <t>ООО РЦ ФАСТАР</t>
  </si>
  <si>
    <t>630096, НОВОСИБИРСКАЯ ОБЛАСТЬ, Г.О. ГОРОД НОВОСИБИРСК, Г НОВОСИБИРСК, УЛ СТАНЦИОННАЯ, Д. 62/1</t>
  </si>
  <si>
    <t>ИП АРТЕМЕНКО АЛЕКСЕЙ ВИКТОРОВИЧ</t>
  </si>
  <si>
    <t>ООО ФИРМА СИБИРЬ ЭКСПРЕСС СЕРВИС</t>
  </si>
  <si>
    <t>630052, НОВОСИБИРСКАЯ ОБЛАСТЬ, Г НОВОСИБИРСК, УЛ ТОЛМАЧЕВСКАЯ, ЗД. 19, К. 5, КАБИНЕТ 2</t>
  </si>
  <si>
    <t>ООО ВЕИВ</t>
  </si>
  <si>
    <t>630082, НОВОСИБИРСКАЯ ОБЛАСТЬ, Г.О. ГОРОД НОВОСИБИРСК, Г НОВОСИБИРСК, УЛ ДАЧНАЯ, Д. 21/2, ОФИС 909</t>
  </si>
  <si>
    <t>ООО ЗАПАСКА</t>
  </si>
  <si>
    <t>630096, НОВОСИБИРСКАЯ ОБЛАСТЬ, Г НОВОСИБИРСК, УЛ СТАНЦИОННАЯ, Д. 60, ЭТАЖ 2</t>
  </si>
  <si>
    <t>630052, НОВОСИБИРСКАЯ ОБЛАСТЬ, Г НОВОСИБИРСК, УЛ МАЛЫГИНА, Д. 13/1, ОФИС 1</t>
  </si>
  <si>
    <t>ООО ВОСТОЧНЫЙ ВЕТЕР</t>
  </si>
  <si>
    <t>632661, НОВОСИБИРСКАЯ ОБЛАСТЬ, М.Р-Н КОЧЕНЕВСКИЙ, С.П. ПРОКУДСКИЙ СЕЛЬСОВЕТ, ТЕР. АВТОДОРОГИ СЕВЕРНЫЙ ОБХОД, КМ 15, ЗД. 2</t>
  </si>
  <si>
    <t>ООО РУСОЙЛ</t>
  </si>
  <si>
    <t>630078, РОССИЯ, НОВОСИБИРСКАЯ ОБЛАСТЬ, Г.О. ГОРОД НОВОСИБИРСК, Г НОВОСИБИРСК, УЛ ВЫСТАВОЧНАЯ, Д. 15/2, ЭТАЖ 2, ОФИС 12</t>
  </si>
  <si>
    <t>630052, НОВОСИБИРСКАЯ ОБЛАСТЬ, Г НОВОСИБИРСК, УЛ ТОЛМАЧЕВСКАЯ, Д. 33/3</t>
  </si>
  <si>
    <t>ИП РЕКАЙКИН СЕРГЕЙ ВАЛЕРЬЕВИЧ</t>
  </si>
  <si>
    <t>ИП ТЕРОВА ЕКАТЕРИНА БОРИСОВНА</t>
  </si>
  <si>
    <t>ООО ЭКОСИБ</t>
  </si>
  <si>
    <t>630120, РОССИЯ, НОВОСИБИРСКАЯ ОБЛАСТЬ, Г.О. ГОРОД НОВОСИБИРСК, Г НОВОСИБИРСК, УЛ СВЯЗИСТОВ, Д. 3/1, КВ. 125</t>
  </si>
  <si>
    <t>ООО ГЛОБАЛ ЭКСПЕРТ</t>
  </si>
  <si>
    <t>630001, НОВОСИБИРСКАЯ ОБЛАСТЬ, Г.О. ГОРОД НОВОСИБИРСК, Г НОВОСИБИРСК, УЛ ЖУКОВСКОГО, ЗД. 102</t>
  </si>
  <si>
    <t>ИП БАРСУКОВ ДМИТРИЙ ВАЛЕРЬЕВИЧ</t>
  </si>
  <si>
    <t>ООО  МАРКЕТ ФОРКЛИФТ</t>
  </si>
  <si>
    <t>630108, РОССИЯ, НОВОСИБИРСКАЯ ОБЛАСТЬ, Г.О. ГОРОД НОВОСИБИРСК, Г НОВОСИБИРСК, УЛ СТАНЦИОННАЯ, ЗД. 17</t>
  </si>
  <si>
    <t>ИП КОНОВАЛОВ АНТОН АЛЕКСАНДРОВИЧ</t>
  </si>
  <si>
    <t>ИП АНУЧИН ВАЛЕРИЙ АЛЕКСАНДРОВИЧ</t>
  </si>
  <si>
    <t>630041, РОССИЯ, НОВОСИБИРСКАЯ ОБЛАСТЬ, Г.О. ГОРОД НОВОСИБИРСК, Г НОВОСИБИРСК, УЛ 2-Я СТАНЦИОННАЯ, ЗД. 23</t>
  </si>
  <si>
    <t>ООО НСК-МАСЛА</t>
  </si>
  <si>
    <t>630028, РОССИЯ, НОВОСИБИРСКАЯ ОБЛАСТЬ, Г.О. ГОРОД НОВОСИБИРСК, Г НОВОСИБИРСК, УЛ ЛЕНИНГРАДСКАЯ, Д. 349</t>
  </si>
  <si>
    <t>ООО СПК</t>
  </si>
  <si>
    <t>630102, НОВОСИБИРСКАЯ ОБЛАСТЬ, Г НОВОСИБИРСК, УЛ ДЕКАБРИСТОВ, Д. 41, КВ. 116</t>
  </si>
  <si>
    <t>ООО НС ОПТИМАПАРТС</t>
  </si>
  <si>
    <t>630102, НОВОСИБИРСКАЯ ОБЛАСТЬ, Г НОВОСИБИРСК, УЛ ШЕВЧЕНКО, Д. 11, ОФИС 202</t>
  </si>
  <si>
    <t>ИП ПАРАМОНОВ АЛЕКСАНДР ЮРЬЕВИЧ</t>
  </si>
  <si>
    <t>ИП ЗОРИН АЛЕКСЕЙ АЛЕКСАНДРОВИЧ</t>
  </si>
  <si>
    <t>ИП МУЛАШОВ РЕНАТ МАРАТОВИЧ</t>
  </si>
  <si>
    <t>ИП БОРТНИКОВА СВЕТЛАНА СЕРГЕЕВНА</t>
  </si>
  <si>
    <t>ИП ОРЛОВ АНДРЕЙ СЕРГЕЕВИЧ</t>
  </si>
  <si>
    <t>630089, НОВОСИБИРСКАЯ ОБЛАСТЬ, Г НОВОСИБИРСК, УЛ БОРИСА БОГАТКОВА, Д. 253/2, ОФИС 111</t>
  </si>
  <si>
    <t>630015, НОВОСИБИРСКАЯ ОБЛАСТЬ, Г НОВОСИБИРСК, УЛ ПЛАНЕТНАЯ, Д. 32К, ПОМЕЩ. 1</t>
  </si>
  <si>
    <t>630015, НОВОСИБИРСКАЯ ОБЛАСТЬ, Г НОВОСИБИРСК, УЛ ГОГОЛЯ, Д. 237, КВ. 146</t>
  </si>
  <si>
    <t>ООО АВТОЗАПЧАСТИ</t>
  </si>
  <si>
    <t>630040, РОССИЯ, НОВОСИБИРСКАЯ ОБЛАСТЬ, Г.О. ГОРОД НОВОСИБИРСК, Г НОВОСИБИРСК, МКР СТРИЖИ, Д. 11, КВ. 185</t>
  </si>
  <si>
    <t>ИП ЧИРКОВ ЮРИЙ МИХАЙЛОВИЧ</t>
  </si>
  <si>
    <t>ООО МБ</t>
  </si>
  <si>
    <t>630082, НОВОСИБИРСКАЯ ОБЛАСТЬ, Г НОВОСИБИРСК, УЛ ДУСИ КОВАЛЬЧУК, Д. 252/1, ЭТАЖ 2</t>
  </si>
  <si>
    <t>ИП КОПЫЛОВ ДМИТРИЙ КОНСТАНТИНОВИЧ</t>
  </si>
  <si>
    <t>ООО БЕЛПРОМ-АВТО</t>
  </si>
  <si>
    <t>630041, РОССИЯ, НОВОСИБИРСКАЯ ОБЛАСТЬ, Г.О. ГОРОД НОВОСИБИРСК, Г НОВОСИБИРСК, УЛ 2-Я СТАНЦИОННАЯ, ЗД. 30, К. 17</t>
  </si>
  <si>
    <t>ООО СИБТРАНСКОЛД</t>
  </si>
  <si>
    <t>630088, НОВОСИБИРСКАЯ ОБЛАСТЬ, Г НОВОСИБИРСК, ПР-Д СЕВЕРНЫЙ, Д. 9/2</t>
  </si>
  <si>
    <t>ООО НСК-ОЙЛ</t>
  </si>
  <si>
    <t>630033, НОВОСИБИРСКАЯ ОБЛАСТЬ, Г НОВОСИБИРСК, УЛ МИРА, Д. 61А, ОФИС 11</t>
  </si>
  <si>
    <t>ООО ГК КОРТЕКС</t>
  </si>
  <si>
    <t>630099, НОВОСИБИРСКАЯ ОБЛАСТЬ, Г.О. ГОРОД НОВОСИБИРСК, Г НОВОСИБИРСК, УЛ СЕМЬИ ШАМШИНЫХ, Д. 20, КВ. 35</t>
  </si>
  <si>
    <t>630022, РОССИЯ, НОВОСИБИРСКАЯ ОБЛАСТЬ, Г.О. ГОРОД НОВОСИБИРСК, Г НОВОСИБИРСК, ПЕР 6-Й БРОННЫЙ, Д. 2</t>
  </si>
  <si>
    <t>ИП Пазоев Левон Левонович</t>
  </si>
  <si>
    <t>ИП ФАДЕЕВА ЕЛЕНА ВАЛЕРЬЕВНА</t>
  </si>
  <si>
    <t>ООО УСПЕХ АВТО</t>
  </si>
  <si>
    <t>630088, РОССИЯ, НОВОСИБИРСКАЯ ОБЛАСТЬ, Г.О. ГОРОД НОВОСИБИРСК, Г НОВОСИБИРСК, УЛ БОРОДИНА, Д. 68/2</t>
  </si>
  <si>
    <t>ООО ПРОМИС</t>
  </si>
  <si>
    <t>630024, НОВОСИБИРСКАЯ ОБЛАСТЬ, Г НОВОСИБИРСК, УЛ МИРА, Д.67</t>
  </si>
  <si>
    <t>ФГБУ ФЦН МИНЗДРАВА РОССИИ (Г. НОВОСИБИРСК)</t>
  </si>
  <si>
    <t>630087, НОВОСИБИРСКАЯ ОБЛАСТЬ, Г НОВОСИБИРСК, УЛ НЕМИРОВИЧА-ДАНЧЕНКО, Д.132/1</t>
  </si>
  <si>
    <t>ООО ДИНАМИКА-ГРУПП</t>
  </si>
  <si>
    <t>630088, НОВОСИБИРСКАЯ ОБЛАСТЬ, Г.О. ГОРОД НОВОСИБИРСК, Г НОВОСИБИРСК, УЛ ИВАНА ТИТКОВА, ЗД. 20/1, ОФИС 21</t>
  </si>
  <si>
    <t>ООО ПАРТЕРРА</t>
  </si>
  <si>
    <t>630024, НОВОСИБИРСКАЯ ОБЛАСТЬ, Г.О. ГОРОД НОВОСИБИРСК, Г НОВОСИБИРСК, УЛ ВАТУТИНА, ЗД. 38Д, ПОМЕЩ. 3.3</t>
  </si>
  <si>
    <t>ООО МАСТЕР ПАРТС</t>
  </si>
  <si>
    <t>630084, НОВОСИБИРСКАЯ ОБЛАСТЬ, Г НОВОСИБИРСК, УЛ АВИАСТРОИТЕЛЕЙ, Д. 47</t>
  </si>
  <si>
    <t>ООО АВТОТРЕЙД-НСК</t>
  </si>
  <si>
    <t>630032, НОВОСИБИРСКАЯ ОБЛАСТЬ, Г НОВОСИБИРСК, УЛ БОЛЬШАЯ, Д. 256А</t>
  </si>
  <si>
    <t>ООО ОРИГИНАЛАВТО</t>
  </si>
  <si>
    <t>630052, РОССИЯ, НОВОСИБИРСКАЯ ОБЛАСТЬ, Г.О. ГОРОД НОВОСИБИРСК, Г НОВОСИБИРСК, УЛ ТРОЛЛЕЙНАЯ, Д. 83, ЭТАЖ 2, ПОМЕЩ. К18</t>
  </si>
  <si>
    <t>ООО АВТОХИМИК</t>
  </si>
  <si>
    <t>630108, НОВОСИБИРСКАЯ ОБЛАСТЬ, Г НОВОСИБИРСК, УЛ СТАНЦИОННАЯ, Д. 30А, К. 18, ОФИС 2</t>
  </si>
  <si>
    <t>ООО АЛЬБИОН-МОТОРС НСК</t>
  </si>
  <si>
    <t>630096, НОВОСИБИРСКАЯ ОБЛАСТЬ, Г НОВОСИБИРСК, УЛ СТАНЦИОННАЯ, Д. 89, ОФИС 1</t>
  </si>
  <si>
    <t>ООО ФАСТАР</t>
  </si>
  <si>
    <t>ООО ТД ДАС</t>
  </si>
  <si>
    <t>630052, НОВОСИБИРСКАЯ ОБЛАСТЬ, Г НОВОСИБИРСК, УЛ ТОЛМАЧЕВСКАЯ, ЗД. 21А, ОФИС 3</t>
  </si>
  <si>
    <t>630096, НОВОСИБИРСКАЯ ОБЛАСТЬ, Г НОВОСИБИРСК, УЛ СТАНЦИОННАЯ, Д. 80/1, ЭТАЖ 2</t>
  </si>
  <si>
    <t>ООО МБ-ФАСТАР</t>
  </si>
  <si>
    <t>ООО МБ ТРАК СИБИРЬ</t>
  </si>
  <si>
    <t>630052, НОВОСИБИРСКАЯ ОБЛАСТЬ, Г НОВОСИБИРСК, УЛ ТОЛМАЧЕВСКАЯ, Д. 33/3, ПОМЕЩ. 103</t>
  </si>
  <si>
    <t>ООО МОТОРЕСПЕКТ</t>
  </si>
  <si>
    <t>630096, НОВОСИБИРСКАЯ ОБЛАСТЬ, Г.О. ГОРОД НОВОСИБИРСК, Г НОВОСИБИРСК, УЛ СТАНЦИОННАЯ, ЗД. 60Г</t>
  </si>
  <si>
    <t>ООО СИБФОРМАТ</t>
  </si>
  <si>
    <t>630052, НОВОСИБИРСКАЯ ОБЛАСТЬ, Г НОВОСИБИРСК, УЛ ТОЛМАЧЕВСКАЯ, Д. 1/3</t>
  </si>
  <si>
    <t>ООО ВОСТОЧНАЯ ТЕХНИКА</t>
  </si>
  <si>
    <t>630001, НОВОСИБИРСКАЯ ОБЛАСТЬ, Г НОВОСИБИРСК, УЛ ДУСИ КОВАЛЬЧУК, Д.1</t>
  </si>
  <si>
    <t>ООО АЗС РЕГИОН</t>
  </si>
  <si>
    <t>630041, НОВОСИБИРСКАЯ ОБЛАСТЬ, Г.О. ГОРОД НОВОСИБИРСК, Г НОВОСИБИРСК, УЛ 2-Я СТАНЦИОННАЯ, ЗД. 23</t>
  </si>
  <si>
    <t>630087, НОВОСИБИРСКАЯ ОБЛАСТЬ, Г НОВОСИБИРСК, ПР-КТ КАРЛА МАРКСА, Д. 30, ЭТАЖ/КАБ 1/3</t>
  </si>
  <si>
    <t>ООО КОМПАНИЯ КОЛОРЛОН</t>
  </si>
  <si>
    <t>630052, НОВОСИБИРСКАЯ ОБЛАСТЬ, Г НОВОСИБИРСК, УЛ ТОЛМАЧЕВСКАЯ, Д. 19А</t>
  </si>
  <si>
    <t>АО ЛОГИСТИЧЕСКИЙ ЦЕНТР</t>
  </si>
  <si>
    <t>630096, РОССИЯ, НОВОСИБИРСКАЯ ОБЛАСТЬ, Г.О. ГОРОД НОВОСИБИРСК, Г НОВОСИБИРСК, УЛ СТАНЦИОННАЯ, Д. 78, КАБ. 202</t>
  </si>
  <si>
    <t>ООО КОПТОН ПЕТРОЛЕУМ РУС</t>
  </si>
  <si>
    <t>630054, РОССИЯ, НОВОСИБИРСКАЯ ОБЛАСТЬ, Г.О. ГОРОД НОВОСИБИРСК, Г НОВОСИБИРСК, УЛ ТИТОВА, ЗД. 22А, ОФИС 704</t>
  </si>
  <si>
    <t>ИП ПОЗДНЯКОВ ПАВЕЛ АНДРЕЕВИЧ</t>
  </si>
  <si>
    <t>ИП ЕСИНА УЛЬЯНА НАИЛОВНА</t>
  </si>
  <si>
    <t>АО И.С. ЛАБОРАТОРИЯ</t>
  </si>
  <si>
    <t>630108, НОВОСИБИРСКАЯ ОБЛАСТЬ, Г НОВОСИБИРСК, УЛ СТАНЦИОННАЯ, Д. 30А, К. 18, ЭТАЖ 2</t>
  </si>
  <si>
    <t>ООО НОВОСИБКАРГО</t>
  </si>
  <si>
    <t>630061, НОВОСИБИРСКАЯ ОБЛАСТЬ, Г.О. ГОРОД НОВОСИБИРСК, Г НОВОСИБИРСК, УЛ КРАУЗЕ, Д. 19/1, КВ. 90</t>
  </si>
  <si>
    <t>ИП ПЛЯСУНОВ МИХАИЛ ЮРЬЕВИЧ</t>
  </si>
  <si>
    <t>ИП ЗЛОТНИКОВ ДМИТРИЙ АЛЕКСАНДРОВИЧ</t>
  </si>
  <si>
    <t>АО ИНТЕРПОЛЕ</t>
  </si>
  <si>
    <t>630009, РОССИЯ, НОВОСИБИРСКАЯ ОБЛАСТЬ, Г.О. ГОРОД НОВОСИБИРСК, Г НОВОСИБИРСК, УЛ ДУНАЙСКАЯ, Д. 19/1</t>
  </si>
  <si>
    <t>ИП КРИВОШЕИНА ТАМАРА ВЛАДИМИРОВНА</t>
  </si>
  <si>
    <t>ИП Сметана Валерий Викторович</t>
  </si>
  <si>
    <t>ООО ОЛМИ-СЕРВИС</t>
  </si>
  <si>
    <t>630015, НОВОСИБИРСКАЯ ОБЛАСТЬ, Г НОВОСИБИРСК, УЛ ТРИКОТАЖНАЯ, Д.47</t>
  </si>
  <si>
    <t>ООО ОЙЛГРУПП</t>
  </si>
  <si>
    <t>630015, НОВОСИБИРСКАЯ ОБЛАСТЬ, Г НОВОСИБИРСК, ПР-КТ ДЗЕРЖИНСКОГО, ЗД. 1/3, ОФИС 1301</t>
  </si>
  <si>
    <t>ООО РИЧ ФЭМИЛИ</t>
  </si>
  <si>
    <t>630015, НОВОСИБИРСКАЯ ОБЛАСТЬ, Г.О. ГОРОД НОВОСИБИРСК, Г НОВОСИБИРСК, УЛ КОРОЛЕВА, ЗД. 40, К. 40, ПОМЕЩ. 1 ЭТАЖА</t>
  </si>
  <si>
    <t>ООО ТД АВТОМАСЛА</t>
  </si>
  <si>
    <t>630084, РОССИЯ, НОВОСИБИРСКАЯ ОБЛАСТЬ, Г.О. ГОРОД НОВОСИБИРСК, Г НОВОСИБИРСК, УЛ 25 ЛЕТ ОКТЯБРЯ, Д. 9, КВ. 84</t>
  </si>
  <si>
    <t>630123, НОВОСИБИРСКАЯ ОБЛАСТЬ, Г НОВОСИБИРСК, УЛ ЧАЙКОВСКОГО, Д. 4</t>
  </si>
  <si>
    <t>ИП БОБРОВА МАРИЯ ИГОРЕВНА</t>
  </si>
  <si>
    <t>ООО ТК СИБТЕХСЕРВИС</t>
  </si>
  <si>
    <t>630111, НОВОСИБИРСКАЯ ОБЛАСТЬ, Г НОВОСИБИРСК, УЛ КРОПОТКИНА, Д. 271, ОФИС 505</t>
  </si>
  <si>
    <t>ООО ПРОМ ОЙЛ</t>
  </si>
  <si>
    <t>630105, НОВОСИБИРСКАЯ ОБЛАСТЬ, Г.О. ГОРОД НОВОСИБИРСК, Г НОВОСИБИРСК, УЛ КРОПОТКИНА, Д. 271</t>
  </si>
  <si>
    <t>ИП КОТКОВ ЕВГЕНИЙ ЯКОВЛЕВИЧ</t>
  </si>
  <si>
    <t>ИП ТРОПИН ИВАН ГРИГОРЬЕВИЧ</t>
  </si>
  <si>
    <t>ИП СЫЧЕВ РОМАН ВАЛЕНТИНОВИЧ</t>
  </si>
  <si>
    <t>ООО ТЕХНОСПАРК</t>
  </si>
  <si>
    <t>630049, НОВОСИБИРСКАЯ ОБЛАСТЬ, Г НОВОСИБИРСК, ПР-КТ КРАСНЫЙ, ЗД. 157/1</t>
  </si>
  <si>
    <t>630105, НОВОСИБИРСКАЯ ОБЛАСТЬ, Г.О. ГОРОД НОВОСИБИРСК, Г НОВОСИБИРСК, УЛ КРОПОТКИНА, Д. 273, ОФИС 3</t>
  </si>
  <si>
    <t>ООО АВТОТЕХСЕРВИС</t>
  </si>
  <si>
    <t>630047, НОВОСИБИРСКАЯ ОБЛАСТЬ, Г НОВОСИБИРСК, УЛ СЕВЕРНАЯ, Д.15/2</t>
  </si>
  <si>
    <t>ООО ТИС</t>
  </si>
  <si>
    <t>630041, НОВОСИБИРСКАЯ ОБЛАСТЬ, Г.О. ГОРОД НОВОСИБИРСК, Г НОВОСИБИРСК, ПЕР 2-Й ЭКСКАВАТОРНЫЙ, ЗД. 33/2</t>
  </si>
  <si>
    <t>ИП АНПЛЕЕВ ВИТАЛИЙ ИГОРЕВИЧ</t>
  </si>
  <si>
    <t>ООО СИБОЙЛ</t>
  </si>
  <si>
    <t>630082, НОВОСИБИРСКАЯ ОБЛАСТЬ, Г.О. ГОРОД НОВОСИБИРСК, Г НОВОСИБИРСК, УЛ ТИМИРЯЗЕВА, Д. 93, КВ. 147</t>
  </si>
  <si>
    <t>ООО РОДНЫЕ МАСЛА</t>
  </si>
  <si>
    <t>630087, НОВОСИБИРСКАЯ ОБЛАСТЬ, Г.О. ГОРОД НОВОСИБИРСК, Г НОВОСИБИРСК, УЛ ТУЛЬСКАЯ, Д. 88/1</t>
  </si>
  <si>
    <t>ООО ТРИО ВИД</t>
  </si>
  <si>
    <t>630088, НОВОСИБИРСКАЯ ОБЛАСТЬ, Г НОВОСИБИРСК, ПР-Д СЕВЕРНЫЙ, Д. 3, ЭТАЖ 2, ОФИС 23</t>
  </si>
  <si>
    <t>ООО АНТАРЕС</t>
  </si>
  <si>
    <t>ООО ЛИДЕР-М</t>
  </si>
  <si>
    <t>630024, РОССИЯ, НОВОСИБИРСКАЯ ОБЛАСТЬ, Г.О. ГОРОД НОВОСИБИРСК, Г НОВОСИБИРСК, УЛ МИРА, Д. 58</t>
  </si>
  <si>
    <t>ИП МЕЛЬЧАКОВ СЕРГЕЙ ВЛАДИМИРОВИЧ</t>
  </si>
  <si>
    <t>ООО БРИЗ</t>
  </si>
  <si>
    <t>630132, НОВОСИБИРСКАЯ ОБЛАСТЬ, Г НОВОСИБИРСК, УЛ НАРЫМСКАЯ, Д. 17/2, КВ. 1</t>
  </si>
  <si>
    <t>ООО АБАВА-В</t>
  </si>
  <si>
    <t>630096, РОССИЯ, НОВОСИБИРСКАЯ ОБЛАСТЬ, Г.О. ГОРОД НОВОСИБИРСК, Г НОВОСИБИРСК, УЛ СТАНЦИОННАЯ, ЗД. 60/1, К. 2/4, ПОМЕЩ. 2/4 ЦОКОЛЬ</t>
  </si>
  <si>
    <t>ООО ФИТ НСК</t>
  </si>
  <si>
    <t>630033, РОССИЯ, НОВОСИБИРСКАЯ ОБЛАСТЬ, Г.О. ГОРОД НОВОСИБИРСК, Г НОВОСИБИРСК, ТЕР. СНТ БУГРИНСКАЯ РОЩА, Д. 91</t>
  </si>
  <si>
    <t>ИП ПАВЛОВ АЛЕКСЕЙ ВИКТОРОВИЧ</t>
  </si>
  <si>
    <t>ИП КУЛЬБЕНОК АЛЕКСАНДР АЛЕКСАНДРОВИЧ</t>
  </si>
  <si>
    <t>630052, НОВОСИБИРСКАЯ ОБЛАСТЬ, Г НОВОСИБИРСК, УЛ ТРОЛЛЕЙНАЯ, Д. 83, ОФИС 3</t>
  </si>
  <si>
    <t>АО СИБИАР</t>
  </si>
  <si>
    <t>630096, НОВОСИБИРСКАЯ ОБЛАСТЬ, Г НОВОСИБИРСК, УЛ СТАНЦИОННАЯ, Д.78</t>
  </si>
  <si>
    <t>ИП КОВАЛЕВА ЕВГЕНИЯ ВЛАДИМИРОВНА</t>
  </si>
  <si>
    <t>630029, НОВОСИБИРСКАЯ ОБЛАСТЬ, Г.О. ГОРОД НОВОСИБИРСК, Г НОВОСИБИРСК, ПРОЕЗД ЭНЕРГЕТИКОВ, ВЛД. 8/3</t>
  </si>
  <si>
    <t>ООО МИРОВЫЕ МАСЛА</t>
  </si>
  <si>
    <t>630032, НОВОСИБИРСКАЯ ОБЛАСТЬ, Г НОВОСИБИРСК, МКР ГОРСКИЙ, Д. 55, КВ. 95</t>
  </si>
  <si>
    <t>ИП ИЗВЕКОВ АЛЕКСЕЙ АНАТОЛЬЕВИЧ</t>
  </si>
  <si>
    <t>ИП ЛОМОНОСОВ ЕВГЕНИЙ ГЕННАДЬЕВИЧ</t>
  </si>
  <si>
    <t>ООО КЕНИНКОМ</t>
  </si>
  <si>
    <t>630052, НОВОСИБИРСКАЯ ОБЛАСТЬ, Р-Н НОВОСИБИРСКИЙ, УЛ МАЛЫГИНА, Д. 11, К. 2, ПОМЕЩ. 40</t>
  </si>
  <si>
    <t>ООО МАСЛОМИР</t>
  </si>
  <si>
    <t>630088, НОВОСИБИРСКАЯ ОБЛАСТЬ, Г НОВОСИБИРСК, УЛ ПЕТУХОВА, Д. 35, ПОМЕЩ. 3</t>
  </si>
  <si>
    <t>ООО ТД ЗАПЧАСТИ МИРА</t>
  </si>
  <si>
    <t>630052, НОВОСИБИРСКАЯ ОБЛАСТЬ, Г.О. ГОРОД НОВОСИБИРСК, Г НОВОСИБИРСК, УЛ ТОЛМАЧЕВСКАЯ, ЗД. 25, СТР. 1, ЭТАЖ 1, ОФИС 100</t>
  </si>
  <si>
    <t>ИП АФАНАСЬЕВ ВЯЧЕСЛАВ БОРИСОВИЧ</t>
  </si>
  <si>
    <t>ООО ЛИДЕР-СИБ</t>
  </si>
  <si>
    <t>630054, НОВОСИБИРСКАЯ ОБЛАСТЬ, Г.О. ГОРОД НОВОСИБИРСК, Г НОВОСИБИРСК, УЛ ТИТОВА, ЗД. 22А, ЭТАЖ 3</t>
  </si>
  <si>
    <t>ООО СИБАВТОРЕСУРС</t>
  </si>
  <si>
    <t>630032, РОССИЯ, НОВОСИБИРСКАЯ ОБЛАСТЬ, Г.О. ГОРОД НОВОСИБИРСК, Г НОВОСИБИРСК, УЛ БОЛЬШАЯ, ЗД. 254/8</t>
  </si>
  <si>
    <t>АО ТЭТ-РС</t>
  </si>
  <si>
    <t>630009, НОВОСИБИРСКАЯ ОБЛАСТЬ, Г НОВОСИБИРСК, УЛ ОБСКАЯ, Д. 50/2, ЭТАЖ 1</t>
  </si>
  <si>
    <t>ООО КВАРТЕТ</t>
  </si>
  <si>
    <t>630102, НОВОСИБИРСКАЯ ОБЛАСТЬ, Г.О. ГОРОД НОВОСИБИРСК, Г НОВОСИБИРСК, УЛ БОЛЬШЕВИСТСКАЯ, Д. 37, КВ. 709</t>
  </si>
  <si>
    <t>ИП КУРНОСОВ МАТВЕЙ ДМИТРИЕВИЧ</t>
  </si>
  <si>
    <t>630005, РОССИЯ, НОВОСИБИРСКАЯ ОБЛАСТЬ, Г.О. ГОРОД НОВОСИБИРСК, Г НОВОСИБИРСК, УЛ НИКОЛАЯ ОСТРОВСКОГО, Д. 120, КВ. 25</t>
  </si>
  <si>
    <t>ООО ЧУЛПАН</t>
  </si>
  <si>
    <t>630102, НОВОСИБИРСКАЯ ОБЛАСТЬ, Г НОВОСИБИРСК, УЛ НИКИТИНА, Д. 126</t>
  </si>
  <si>
    <t>ИП ЛЮБЧЕНКО АНТОН ИГОРЕВИЧ</t>
  </si>
  <si>
    <t>ООО АВТОМОТИВ</t>
  </si>
  <si>
    <t>630090, НОВОСИБИРСКАЯ ОБЛАСТЬ, Г НОВОСИБИРСК, ПР-КТ АКАДЕМИКА КОПТЮГА, Д. 5, ПОМЕЩ. 23</t>
  </si>
  <si>
    <t>ИП ВОРОНКОВ АНТОН АЛЕКСЕЕВИЧ</t>
  </si>
  <si>
    <t>ООО ЛИСТИХ</t>
  </si>
  <si>
    <t>633126, РОССИЯ, НОВОСИБИРСКАЯ ОБЛАСТЬ, М.Р-Н МОШКОВСКИЙ, С САРАПУЛКА, С.П. САРАПУЛЬСКИЙ СЕЛЬСОВЕТ, УЛ СОВЕТСКАЯ, Д. 6, КВ. 1</t>
  </si>
  <si>
    <t>ИП Ковалева Наталья Артуровна</t>
  </si>
  <si>
    <t>ИП УЛЬЧЕНКО СВЕТЛАНА ЛЕОНИДОВНА</t>
  </si>
  <si>
    <t>ИП ЩУКИН ЕВГЕНИЙ БОРИСОВИЧ</t>
  </si>
  <si>
    <t>ООО АВТОУНИВЕРМАГ</t>
  </si>
  <si>
    <t>633623, НОВОСИБИРСКАЯ ОБЛАСТЬ, Р-Н СУЗУНСКИЙ, РП СУЗУН, УЛ КОММУНИСТИЧЕСКАЯ, Д.2</t>
  </si>
  <si>
    <t>632520, НОВОСИБИРСКАЯ ОБЛАСТЬ, Р-Н УБИНСКИЙ, С УБИНСКОЕ, УЛ МОЛОДЕЖНАЯ, ЗД. 19</t>
  </si>
  <si>
    <t>ИП ЧЕРЕПАНОВ РОМАН ВЛАДИМИРОВИЧ</t>
  </si>
  <si>
    <t>ООО  ТРАНЗИТ</t>
  </si>
  <si>
    <t>633011, НОВОСИБИРСКАЯ ОБЛАСТЬ, Г БЕРДСК, МКР СЕВЕРНЫЙ, Д. 18, КВ. 20</t>
  </si>
  <si>
    <t>ИП Хомутов Эдуард Васильевич</t>
  </si>
  <si>
    <t>ИП ГОЛУБЕВА МАРИНА АЛЕКСАНДРОВНА</t>
  </si>
  <si>
    <t>ИП УШАКОВА АННА ВЛАДИМИРОВНА</t>
  </si>
  <si>
    <t>ООО СТС-АВТОМОБИЛИ</t>
  </si>
  <si>
    <t>630102, НОВОСИБИРСКАЯ ОБЛАСТЬ, Г НОВОСИБИРСК, УЛ БОЛЬШЕВИСТСКАЯ, Д. 1, ЭТАЖ 2</t>
  </si>
  <si>
    <t>ИП СИГУНОВ ВЛАДИСЛАВ ВИТАЛЬЕВИЧ</t>
  </si>
  <si>
    <t>ООО ЭКСПОРТЕР</t>
  </si>
  <si>
    <t>630102, РОССИЯ, НОВОСИБИРСКАЯ ОБЛАСТЬ, Г.О. ГОРОД НОВОСИБИРСК, Г НОВОСИБИРСК, УЛ ВОСХОД, Д. 26/1, ОФИС 18</t>
  </si>
  <si>
    <t>ООО СИБИРСКИЙ ЦЕНТРАЛЬНЫЙ СКЛАД</t>
  </si>
  <si>
    <t>630039, НОВОСИБИРСКАЯ ОБЛАСТЬ, Г НОВОСИБИРСК, УЛ ПРОЛЕТАРСКАЯ, Д. 271Б, ОФИС 4</t>
  </si>
  <si>
    <t>ООО АКТИВ</t>
  </si>
  <si>
    <t>630079, РОССИЯ, НОВОСИБИРСКАЯ ОБЛАСТЬ, Г.О. ГОРОД НОВОСИБИРСК, Г НОВОСИБИРСК, УЛ ТРОЛЛЕЙНАЯ, Д. 39</t>
  </si>
  <si>
    <t>ООО ЛЕМАН</t>
  </si>
  <si>
    <t>630008, НОВОСИБИРСКАЯ ОБЛАСТЬ, Г.О. ГОРОД НОВОСИБИРСК, Г НОВОСИБИРСК, УЛ ЛЕСКОВА, Д. 27, КВ. 221</t>
  </si>
  <si>
    <t>ООО ЭЙШАН ЮНИОН</t>
  </si>
  <si>
    <t>630112, НОВОСИБИРСКАЯ ОБЛАСТЬ, Г.О. ГОРОД НОВОСИБИРСК, Г НОВОСИБИРСК, УЛ ПИСАРЕВА, ЗД. 102</t>
  </si>
  <si>
    <t>ООО ФЦС.ПРО</t>
  </si>
  <si>
    <t>630102, РОССИЯ, НОВОСИБИРСКАЯ ОБЛАСТЬ, Г.О. ГОРОД НОВОСИБИРСК, Г НОВОСИБИРСК, УЛ ИНСКАЯ, Д. 69</t>
  </si>
  <si>
    <t>ООО ЖИГУЛИ-СИБИРЬ</t>
  </si>
  <si>
    <t>630008, НОВОСИБИРСКАЯ ОБЛАСТЬ, Г НОВОСИБИРСК, УЛ НИКИТИНА, Д.70</t>
  </si>
  <si>
    <t>ООО  АГРОТРАК</t>
  </si>
  <si>
    <t>630520, РОССИЯ, НОВОСИБИРСКАЯ ОБЛАСТЬ, М.Р-Н НОВОСИБИРСКИЙ, С ВЕРХ-ТУЛА, С.П. ВЕРХ-ТУЛИНСКИЙ СЕЛЬСОВЕТ, УЛ. ДОРОЖНАЯ, ЗД. 9, ЭТАЖ 2</t>
  </si>
  <si>
    <t>ООО МЕГАТОРГ</t>
  </si>
  <si>
    <t>630005, НОВОСИБИРСКАЯ ОБЛАСТЬ, Г.О. ГОРОД НОВОСИБИРСК, Г НОВОСИБИРСК, УЛ ДЕМЬЯНА БЕДНОГО, Д. 57, ОФИС 24/1</t>
  </si>
  <si>
    <t>ООО МАСЛЁНКА</t>
  </si>
  <si>
    <t>630039, НОВОСИБИРСКАЯ ОБЛАСТЬ, Г НОВОСИБИРСК, УЛ АВТОГЕННАЯ, Д. 132, ЭТАЖ 1</t>
  </si>
  <si>
    <t>ООО ТВИН КАМ</t>
  </si>
  <si>
    <t>630039, НОВОСИБИРСКАЯ ОБЛАСТЬ, Г НОВОСИБИРСК, УЛ АВТОГЕННАЯ, Д. 132, ЭТАЖ 2</t>
  </si>
  <si>
    <t>ООО АВТОФУРОР</t>
  </si>
  <si>
    <t>630124, НОВОСИБИРСКАЯ ОБЛАСТЬ, Г НОВОСИБИРСК, УЛ ДОВАТОРА, Д. 11, МЕСТО 2-1</t>
  </si>
  <si>
    <t>ООО СИБАВТОЗАП</t>
  </si>
  <si>
    <t>630017, НОВОСИБИРСКАЯ ОБЛАСТЬ, Г НОВОСИБИРСК, УЛ БОРИСА БОГАТКОВА, Д. 163/9, КВ. 1</t>
  </si>
  <si>
    <t>630028, НОВОСИБИРСКАЯ ОБЛАСТЬ, Г.О. ГОРОД НОВОСИБИРСК, Г НОВОСИБИРСК, УЛ НИЖЕГОРОДСКАЯ, ЗД. 272, ОФИС 96</t>
  </si>
  <si>
    <t>ООО МАСЛОДОМ</t>
  </si>
  <si>
    <t>630099, НОВОСИБИРСКАЯ ОБЛАСТЬ, Г НОВОСИБИРСК, УЛ СЕМЬИ ШАМШИНЫХ, Д. 4, КВ. 61</t>
  </si>
  <si>
    <t>ООО СИБИМПОРТ</t>
  </si>
  <si>
    <t>630052, НОВОСИБИРСКАЯ ОБЛАСТЬ, Г.О. ГОРОД НОВОСИБИРСК, Г НОВОСИБИРСК, УЛ ТРОЛЛЕЙНАЯ, Д. 83, ЭТАЖ 2, ПОМЕЩ. К20</t>
  </si>
  <si>
    <t>ООО СПАРК-АВТО</t>
  </si>
  <si>
    <t>630005, НОВОСИБИРСКАЯ ОБЛАСТЬ, Г НОВОСИБИРСК, УЛ ИППОДРОМСКАЯ, Д. 21, ЭТАЖ ПЕРВЫЙ</t>
  </si>
  <si>
    <t>ООО АВТ-МОТОРС</t>
  </si>
  <si>
    <t>630005, НОВОСИБИРСКАЯ ОБЛАСТЬ, Г НОВОСИБИРСК, УЛ ПИСАРЕВА, Д.60, 216А</t>
  </si>
  <si>
    <t>ООО ВЕРТИКАЛЬ</t>
  </si>
  <si>
    <t>630099, НОВОСИБИРСКАЯ ОБЛАСТЬ, Г.О. ГОРОД НОВОСИБИРСК, Г НОВОСИБИРСК, УЛ КАМЕНСКАЯ, Д. 54, ОФИС 17</t>
  </si>
  <si>
    <t>ООО МАЛЬТУМ ГРУПП</t>
  </si>
  <si>
    <t>630091, РОССИЯ, НОВОСИБИРСКАЯ ОБЛАСТЬ, Г.О. ГОРОД НОВОСИБИРСК, Г НОВОСИБИРСК, УЛ РОМАНОВА, Д. 39, КВ. 112</t>
  </si>
  <si>
    <t>630091, РОССИЯ, НОВОСИБИРСКАЯ ОБЛАСТЬ, Г.О. ГОРОД НОВОСИБИРСК, Г НОВОСИБИРСК, УЛ ГОГОЛЯ, Д. 32/1, КВ. 27</t>
  </si>
  <si>
    <t>630112, РОССИЯ, НОВОСИБИРСКАЯ ОБЛАСТЬ, Г.О. ГОРОД НОВОСИБИРСК, Г НОВОСИБИРСК, УЛ ПИСАРЕВА, Д. 102/1</t>
  </si>
  <si>
    <t>ООО НОВОТРАК</t>
  </si>
  <si>
    <t>630112, РОССИЯ, НОВОСИБИРСКАЯ ОБЛАСТЬ, Г.О. ГОРОД НОВОСИБИРСК, Г НОВОСИБИРСК, УЛ ПИСАРЕВА, ЗД. 102, ПОМЕЩ. 811</t>
  </si>
  <si>
    <t>630004, РОССИЯ, НОВОСИБИРСКАЯ ОБЛАСТЬ, Г.О. ГОРОД НОВОСИБИРСК, Г НОВОСИБИРСК, ПР-КТ ДИМИТРОВА, Д. 4, К. 1</t>
  </si>
  <si>
    <t>ООО  НЕФТЕХИМСЕРВИС</t>
  </si>
  <si>
    <t>630111, НОВОСИБИРСКАЯ ОБЛАСТЬ, Г НОВОСИБИРСК, УЛ КРОПОТКИНА, Д. 271, ОФИС 312</t>
  </si>
  <si>
    <t>ИП ПАНОВ МАРК НИКОЛАЕВИЧ</t>
  </si>
  <si>
    <t>ООО БИЗНЕС ГРУПП НК</t>
  </si>
  <si>
    <t>630124, НОВОСИБИРСКАЯ ОБЛАСТЬ, Г НОВОСИБИРСК, УЛ ЕСЕНИНА, Д. 3/1, ЭТАЖ 1</t>
  </si>
  <si>
    <t>630099, НОВОСИБИРСКАЯ ОБЛАСТЬ, Г НОВОСИБИРСК, УЛ ЛЕНИНА, Д. 3, ОФИС 503</t>
  </si>
  <si>
    <t>ООО ТЕХНОЛИГА</t>
  </si>
  <si>
    <t>630132, НОВОСИБИРСКАЯ ОБЛАСТЬ, Г НОВОСИБИРСК, УЛ ЖЕЛЕЗНОДОРОЖНАЯ, Д. 8, КВ. 64</t>
  </si>
  <si>
    <t>ООО ТРАНССИБРЕАЛ</t>
  </si>
  <si>
    <t>630056, НОВОСИБИРСКАЯ ОБЛАСТЬ, Г НОВОСИБИРСК, УЛ ВЕТЛУЖСКАЯ, Д. 22А, КВ. 103</t>
  </si>
  <si>
    <t>ООО ГАНИМЕД +</t>
  </si>
  <si>
    <t>630055, НОВОСИБИРСКАЯ ОБЛАСТЬ, Г НОВОСИБИРСК, УЛ ПАСЕЧНАЯ, Д. 1, ОФИС 11</t>
  </si>
  <si>
    <t>ИП ДЕГТЯРЕВ СЕРГЕЙ НИКОЛАЕВИЧ</t>
  </si>
  <si>
    <t>ИП АНДРЕЕВ АНДРЕЙ ВИТАЛЬЕВИЧ</t>
  </si>
  <si>
    <t>ИХБФМ СО РАН</t>
  </si>
  <si>
    <t>630090, НОВОСИБИРСКАЯ ОБЛАСТЬ, Г НОВОСИБИРСК, ПР-КТ АКАДЕМИКА ЛАВРЕНТЬЕВА, Д.8</t>
  </si>
  <si>
    <t>ГАУ НСО РАДУГА</t>
  </si>
  <si>
    <t>630110, НОВОСИБИРСКАЯ ОБЛАСТЬ, Г НОВОСИБИРСК, УЛ АЛЕКСАНДРА НЕВСКОГО, Д.39</t>
  </si>
  <si>
    <t>ИП ДАНИЛЬЧЕНКО НАДЕЖДА СЕРГЕЕВНА</t>
  </si>
  <si>
    <t>ООО ТД СИБЭЛЕКТРОИСТОЧНИК</t>
  </si>
  <si>
    <t>630098, РОССИЯ, НОВОСИБИРСКАЯ ОБЛАСТЬ, Г.О. ГОРОД НОВОСИБИРСК, Г НОВОСИБИРСК, УЛ ЧАСОВАЯ, Д. 6/4, ЭТАЖ 2, КОМ. 7</t>
  </si>
  <si>
    <t>ИП СВЕТЛИЧНАЯ ДИНА КОНСТАНТИНОВНА</t>
  </si>
  <si>
    <t>630063, НОВОСИБИРСКАЯ ОБЛАСТЬ, Г НОВОСИБИРСК, УЛ НИЖЕГОРОДСКАЯ, Д. 270/1, КАБИНЕТ 5</t>
  </si>
  <si>
    <t>ООО АЭС-НСК</t>
  </si>
  <si>
    <t>630129, НОВОСИБИРСКАЯ ОБЛАСТЬ, Г НОВОСИБИРСК, УЛ ТАЙГИНСКАЯ, Д. 13/1, ПОДВ.</t>
  </si>
  <si>
    <t>ООО ПОПУТЧИК-НСК</t>
  </si>
  <si>
    <t>630007, РОССИЯ, НОВОСИБИРСКАЯ ОБЛАСТЬ, Г.О. ГОРОД НОВОСИБИРСК, Г НОВОСИБИРСК, ПЕР ФАБРИЧНЫЙ, Д. 13</t>
  </si>
  <si>
    <t>ООО СНАБ ОЙЛ</t>
  </si>
  <si>
    <t>630020, РОССИЯ, НОВОСИБИРСКАЯ ОБЛАСТЬ, Г.О. ГОРОД НОВОСИБИРСК, Г НОВОСИБИРСК, УЛ ТАЙШЕТСКАЯ, Д. 2</t>
  </si>
  <si>
    <t>ООО СТРОЙТЕХНОМАШ</t>
  </si>
  <si>
    <t>630501, РОССИЯ, НОВОСИБИРСКАЯ ОБЛАСТЬ, М.Р-Н НОВОСИБИРСКИЙ, РП КРАСНООБСК, Г.П. РАБОЧИЙ ПОСЕЛОК КРАСНООБСК, Д. 111, КВ. 2</t>
  </si>
  <si>
    <t>633102, РОССИЯ, НОВОСИБИРСКАЯ ОБЛАСТЬ, Г.О. ГОРОД ОБЬ, Г ОБЬ, УЛ КАЛИНИНА, Д. 27, КВ. 37</t>
  </si>
  <si>
    <t>ООО ССК</t>
  </si>
  <si>
    <t>630106, РОССИЯ, НОВОСИБИРСКАЯ ОБЛАСТЬ, М.Р-Н НОВОСИБИРСКИЙ, П ЭЛИТНЫЙ, С.П. МИЧУРИНСКИЙ СЕЛЬСОВЕТ, УЛ ВЕНСКАЯ, Д. 15, КВ. 136</t>
  </si>
  <si>
    <t>ООО ПРОФФОЙЛ</t>
  </si>
  <si>
    <t>630129, НОВОСИБИРСКАЯ ОБЛАСТЬ, Г НОВОСИБИРСК, УЛ КУРЧАТОВА, Д.13, 171</t>
  </si>
  <si>
    <t>ИП ВАРЛАМОВА АЛЁНА СЕРГЕЕВНА</t>
  </si>
  <si>
    <t>ИП НИКИТИН ВАЛЕРИЙ ИВАНОВИЧ</t>
  </si>
  <si>
    <t>632122, НОВОСИБИРСКАЯ ОБЛАСТЬ, Р-Н ТАТАРСКИЙ, Г ТАТАРСК, УЛ КАРБЫШЕВА, Д. 14, -</t>
  </si>
  <si>
    <t>ИП БАМБУХ РОМАН ВИКТОРОВИЧ</t>
  </si>
  <si>
    <t>ИП НАГИБИН АНТОН СЕРГЕЕВИЧ</t>
  </si>
  <si>
    <t>АО САНАТОРИЙ ДОВОЛЕНСКИЙ</t>
  </si>
  <si>
    <t>632451, НОВОСИБИРСКАЯ ОБЛАСТЬ, Р-Н ДОВОЛЕНСКИЙ, С ДОВОЛЬНОЕ</t>
  </si>
  <si>
    <t>ИП Нестеренко Евгений Иванович</t>
  </si>
  <si>
    <t>ИП ОРЛОВ СЕРГЕЙ ПАВЛОВИЧ</t>
  </si>
  <si>
    <t>ИП ПОЛТАВЦЕВ ГРИГОРИЙ АЛЕКСАНДРОВИЧ</t>
  </si>
  <si>
    <t>ИП Чухно Николай Николаевич</t>
  </si>
  <si>
    <t>ИП КОВАЛЕНКО ИННА НИКОЛАЕВНА</t>
  </si>
  <si>
    <t>ООО ТД АВТОХИТ</t>
  </si>
  <si>
    <t>630088, РОССИЯ, НОВОСИБИРСКАЯ ОБЛАСТЬ, Г.О. ГОРОД НОВОСИБИРСК, Г НОВОСИБИРСК, УЛ ПЕТУХОВА, ЗД. 71А</t>
  </si>
  <si>
    <t>ИП АНУЧИН АРТЕМ АЛЕКСАНДРОВИЧ</t>
  </si>
  <si>
    <t>ООО МЕДПАРК НТ</t>
  </si>
  <si>
    <t>630008, НОВОСИБИРСКАЯ ОБЛАСТЬ, Г НОВОСИБИРСК, УЛ САККО И ВАНЦЕТТИ, Д. 77, ЭТАЖ 5</t>
  </si>
  <si>
    <t>ООО ПРЕДСТАВИТЕЛЬ ЗАВОДА ШАХТНОЙ БЕЗОПАСНОСТИ</t>
  </si>
  <si>
    <t>630124, РОССИЯ, НОВОСИБИРСКАЯ ОБЛАСТЬ, Г.О. ГОРОД НОВОСИБИРСК, Г НОВОСИБИРСК, УЛ ЕСЕНИНА, Д. 53, КВ. 76</t>
  </si>
  <si>
    <t>ООО ВМ-Н-АЗИЯ</t>
  </si>
  <si>
    <t>630028, НОВОСИБИРСКАЯ ОБЛАСТЬ, Г.О. ГОРОД НОВОСИБИРСК, Г НОВОСИБИРСК, УЛ БОЛЬШЕВИСТСКАЯ, ЗД. 276/2, ЭТАЖ 1, ПОМЕЩ. 151</t>
  </si>
  <si>
    <t>ООО ДЕТАЛЬ СИБИРИ</t>
  </si>
  <si>
    <t>630088, РОССИЯ, НОВОСИБИРСКАЯ ОБЛАСТЬ, Г.О. ГОРОД НОВОСИБИРСК, Г НОВОСИБИРСК, УЛ ПЕТУХОВА, Д. 4</t>
  </si>
  <si>
    <t>ООО КИТАВТОХАБ</t>
  </si>
  <si>
    <t>630008, РОССИЯ, НОВОСИБИРСКАЯ ОБЛАСТЬ, Г.О. ГОРОД НОВОСИБИРСК, Г НОВОСИБИРСК, УЛ КИРОВА, Д. 11, КВ. 32</t>
  </si>
  <si>
    <t>ООО ФЭП</t>
  </si>
  <si>
    <t>630126, НОВОСИБИРСКАЯ ОБЛАСТЬ, Г НОВОСИБИРСК, УЛ ВЫБОРНАЯ, Д. 156/1, КОМ. 1</t>
  </si>
  <si>
    <t>ИП КОХАН МАРГАРИТА АНАТОЛЬЕВНА</t>
  </si>
  <si>
    <t>ООО ТД ВОЛГА МОТОРС</t>
  </si>
  <si>
    <t>630079, НОВОСИБИРСКАЯ ОБЛАСТЬ, Г НОВОСИБИРСК, УЛ СТАНИСЛАВСКОГО, Д. 32, ОФИС 3</t>
  </si>
  <si>
    <t>ИП ЧЕРНОМОРЕЦ СЕРГЕЙ ВЛАДИМИРОВИЧ</t>
  </si>
  <si>
    <t>ООО ГРАНДТОРГ</t>
  </si>
  <si>
    <t>ИП ТЭР АНАСТАСИЯ СЕРГЕЕВНА</t>
  </si>
  <si>
    <t>ИП ЛЫКО ЯНА ОЛЕГОВНА</t>
  </si>
  <si>
    <t>ООО ВЕСТ-ОЙЛ</t>
  </si>
  <si>
    <t>630028, НОВОСИБИРСКАЯ ОБЛАСТЬ, Г.О. ГОРОД НОВОСИБИРСК, Г НОВОСИБИРСК, УЛ НИЖЕГОРОДСКАЯ, ЗД. 272, ОФИС 94</t>
  </si>
  <si>
    <t>ООО КОНДОР</t>
  </si>
  <si>
    <t>630124, НОВОСИБИРСКАЯ ОБЛАСТЬ, Г НОВОСИБИРСК, УЛ ВОЛОЧАЕВСКАЯ, Д.204</t>
  </si>
  <si>
    <t>ООО ПЕТРОСИБ</t>
  </si>
  <si>
    <t>ОООАТТ</t>
  </si>
  <si>
    <t>630102, НОВОСИБИРСКАЯ ОБЛАСТЬ, Г НОВОСИБИРСК, УЛ ШЕВЧЕНКО, Д. 15</t>
  </si>
  <si>
    <t>ООО СЕВЕН</t>
  </si>
  <si>
    <t>ООО АВТО НСК</t>
  </si>
  <si>
    <t>630063, НОВОСИБИРСКАЯ ОБЛАСТЬ, Г НОВОСИБИРСК, УЛ ТУРГЕНЕВА, Д. 261, ОФИС 16</t>
  </si>
  <si>
    <t>630124, НОВОСИБИРСКАЯ ОБЛАСТЬ, Г.О. ГОРОД НОВОСИБИРСК, Г НОВОСИБИРСК, УЛ БОРИСА БОГАТКОВА, Д. 255</t>
  </si>
  <si>
    <t>ООО СИББЕНЗИНСЕРВИС</t>
  </si>
  <si>
    <t>630041, НОВОСИБИРСКАЯ ОБЛАСТЬ, Г НОВОСИБИРСК, УЛ ДУКАЧА, Д. 10/1, КОМ. 111</t>
  </si>
  <si>
    <t>ООО СИБИНДУСТРИТЕХМАШ</t>
  </si>
  <si>
    <t>630052, НОВОСИБИРСКАЯ ОБЛАСТЬ, Г.О. ГОРОД НОВОСИБИРСК, Г НОВОСИБИРСК, ПЕР АРХОНСКИЙ, ЗД. 11, ОФИС 6Б</t>
  </si>
  <si>
    <t>ИП НАЗИМКО МАКСИМ АЛЕКСАНДРОВИЧ</t>
  </si>
  <si>
    <t>ООО МЕДИА МАСТЕР</t>
  </si>
  <si>
    <t>630112, НОВОСИБИРСКАЯ ОБЛАСТЬ, Г.О. ГОРОД НОВОСИБИРСК, Г НОВОСИБИРСК, УЛ КРАСИНА, ЗД. 54</t>
  </si>
  <si>
    <t>ООО МЕГА АВТО</t>
  </si>
  <si>
    <t>630091, НОВОСИБИРСКАЯ ОБЛАСТЬ, Г НОВОСИБИРСК, УЛ СОВЕТСКАЯ, ЗД. 64, ОФИС 1007/1</t>
  </si>
  <si>
    <t>ООО АРМТРЕЙД СИБИРЬ</t>
  </si>
  <si>
    <t>630048, НОВОСИБИРСКАЯ ОБЛАСТЬ, Г НОВОСИБИРСК, УЛ СИБИРЯКОВ-ГВАРДЕЙЦЕВ, Д. 40, ОФИС 3</t>
  </si>
  <si>
    <t>ООО ТВЦ</t>
  </si>
  <si>
    <t>630009, НОВОСИБИРСКАЯ ОБЛАСТЬ, Г.О. ГОРОД НОВОСИБИРСК, Г НОВОСИБИРСК, УЛ НИЖЕГОРОДСКАЯ, ЗД. 270/4</t>
  </si>
  <si>
    <t>ООО СТРОЙПАРТНЕР54</t>
  </si>
  <si>
    <t>630075, НОВОСИБИРСКАЯ ОБЛАСТЬ, Г.О. ГОРОД НОВОСИБИРСК, Г НОВОСИБИРСК, УЛ ДУСИ КОВАЛЬЧУК, ЗД. 378А, К. 4</t>
  </si>
  <si>
    <t>ООО ИНТЕРЛАЙН АВТО</t>
  </si>
  <si>
    <t>630099, РОССИЯ, НОВОСИБИРСКАЯ ОБЛАСТЬ, Г.О. ГОРОД НОВОСИБИРСК, Г НОВОСИБИРСК, УЛ ФРУНЗЕ, ЗД. 80, ОФИС 625</t>
  </si>
  <si>
    <t>ООО ЕВРАЗИЯ</t>
  </si>
  <si>
    <t>630099, РОССИЯ, НОВОСИБИРСКАЯ ОБЛАСТЬ, Г.О. ГОРОД НОВОСИБИРСК, Г НОВОСИБИРСК, УЛ ЯДРИНЦЕВСКАЯ, Д. 72</t>
  </si>
  <si>
    <t>ООО ТКАВТОЛЮБ</t>
  </si>
  <si>
    <t>630005, НОВОСИБИРСКАЯ ОБЛАСТЬ, Г НОВОСИБИРСК, УЛ ДЕМЬЯНА БЕДНОГО, Д. 57, ОФИС 17/2</t>
  </si>
  <si>
    <t>630091, НОВОСИБИРСКАЯ ОБЛАСТЬ, Г НОВОСИБИРСК, УЛ ДЕРЖАВИНА, ЗД. 28, ОФИС 601</t>
  </si>
  <si>
    <t>ООО ПРОФИ МАРКЕТ</t>
  </si>
  <si>
    <t>630005, НОВОСИБИРСКАЯ ОБЛАСТЬ, Г НОВОСИБИРСК, УЛ СЕМЬИ ШАМШИНЫХ, Д. 58, ЭТАЖ 1</t>
  </si>
  <si>
    <t>ООО МАГИСТРАЛЬ 54</t>
  </si>
  <si>
    <t>630007, НОВОСИБИРСКАЯ ОБЛАСТЬ, Г НОВОСИБИРСК, ПР-КТ КРАСНЫЙ, Д. 1, ОФИС 223</t>
  </si>
  <si>
    <t>ИП ЛОГИНОВ АЛЕКСЕЙ ЮРЬЕВИЧ</t>
  </si>
  <si>
    <t>ИП МАКАРЕНКО ГЕОРГИЙ ВИКТОРОВИЧ</t>
  </si>
  <si>
    <t>ООО АМС ПАРТС</t>
  </si>
  <si>
    <t>630007, НОВОСИБИРСКАЯ ОБЛАСТЬ, Г НОВОСИБИРСК, УЛ ФАБРИЧНАЯ, Д. 17А</t>
  </si>
  <si>
    <t>ООО А ПЛЮС</t>
  </si>
  <si>
    <t>630099, НОВОСИБИРСКАЯ ОБЛАСТЬ, Г.О. ГОРОД НОВОСИБИРСК, Г НОВОСИБИРСК, УЛ ДЕПУТАТСКАЯ, ЗД. 46</t>
  </si>
  <si>
    <t>ООО АЛАИД</t>
  </si>
  <si>
    <t>630057, НОВОСИБИРСКАЯ ОБЛАСТЬ, Г НОВОСИБИРСК, УЛ БЕРДЫШЕВА, Д. 81</t>
  </si>
  <si>
    <t>ООО АВТОТЕК</t>
  </si>
  <si>
    <t>630099, НОВОСИБИРСКАЯ ОБЛАСТЬ, Г НОВОСИБИРСК, УЛ ЯДРИНЦЕВСКАЯ, Д. 48, КВ. 2</t>
  </si>
  <si>
    <t>ИП ТАТАРИНЦЕВА ЮЛИЯ ГАВРИИЛОВНА</t>
  </si>
  <si>
    <t>ИП ШУТОВА ДИАНА ЕВГЕНЬЕВНА</t>
  </si>
  <si>
    <t>ООО КОМПАНИЯ ЭЛТОН</t>
  </si>
  <si>
    <t>630088, НОВОСИБИРСКАЯ ОБЛАСТЬ, Г НОВОСИБИРСК, УЛ ПЕТУХОВА, Д. 35Б, ОФИС 8</t>
  </si>
  <si>
    <t>ООО КСМ АЛЬЯНС</t>
  </si>
  <si>
    <t>630088, НОВОСИБИРСКАЯ ОБЛАСТЬ, Г НОВОСИБИРСК, УЛ ПЕТУХОВА, Д. 35Б, ОФИС 10</t>
  </si>
  <si>
    <t>ООО ПЕРВАЯ МИЛЯ</t>
  </si>
  <si>
    <t>630055, НОВОСИБИРСКАЯ ОБЛАСТЬ, Г НОВОСИБИРСК, УЛ ГНЕСИНЫХ, Д. 10, ПОМЕЩ. 4</t>
  </si>
  <si>
    <t>ООО ЦПМ</t>
  </si>
  <si>
    <t>630090, НОВОСИБИРСКАЯ ОБЛАСТЬ, Г НОВОСИБИРСК, УЛ ПИРОГОВА, Д. 25/4</t>
  </si>
  <si>
    <t>ИП КУРЧЕВСКИЙ ДАНИЛ ДЕНИСОВИЧ</t>
  </si>
  <si>
    <t>ИП ГРОМИЛИН АНТОН ГЕННАДЬЕВИЧ</t>
  </si>
  <si>
    <t>ООО ТЕХНОЛОДЖИ</t>
  </si>
  <si>
    <t>630068, НОВОСИБИРСКАЯ ОБЛАСТЬ, Г НОВОСИБИРСК, УЛ ТВАРДОВСКОГО, ЗД. 3/13А, ПОМЕЩ. 2</t>
  </si>
  <si>
    <t>ИП ЖУКОВ МИХАИЛ АЛЕКСАНДРОВИЧ</t>
  </si>
  <si>
    <t>ИП КЛАПОЦКИЙ ИВАН НИКОЛАЕВИЧ</t>
  </si>
  <si>
    <t>ИП ЖИЛИЦКАЯ КСЕНИЯ ВЛАДИМИРОВНА</t>
  </si>
  <si>
    <t>ИП ДРОВОСЕКОВ НИКОЛАЙ ГЕННАДЬЕВИЧ</t>
  </si>
  <si>
    <t>630007, НОВОСИБИРСКАЯ ОБЛАСТЬ, Г.О. ГОРОД НОВОСИБИРСК, Г НОВОСИБИРСК, УЛ КРИВОЩЕКОВСКАЯ, ЗД. 15, К. 3, ПОМЕЩ. 2</t>
  </si>
  <si>
    <t>ООО ЭКСПЕРТ-АВТО</t>
  </si>
  <si>
    <t>630110, НОВОСИБИРСКАЯ ОБЛАСТЬ, Г НОВОСИБИРСК, УЛ БОГДАНА ХМЕЛЬНИЦКОГО, Д. 75/1</t>
  </si>
  <si>
    <t>ООО ФРЦ ЯМЗ 54</t>
  </si>
  <si>
    <t>630520, РОССИЯ, НОВОСИБИРСКАЯ ОБЛАСТЬ, М.Р-Н НОВОСИБИРСКИЙ, С ВЕРХ-ТУЛА, С.П. ВЕРХ-ТУЛИНСКИЙ СЕЛЬСОВЕТ, УЛ НОВАЯ, ЗД. 17/3</t>
  </si>
  <si>
    <t>ООО ЦНМТ В КОЛЬЦОВО</t>
  </si>
  <si>
    <t>630559, РОССИЯ, НОВОСИБИРСКАЯ ОБЛАСТЬ, Г.О. РАБОЧИЙ ПОСЕЛОК КОЛЬЦОВО, РП КОЛЬЦОВО, ПР-КТ НИКОЛЬСКИЙ, ЗД. 1, ЭТ. 2</t>
  </si>
  <si>
    <t>ООО ЭКОНИВАСИБИРЬ</t>
  </si>
  <si>
    <t>633102, НОВОСИБИРСКАЯ ОБЛАСТЬ, Г ОБЬ, ТРАКТ ОМСКИЙ, ЗД. 2/3</t>
  </si>
  <si>
    <t>ООО  АКТИН - Н</t>
  </si>
  <si>
    <t>630133, НОВОСИБИРСКАЯ ОБЛАСТЬ, Г НОВОСИБИРСК, УЛ ЛАЗУРНАЯ, Д. 1</t>
  </si>
  <si>
    <t>ООО Н-АВТО</t>
  </si>
  <si>
    <t>630061, НОВОСИБИРСКАЯ ОБЛАСТЬ, Г НОВОСИБИРСК, УЛ ГРЕБЕНЩИКОВА, Д. 7/1, КВ. 163</t>
  </si>
  <si>
    <t>ИП Каргаполова Елена Николаевна</t>
  </si>
  <si>
    <t>ИП ЛЕОНОВА МАРИНА ВАЛЕНТИНОВНА</t>
  </si>
  <si>
    <t>ИП ШУЛЬГА ВИКТОР ВЛАДИМИРОВИЧ</t>
  </si>
  <si>
    <t>ИП МАНУЙЛОВ АЛЕКСЕЙ ВЛАДИМИРОВИЧ</t>
  </si>
  <si>
    <t>ИП ГЛОТОВ АРТЕМ РОМАНОВИЧ</t>
  </si>
  <si>
    <t>ИП ИВАНОВ ВАДИМ ОЛЕГОВИЧ</t>
  </si>
  <si>
    <t>ООО РУСЬ</t>
  </si>
  <si>
    <t>632902, НОВОСИБИРСКАЯ ОБЛАСТЬ, Р-Н КРАСНОЗЕРСКИЙ, РП КРАСНОЗЕРСКОЕ, УЛ ОКТЯБРЬСКАЯ, Д.1/1</t>
  </si>
  <si>
    <t>ООО ПРОСТОР 103</t>
  </si>
  <si>
    <t>630027, РОССИЯ, НОВОСИБИРСКАЯ ОБЛАСТЬ, Г.О. ГОРОД НОВОСИБИРСК, Г НОВОСИБИРСК, УЛ ОБЪЕДИНЕНИЯ, Д. 59, КОМ. 1</t>
  </si>
  <si>
    <t>ООО ВОСТОК МОТОРС НОВОСИБИРСК</t>
  </si>
  <si>
    <t>630028, НОВОСИБИРСКАЯ ОБЛАСТЬ, Г НОВОСИБИРСК, УЛ БОЛЬШЕВИСТСКАЯ, ЗД 276/2</t>
  </si>
  <si>
    <t>ООО ЦНМТ</t>
  </si>
  <si>
    <t>630048, НОВОСИБИРСКАЯ ОБЛАСТЬ, Г НОВОСИБИРСК, УЛ ТИТОВА, Д.7</t>
  </si>
  <si>
    <t>ИП МУЗЫКА ТАТЬЯНА ВЛАДИМИРОВНА</t>
  </si>
  <si>
    <t>ИП БУХТИЯРОВ НИКИТА ЮРЬЕВИЧ</t>
  </si>
  <si>
    <t>ООО РУССКОЕ ПОЛЕ НОВОСИБИРСК</t>
  </si>
  <si>
    <t>630520, НОВОСИБИРСКАЯ ОБЛАСТЬ, Р-Н НОВОСИБИРСКИЙ, С ВЕРХ-ТУЛА, ПЕР НОВЫЙ, Д. 2Б</t>
  </si>
  <si>
    <t>630009, НОВОСИБИРСКАЯ ОБЛАСТЬ, Г НОВОСИБИРСК, УЛ ГУРЬЕВСКАЯ, Д. 11</t>
  </si>
  <si>
    <t>630114, НОВОСИБИРСКАЯ ОБЛАСТЬ, Г.О. ГОРОД НОВОСИБИРСК, Г НОВОСИБИРСК, УЛ ПРОЛЕТАРСКАЯ, Д. 271Б, ОФИС 5</t>
  </si>
  <si>
    <t>ООО ТЕХМАШОЙЛ</t>
  </si>
  <si>
    <t>630009, НОВОСИБИРСКАЯ ОБЛАСТЬ, Г НОВОСИБИРСК, УЛ ОБСКАЯ, Д. 50, КВ. 70</t>
  </si>
  <si>
    <t>ООО АВТОЛИГА СИБИРЬ</t>
  </si>
  <si>
    <t>630133, НОВОСИБИРСКАЯ ОБЛАСТЬ, Г НОВОСИБИРСК, УЛ ЛАЗУРНАЯ, Д. 10, КВ. 66</t>
  </si>
  <si>
    <t>630009, РОССИЯ, НОВОСИБИРСКАЯ ОБЛАСТЬ, Г.О. ГОРОД НОВОСИБИРСК, Г НОВОСИБИРСК, УЛ ДЕКАБРИСТОВ, Д. 92, ОФИС 17</t>
  </si>
  <si>
    <t>ФГБОУ ВО НОВОСИБИРСКИЙ ГАУ</t>
  </si>
  <si>
    <t>630039, НОВОСИБИРСКАЯ ОБЛАСТЬ, Г НОВОСИБИРСК, УЛ ДОБРОЛЮБОВА, Д.160</t>
  </si>
  <si>
    <t>ИП КОЖАРО АЛЕКСЕЙ НИКОЛАЕВИЧ</t>
  </si>
  <si>
    <t>ИП Пиминов Эдуард Алексеевич</t>
  </si>
  <si>
    <t>ИП ЧАЛКОВ СЕРГЕЙ АНАТОЛЬЕВИЧ</t>
  </si>
  <si>
    <t>ООО ЦЕНТРАЛЬНЫЙ СКЛАД</t>
  </si>
  <si>
    <t>630039, НОВОСИБИРСКАЯ ОБЛАСТЬ, Г НОВОСИБИРСК, УЛ ПРОЛЕТАРСКАЯ, Д. 271Б, ОФИС 2</t>
  </si>
  <si>
    <t>ООО АС ГРУПП</t>
  </si>
  <si>
    <t>630063, РОССИЯ, НОВОСИБИРСКАЯ ОБЛАСТЬ, Г.О. ГОРОД НОВОСИБИРСК, Г НОВОСИБИРСК, УЛ КИРОВА, ЗД. 278</t>
  </si>
  <si>
    <t>ООО СИБМАШИНЕРИ</t>
  </si>
  <si>
    <t>630110, НОВОСИБИРСКАЯ ОБЛАСТЬ, Г НОВОСИБИРСК, УЛ БОГДАНА ХМЕЛЬНИЦКОГО, Д. 67/1, ЭТАЖ 2</t>
  </si>
  <si>
    <t>ООО  ТОРГОВЫЙ ДОМ ЕВРО ОЙЛ</t>
  </si>
  <si>
    <t>630133, НОВОСИБИРСКАЯ ОБЛАСТЬ, Г НОВОСИБИРСК, УЛ ТАТЬЯНЫ СНЕЖИНОЙ, Д. 43/1, КВ. 228</t>
  </si>
  <si>
    <t>ООО КОМПАНИЯ МИЛТОН</t>
  </si>
  <si>
    <t>630102, НОВОСИБИРСКАЯ ОБЛАСТЬ, Г НОВОСИБИРСК, УЛ ИНСКАЯ, Д. 56, ПОМЕЩ. 2</t>
  </si>
  <si>
    <t>ИП ЮДЕНКОВ АЛЕКСАНДР АНАТОЛЬЕВИЧ</t>
  </si>
  <si>
    <t>ИП ЛУГОВСКОЙ ИГОРЬ ВЛАДИМИРОВИЧ</t>
  </si>
  <si>
    <t>ООО ОЙЛ-ТРЕЙД</t>
  </si>
  <si>
    <t>630004, НОВОСИБИРСКАЯ ОБЛАСТЬ, Г НОВОСИБИРСК, УЛ СИБИРСКАЯ, Д. 42, ОФИС 5</t>
  </si>
  <si>
    <t>ООО ТЛ-ТРЕЙД</t>
  </si>
  <si>
    <t>630087, НОВОСИБИРСКАЯ ОБЛАСТЬ, Г НОВОСИБИРСК, УЛ НЕМИРОВИЧА-ДАНЧЕНКО, ЗД. 167, ОФИС 320</t>
  </si>
  <si>
    <t>ООО ЭНЕРГОСЕРВИС</t>
  </si>
  <si>
    <t>ООО РУСИТЕК</t>
  </si>
  <si>
    <t>630005, НОВОСИБИРСКАЯ ОБЛАСТЬ, Г.О. ГОРОД НОВОСИБИРСК, Г НОВОСИБИРСК, УЛ НИКОЛАЯ ОСТРОВСКОГО, ЗД. 111, К. 5</t>
  </si>
  <si>
    <t>ООО КАСКАД-НК</t>
  </si>
  <si>
    <t>630007, НОВОСИБИРСКАЯ ОБЛАСТЬ, Г НОВОСИБИРСК, МГСТР ОКТЯБРЬСКАЯ, Д. 2, ОФИС 708</t>
  </si>
  <si>
    <t>630007, РОССИЯ, НОВОСИБИРСКАЯ ОБЛАСТЬ, Г.О. ГОРОД НОВОСИБИРСК, Г НОВОСИБИРСК, УЛ СЕРЕБРЕННИКОВСКАЯ, Д. 4/3, ЭТАЖ 1, ПОМЕЩ. 37</t>
  </si>
  <si>
    <t>630099, РОССИЯ, НОВОСИБИРСКАЯ ОБЛАСТЬ, Г.О. ГОРОД НОВОСИБИРСК, Г НОВОСИБИРСК, УЛ КАМЕНСКАЯ, Д. 54/1, ОФИС 6</t>
  </si>
  <si>
    <t>630005, РОССИЯ, НОВОСИБИРСКАЯ ОБЛАСТЬ, Г.О. ГОРОД НОВОСИБИРСК, Г НОВОСИБИРСК, УЛ ЖУРИНСКАЯ, Д. 78, ПОМЕЩ. 101</t>
  </si>
  <si>
    <t>630003, РОССИЯ, НОВОСИБИРСКАЯ ОБЛАСТЬ, Г.О. ГОРОД НОВОСИБИРСК, Г НОВОСИБИРСК, УЛ ВЛАДИМИРОВСКАЯ, Д. 4, КВ. 2</t>
  </si>
  <si>
    <t>630100, НОВОСИБИРСКАЯ ОБЛАСТЬ, Г НОВОСИБИРСК, УЛ ФАБРИЧНАЯ, Д. 55, ОФИС 405А</t>
  </si>
  <si>
    <t>АО СИТ</t>
  </si>
  <si>
    <t>630097, НОВОСИБИРСКАЯ ОБЛАСТЬ, Г НОВОСИБИРСК, Ш БЕРДСКОЕ, Д. 20, КОРПУС 13 ОФИС 1</t>
  </si>
  <si>
    <t>ИП ВАВРУК ЕВГЕНИЙ ФЕДОРОВИЧ</t>
  </si>
  <si>
    <t>ООО ПРАЙМ-СЕРВИС</t>
  </si>
  <si>
    <t>630099, НОВОСИБИРСКАЯ ОБЛАСТЬ, Г НОВОСИБИРСК, УЛ МАКСИМА ГОРЬКОГО, Д. 14, ЭТАЖ 3</t>
  </si>
  <si>
    <t>ООО МАКСИМУС</t>
  </si>
  <si>
    <t>630090, НОВОСИБИРСКАЯ ОБЛАСТЬ, Г НОВОСИБИРСК, ПР-КТ АКАДЕМИКА КОПТЮГА, Д. 4, ОФИС 136</t>
  </si>
  <si>
    <t>ООО БТК</t>
  </si>
  <si>
    <t>ООО ЭНГ</t>
  </si>
  <si>
    <t>630090, НОВОСИБИРСКАЯ ОБЛАСТЬ, Г НОВОСИБИРСК, УЛ КУТАТЕЛАДЗЕ, Д. 16Б</t>
  </si>
  <si>
    <t>ООО АВТОГАММА</t>
  </si>
  <si>
    <t>630090, НОВОСИБИРСКАЯ ОБЛАСТЬ, Г НОВОСИБИРСК, УЛ НИКОЛАЕВА, Д.14</t>
  </si>
  <si>
    <t>ИП ШАЛАГИНОВ ДМИТРИЙ ЕВГЕНЬЕВИЧ</t>
  </si>
  <si>
    <t>ИП ЛОСЕВ ЮРИЙ</t>
  </si>
  <si>
    <t>ИП ОРЛОВА АНЖЕЛИКА ОЛЕГОВНА</t>
  </si>
  <si>
    <t>ИП ЛЕВИНСКАЯ ЕЛЕНА ВИКТОРОВНА</t>
  </si>
  <si>
    <t>630027, НОВОСИБИРСКАЯ ОБЛАСТЬ, Г НОВОСИБИРСК, УЛ БОГДАНА ХМЕЛЬНИЦКОГО, Д.124</t>
  </si>
  <si>
    <t>ИП ОВЧИННИКОВА ЕЛЕНА ВАЛЕРЬЕВНА</t>
  </si>
  <si>
    <t>ООО ПУЛ</t>
  </si>
  <si>
    <t>630024, НОВОСИБИРСКАЯ ОБЛАСТЬ, Г НОВОСИБИРСК, УЛ МИРА, Д.58</t>
  </si>
  <si>
    <t>ООО ЛИКВИТЕХ</t>
  </si>
  <si>
    <t>630047, НОВОСИБИРСКАЯ ОБЛАСТЬ, Г.О. ГОРОД НОВОСИБИРСК, Г НОВОСИБИРСК, УЛ СВЕТЛАНОВСКАЯ, ЗД. 50/5</t>
  </si>
  <si>
    <t>ООО ФИРМА СИБКО</t>
  </si>
  <si>
    <t>630110, НОВОСИБИРСКАЯ ОБЛАСТЬ, Г НОВОСИБИРСК, УЛ ПИСЕМСКОГО, Д. 10</t>
  </si>
  <si>
    <t>ООО 54 ГАЛЛОНС</t>
  </si>
  <si>
    <t>630027, НОВОСИБИРСКАЯ ОБЛАСТЬ, Г.О. ГОРОД НОВОСИБИРСК, Г НОВОСИБИРСК, УЛ ДУНАЕВСКОГО, Д. 14, ОФИС 133</t>
  </si>
  <si>
    <t>ООО АМИКУМ</t>
  </si>
  <si>
    <t>630052, НОВОСИБИРСКАЯ ОБЛАСТЬ, М.Р-Н НОВОСИБИРСКИЙ, С.П. ВЕРХ-ТУЛИНСКИЙ СЕЛЬСОВЕТ, УЛ МАЛЫГИНА, Д. 11/2, ПОМЕЩ. 38</t>
  </si>
  <si>
    <t>ИП КИРСАНОВА ЮЛИЯ СЕРГЕЕВНА</t>
  </si>
  <si>
    <t>ООО ДКС</t>
  </si>
  <si>
    <t>630555, РОССИЯ, НОВОСИБИРСКАЯ ОБЛАСТЬ, М.Р-Н НОВОСИБИРСКИЙ, С ЛЕНИНСКОЕ, С.П. МОРСКОЙ СЕЛЬСОВЕТ, ТЕР ПОСЕЛОК НОВОНИКОЛАЕВСКИЙ ДНТ, ПЕР АЛЕКСАНДРОВСКИЙ, Д. 2</t>
  </si>
  <si>
    <t>ИП ШАЛАБАЕВ МАКСИМ ВЛАДИМИРОВИЧ</t>
  </si>
  <si>
    <t>ООО ТРАДИЦИОННЫЕ МАСЛА</t>
  </si>
  <si>
    <t>633142, РОССИЯ, НОВОСИБИРСКАЯ ОБЛАСТЬ, М.Р-Н МОШКОВСКИЙ, П ОКТЯБРЬСКИЙ, С.П. БАРЛАКСКИЙ СЕЛЬСОВЕТ, УЛ ЗАРЕЧНАЯ, Д. 61</t>
  </si>
  <si>
    <t>ООО МАСЛОТРАК</t>
  </si>
  <si>
    <t>630052, НОВОСИБИРСКАЯ ОБЛАСТЬ, М.Р-Н НОВОСИБИРСКИЙ, С.П. ВЕРХ-ТУЛИНСКИЙ СЕЛЬСОВЕТ, УЛ МАЛЫГИНА, Д. 13/1</t>
  </si>
  <si>
    <t>ИП ЦЫГАНКОВА НАТАЛЬЯ ВИКТОРОВНА</t>
  </si>
  <si>
    <t>ИП Вишнякова Марина Леонидовна</t>
  </si>
  <si>
    <t>ООО ЭЛЕКТРОПЛЮС</t>
  </si>
  <si>
    <t>632862, НОВОСИБИРСКАЯ ОБЛАСТЬ, Р-Н КАРАСУКСКИЙ, Г КАРАСУК, УЛ ОСЕННЯЯ, Д. 3Д</t>
  </si>
  <si>
    <t>ИП Тагильцев Евгений Анатольевич</t>
  </si>
  <si>
    <t>ИП ЖИЛИНА ГАЛИНА НИКОЛАЕВНА</t>
  </si>
  <si>
    <t>ИП СКВОРЦОВ АЛЕКСАНДР АНАТОЛЬЕВИЧ</t>
  </si>
  <si>
    <t>ООО ПК ЭЛЕКТРОАВТО</t>
  </si>
  <si>
    <t>630088, НОВОСИБИРСКАЯ ОБЛАСТЬ, Г.О. ГОРОД НОВОСИБИРСК, Г НОВОСИБИРСК, УЛ ПЕТУХОВА, ЗД. 71А, ОФИС 4</t>
  </si>
  <si>
    <t>ИП ТОКУРОВА АКБИЙКЕ САДИРОВНА</t>
  </si>
  <si>
    <t>ООО ПРОРАБ</t>
  </si>
  <si>
    <t>633131, НОВОСИБИРСКАЯ ОБЛАСТЬ, Р-Н МОШКОВСКИЙ, РП МОШКОВО, УЛ СЕННАЯ, Д. 16А</t>
  </si>
  <si>
    <t>ИП ЕГОРОВА ЮЛИЯ ВАЛЕРЬЕВНА</t>
  </si>
  <si>
    <t>ИП СЛАУТИНА ЯНА ВАЛЕРЬЕВНА</t>
  </si>
  <si>
    <t>ИП Жданова Наталья Геннадьевна</t>
  </si>
  <si>
    <t>ИП КОВАЛЕНКО ВЛАДИМИР СЕРГЕЕВИЧ</t>
  </si>
  <si>
    <t>ИП СЫСАЛОВ СЕРГЕЙ АЛЕКСАНДРОВИЧ</t>
  </si>
  <si>
    <t>ООО МЛА</t>
  </si>
  <si>
    <t>630501, НОВОСИБИРСКАЯ ОБЛАСТЬ, Р-Н НОВОСИБИРСКИЙ, РП КРАСНООБСК, Д. СИБНСХБ, ПОМЕЩ. 35</t>
  </si>
  <si>
    <t>ИП ЗАЙЧЕНКО ВЕРА АНДРЕЕВНА</t>
  </si>
  <si>
    <t>ООО АРШИНА</t>
  </si>
  <si>
    <t>630052, НОВОСИБИРСКАЯ ОБЛАСТЬ, Р-Н НОВОСИБИРСКИЙ, УЛ МАЛЫГИНА, Д. 13/1, ЭТАЖ 1</t>
  </si>
  <si>
    <t>ООО КЛИНИКА СЕМЕЙНОГО ЗДОРОВЬЯ</t>
  </si>
  <si>
    <t>630090, РОССИЯ, НОВОСИБИРСКАЯ ОБЛАСТЬ, Г.О. ГОРОД НОВОСИБИРСК, Г НОВОСИБИРСК, ПР-КТ АКАДЕМИКА КОПТЮГА, Д. 13, ОФ. 8</t>
  </si>
  <si>
    <t>ООО ТЦ МЕГАПОЛИС</t>
  </si>
  <si>
    <t>630052, НОВОСИБИРСКАЯ ОБЛАСТЬ, Р-Н НОВОСИБИРСКИЙ, УЛ МАЛЫГИНА, Д. 11/1, ЭТАЖ 1</t>
  </si>
  <si>
    <t>ООО ЛИГАСНАБ</t>
  </si>
  <si>
    <t>630088, РОССИЯ, НОВОСИБИРСКАЯ ОБЛАСТЬ, Г.О. ГОРОД НОВОСИБИРСК, Г НОВОСИБИРСК, УЛ ПЕТУХОВА, Д. 17</t>
  </si>
  <si>
    <t>ИП Черкасов Алексей Владимирович</t>
  </si>
  <si>
    <t>ЗАО ПЛЕМЗАВОД ИРМЕНЬ</t>
  </si>
  <si>
    <t>633272, НОВОСИБИРСКАЯ ОБЛАСТЬ, Р-Н ОРДЫНСКИЙ, С ВЕРХ-ИРМЕНЬ, МКР АГРОГОРОДОК, Д. 17/2</t>
  </si>
  <si>
    <t>ИП ЛАТУШКИН АНТОН СЕРГЕЕВИЧ</t>
  </si>
  <si>
    <t>ИП Трепузов Николай Николаевич</t>
  </si>
  <si>
    <t>ООО ТЕХСИБ-АГРО</t>
  </si>
  <si>
    <t>633521, НОВОСИБИРСКАЯ ОБЛАСТЬ, М.Р-Н ЧЕРЕПАНОВСКИЙ, Г ЧЕРЕПАНОВО, Г.П. ГОРОД ЧЕРЕПАНОВО, УЛ ЦЫЦАРКИНА, ЗД. 40, СТР. 1</t>
  </si>
  <si>
    <t>ИП ЛЕСКЕВИЧ АЛЕКСЕЙ АЛЕКСАНДРОВИЧ</t>
  </si>
  <si>
    <t>ИП ИГНАТОВ СЕРГЕЙ ЛЕОНИДОВИЧ</t>
  </si>
  <si>
    <t>ИП ХРАПОВА ТАТЬЯНА ВЛАДИМИРОВНА</t>
  </si>
  <si>
    <t>ИП МИХЕЙКИН ВИКТОР НИКОЛАЕВИЧ</t>
  </si>
  <si>
    <t>ИП МУЗЫЧЕНКО АНАТОЛИЙ СЕРГЕЕВИЧ</t>
  </si>
  <si>
    <t>ИП СОРОКИН ЯРОСЛАВ ВЛАДИМИРОВИЧ</t>
  </si>
  <si>
    <t>ИП ЛЮШАКОВА ТАТЬЯНА ЮРЬЕВНА</t>
  </si>
  <si>
    <t>ИП ХОМУТОВ ИЛЬЯ ЭДУАРДОВИЧ</t>
  </si>
  <si>
    <t>633203, НОВОСИБИРСКАЯ ОБЛАСТЬ, Г ИСКИТИМ, УЛ СОВЕТСКАЯ, Д. 275, ЭТАЖ 1</t>
  </si>
  <si>
    <t>ИП ЛАРИН АЛЕКСАНДР АНДРЕЕВИЧ</t>
  </si>
  <si>
    <t>ИП ЗАРЯ-ЛАДА МИХАИЛ ВАСИЛЬЕВИЧ</t>
  </si>
  <si>
    <t>ИП Бехтин Евгений Владимирович</t>
  </si>
  <si>
    <t>ИП СТУКАЛОВ МИХАИЛ ЕВГЕНЬЕВИЧ</t>
  </si>
  <si>
    <t>ООО ВОСТОКАВТОСНАБ НСК</t>
  </si>
  <si>
    <t>633216, РОССИЯ, НОВОСИБИРСКАЯ ОБЛАСТЬ, М.Р-Н ИСКИТИМСКИЙ, РП ЛИНЕВО, Г.П. РАБОЧИЙ ПОСЕЛОК ЛИНЕВО, ПР-КТ КОММУНИСТИЧЕСКИЙ, Д. 14, КВ. 69</t>
  </si>
  <si>
    <t>ООО КЛЕВЕР ТРАК НОВОСИБИРСК</t>
  </si>
  <si>
    <t>633102, РОССИЯ, НОВОСИБИРСКАЯ ОБЛАСТЬ, Г.О. ГОРОД ОБЬ, Г ОБЬ, УЛ ПУТЕЙЦЕВ, Д. 15, ЭТАЖ 3, ПОМЕЩ. 4</t>
  </si>
  <si>
    <t>ООО СТАРТ СЕРВИС</t>
  </si>
  <si>
    <t>632733, НОВОСИБИРСКАЯ ОБЛАСТЬ, Р-Н КУПИНСКИЙ, Г КУПИНО, УЛ РОЗЫ ЛЮКСЕМБУРГ, Д. 85</t>
  </si>
  <si>
    <t>ИП КЕРН ИРИНА ВЛАДИМИРОВНА</t>
  </si>
  <si>
    <t>ИП КИРЬЯНОВ АЛЕКСАНДР НИКОЛАЕВИЧ</t>
  </si>
  <si>
    <t>ИП КЛОПОВ ЕВГЕНИЙ ГЕННАДЬЕВИЧ</t>
  </si>
  <si>
    <t>ИП ДЁМИН СЕМЕН ЮРЬЕВИЧ</t>
  </si>
  <si>
    <t>ИП ВЕНЧИКОВА ОЛЕСЯ НИКОЛАЕВНА</t>
  </si>
  <si>
    <t>ООО ГРАНТСИБИРЬ</t>
  </si>
  <si>
    <t>630530, НОВОСИБИРСКАЯ ОБЛАСТЬ, М.Р-Н НОВОСИБИРСКИЙ, П ВОСХОД, С.П. КАМЕНСКИЙ СЕЛЬСОВЕТ, УЛ ШОССЕЙНАЯ, СТР. 1/2</t>
  </si>
  <si>
    <t>ООО НСК-ШИНА</t>
  </si>
  <si>
    <t>630052, НОВОСИБИРСКАЯ ОБЛАСТЬ, М.Р-Н НОВОСИБИРСКИЙ, С.П. ВЕРХ-ТУЛИНСКИЙ СЕЛЬСОВЕТ, УЛ МАЛЫГИНА, ЗД. 23А</t>
  </si>
  <si>
    <t>ООО СКАЙСНАБ 9-18</t>
  </si>
  <si>
    <t>630105, РОССИЯ, НОВОСИБИРСКАЯ ОБЛАСТЬ, Г.О. ГОРОД НОВОСИБИРСК, Г НОВОСИБИРСК, УЛ КРОПОТКИНА, Д. 119/1, КВ. 76</t>
  </si>
  <si>
    <t>630531, НОВОСИБИРСКАЯ ОБЛАСТЬ, Р-Н НОВОСИБИРСКИЙ, П САДОВЫЙ, УЛ ПАСЕЧНАЯ, Д. 3</t>
  </si>
  <si>
    <t>ИП ШИРЯЕВ АНДРЕЙ СЕРГЕЕВИЧ</t>
  </si>
  <si>
    <t>ИП ЦЫПЛЯКОВА ЮЛИЯ ВИКТОРОВНА</t>
  </si>
  <si>
    <t>ТОГУЧИНСКОЕ РАЙПО</t>
  </si>
  <si>
    <t>633454, НОВОСИБИРСКАЯ ОБЛАСТЬ, Р-Н ТОГУЧИНСКИЙ, Г ТОГУЧИН, УЛ ДЗЕРЖИНСКОГО, Д.10</t>
  </si>
  <si>
    <t>ООО ГСМ - СЕРВИС</t>
  </si>
  <si>
    <t>ИП АСОВБАЕВ САМАТ ТУКТАРОВИЧ</t>
  </si>
  <si>
    <t>ООО АВТОМИКС</t>
  </si>
  <si>
    <t>633216, НОВОСИБИРСКАЯ ОБЛАСТЬ, Р-Н ИСКИТИМСКИЙ, РП ЛИНЕВО, УЛ ЛИСТВЯНСКАЯ, Д. 6/3, ПОМЕЩ. 1</t>
  </si>
  <si>
    <t>ИП СЕРЕДА АЛЕКСАНДР ДМИТРИЕВИЧ</t>
  </si>
  <si>
    <t>ИП МОСКВИНА НАДЕЖДА НИКОЛАЕВНА</t>
  </si>
  <si>
    <t>ИП ГРИГОРЬЕВ МИХАИЛ ГРИГОРЬЕВИЧ</t>
  </si>
  <si>
    <t>ИП МАРЦУНОВ НИКИТА ВЛАДИМИРОВИЧ</t>
  </si>
  <si>
    <t>ИП МЕТЛИН ЕВГЕНИЙ АЛЕКСАНДРОВИЧ</t>
  </si>
  <si>
    <t>ИП МАЛЬЦЕВ АНТОН СЕРГЕЕВИЧ</t>
  </si>
  <si>
    <t>ИП ГОРБУНОВ АЛЕКСАНДР ВАДИМОВИЧ</t>
  </si>
  <si>
    <t>ИП КОТОЛЕВСКИЙ ВЛАДИМИР ВЯЧЕСЛАВОВИЧ</t>
  </si>
  <si>
    <t>ИП КРОХА МИХАИЛ НИКОЛАЕВИЧ</t>
  </si>
  <si>
    <t>ИП Фирсенко Виктор Петрович</t>
  </si>
  <si>
    <t>ИП Абанин Андрей Геннадьевич</t>
  </si>
  <si>
    <t>ООО ТОРГОПТ</t>
  </si>
  <si>
    <t>630090, РОССИЯ, НОВОСИБИРСКАЯ ОБЛАСТЬ, Г.О. ГОРОД НОВОСИБИРСК, Г НОВОСИБИРСК, УЛ ДЕМАКОВА, Д. 23/5, ОФИС 312</t>
  </si>
  <si>
    <t>ООО ТД ЗАПСИБТРЕЙД</t>
  </si>
  <si>
    <t>630057, РОССИЯ, НОВОСИБИРСКАЯ ОБЛАСТЬ, Г.О. ГОРОД НОВОСИБИРСК, Г НОВОСИБИРСК, УЛ УНИВЕРСАЛЬНАЯ, Д. 6, КВ. 21</t>
  </si>
  <si>
    <t>ООО ТК ПАРТНЕРЫ</t>
  </si>
  <si>
    <t>632902, РОССИЯ, НОВОСИБИРСКАЯ ОБЛАСТЬ, М.Р-Н КРАСНОЗЕРСКИЙ, РП КРАСНОЗЕРСКОЕ, Г.П. РАБОЧИЙ ПОСЕЛОК КРАСНОЗЕРСКОЕ, УЛ СОЛНЕЧНАЯ, Д. 2В, ЭТАЖ 1</t>
  </si>
  <si>
    <t>ИП ЧЕРНОВ ЕВГЕНИЙ ЮРЬЕВИЧ</t>
  </si>
  <si>
    <t>ИП БОРЩЁВА ИРИНА ВАЛЕРЬЕВНА</t>
  </si>
  <si>
    <t>ИП ИВАНОВ ВЛАДИМИР ВАСИЛЬЕВИЧ</t>
  </si>
  <si>
    <t>ИП ПОГУДИНА ЕКАТЕРИНА ВАЛЕРЬЕВНА</t>
  </si>
  <si>
    <t>ИП КЛИМЕНКО ВЯЧЕСЛАВ ВИТАЛЬЕВИЧ</t>
  </si>
  <si>
    <t>ООО СИБВЕСТЭКС-АВТО</t>
  </si>
  <si>
    <t>630024, НОВОСИБИРСКАЯ ОБЛАСТЬ, Г НОВОСИБИРСК, УЛ МИРА, Д. 58А</t>
  </si>
  <si>
    <t>ГАУ НСО ОЦСПСИД МОРСКОЙ ЗАЛИВ</t>
  </si>
  <si>
    <t>630555, НОВОСИБИРСКАЯ ОБЛАСТЬ, Р-Н НОВОСИБИРСКИЙ, П ГОЛУБОЙ ЗАЛИВ, УЛ МОРСКАЯ, ЗД. 1А</t>
  </si>
  <si>
    <t>ИП КРАСНОПЁРОВ СТЕПАН НИКОЛАЕВИЧ</t>
  </si>
  <si>
    <t>ООО ТД РЕСУРС</t>
  </si>
  <si>
    <t>633261, НОВОСИБИРСКАЯ ОБЛАСТЬ, Р-Н ОРДЫНСКИЙ, РП ОРДЫНСКОЕ, УЛ СОВЕТСКАЯ, Д.1А</t>
  </si>
  <si>
    <t>ИП ПЕРВУНИНСКИЙ СЕРГЕЙ МИХАЙЛОВИЧ</t>
  </si>
  <si>
    <t>ИП ПОЛУНИНА ГАЛИНА МИХАЙЛОВНА</t>
  </si>
  <si>
    <t>ИП ЧЕРЕПАНОВА ТАТЬЯНА НИКОЛАЕВНА</t>
  </si>
  <si>
    <t>ИП КНЯЗЬКОВ ИВАН ВЯЧЕСЛАВОВИЧ</t>
  </si>
  <si>
    <t>ИП Шакиров Хайдар Абдулханьянович</t>
  </si>
  <si>
    <t>ИП БРАГИН ЕВГЕНИЙ КОНСТАНТИНОВИЧ</t>
  </si>
  <si>
    <t>ИП БАТЕМИРОВА ОЛЬГА АЛЕКСАНДРОВНА</t>
  </si>
  <si>
    <t>632336, НОВОСИБИРСКАЯ ОБЛАСТЬ, Р-Н БАРАБИНСКИЙ, Г БАРАБИНСК, УЛ БАРАБИНСКАЯ, Д.164</t>
  </si>
  <si>
    <t>ИП САВИНКОВА ЕЛЕНА АНАТОЛЬЕВНА</t>
  </si>
  <si>
    <t>ООО ИСК РЕГИОН</t>
  </si>
  <si>
    <t>633209, НОВОСИБИРСКАЯ ОБЛАСТЬ, Г ИСКИТИМ, УЛ СОВЕТСКАЯ, Д. 191, ПОМЕЩ. 1А</t>
  </si>
  <si>
    <t>ООО СИБИРСКИЙ ГИДРОМАШ</t>
  </si>
  <si>
    <t>633100, НОВОСИБИРСКАЯ ОБЛАСТЬ, Г.О. ГОРОД ОБЬ, Г ОБЬ, УЛ СТАНЦИОННАЯ, ЗД. 2/5</t>
  </si>
  <si>
    <t>ООО СИБАВТО-ТРЕЙД</t>
  </si>
  <si>
    <t>630055, РОССИЯ, НОВОСИБИРСКАЯ ОБЛАСТЬ, Г.О. ГОРОД НОВОСИБИРСК, Г НОВОСИБИРСК, УЛ ШАТУРСКАЯ, Д. 10, КВ. 61</t>
  </si>
  <si>
    <t>ООО СВЕТОГРУЗ</t>
  </si>
  <si>
    <t>630046, РОССИЯ, НОВОСИБИРСКАЯ ОБЛАСТЬ, Г.О. ГОРОД НОВОСИБИРСК, Г НОВОСИБИРСК, УЛ БАУМАНА, Д. 3/3, КВ. 91</t>
  </si>
  <si>
    <t>ИП СЕМЕНОВ СЕРГЕЙ АЛЕКСАНДРОВИЧ</t>
  </si>
  <si>
    <t>ИП САМОЙЛОВА ОЛЬГА АНАТОЛЬЕВНА</t>
  </si>
  <si>
    <t>ИП КУЧЕРОВА АЛЁНА ПАВЛОВНА</t>
  </si>
  <si>
    <t>ИП ДОБРЫНИНА ОКСАНА ВАЛЕРЬЕВНА</t>
  </si>
  <si>
    <t>ООО ТК-АВТО</t>
  </si>
  <si>
    <t>630052, НОВОСИБИРСКАЯ ОБЛАСТЬ, Г.О. ГОРОД НОВОСИБИРСК, Г НОВОСИБИРСК, УЛ ТРОЛЛЕЙНАЯ, Д. 83, ОФИС 17</t>
  </si>
  <si>
    <t>ООО СИВАРМ</t>
  </si>
  <si>
    <t>633208, РОССИЯ, НОВОСИБИРСКАЯ ОБЛАСТЬ, Г.О. ГОРОД ИСКИТИМ, Г ИСКИТИМ, УЛ МОЛДАВСКАЯ, Д. 5</t>
  </si>
  <si>
    <t>ООО АВАНГАРД-75</t>
  </si>
  <si>
    <t>630024, НОВОСИБИРСКАЯ ОБЛАСТЬ, Г НОВОСИБИРСК, УЛ МИРА, Д. 61А, ОФИС 4</t>
  </si>
  <si>
    <t>ООО ТД МИР СВАРКИ</t>
  </si>
  <si>
    <t>630052, НОВОСИБИРСКАЯ ОБЛАСТЬ, Г НОВОСИБИРСК, УЛ ТРОЛЛЕЙНАЯ, Д. 85, ОФИС 1</t>
  </si>
  <si>
    <t>ИП ПРЫТКОВ СЕРГЕЙ МИХАЙЛОВИЧ</t>
  </si>
  <si>
    <t>ИП РЯВКИНА ЛАРИСА АБЗАЛОВНА</t>
  </si>
  <si>
    <t>ИП БОРОВИКОВ ГРИГОРИЙ ВЛАДИМИРОВИЧ</t>
  </si>
  <si>
    <t>ООО ТК АВТОТРЕЙДОЙЛ</t>
  </si>
  <si>
    <t>630110, НОВОСИБИРСКАЯ ОБЛАСТЬ, Г НОВОСИБИРСК, УЛ ПИСЕМСКОГО, ЗД. 28/4, ОФИС 18/2</t>
  </si>
  <si>
    <t>ИП ПОПОВ АНТОН АЛЕКСЕЕВИЧ</t>
  </si>
  <si>
    <t>ООО ТЕХНОЛАЙТ</t>
  </si>
  <si>
    <t>630024, РОССИЯ, НОВОСИБИРСКАЯ ОБЛАСТЬ, Г.О. ГОРОД НОВОСИБИРСК, Г НОВОСИБИРСК, УЛ ВАТУТИНА, Д. 40/1</t>
  </si>
  <si>
    <t>ООО ДВИГАТЕЛИ И КОРОБКИ</t>
  </si>
  <si>
    <t>ИП АНЦИФЕРОВ ДЕНИС ИВАНОВИЧ</t>
  </si>
  <si>
    <t>Омская область</t>
  </si>
  <si>
    <t>ООО ПОЛИТРЕЙД</t>
  </si>
  <si>
    <t>644117, ОМСКАЯ ОБЛАСТЬ, Г ОМСК, УЛ РЕЛЬСОВАЯ, Д. 26</t>
  </si>
  <si>
    <t>ИП МКРТЧЯН АРМАН СУРИКОВИЧ</t>
  </si>
  <si>
    <t>ИП КРАЙСВИТНЯЯ СВЕТЛАНА АНАТОЛЬЕВНА</t>
  </si>
  <si>
    <t>ИП КУСАИНОВ АНДРЕЙ АНАТОЛЬЕВИЧ</t>
  </si>
  <si>
    <t>АО БАЗА АГРОКОМПЛЕКТ</t>
  </si>
  <si>
    <t>646740, ОМСКАЯ ОБЛАСТЬ, Р-Н ПОЛТАВСКИЙ, РП ПОЛТАВКА, УЛ ПОБЕДЫ, Д. 24, ПОМЕЩ. 2П/2</t>
  </si>
  <si>
    <t>ИП УХАЛОВА ЮЛИЯ ВЛАДИМИРОВНА</t>
  </si>
  <si>
    <t>ООО ТК ЭКОРЕСУРС</t>
  </si>
  <si>
    <t>644074, ОМСКАЯ ОБЛАСТЬ, Г ОМСК, ПР-КТ КОМАРОВА, Д. 15, К. 4, ПОМЕЩ. 3П</t>
  </si>
  <si>
    <t>ООО АВТО-ДИС</t>
  </si>
  <si>
    <t>644016, ОМСКАЯ ОБЛАСТЬ, Г ОМСК, УЛ СЕМИРЕЧЕНСКАЯ, Д.102</t>
  </si>
  <si>
    <t>ИП Перышкин Игорь Анатольевич</t>
  </si>
  <si>
    <t>ООО ПЕРВЫЙ КИЛОМЕТР</t>
  </si>
  <si>
    <t>644507, РОССИЯ, ОМСКАЯ ОБЛАСТЬ, М.Р-Н ОМСКИЙ, С ДРУЖИНО, С.П. ДРУЖИНСКОЕ, УЛ ПРИДОРОЖНАЯ, Д. 63Б, ОФИС 1</t>
  </si>
  <si>
    <t>ИП ГРЕЧУХА АЛЕКСАНДР ГРИГОРЬЕВИЧ</t>
  </si>
  <si>
    <t>ИП ИВАНОВ ДМИТРИЙ НИКОЛАЕВИЧ</t>
  </si>
  <si>
    <t>ИП ШЕВЧЕНКО АНТОН ОЛЕГОВИЧ</t>
  </si>
  <si>
    <t>ИП КУРАШВИЛИ ЗУРАБ ОТАРОВИЧ</t>
  </si>
  <si>
    <t>ООО НПФ АКРИЛ</t>
  </si>
  <si>
    <t>644110, ОМСКАЯ ОБЛАСТЬ, Г ОМСК, УЛ БАРХАТОВОЙ, Д.4 Б</t>
  </si>
  <si>
    <t>ООО АВТОДОМ АЛЬЯНС МОТОРС</t>
  </si>
  <si>
    <t>644106, ОМСКАЯ ОБЛАСТЬ, Г ОМСК, УЛ ВОЛГОГРАДСКАЯ, Д. 38</t>
  </si>
  <si>
    <t>ИП МОЧЕНКОВ ДМИТРИЙ БОРИСОВИЧ</t>
  </si>
  <si>
    <t>ИП ПЕРШИН КОНСТАНТИН ВИКТОРОВИЧ</t>
  </si>
  <si>
    <t>ИП ДЕМЧУК ГАЛИНА ВИКТОРОВНА</t>
  </si>
  <si>
    <t>ИП ВЕРЕЩАК МАКСИМ ВЛАДИМИРОВИЧ</t>
  </si>
  <si>
    <t>644040, ОМСКАЯ ОБЛАСТЬ, Г ОМСК, ПР-КТ ГУБКИНА, Д. 1, ОФИС 1</t>
  </si>
  <si>
    <t>ИП Быков Сергей Николаевич</t>
  </si>
  <si>
    <t>ИП СОЛТЫК ДЕНИС ЛЕОНИДОВИЧ</t>
  </si>
  <si>
    <t>ИП Голотин Владимир Викторович</t>
  </si>
  <si>
    <t>ИП КОНЕВ ДМИТРИЙ ЕВГЕНЬЕВИЧ</t>
  </si>
  <si>
    <t>644007, ОМСКАЯ ОБЛАСТЬ, Г ОМСК, УЛ ТАРСКАЯ, Д.146</t>
  </si>
  <si>
    <t>ООО СИБМОТО</t>
  </si>
  <si>
    <t>644507, РОССИЯ, ОМСКАЯ ОБЛАСТЬ, М.Р-Н ОМСКИЙ, С ДРУЖИНО, С.П. ДРУЖИНСКОЕ, УЛ ПРИДОРОЖНАЯ, Д. 12, ОФИС 1</t>
  </si>
  <si>
    <t>644065, ОМСКАЯ ОБЛАСТЬ, Г ОМСК, УЛ ЗАВОДСКАЯ, Д. 1, ОФИС 205</t>
  </si>
  <si>
    <t>ИП НЕХОРОШЕВ ВЛАДИМИР АНАТОЛЬЕВИЧ</t>
  </si>
  <si>
    <t>ООО ФОРЛАЙН</t>
  </si>
  <si>
    <t>644083, ОМСКАЯ ОБЛАСТЬ, Г.О. ГОРОД ОМСК, Г ОМСК, УЛ ХИМИКОВ, Д. 56, ПОМЕЩ. 23</t>
  </si>
  <si>
    <t>ООО ТЕХНИКА И ТЕХНОЛОГИИ</t>
  </si>
  <si>
    <t>644105, ОМСКАЯ ОБЛАСТЬ, Г ОМСК, УЛ 22 ПАРТСЪЕЗДА, Д. 100А, ПОМЕЩ. 2П КАБИНЕТ 5</t>
  </si>
  <si>
    <t>ООО СИБИРЬ ИМПЭКС</t>
  </si>
  <si>
    <t>644007, ОМСКАЯ ОБЛАСТЬ, Г.О. ГОРОД ОМСК, Г ОМСК, УЛ ФРУНЗЕ, Д. 49, ПОМЕЩ. 9П</t>
  </si>
  <si>
    <t>ООО ДРИМВЕЛД</t>
  </si>
  <si>
    <t>644016, РОССИЯ, ОМСКАЯ ОБЛАСТЬ, Г.О. ГОРОД ОМСК, Г ОМСК, УЛ СЕМИРЕЧЕНСКАЯ, Д. 93В, ПОМЕЩ. 1П</t>
  </si>
  <si>
    <t>ООО АЗС НАФТА</t>
  </si>
  <si>
    <t>644010, РОССИЯ, ОМСКАЯ ОБЛАСТЬ, Г.О. ГОРОД ОМСК, Г ОМСК, Б-Р МАРТЫНОВА, Д. 5</t>
  </si>
  <si>
    <t>ИП МАКСИМОВ ВЛАДИМИР ГЕННАДЬЕВИЧ</t>
  </si>
  <si>
    <t>ИП СИЛЬЧЕНКО ПАВЕЛ ПЕТРОВИЧ</t>
  </si>
  <si>
    <t>ИП РЫМШИН ОЛЕГ ВИКТОРОВИЧ</t>
  </si>
  <si>
    <t>ИП РЕЗИН АРТЕМ ВИКТОРОВИЧ</t>
  </si>
  <si>
    <t>ИП НАЗАРОВА ТАТЬЯНА АЛЕКСАНДРОВНА</t>
  </si>
  <si>
    <t>ИП ТОНОЯН НАРЕК АРУТЮНОВИЧ</t>
  </si>
  <si>
    <t>ИП РЕЗВИН МАКСИМ СЕРГЕЕВИЧ</t>
  </si>
  <si>
    <t>ООО ПСК ОМСКДИЗЕЛЬ</t>
  </si>
  <si>
    <t>644073, ОМСКАЯ ОБЛАСТЬ, Г.О. ГОРОД ОМСК, Г ОМСК, УЛ ВОЛГОГРАДСКАЯ, Д. 88</t>
  </si>
  <si>
    <t>ИП МУРЫГИН ВИКТОР ГЕОРГИЕВИЧ</t>
  </si>
  <si>
    <t>ООО НПО АЛЬФА-ТЕХНОЛОДЖИ</t>
  </si>
  <si>
    <t>644085, ОМСКАЯ ОБЛАСТЬ, Г ОМСК, ПР-КТ МИРА, Д. 185, К. 2, ОФИС 1</t>
  </si>
  <si>
    <t>ООО ТЕХКОМПЛЕКТ КРЫМ</t>
  </si>
  <si>
    <t>644074, ОМСКАЯ ОБЛАСТЬ, Г ОМСК, УЛ ЗАВОДСКАЯ, Д. 1, ОФИС 2</t>
  </si>
  <si>
    <t>ООО МИР РЕМКОМПЛЕКТОВ</t>
  </si>
  <si>
    <t>644122, РОССИЯ, ОМСКАЯ ОБЛАСТЬ, Г.О. ГОРОД ОМСК, Г ОМСК, УЛ КЕМЕРОВСКАЯ, Д. 11, КВ. 11</t>
  </si>
  <si>
    <t>ИП ВОЙТЕНОК АНТОН СЕРГЕЕВИЧ</t>
  </si>
  <si>
    <t>ИП РОМАНОВ ВАЛЕРИЙ ВЛАДИМИРОВИЧ</t>
  </si>
  <si>
    <t>ИП ПОЗДНЯКОВ ВИКТОР ЮРЬЕВИЧ</t>
  </si>
  <si>
    <t>ИП КОВАЛЕВ МИХАИЛ ИГОРЕВИЧ</t>
  </si>
  <si>
    <t>ИП КОТЛИНСКИЙ ВИКТОР ИОСИФОВИЧ</t>
  </si>
  <si>
    <t>ООО СПЕКТР-ТРЕЙД</t>
  </si>
  <si>
    <t>644105, ОМСКАЯ ОБЛАСТЬ, Г ОМСК, УЛ 2-Я БАРНАУЛЬСКАЯ, Д. 63А</t>
  </si>
  <si>
    <t>ООО МАСЛОМАРКЕТ</t>
  </si>
  <si>
    <t>644043, ОМСКАЯ ОБЛАСТЬ, Г ОМСК, УЛ ФРУНЗЕ, Д. 1, К. 4, ОФИС 826</t>
  </si>
  <si>
    <t>ООО М-ТРЕЙДИНГ</t>
  </si>
  <si>
    <t>644024, РОССИЯ, ОМСКАЯ ОБЛАСТЬ, Г.О. ГОРОД ОМСК, Г ОМСК, УЛ Т.К.ЩЕРБАНЕВА, Д. 35, ОФИС 1004</t>
  </si>
  <si>
    <t>ИП ХАБИБУЛИН МАРСЕЛЬ АПТУЛХАЛИКОВИЧ</t>
  </si>
  <si>
    <t>ООО БСА-ОМСК</t>
  </si>
  <si>
    <t>644031, ОМСКАЯ ОБЛАСТЬ, Г ОМСК, УЛ 2-Я УЧХОЗНАЯ, Д.1, К.А</t>
  </si>
  <si>
    <t>ИП АНУФРИЕВА ТАТЬЯНА ИВАНОВНА</t>
  </si>
  <si>
    <t>ИП ВАЛОВ НИКОЛАЙ СЕРГЕЕВИЧ</t>
  </si>
  <si>
    <t>ООО ИМИК ЛУБРИКАНТС</t>
  </si>
  <si>
    <t>644046, ОМСКАЯ ОБЛАСТЬ, Г ОМСК, УЛ МАРШАЛА ЖУКОВА, Д. 144, КВ. 52</t>
  </si>
  <si>
    <t>ИП РЫМШИНА НАТАЛЬЯ ИВАНОВНА</t>
  </si>
  <si>
    <t>ИП МАТВЕЕВА АЛЕСЯ ВИКТОРОВНА</t>
  </si>
  <si>
    <t>ООО ТД ПРОМСМАЗКИ</t>
  </si>
  <si>
    <t>644050, ОМСКАЯ ОБЛАСТЬ, Г ОМСК, УЛ 2-Я ПОСЕЛКОВАЯ, Д. 8, ОФИС 40</t>
  </si>
  <si>
    <t>ИП ГОРЧАКОВ ИЛЬЯ СЕРГЕЕВИЧ</t>
  </si>
  <si>
    <t>ИП ЦАПЕНКО ДЕНИС ВИТАЛЬЕВИЧ</t>
  </si>
  <si>
    <t>644064, ОМСКАЯ ОБЛАСТЬ, Г.О. ГОРОД ОМСК, Г ОМСК, ПРОЕЗД 6-Й АМУРСКИЙ, Д. 4, КВ. 4</t>
  </si>
  <si>
    <t>ООО НПО ПРОМЭКОЛОГИЯ</t>
  </si>
  <si>
    <t>644065, ОМСКАЯ ОБЛАСТЬ, Г ОМСК, УЛ НЕФТЕЗАВОДСКАЯ, Д. 38, К. Е</t>
  </si>
  <si>
    <t>ООО АВТО ПЛЮС ОМСК</t>
  </si>
  <si>
    <t>644022, ОМСКАЯ ОБЛАСТЬ, Г ОМСК, Б-Р АРХИТЕКТОРОВ, Д. 26</t>
  </si>
  <si>
    <t>ООО ВЕКТОР СЕВЕР</t>
  </si>
  <si>
    <t>644083, ОМСКАЯ ОБЛАСТЬ, Г ОМСК, УЛ ХИМИКОВ, ДОМ 60</t>
  </si>
  <si>
    <t>ООО КАТКОМ</t>
  </si>
  <si>
    <t>644085, РОССИЯ, ОМСКАЯ ОБЛАСТЬ, Г.О. ГОРОД ОМСК, Г ОМСК, ТЕР.СОСН ДАРЫ СИБИРИ, Д. 11</t>
  </si>
  <si>
    <t>ООО ОМСКТЕХНОРЕСУРС</t>
  </si>
  <si>
    <t>644083, РОССИЯ, ОМСКАЯ ОБЛАСТЬ, Г.О. ГОРОД ОМСК, Г ОМСК, УЛ КОММУНАЛЬНАЯ, Д. 9, К. 1, КВ. 46</t>
  </si>
  <si>
    <t>ИП ХУМАРЯН ВАЛЕРИЙ ГЕОРГИЕВИЧ</t>
  </si>
  <si>
    <t>ИП ШИРЯЕВ АЛЕКСАНДР ВАСИЛЬЕВИЧ</t>
  </si>
  <si>
    <t>ИП Яценко Михаил Анатольевич</t>
  </si>
  <si>
    <t>ИП МАРКУНОСОВА НАТАЛЬЯ АНАТОЛЬЕВНА</t>
  </si>
  <si>
    <t>ИП АНДРЕЕВ ВЯЧЕСЛАВ ВЛАДИМИРОВИЧ</t>
  </si>
  <si>
    <t>644034, ОМСКАЯ ОБЛАСТЬ, Г ОМСК, УЛ 26-Я СЕВЕРНАЯ, Д. 13А</t>
  </si>
  <si>
    <t>ИП ГРИГОРЮК ВЛАДИСЛАВ КОНСТАНТИНОВИЧ</t>
  </si>
  <si>
    <t>644010, ОМСКАЯ ОБЛАСТЬ, Г.О. ГОРОД ОМСК, Г ОМСК, ПР-КТ КАРЛА МАРКСА, Д. 8, КВ. 40</t>
  </si>
  <si>
    <t>ООО ПРОИЗВОДСТВЕННО-КОММЕРЧЕСКАЯ ФИРМА АНГАР 18</t>
  </si>
  <si>
    <t>644031, РОССИЯ, ОМСКАЯ ОБЛАСТЬ, Г.О. ГОРОД ОМСК, Г ОМСК, П. БИОФАБРИКА, Д. 30А</t>
  </si>
  <si>
    <t>ИП ПИЦЕНКО НАТАЛИЯ НИКОЛАЕВНА</t>
  </si>
  <si>
    <t>ИП МИРОШНИКОВ СЕРГЕЙ ЭДУАРДОВИЧ</t>
  </si>
  <si>
    <t>ИП КУСАИНОВА КАМИЛЛА ТУЛЕГЕНОВНА</t>
  </si>
  <si>
    <t>644042, ОМСКАЯ ОБЛАСТЬ, Г ОМСК, ПР-КТ КАРЛА МАРКСА, Д. 41/19</t>
  </si>
  <si>
    <t>644070, ОМСКАЯ ОБЛАСТЬ, Г.О. ГОРОД ОМСК, Г ОМСК, УЛ ЛЕРМОНТОВА, Д. 55, ОФИС 401</t>
  </si>
  <si>
    <t>ИП Андреева Инесса Борисовна</t>
  </si>
  <si>
    <t>ИП КОРЕНЕВА ТАТЬЯНА ВАЛЕРЬЕВНА</t>
  </si>
  <si>
    <t>ИП ДАНИЛОВ ДМИТРИЙ АНАТОЛЬЕВИЧ</t>
  </si>
  <si>
    <t>ИП ОСИНОВСКИЙ ДМИТРИЙ ГЕННАДЬЕВИЧ</t>
  </si>
  <si>
    <t>ИП КАЛИНЧЕНКО ВЛАДИМИР СЕРГЕЕВИЧ</t>
  </si>
  <si>
    <t>ООО ДОВОД</t>
  </si>
  <si>
    <t>644027, РОССИЯ, ОМСКАЯ ОБЛАСТЬ, Г.О. ГОРОД ОМСК, Г ОМСК, УЛ ИНДУСТРИАЛЬНАЯ, Д. 4А</t>
  </si>
  <si>
    <t>ИП ЛАТИПОВ АНВАР ОМАРОВИЧ</t>
  </si>
  <si>
    <t>ИП НИКИТИН АЛЕКСАНДР ВАСИЛЬЕВИЧ</t>
  </si>
  <si>
    <t>ИП НИКИФОРОВ НИКОЛАЙ ВЛАДИМИРОВИЧ</t>
  </si>
  <si>
    <t>ООО ФИТ ОМСК</t>
  </si>
  <si>
    <t>644074, ОМСКАЯ ОБЛАСТЬ, Г ОМСК, УЛ КОНЕВА, Д. 65, ЭТАЖ 1</t>
  </si>
  <si>
    <t>ИП КОСТЕРЕВА НАТАЛЬЯ ВИКТОРОВНА</t>
  </si>
  <si>
    <t>ООО ФЕНИКС-АВТО ПРЕМИУМ</t>
  </si>
  <si>
    <t>644015, ОМСКАЯ ОБЛАСТЬ, Г ОМСК, УЛ СУВОРОВА, Д. 93</t>
  </si>
  <si>
    <t>ИП КУРАШВИЛИ АНДРЕЙ ЗУРАБОВИЧ</t>
  </si>
  <si>
    <t>ИП ПЕТРАШ АЛЕКСАНДРА АЛЕКСЕЕВНА</t>
  </si>
  <si>
    <t>ИП БУРКОВСКИЙ ВАДИМ</t>
  </si>
  <si>
    <t>ИП Гольфман Татьяна Юрьевна</t>
  </si>
  <si>
    <t>ИП ГОЛЕЩИХИН СЕРГЕЙ КОНСТАНТИНОВИЧ</t>
  </si>
  <si>
    <t>ИП ЕГОРОВ ВЛАДИМИР ВЛАДИМИРОВИЧ</t>
  </si>
  <si>
    <t>ИП ДУБОВОЙ КОНСТАНТИН АЛЕКСАНДРОВИЧ</t>
  </si>
  <si>
    <t>ООО ТЕХНО-М</t>
  </si>
  <si>
    <t>644011, ОМСКАЯ ОБЛАСТЬ, Г ОМСК, УЛ ЕНИСЕЙСКАЯ, Д. 1, ПОМЕЩ. 8П</t>
  </si>
  <si>
    <t>ИП КИСЕЛЕВ АНАТОЛИЙ ВИКТОРОВИЧ</t>
  </si>
  <si>
    <t>ИП КОЛОКОЛЬНИКОВ КОНСТАНТИН ВЯЧЕСЛАВОВИЧ</t>
  </si>
  <si>
    <t>ООО ОМСНАБ</t>
  </si>
  <si>
    <t>644046, РОССИЯ, ОМСКАЯ ОБЛАСТЬ, Г.О. ГОРОД ОМСК, Г ОМСК, УЛ 5-Я ЛИНИЯ, Д. 236</t>
  </si>
  <si>
    <t>ООО ТРИАЛ ПЛЮС</t>
  </si>
  <si>
    <t>646334, ОМСКАЯ ОБЛАСТЬ, Р-Н ТЮКАЛИНСКИЙ, Г ТЮКАЛИНСК, УЛ ЗАРЕЧНАЯ, Д. 2</t>
  </si>
  <si>
    <t>ИП Лавриненко Александра Станиславовна</t>
  </si>
  <si>
    <t>ИП ЯМИНОВ ИЛЬДАР РАУФОВИЧ</t>
  </si>
  <si>
    <t>ООО СКОРС-СЕРВИС</t>
  </si>
  <si>
    <t>644016, ОМСКАЯ ОБЛАСТЬ, Г ОМСК, УЛ СЕМИРЕЧЕНСКАЯ, ДОМ 93</t>
  </si>
  <si>
    <t>ИП БЕЛКИНА ОЛЬГА ЛЕОНИДОВНА</t>
  </si>
  <si>
    <t>ИП ДУБОВАЯ МАРИЯ КОНСТАНТИНОВНА</t>
  </si>
  <si>
    <t>ООО АГРО-МАСТЕР СИБИРЬ</t>
  </si>
  <si>
    <t>644022, РОССИЯ, ОМСКАЯ ОБЛАСТЬ, Г.О. ГОРОД ОМСК, Г ОМСК, Б-Р АРХИТЕКТОРОВ, Д. 50, ПОМЕЩ. 7</t>
  </si>
  <si>
    <t>ООО СПОТОЙЛ</t>
  </si>
  <si>
    <t>644103, РОССИЯ, ОМСКАЯ ОБЛАСТЬ, Г.О. ГОРОД ОМСК, Г ОМСК, УЛ СЕДОВА, Д. 55В/1</t>
  </si>
  <si>
    <t>ООО ТК СИБИРЬГАЗ СЕРВИС</t>
  </si>
  <si>
    <t>644073, РОССИЯ, ОМСКАЯ ОБЛАСТЬ, Г.О. ГОРОД ОМСК, Г ОМСК, УЛ 2-Я СОЛНЕЧНАЯ, Д. 60, ПОМЕЩ. 1П, ОФИС 2</t>
  </si>
  <si>
    <t>ОБЩЕСТВО С ОГРАНИЧЕННОЙ ОТВЕТСТВЕННОСТЬЮ СИТИ СТАНДАРТ</t>
  </si>
  <si>
    <t>644016, РОССИЯ, ОМСКАЯ ОБЛАСТЬ, Г.О. ГОРОД ОМСК, Г ОМСК, УЛ СЕМИРЕЧЕНСКАЯ, Д. 122</t>
  </si>
  <si>
    <t>644065, РОССИЯ, ОМСКАЯ ОБЛАСТЬ, Г.О. ГОРОД ОМСК, Г ОМСК, УЛ ЗАВОДСКАЯ, Д. 1, ОФИС 203</t>
  </si>
  <si>
    <t>ИП ТАРАМБУЛОВА ЕКАТЕРИНА ВАЛЕРЬЕВНА</t>
  </si>
  <si>
    <t>ИП ПОПИК АЛЕКСАНДР ЯКОВЛЕВИЧ</t>
  </si>
  <si>
    <t>ИП КУЧУКОВА ЛЮЦИЯ РИФХАТОВНА</t>
  </si>
  <si>
    <t>ИП КАЙГОРОДОВ МАКСИМ АНАТОЛЬЕВИЧ</t>
  </si>
  <si>
    <t>ИП ПУЗИКОВА ФЛОРА ЭЛЬБЕРТОВНА</t>
  </si>
  <si>
    <t>ИП ДРАНИШНИКОВ РОМАН ВИКТОРОВИЧ</t>
  </si>
  <si>
    <t>ООО АГРОТЕХКОМПЛЕКТ И К</t>
  </si>
  <si>
    <t>646900, РОССИЯ, ОМСКАЯ ОБЛАСТЬ, М.Р-Н КАЛАЧИНСКИЙ, Г КАЛАЧИНСК, Г.П. КАЛАЧИНСКОЕ, УЛ ОКТЯБРЬСКАЯ, Д. 34, КВ. 1</t>
  </si>
  <si>
    <t>ИП РОЗЕНТАЛЬ ГАЛИНА ВЛАДИМИРОВНА</t>
  </si>
  <si>
    <t>ИП ХЛЕБНИКОВ АЛЕКСЕЙ ВЛАДИМИРОВИЧ</t>
  </si>
  <si>
    <t>ИП МАЙЕР АНДРЕЙ ВИКТОРОВИЧ</t>
  </si>
  <si>
    <t>ИП ВЛАСЕНКО ИЛЬЯ НИКОЛАЕВИЧ</t>
  </si>
  <si>
    <t>ИП ЛОРЕР ФЕДОР РУДОЛЬФОВИЧ</t>
  </si>
  <si>
    <t>ИП ГРИШИНА АНАСТАСИЯ ИГОРЕВНА</t>
  </si>
  <si>
    <t>ООО ЛАДА</t>
  </si>
  <si>
    <t>646530, ОМСКАЯ ОБЛАСТЬ, Р-Н ТАРСКИЙ, Г ТАРА, УЛ ШКОЛЬНАЯ, Д.2, К.А, -</t>
  </si>
  <si>
    <t>ИП ЛЯПУСТИНА ОЛЬГА АНАТОЛЬЕВНА</t>
  </si>
  <si>
    <t>ИП СЛЕПЦОВ ДМИТРИЙ ВАЛЕРЬЕВИЧ</t>
  </si>
  <si>
    <t>ООО ЛУКО</t>
  </si>
  <si>
    <t>644031, ОМСКАЯ ОБЛАСТЬ, Г ОМСК, УЛ ЗВЕЗДОВА, Д. 132, К. 2, КВ. 12</t>
  </si>
  <si>
    <t>ООО ВЕКТОР-СМ</t>
  </si>
  <si>
    <t>644031, РОССИЯ, ОМСКАЯ ОБЛАСТЬ, Г.О. ГОРОД ОМСК, Г ОМСК, УЛ 10 ЛЕТ ОКТЯБРЯ, Д. 182, К. 3, ОФИС 65</t>
  </si>
  <si>
    <t>ООО ГРИНАВТО</t>
  </si>
  <si>
    <t>644073, ОМСКАЯ ОБЛАСТЬ, Г ОМСК, УЛ 2-Я СОЛНЕЧНАЯ, Д. 35</t>
  </si>
  <si>
    <t>ИП ПРОКОПЕНКО ОЛЕГ ЮРЬЕВИЧ</t>
  </si>
  <si>
    <t>ООО СПАР-ОМСК</t>
  </si>
  <si>
    <t>644001, ОМСКАЯ ОБЛАСТЬ, Г ОМСК, УЛ 10 ЛЕТ ОКТЯБРЯ, Д. 136, К. А, ПОМЕЩ. 10</t>
  </si>
  <si>
    <t>ИП Жунусова Карлагаш Сериковна</t>
  </si>
  <si>
    <t>ИП ЖУРКИН ЕВГЕНИЙ ОЛЕГОВИЧ</t>
  </si>
  <si>
    <t>ООО АНТАНТА</t>
  </si>
  <si>
    <t>644060, ОМСКАЯ ОБЛАСТЬ, Г ОМСК, УЛ ГУРТЬЕВА, Д.23, 101</t>
  </si>
  <si>
    <t>ИП ГИЗЗАТОВА ЭЛЬВИРА МАРАТОВНА</t>
  </si>
  <si>
    <t>ИП ИВЛЕВ СЕРГЕЙ СЕРГЕЕВИЧ</t>
  </si>
  <si>
    <t>ИП МАННИК ИВАН АЛЕКСЕЕВИЧ</t>
  </si>
  <si>
    <t>ИП САХНО ЕЛЕНА ВИКТОРОВНА</t>
  </si>
  <si>
    <t>ООО ТРИТОН</t>
  </si>
  <si>
    <t>644046, ОМСКАЯ ОБЛАСТЬ, Г ОМСК, УЛ 2-Я ЛИНИЯ, Д. 177, ОФИС 9</t>
  </si>
  <si>
    <t>ИП РЕЗНИЧЕНКО АНДРЕЙ НИКОЛАЕВИЧ</t>
  </si>
  <si>
    <t>ИП ТРЫНЧЕНКО АЛЕКСАНДР ВЛАДИМИРОВИЧ</t>
  </si>
  <si>
    <t>ИП ШИЛИН СЕРГЕЙ ЕВДОКИМОВИЧ</t>
  </si>
  <si>
    <t>ИП БОРОДИН ПАВЕЛ ЮРЬЕВИЧ</t>
  </si>
  <si>
    <t>ИП ПАВЛЮЧКО КОНСТАНТИН АЛЕКСЕЕВИЧ</t>
  </si>
  <si>
    <t>ИП КОЗЮРА КСЕНИЯ ВЛАДИСЛАВОВНА</t>
  </si>
  <si>
    <t>ООО НЕФТЕГАЗСТРОЙ</t>
  </si>
  <si>
    <t>644046, ОМСКАЯ ОБЛАСТЬ, Г ОМСК, УЛ ИППОДРОМНАЯ, Д. 2, ПОМЕЩ. 47</t>
  </si>
  <si>
    <t>ИП ГОРБУНОВ ВЛАДИСЛАВ СЕРГЕЕВИЧ</t>
  </si>
  <si>
    <t>ООО АГРОПРО</t>
  </si>
  <si>
    <t>644011, ОМСКАЯ ОБЛАСТЬ, Г.О. ГОРОД ОМСК, Г ОМСК, УЛ КОНЕВА, Д. 6, КВ. 190</t>
  </si>
  <si>
    <t>ИП КРУГЛОВ АНДРЕЙ ВИКТОРОВИЧ</t>
  </si>
  <si>
    <t>ИП УХАЛОВ ВЛАДИМИР ВИКТОРОВИЧ</t>
  </si>
  <si>
    <t>ОАО СЕМИРЕЧЕНСКАЯ БАЗА СНАБЖЕНИЯ</t>
  </si>
  <si>
    <t>646672, ОМСКАЯ ОБЛАСТЬ, Р-Н БОЛЬШЕРЕЧЕНСКИЙ, РП БОЛЬШЕРЕЧЬЕ, УЛ ПРОМЫШЛЕННАЯ, ДОМ 48</t>
  </si>
  <si>
    <t>ИП АРЧАЯ КАРЛО ГУЛЛИВЕРОВИЧ</t>
  </si>
  <si>
    <t>ИП Шимпф Владимир Григорьевич</t>
  </si>
  <si>
    <t>ИП ЗАГОРОДСКИЙ ПАВЕЛ ВАЛЕРЬЕВИЧ</t>
  </si>
  <si>
    <t>ИП ИВАЩЕНКО АНАСТАСИЯ ВЛАДИМИРОВНА</t>
  </si>
  <si>
    <t>ИП ЗАХАРОВА КРИСТИНА АСИФОВНА</t>
  </si>
  <si>
    <t>644073, ОМСКАЯ ОБЛАСТЬ, Г ОМСК, УЛ 2-Я СОЛНЕЧНАЯ, Д. 50</t>
  </si>
  <si>
    <t>ООО ТСК КОМПАНИ</t>
  </si>
  <si>
    <t>644018, ОМСКАЯ ОБЛАСТЬ, Г.О. ГОРОД ОМСК, Г ОМСК, УЛ 1-Я ИНДУСТРИАЛЬНАЯ, Д. 4, К. 3</t>
  </si>
  <si>
    <t>ООО ДРИМ СЕРВИС</t>
  </si>
  <si>
    <t>644046, ОМСКАЯ ОБЛАСТЬ, Г.О. ГОРОД ОМСК, Г ОМСК, УЛ ИППОДРОМНАЯ, Д. 2, К. 2</t>
  </si>
  <si>
    <t>ООО АГРО-МАСТЕР МЕХАНИКА</t>
  </si>
  <si>
    <t>644016, РОССИЯ, ОМСКАЯ ОБЛАСТЬ, Г.О. ГОРОД ОМСК, Г ОМСК, УЛ СЕМИРЕЧЕНСКАЯ, Д. 97, ПОМЕЩ. 8</t>
  </si>
  <si>
    <t>ИП Голещихина Ирина Анатольевна</t>
  </si>
  <si>
    <t>ИП БУРГАРДТ ВИКТОР АЛЕКСАНДРОВИЧ</t>
  </si>
  <si>
    <t>ИП КУЗЬМЕНКО АНАТОЛИЙ АЛЕКСАНДРОВИЧ</t>
  </si>
  <si>
    <t>ИП ВИКЕНТЬЕВ ЕВГЕНИЙ НИКОЛАЕВИЧ</t>
  </si>
  <si>
    <t>ИП ИГНАТОВА ВИКТОРИЯ ПАВЛОВНА</t>
  </si>
  <si>
    <t>ИП МАРКИНА ЮЛИЯ ВИКТОРОВНА</t>
  </si>
  <si>
    <t>ИП ЯКОВЛЕВ МАКСИМ АНДРЕЕВИЧ</t>
  </si>
  <si>
    <t>ООО МЕНЕСГРУПП</t>
  </si>
  <si>
    <t>646991, ОМСКАЯ ОБЛАСТЬ, Р-Н КОРМИЛОВСКИЙ, С СЫРОПЯТСКОЕ, УЛ ГАГАРИНА, Д. 4, КВ. 1</t>
  </si>
  <si>
    <t>КФХ ЗЕМЛЕДЕЛЕЦ</t>
  </si>
  <si>
    <t>646045, ОМСКАЯ ОБЛАСТЬ, Р-Н МАРЬЯНОВСКИЙ, П МОСКАЛЕНСКИЙ, УЛ МИРА, Д.1, К.А, 1</t>
  </si>
  <si>
    <t>ИП ЛЕПШИЙ ВЯЧЕСЛАВ СЕРГЕЕВИЧ</t>
  </si>
  <si>
    <t>ИП РЯСНОВ АНАТОЛИЙ СТЕПАНОВИЧ</t>
  </si>
  <si>
    <t>ИП ГОЛЕНКОВА ОЛЬГА НИКОЛАЕВНА</t>
  </si>
  <si>
    <t>ИП БАЛТАБЕКОВА БАКЫТЧАН КУРМАНОВНА</t>
  </si>
  <si>
    <t>ИП БАЕТОВ ОДЫЛХАН НУРМУХАМБЕТОВИЧ</t>
  </si>
  <si>
    <t>ООО М - ТРАКС</t>
  </si>
  <si>
    <t>644507, ОМСКАЯ ОБЛАСТЬ, Р-Н ОМСКИЙ, С ДРУЖИНО, УЛ ПРИДОРОЖНАЯ, Д. 63Б</t>
  </si>
  <si>
    <t>ИП НЕЧИТАЙЛО ОЛЕГ НИКОЛАЕВИЧ</t>
  </si>
  <si>
    <t>ООО ФОРМАТ</t>
  </si>
  <si>
    <t>644527, ОМСКАЯ ОБЛАСТЬ, Р-Н ОМСКИЙ, П РОСТОВКА, Д.23</t>
  </si>
  <si>
    <t>ИП ЛИПИЛИНА СНЕЖАНА ВЛАДИМИРОВНА</t>
  </si>
  <si>
    <t>ИП Старовойтов Сергей Дмитриевич</t>
  </si>
  <si>
    <t>ИП ИЛЬИН ИВАН НИКОЛАЕВИЧ</t>
  </si>
  <si>
    <t>ИП Латышев Юрий Анатольевич</t>
  </si>
  <si>
    <t>ИП ЗАХАРОВ СЕРГЕЙ АНАТОЛЬЕВИЧ</t>
  </si>
  <si>
    <t>ИП ГРИШАЕВ ЮРИЙ АЛЕКСЕЕВИЧ</t>
  </si>
  <si>
    <t>ООО АТЛАНТМЕТАЛЛСЕРВИС</t>
  </si>
  <si>
    <t>644065, РОССИЯ, ОМСКАЯ ОБЛАСТЬ, Г.О. ГОРОД ОМСК, Г ОМСК, УЛ 1-Я ЗАВОДСКАЯ, Д. 2, ОФИС 24</t>
  </si>
  <si>
    <t>ООО АВТОСТОПО</t>
  </si>
  <si>
    <t>644009, ОМСКАЯ ОБЛАСТЬ, Г ОМСК, УЛ 20 ЛЕТ РККА, Д. 143А</t>
  </si>
  <si>
    <t>ООО ГРУЗОВЫЕ РЕЗЕРВЫ</t>
  </si>
  <si>
    <t>644031, ОМСКАЯ ОБЛАСТЬ, Г ОМСК, УЛ 10 ЛЕТ ОКТЯБРЯ, Д. 219</t>
  </si>
  <si>
    <t>ООО АВТОЗАПЧАСТЬ</t>
  </si>
  <si>
    <t>644011, ОМСКАЯ ОБЛАСТЬ, Г.О. ГОРОД ОМСК, Г ОМСК, УЛ ЕНИСЕЙСКАЯ, Д. 3, ОФИС 6</t>
  </si>
  <si>
    <t>ИП МУРАШКО ДМИТРИЙ ВЛАДИМИРОВИЧ</t>
  </si>
  <si>
    <t>ИП КИРИЕНКО СТАНИСЛАВ ВЛАДИМИРОВИЧ</t>
  </si>
  <si>
    <t>БУЗОО ОКПТД</t>
  </si>
  <si>
    <t>644058, ОМСКАЯ ОБЛАСТЬ, Г ОМСК, УЛ ЦЕЛИННАЯ, Д.2</t>
  </si>
  <si>
    <t>ИП АНДРЕЕВ СЕРГЕЙ ВИКТОРОВИЧ</t>
  </si>
  <si>
    <t>ИП ПЕТРАШ ЮРИЙ МИХАЙЛОВИЧ</t>
  </si>
  <si>
    <t>ООО ФИТ-ОМСК</t>
  </si>
  <si>
    <t>644121, РОССИЯ, ОМСКАЯ ОБЛАСТЬ, Г.О. ГОРОД ОМСК, Г ОМСК, УЛ ТРУДА, Д. 11, КВ. 56</t>
  </si>
  <si>
    <t>ИП ЛЕКОНЦЕВ СЕРГЕЙ ВИКТОРОВИЧ</t>
  </si>
  <si>
    <t>ООО ВЕСНА-ТЕХНО</t>
  </si>
  <si>
    <t>644046, ОМСКАЯ ОБЛАСТЬ, Г ОМСК, УЛ 2-Я ЛИНИЯ, Д. 177, ОФИС 13</t>
  </si>
  <si>
    <t>ООО ТК АВТОМАСЛА</t>
  </si>
  <si>
    <t>644016, РОССИЯ, ОМСКАЯ ОБЛАСТЬ, Г.О. ГОРОД ОМСК, Г ОМСК, УЛ СЕМИРЕЧЕНСКАЯ, Д. 106, ПОМЕЩ. 2, ЭТАЖ 2</t>
  </si>
  <si>
    <t>ИП КУЦЕНКО АНДРЕЙ ВИКТОРОВИЧ</t>
  </si>
  <si>
    <t>ИП ПЕТУХОВ ЮРИЙ АЛЕКСАНДРОВИЧ</t>
  </si>
  <si>
    <t>ООО ГК НЕФТЕГАЗ</t>
  </si>
  <si>
    <t>644046, ОМСКАЯ ОБЛАСТЬ, Г ОМСК, УЛ ИППОДРОМНАЯ, Д. 2, ПОМЕЩ. 34</t>
  </si>
  <si>
    <t>ИП СЫРНИКОВ АНТОН СЕРГЕЕВИЧ</t>
  </si>
  <si>
    <t>ИП КУРАШВИЛИ КЛАРА ЗУРАБОВНА</t>
  </si>
  <si>
    <t>ИП ИВАЩЕНКО СВЕТЛАНА МАРАТОВНА</t>
  </si>
  <si>
    <t>ИП КЛИМОВА АЛЛА ФЕДОРОВНА</t>
  </si>
  <si>
    <t>ИП ПОПИК ДМИТРИЙ ИВАНОВИЧ</t>
  </si>
  <si>
    <t>ИП ГОНДАРЕНКО СЕРГЕЙ СЕРГЕЕВИЧ</t>
  </si>
  <si>
    <t>ООО КОЛЕСНИЦА</t>
  </si>
  <si>
    <t>644041, ОМСКАЯ ОБЛАСТЬ, Г ОМСК, УЛ КРАСНОПРЕСНЕНСКАЯ, Д. 5, КВ. 68</t>
  </si>
  <si>
    <t>ИП ЛАПШИН СЕРГЕЙ СЕРГЕЕВИЧ</t>
  </si>
  <si>
    <t>ИП ФОМИНСКИЙ АНТОН НИКОЛАЕВИЧ</t>
  </si>
  <si>
    <t>ИП СЕМЕНКИНА ЮЛИЯ БОРИСОВНА</t>
  </si>
  <si>
    <t>ИП АБДРАХМАНОВ БАУРЖАН ГАЗИЗОВИЧ</t>
  </si>
  <si>
    <t>ИП ДАВЫДИК ДМИТРИЙ НИКОЛАЕВИЧ</t>
  </si>
  <si>
    <t>ИП ВЕРХОЛОМОВ КОНСТАНТИН ВЛАДИМИРОВИЧ</t>
  </si>
  <si>
    <t>ООО АГРО-МАСТЕР</t>
  </si>
  <si>
    <t>644022, ОМСКАЯ ОБЛАСТЬ, Г.О. ГОРОД ОМСК, Г ОМСК, Б-Р АРХИТЕКТОРОВ, Д. 50</t>
  </si>
  <si>
    <t>ИП МИТИН КОНСТАНТИН СЕРГЕЕВИЧ</t>
  </si>
  <si>
    <t>ООО ТД ОМСКПРОМ</t>
  </si>
  <si>
    <t>644016, ОМСКАЯ ОБЛАСТЬ, Г.О. ГОРОД ОМСК, Г ОМСК, УЛ СЕМИРЕЧЕНСКАЯ, Д. 93В</t>
  </si>
  <si>
    <t>ООО ТМЦ</t>
  </si>
  <si>
    <t>ИП ИВАНИЛОВ АЛЕКСЕЙ СЕРГЕЕВИЧ</t>
  </si>
  <si>
    <t>ИП Голещихина Ольга Сергеевна</t>
  </si>
  <si>
    <t>ИП КОРШУНОВА АННА НИКОЛАЕВНА</t>
  </si>
  <si>
    <t>ИП ОЛЕННИКОВ ЮРИЙ ГРИГОРЬЕВИЧ</t>
  </si>
  <si>
    <t>ИП Ботов Анатолий Алексеевич</t>
  </si>
  <si>
    <t>ИП ХРИСТУС ГЕННАДИЙ ВЛАДИМИРОВИЧ</t>
  </si>
  <si>
    <t>АСУСО КРУТИНСКИЙ ДИ</t>
  </si>
  <si>
    <t>646130, ОМСКАЯ ОБЛАСТЬ, Р-Н КРУТИНСКИЙ, РП КРУТИНКА, УЛ КРАСНЫЙ ПУТЬ, Д.196</t>
  </si>
  <si>
    <t>ИП СУЛТАНОВ КАНАТ МУХАМЕТОВИЧ</t>
  </si>
  <si>
    <t>ИП МАНСУРОВ ШАФИК РАВИЛЬЕВИЧ</t>
  </si>
  <si>
    <t>ИП КАРЦЕВ ЕВГЕНИЙ МИХАЙЛОВИЧ</t>
  </si>
  <si>
    <t>ООО ФОРТУНА И К</t>
  </si>
  <si>
    <t>646620, ОМСКАЯ ОБЛАСТЬ, Р-Н НИЖНЕОМСКИЙ, С НИЖНЯЯ ОМКА, УЛ ЗОИ КОСМОДЕМЬЯНСКОЙ, Д. 57Б</t>
  </si>
  <si>
    <t>ИП ЗАПОЛЬСКИХ ЮЛИЯ НИКОЛАЕВНА</t>
  </si>
  <si>
    <t>ИП САЮТИНСКАЯ ЕЛЕНА ГРИГОРЬЕВНА</t>
  </si>
  <si>
    <t>ООО СТРУЧАЕВ ГРУПП</t>
  </si>
  <si>
    <t>644024, РОССИЯ, ОМСКАЯ ОБЛАСТЬ, Г.О. ГОРОД ОМСК, Г ОМСК, УЛ УЧЕБНАЯ, Д. 79</t>
  </si>
  <si>
    <t>ИП РУБЛЕВСКИЙ ВЯЧЕСЛАВ ВАЛЕРЬЕВИЧ</t>
  </si>
  <si>
    <t>ООО ЕВРОМАСЛА ПЛЮС</t>
  </si>
  <si>
    <t>644501, ОМСКАЯ ОБЛАСТЬ, Р-Н ОМСКИЙ, П НОВООМСКИЙ, УЛ ЮБИЛЕЙНАЯ, Д. 6, КВ. 2</t>
  </si>
  <si>
    <t>ИП ШЕЙКИНА НАТАЛЬЯ ГЕННАДЬЕВНА</t>
  </si>
  <si>
    <t>ИП ГОВОРИНА ЕЛЕНА ВАСИЛЬЕВНА</t>
  </si>
  <si>
    <t>ИП ЭБЕЛЬ АЛЕКСАНДР ВИКТОРОВИЧ</t>
  </si>
  <si>
    <t>ИП КАЗЫМОВ РЕВО УРАЗМОГАМЕТОВИЧ</t>
  </si>
  <si>
    <t>ИП СТРЕЛЬЧУК ВЕРОНИКА АНДРЕЕВНА</t>
  </si>
  <si>
    <t>ИП ХЧОЯН НОДАР НЕРСЕСОВИЧ</t>
  </si>
  <si>
    <t>ИП ГУЛЯЕВ РОМАН ЮРЬЕВИЧ</t>
  </si>
  <si>
    <t>ООО ТИТАН-СМ</t>
  </si>
  <si>
    <t>644035, ОМСКАЯ ОБЛАСТЬ, Г.О. ГОРОД ОМСК, Г ОМСК, ПР-КТ ГУБКИНА, Д. 16, ПОМЕЩ. 11</t>
  </si>
  <si>
    <t>ИП ПИСАРЕНКО ОЛЕГ СЕРГЕЕВИЧ</t>
  </si>
  <si>
    <t>Оренбургская область</t>
  </si>
  <si>
    <t>ИП ЦЫБАЕВ АЛЕКСАНДР ВИКТОРОВИЧ</t>
  </si>
  <si>
    <t>ИП РОГОЖИНА ОЛЬГА ИГНАТЬЕВНА</t>
  </si>
  <si>
    <t>ИП КРЮКОВ ДМИТРИЙ АНАТОЛЬЕВИЧ</t>
  </si>
  <si>
    <t>ООО ОРЕНОЙЛ-МАРКЕТ</t>
  </si>
  <si>
    <t>460052, ОРЕНБУРГСКАЯ ОБЛАСТЬ, Г.О. ГОРОД ОРЕНБУРГ, Г ОРЕНБУРГ, УЛ САЛМЫШСКАЯ, ВЛД. 41/1, ЛИТЕРА В</t>
  </si>
  <si>
    <t>ООО ЛУКОМОРЬЕ</t>
  </si>
  <si>
    <t>460050, РОССИЯ, ОРЕНБУРГСКАЯ ОБЛАСТЬ, Г.О. ГОРОД ОРЕНБУРГ, Г ОРЕНБУРГ, ПРОЕЗД НИЖНИЙ, Д. 8/1, КВ. 40</t>
  </si>
  <si>
    <t>460028, ОРЕНБУРГСКАЯ ОБЛАСТЬ, Г ОРЕНБУРГ, УЛ ШОССЕЙНАЯ, Д. 24А, ОФИС 318</t>
  </si>
  <si>
    <t>460056, РОССИЯ, ОРЕНБУРГСКАЯ ОБЛАСТЬ, Г.О. ГОРОД ОРЕНБУРГ, Г ОРЕНБУРГ, Ш ЗАГОРОДНОЕ, ЗД. 13/1, ЭТАЖ 1, ПОМЕЩ. 1</t>
  </si>
  <si>
    <t>ООО КЛАС</t>
  </si>
  <si>
    <t>460052, ОРЕНБУРГСКАЯ ОБЛАСТЬ, Г ОРЕНБУРГ, УЛ ЛЕСОЗАЩИТНАЯ, Д. 20, ОФИС 105</t>
  </si>
  <si>
    <t>ООО ОНС-МАСЛА</t>
  </si>
  <si>
    <t>460048, ОРЕНБУРГСКАЯ ОБЛАСТЬ, Г ОРЕНБУРГ, УЛ МОНТАЖНИКОВ, Д. 32/2, КОМ. 201</t>
  </si>
  <si>
    <t>ИП БАЛАБАНОВ АЛЕКСАНДР ПАВЛОВИЧ</t>
  </si>
  <si>
    <t>ИП ЧЕПУРИН ЕГОР ВЛАДИМИРОВИЧ</t>
  </si>
  <si>
    <t>ООО АВАНГАРД АВТО</t>
  </si>
  <si>
    <t>460022, РОССИЯ, ОРЕНБУРГСКАЯ ОБЛАСТЬ, Г.О. ГОРОД ОРЕНБУРГ, Г ОРЕНБУРГ, УЛ ПРОЛЕТАРСКАЯ, Д. 279, ЭТАЖ 2</t>
  </si>
  <si>
    <t>ИП ТУЛУПОВ СЕРГЕЙ АЛЕКСАНДРОВИЧ</t>
  </si>
  <si>
    <t>ИП ЛЕВЕНЕЦ АЛЕКСАНДР БОРИСОВИЧ</t>
  </si>
  <si>
    <t>ООО ВЫСОТА-ОЙЛ</t>
  </si>
  <si>
    <t>460511, РОССИЯ, ОРЕНБУРГСКАЯ ОБЛАСТЬ, М.Р-Н ОРЕНБУРГСКИЙ, С ПОДГОРОДНЯЯ ПОКРОВКА, С.П. ПОДГОРОДНЕ-ПОКРОВСКИЙ СЕЛЬСОВЕТ, ПЕР ПАРНЫЙ 2-Й, Д. 20</t>
  </si>
  <si>
    <t>ИП ПЕРВОЧКОВА ЕЛЕНА ВЯЧЕСЛАВОВНА</t>
  </si>
  <si>
    <t>ИП МИХАЙЛОВА НАТАЛЬЯ ИВАНОВНА</t>
  </si>
  <si>
    <t>ИП ОГУРЕЧНИКОВ АНДРЕЙ ИВАНОВИЧ</t>
  </si>
  <si>
    <t>ИП САБИРОВ РИМ РАИСОВИЧ</t>
  </si>
  <si>
    <t>ИП НАБОЕВА ЕВГЕНИЯ АЛЕКСАНДРОВНА</t>
  </si>
  <si>
    <t>ИП ЗДОРОВЫХ ВИКТОР АЛЕКСЕЕВИЧ</t>
  </si>
  <si>
    <t>ООО АЗИЯ-АВТО</t>
  </si>
  <si>
    <t>461046, ОРЕНБУРГСКАЯ ОБЛАСТЬ, Г БУЗУЛУК, УЛ ПРОМЫШЛЕННАЯ, СТР. 9Б</t>
  </si>
  <si>
    <t>461049, ОРЕНБУРГСКАЯ ОБЛАСТЬ, Г.О. ГОРОД БУЗУЛУК, Г БУЗУЛУК, УЛ СУВОРОВА, Д. 66, КВ. 12</t>
  </si>
  <si>
    <t>ООО МВ</t>
  </si>
  <si>
    <t>461019, ОРЕНБУРГСКАЯ ОБЛАСТЬ, М.Р-Н БУЗУЛУКСКИЙ, П ИСКРА, С.П. ПРИГОРОДНЫЙ СЕЛЬСОВЕТ, УЛ ДВОРЦОВАЯ, СООР. 1А</t>
  </si>
  <si>
    <t>ООО КТ-5</t>
  </si>
  <si>
    <t>461049, РОССИЯ, ОРЕНБУРГСКАЯ ОБЛАСТЬ, Г.О. ГОРОД БУЗУЛУК, Г БУЗУЛУК, МКР 2-Й, Д. 30, КОМ. 8</t>
  </si>
  <si>
    <t>ИП ЛИТВИНЕНКО ВЛАДИСЛАВ СЕРГЕЕВИЧ</t>
  </si>
  <si>
    <t>ИП ГАБСАБИРОВ НАИЛЬ БАКИЕВИЧ</t>
  </si>
  <si>
    <t>ООО СТРЕЛА</t>
  </si>
  <si>
    <t>461630, ОРЕНБУРГСКАЯ ОБЛАСТЬ, Г БУГУРУСЛАН, УЛ КРАСНОЗНАМЕННАЯ, Д. 52</t>
  </si>
  <si>
    <t>461046, ОРЕНБУРГСКАЯ ОБЛАСТЬ, Г БУЗУЛУК, УЛ ТЕХНИЧЕСКАЯ, Д. 2, ОФИС 14</t>
  </si>
  <si>
    <t>ООО АГРОТОЧКА</t>
  </si>
  <si>
    <t>461050, РОССИЯ, ОРЕНБУРГСКАЯ ОБЛАСТЬ, Г.О. ГОРОД БУЗУЛУК, Г БУЗУЛУК, МКР 3-Й, Д. 1А, КВ. 52</t>
  </si>
  <si>
    <t>ИП ТАЗИЕВА АЛИЯ НАЗИБОВНА</t>
  </si>
  <si>
    <t>ИП Алтунбаев Ильдар Абдулмазитович</t>
  </si>
  <si>
    <t>ИП КУДЕРОВ АЛЕКСАНДР ИГНАТЬЕВИЧ</t>
  </si>
  <si>
    <t>ИП НАЙДЕНОВА НАТАЛЬЯ ВИКТОРОВНА</t>
  </si>
  <si>
    <t>ООО УНК</t>
  </si>
  <si>
    <t>461046, ОРЕНБУРГСКАЯ ОБЛАСТЬ, Г БУЗУЛУК, УЛ ТЕХНИЧЕСКАЯ, Д. 3А, ОФИС 218</t>
  </si>
  <si>
    <t>ИП КЛЕШНЕВА ТАТЬЯНА ПЕТРОВНА</t>
  </si>
  <si>
    <t>ИП БУРЛИН НИКОЛАЙ СЕВОСТЬЯНОВИЧ</t>
  </si>
  <si>
    <t>ИП ДОРОГИ АЛЕКСЕЙ НИКОЛАЕВИЧ</t>
  </si>
  <si>
    <t>ИП СОКОЛОВА ВАЛЕНТИНА АНАТОЛЬЕВНА</t>
  </si>
  <si>
    <t>ИП ГАМОВА ОЛЬГА ВАЛЕНТИНОВНА</t>
  </si>
  <si>
    <t>ООО МАСТЕРДЕЛ</t>
  </si>
  <si>
    <t>460052, ОРЕНБУРГСКАЯ ОБЛАСТЬ, Г ОРЕНБУРГ, УЛ БРЕСТСКАЯ, Д.26, 34</t>
  </si>
  <si>
    <t>ИП ГАМОВ ДМИТРИЙ АЛЕКСАНДРОВИЧ</t>
  </si>
  <si>
    <t>ИП КОЧАНОВ ВЛАДИСЛАВ ГЕННАДЬЕВИЧ</t>
  </si>
  <si>
    <t>ИП ЕФИМОВ АЛЕКСАНДР ВЯЧЕСЛАВОВИЧ</t>
  </si>
  <si>
    <t>ИП ДЫМОВ МИХАИЛ ВАЛЕРЬЕВИЧ</t>
  </si>
  <si>
    <t>ИП ЖАРКОЙ ВЛАДИМИР ВИКТОРОВИЧ</t>
  </si>
  <si>
    <t>ООО ЕВРАЗИС</t>
  </si>
  <si>
    <t>460038, ОРЕНБУРГСКАЯ ОБЛАСТЬ, Г ОРЕНБУРГ, УЛ ШОССЕЙНАЯ, Д. 3/3, ОФИС 3</t>
  </si>
  <si>
    <t>ИП ОМАРОВА СВЕТЛАНА АЛЕКСАНДРОВНА</t>
  </si>
  <si>
    <t>ИП ЕМЕЛЬЧЕВ ИГОРЬ КОНСТАНТИНОВИЧ</t>
  </si>
  <si>
    <t>ИП ГАСАНОВА МАРИЯ ВИКТОРОВНА</t>
  </si>
  <si>
    <t>ИП ШЕПЕЛЕВА ТАТЬЯНА ВЛАДИМИРОВНА</t>
  </si>
  <si>
    <t>ИП ЛАЗУТИНА НАТАЛЬЯ СЕРГЕЕВНА</t>
  </si>
  <si>
    <t>АО ЕАТ</t>
  </si>
  <si>
    <t>460041, ОРЕНБУРГСКАЯ ОБЛАСТЬ, Г ОРЕНБУРГ, УЛ ПРИРОДНАЯ (ПОСЕЛОК ИМ КУЙБЫШЕВА МКР.), Д. 2А</t>
  </si>
  <si>
    <t>ООО АВТОСАЛОН ЕВРАЗИЯ</t>
  </si>
  <si>
    <t>460060, ОРЕНБУРГСКАЯ ОБЛАСТЬ, Г ОРЕНБУРГ, УЛ ТРАНСПОРТНАЯ, Д. 2/2</t>
  </si>
  <si>
    <t>ИП БУНИНА ИРИНА АЛЕКСАНДРОВНА</t>
  </si>
  <si>
    <t>ООО ТЕХПРОМГАЗ</t>
  </si>
  <si>
    <t>460037, РОССИЯ, ОРЕНБУРГСКАЯ ОБЛАСТЬ, Г.О. ГОРОД ОРЕНБУРГ, Г ОРЕНБУРГ, УЛ ДОНГУЗСКАЯ, Д. 5/1, ПОМЕЩ. 1</t>
  </si>
  <si>
    <t>ООО ДЦАВТОСАЛОН-2000</t>
  </si>
  <si>
    <t>РОССИЯ, ОРЕНБУРГСКАЯ ОБЛАСТЬ, М.Р-Н ОРЕНБУРГСКИЙ, П ПРИГОРОДНЫЙ, С.П. ПРИГОРОДНЫЙ СЕЛЬСОВЕТ, Ш НЕЖИНСКОЕ, СТР. 14</t>
  </si>
  <si>
    <t>ИП КАБИРОВ НАИЛЬ ХАМИТОВИЧ</t>
  </si>
  <si>
    <t>ИП ЛАПАЕВ АЛЕКСАНДР СЕРГЕЕВИЧ</t>
  </si>
  <si>
    <t>ИП БОЧОК ЕВГЕНИЙ РОМАНОВИЧ</t>
  </si>
  <si>
    <t>460034, ОРЕНБУРГСКАЯ ОБЛАСТЬ, Г ОРЕНБУРГ, УЛ ПЛЕЩЕЕВА, Д. 1Б, КВ. 10</t>
  </si>
  <si>
    <t>ООО ИНКОМ</t>
  </si>
  <si>
    <t>461637, ОРЕНБУРГСКАЯ ОБЛАСТЬ, Г БУГУРУСЛАН, НП 1 МИКРОРАЙОН, 5А</t>
  </si>
  <si>
    <t>ИП МОРГУНОВ ДМИТРИЙ АЛЕКСАНДРОВИЧ</t>
  </si>
  <si>
    <t>ИП ИОСИФОВ ВАЛЕРИЙ</t>
  </si>
  <si>
    <t>ООО ЧИСТЫЙ ДОМ</t>
  </si>
  <si>
    <t>460035, ОРЕНБУРГСКАЯ ОБЛАСТЬ, Г ОРЕНБУРГ, ПЛ 1 МАЯ, ВЛД. 1</t>
  </si>
  <si>
    <t>ИП МИШУКОВ ДМИТРИЙ ВЯЧЕСЛАВОВИЧ</t>
  </si>
  <si>
    <t>ИП ЕНИКЕЕВ ВИТАЛИЙ РУСТАМОВИЧ</t>
  </si>
  <si>
    <t>ООО ВЕХА - ОРЕНБУРГ</t>
  </si>
  <si>
    <t>460961, ОРЕНБУРГСКАЯ ОБЛАСТЬ, Г ОРЕНБУРГ, УЛ ШОССЕЙНАЯ, ДОМ 30</t>
  </si>
  <si>
    <t>ИП ФРОЛОВ АЛЕКСАНДР БОРИСОВИЧ</t>
  </si>
  <si>
    <t>ООО ЦЕНТР АВТОМАСЕЛ ОЙЛ-СЕРВИС</t>
  </si>
  <si>
    <t>460050, ОРЕНБУРГСКАЯ ОБЛАСТЬ, Г ОРЕНБУРГ, УЛ ТЕРЕШКОВОЙ, Д. 144/3</t>
  </si>
  <si>
    <t>ИП БОГУНОВ ЕВГЕНИЙ ВИТАЛЬЕВИЧ</t>
  </si>
  <si>
    <t>ИП ИЛЬМЕНЕВ СЕРГЕЙ ВИКТОРОВИЧ</t>
  </si>
  <si>
    <t>ИП ТУСИНА НАДЕЖДА ВЛАДИМИРОВНА</t>
  </si>
  <si>
    <t>ИП БУТУСОВ БОРИС ЮРЬЕВИЧ</t>
  </si>
  <si>
    <t>ЗАО ЕВРОСТРОЙ</t>
  </si>
  <si>
    <t>462404, ОРЕНБУРГСКАЯ ОБЛАСТЬ, Г ОРСК, УЛ НЕФТЯНИКОВ, Д. 6, 13</t>
  </si>
  <si>
    <t>ИП ДОРКИН КОНСТАНТИН ПЕТРОВИЧ</t>
  </si>
  <si>
    <t>ИП ГУЗАИРОВ ВЯЧЕСЛАВ ВАЛЕРЬЕВИЧ</t>
  </si>
  <si>
    <t>ООО СОЮЗТРЕЙД</t>
  </si>
  <si>
    <t>462419, ОРЕНБУРГСКАЯ ОБЛАСТЬ, Г ОРСК, ПР-КТ МИРА, ЗД. 15Д</t>
  </si>
  <si>
    <t>ООО ВЕЖА</t>
  </si>
  <si>
    <t>462409, РОССИЯ, ОРЕНБУРГСКАЯ ОБЛАСТЬ, Г.О. ГОРОД ОРСК, Г ОРСК, УЛ М.ДЖАЛИЛЯ, Д. 48</t>
  </si>
  <si>
    <t>ООО ОНС</t>
  </si>
  <si>
    <t>462401, РОССИЯ, ОРЕНБУРГСКАЯ ОБЛАСТЬ, Г.О. ГОРОД ОРСК, Г ОРСК, УЛ ОРСКОЕ ШОССЕ, ЗД. 2Б</t>
  </si>
  <si>
    <t>ИП Маренков Дмитрий Евгеньевич</t>
  </si>
  <si>
    <t>ООО МОНТЕКС-ОРСК</t>
  </si>
  <si>
    <t>462407, ОРЕНБУРГСКАЯ ОБЛАСТЬ, Г ОРСК, УЛ ДОРОЖНАЯ, ЗД. 13</t>
  </si>
  <si>
    <t>ИП Бервольд Александр Эвальдович</t>
  </si>
  <si>
    <t>ИП МИХАЙЛОВ АЛЕКСЕЙ СЕРГЕЕВИЧ</t>
  </si>
  <si>
    <t>ИП ТЕРЯКОВ ДМИТРИЙ ВАСИЛЬЕВИЧ</t>
  </si>
  <si>
    <t>ИП ЕРМОЛАЕВА ОЛЬГА АЛЕКСАНДРОВНА</t>
  </si>
  <si>
    <t>ИП НУЖДИН КОНСТАНТИН ВЛАДИМИРОВИЧ</t>
  </si>
  <si>
    <t>ИП АСТАШЕВ АНДРЕЙ ПАВЛОВИЧ</t>
  </si>
  <si>
    <t>ИП ШУМКИНА ОЛЬГА АЛЕКСАНДРОВНА</t>
  </si>
  <si>
    <t>ИП КЕНЖАГАЛИЕВА ЮЛИЯ АЛЕКСЕЕВНА</t>
  </si>
  <si>
    <t>ИП ЛЕВЕНЕЦ СЕРГЕЙ АЛЕКСАНДРОВИЧ</t>
  </si>
  <si>
    <t>ИП МАРТЫНОВ ВАДИМ АЛЕКСАНДРОВИЧ</t>
  </si>
  <si>
    <t>ООО СЕЛЬХОЗДЕТАЛЬ</t>
  </si>
  <si>
    <t>462820, ОРЕНБУРГСКАЯ ОБЛАСТЬ, Р-Н АДАМОВСКИЙ, П ШИЛЬДА, УЛ ВОКЗАЛЬНАЯ, Д. 4, К. А</t>
  </si>
  <si>
    <t>ИП Наурзбаев Эрик Курмангазыевич</t>
  </si>
  <si>
    <t>ИП ПРУЧКОВСКАЯ ТАТЬЯНА ВИКТОРОВНА</t>
  </si>
  <si>
    <t>461620, ОРЕНБУРГСКАЯ ОБЛАСТЬ, Р-Н БУГУРУСЛАНСКИЙ, С МИХАЙЛОВКА, ПЕР СИРЕНЕВЫЙ, ЗД. 4, -</t>
  </si>
  <si>
    <t>ИП ВЛАЗНЕВ АЛЕКСАНДР АЛЕКСАНДРОВИЧ</t>
  </si>
  <si>
    <t>ИП НУЖДИНА ЕКАТЕРИНА АНАТОЛЬЕВНА</t>
  </si>
  <si>
    <t>ИП КАЛАШЯН САМВЕЛ ВАЛОДОВИЧ</t>
  </si>
  <si>
    <t>ИП КУШТЫМ ВИКТОР НИКОЛАЕВИЧ</t>
  </si>
  <si>
    <t>ИП ХОРУНЖИН ПАВЕЛ ОЛЕГОВИЧ</t>
  </si>
  <si>
    <t>ИП УСТЬЯН ИГОРЬ АНДРЕЕВИЧ</t>
  </si>
  <si>
    <t>ИП НОВИКОВ АНДРЕЙ НИКОЛАЕВИЧ</t>
  </si>
  <si>
    <t>ИП ПОЗДНЯКОВА ЕЛЕНА ВИКТОРОВНА</t>
  </si>
  <si>
    <t>ООО НИКА - ГАЗ</t>
  </si>
  <si>
    <t>460961, ОРЕНБУРГСКАЯ ОБЛАСТЬ, Г ОРЕНБУРГ, УЛ ТЕРЕШКОВОЙ, ДВЛД 295, ЭТАЖ 2</t>
  </si>
  <si>
    <t>ИП ПОПОВ АЛЕКСЕЙ ВАСИЛЬЕВИЧ</t>
  </si>
  <si>
    <t>ООО ОРЕНБУРГ-АВТО-ЦЕНТР</t>
  </si>
  <si>
    <t>460000, ОРЕНБУРГСКАЯ ОБЛАСТЬ, Г ОРЕНБУРГ, Ш ЗАГОРОДНОЕ, ДВЛД. 13</t>
  </si>
  <si>
    <t>ИП КУСКОВА ТАТЬЯНА ВЛАДИМИРОВНА</t>
  </si>
  <si>
    <t>ООО АТЦ ЖИГУЛИ-ОРЕНБУРГ</t>
  </si>
  <si>
    <t>460507, ОРЕНБУРГСКАЯ ОБЛАСТЬ, Р-Н ОРЕНБУРГСКИЙ, П ПРИГОРОДНЫЙ, Ш 12 КМ. АВТОДОРОГИ ОРЕНБУРГ-ОРСК</t>
  </si>
  <si>
    <t>ИП ЛАЗАРЕВ СЕРГЕЙ ЮРЬЕВИЧ</t>
  </si>
  <si>
    <t>ИП СЕРГЕЕВА ЛЮДМИЛА ЛЕОНИДОВНА</t>
  </si>
  <si>
    <t>ИП ОДЕНБАХ ВЛАДИСЛАВ ВИКТОРОВИЧ</t>
  </si>
  <si>
    <t>ООО РЕСУРС-56</t>
  </si>
  <si>
    <t>460555, РОССИЯ, ОРЕНБУРГСКАЯ ОБЛАСТЬ, М.Р-Н ОРЕНБУРГСКИЙ, П ВЕСЕННИЙ, С.П. ВЕСЕННИЙ СЕЛЬСОВЕТ, УЛ БЕЛЯЕВСКОЕ ШОССЕ, ЗД. 19, ПОМЕЩ. 2, ОФИС 209</t>
  </si>
  <si>
    <t>ООО ТОРГСЕРВИС 56</t>
  </si>
  <si>
    <t>460038, ОРЕНБУРГСКАЯ ОБЛАСТЬ, Г.О. ГОРОД ОРЕНБУРГ, Г ОРЕНБУРГ, ПР-КТ ДЗЕРЖИНСКОГО, ЗД. 4/9, ОФИС 210</t>
  </si>
  <si>
    <t>460003, РОССИЯ, ОРЕНБУРГСКАЯ ОБЛАСТЬ, Г.О. ГОРОД ОРЕНБУРГ, Г ОРЕНБУРГ, ПЕР СТАНОЧНЫЙ, ЗД. 7/3, ОФИС 106</t>
  </si>
  <si>
    <t>ООО СКЛАД-СЕРВИС</t>
  </si>
  <si>
    <t>460052, ОРЕНБУРГСКАЯ ОБЛАСТЬ, Г ОРЕНБУРГ, УЛ БРЕСТСКАЯ, Д. 32, КВ. 60</t>
  </si>
  <si>
    <t>ООО АККОРА 56</t>
  </si>
  <si>
    <t>460052, РОССИЯ, ОРЕНБУРГСКАЯ ОБЛАСТЬ, Г.О. ГОРОД ОРЕНБУРГ, Г ОРЕНБУРГ, УЛ ДЖАНГИЛЬДИНА, Д. 20, КВ. 73</t>
  </si>
  <si>
    <t>ИП САБИТОВА ЮЛИЯ ГЕННАДЬЕВНА</t>
  </si>
  <si>
    <t>ИП Ашнин Сергей Константинович</t>
  </si>
  <si>
    <t>ИП ВИХЛЯНЦЕВА ТАТЬЯНА ЕВГЕНЬЕВНА</t>
  </si>
  <si>
    <t>ИП РЫЖКОВА ТАТЬЯНА ВЛАДИМИРОВНА</t>
  </si>
  <si>
    <t>ООО АВТОСАЛОН - 2000</t>
  </si>
  <si>
    <t>ИП ФИРОНОВ СЕРГЕЙ АЛЕКСАНДРОВИЧ</t>
  </si>
  <si>
    <t>ООО АВТОСАЛОН ТУРИСТ-ПЛЮС</t>
  </si>
  <si>
    <t>460005, ОРЕНБУРГСКАЯ ОБЛАСТЬ, Г ОРЕНБУРГ, УЛ МАКАРОВОЙ-МУТНОВОЙ, ДОМ 157, КОРПУС 1</t>
  </si>
  <si>
    <t>ИП САНИН АНТОН КОНСТАНТИНОВИЧ</t>
  </si>
  <si>
    <t>ИП БУЛАТОВ АРТУР АЛЕКСАНДРОВИЧ</t>
  </si>
  <si>
    <t>ИП МЯСОЕДОВА ВИКТОРИЯ ЮРЬЕВНА</t>
  </si>
  <si>
    <t>ИП ВИХЛЯНЦЕВА ОЛЬГА МИХАЙЛОВНА</t>
  </si>
  <si>
    <t>ООО АВТОСИЛА 56</t>
  </si>
  <si>
    <t>460060, РОССИЯ, ОРЕНБУРГСКАЯ ОБЛАСТЬ, Г.О. ГОРОД ОРЕНБУРГ, Г ОРЕНБУРГ, УЛ ТРАНСПОРТНАЯ, Д. 16/3, КВ. 338</t>
  </si>
  <si>
    <t>ООО ИНВЕСТ ТРЕЙД</t>
  </si>
  <si>
    <t>460053, РОССИЯ, ОРЕНБУРГСКАЯ ОБЛАСТЬ, Г.О. ГОРОД ОРЕНБУРГ, Г ОРЕНБУРГ, УЛ САЛМЫШСКАЯ, Д. 45/3, КВ. 46</t>
  </si>
  <si>
    <t>ИП ЛЫСЕНКО СЕРГЕЙ ЕГОРОВИЧ</t>
  </si>
  <si>
    <t>ИП САЛЬНИКОВА ОЛЬГА ИГОРЕВНА</t>
  </si>
  <si>
    <t>ИП ЧЕРКАСОВА ГАЛИНА ЮРЬЕВНА</t>
  </si>
  <si>
    <t>ИП КАДЫРМАЕВА ЗУХРА МИРАСОВНА</t>
  </si>
  <si>
    <t>460026, ОРЕНБУРГСКАЯ ОБЛАСТЬ, Г ОРЕНБУРГ, ПР-КТ ПОБЕДЫ, Д. 116/5, ПОМЕЩ. 5/1 ОФИС7</t>
  </si>
  <si>
    <t>ООО АЛЕКС-АВТО</t>
  </si>
  <si>
    <t>460026, ОРЕНБУРГСКАЯ ОБЛАСТЬ, Г ОРЕНБУРГ, УЛ СОВХОЗНАЯ, Д. 49, ПОМЕЩ. 1</t>
  </si>
  <si>
    <t>ООО ОРЕНТРАНС-КАМАЗ</t>
  </si>
  <si>
    <t>460036, ОРЕНБУРГСКАЯ ОБЛАСТЬ, Г ОРЕНБУРГ, УЛ АВТОРЕМОНТНАЯ, Д. 5</t>
  </si>
  <si>
    <t>ООО ТРАК СЕРВИС</t>
  </si>
  <si>
    <t>460000, ОРЕНБУРГСКАЯ ОБЛАСТЬ, Г ОРЕНБУРГ, Ш ЗАГОРОДНОЕ, Д. 15/1</t>
  </si>
  <si>
    <t>ИП ДВОРНИК АЛЕКСАНДР ВЛАДИМИРОВИЧ</t>
  </si>
  <si>
    <t>ИП КРИЧКОВСКИЙ ВЯЧЕСЛАВ ЛЕОНИДОВИЧ</t>
  </si>
  <si>
    <t>ИП ГРАБОРЕВ ДМИТРИЙ НИКОЛАЕВИЧ</t>
  </si>
  <si>
    <t>ИП ТАРАСОВА ЕКАТЕРИНА СЕРГЕЕВНА</t>
  </si>
  <si>
    <t>ООО ПАРТНЕР-ВОСТОК</t>
  </si>
  <si>
    <t>462419, РОССИЯ, ОРЕНБУРГСКАЯ ОБЛАСТЬ, Г.О. ГОРОД ОРСК, Г ОРСК, ТЕР. АВТОДОРОГА ЗАПАДНОЕ ШОССЕ, ЗД. 2, ПОМЕЩ. 2</t>
  </si>
  <si>
    <t>ООО МЕГА МЕБЕЛЬ</t>
  </si>
  <si>
    <t>462432, РОССИЯ, ОРЕНБУРГСКАЯ ОБЛАСТЬ, Г.О. ГОРОД ОРСК, Г ОРСК, УЛ БРАТСКАЯ, Д. 42, КВ. 54</t>
  </si>
  <si>
    <t>ИП ОГНЕВ СТАНИСЛАВ СЕРГЕЕВИЧ</t>
  </si>
  <si>
    <t>ИП Ладатко Сергей Владимирович</t>
  </si>
  <si>
    <t>ИП ТЕРЯКОВ ВАСИЛИЙ ЛЬВОВИЧ</t>
  </si>
  <si>
    <t>ИП СУХИНИНА ТАТЬЯНА ВИКТОРОВНА</t>
  </si>
  <si>
    <t>ИП ТОЛКАЧЕВА ОКСАНА ВИКТОРОВНА</t>
  </si>
  <si>
    <t>ООО СТРОЙЛАНДИЯ.РУ</t>
  </si>
  <si>
    <t>460961, ОРЕНБУРГСКАЯ ОБЛАСТЬ, Г ОРЕНБУРГ, ПР-Д АВТОМАТИКИ, Д. 28А</t>
  </si>
  <si>
    <t>ИП КОВАЛЕНКО АРТЕМ ИЛЬИЧ</t>
  </si>
  <si>
    <t>ИП КРУТЬКО АЛЕКСАНДР ГРИГОРЬЕВИЧ</t>
  </si>
  <si>
    <t>ИП ШАЙМАРДАНОВА РАУШАНИЯ ГАЙСОВНА</t>
  </si>
  <si>
    <t>ИП ГАЛИМОВ МАРСЕЛЬ РИНАТОВИЧ</t>
  </si>
  <si>
    <t>ИП ЖЕРИХОВ АНАТОЛИЙ КОНСТАНТИНОВИЧ</t>
  </si>
  <si>
    <t>ИП ФОМЕНКО ЕКАТЕРИНА ТУЙШУБАЕВНА</t>
  </si>
  <si>
    <t>АО ЛАДА-СЕРВИС</t>
  </si>
  <si>
    <t>460056, ОРЕНБУРГСКАЯ ОБЛАСТЬ, Г ОРЕНБУРГ, УЛ ВОЛГОГРАДСКАЯ, Д.5</t>
  </si>
  <si>
    <t>ИП САМСОНОВ МИХАИЛ ВАСИЛЬЕВИЧ</t>
  </si>
  <si>
    <t>ИП СОКОЛОВ АЛЕКСАНДР ПАВЛОВИЧ</t>
  </si>
  <si>
    <t>ИП Рогачева Ольга Викторовна</t>
  </si>
  <si>
    <t>ООО АСТЕХ</t>
  </si>
  <si>
    <t>460038, ОРЕНБУРГСКАЯ ОБЛАСТЬ, Г ОРЕНБУРГ, УЛ ШОССЕЙНАЯ, Д. 3/3, ОФИС 7</t>
  </si>
  <si>
    <t>460053, ОРЕНБУРГСКАЯ ОБЛАСТЬ, Г.О. ГОРОД ОРЕНБУРГ, Г ОРЕНБУРГ, УЛ БРАТЬЕВ ХУСАИНОВЫХ, ЗД. 4/1, КВ. 68</t>
  </si>
  <si>
    <t>ООО ЭМЕКС-ОРЕНБУРГ</t>
  </si>
  <si>
    <t>460052, ОРЕНБУРГСКАЯ ОБЛАСТЬ, Г.О. ГОРОД ОРЕНБУРГ, Г ОРЕНБУРГ, УЛ ДЖАНГИЛЬДИНА, ЗД. 26, КОМ. 32</t>
  </si>
  <si>
    <t>ИП ЛИТОВЧЕНКО ЕЛЕНА ВЛАДИМИРОВНА</t>
  </si>
  <si>
    <t>ИП ПОЧИТАЛИН ДМИТРИЙ ВИКТОРОВИЧ</t>
  </si>
  <si>
    <t>ИП СКВОРЦОВ АЛЕКСАНДР ПАВЛОВИЧ</t>
  </si>
  <si>
    <t>ИП СМИТИЕНКО ЕЛЕНА ВЛАДИМИРОВНА</t>
  </si>
  <si>
    <t>ИП СЕЛИН ДМИТРИЙ НИКОЛАЕВИЧ</t>
  </si>
  <si>
    <t>ИП ПУЗАНОВА ОЛЬГА ЕВГЕНЬЕВНА</t>
  </si>
  <si>
    <t>ИП ЧЕРЧИМЦЕВ МАКСИМ АЛЕКСАНДРОВИЧ</t>
  </si>
  <si>
    <t>ООО НПО СИНТЕЗ ПРО</t>
  </si>
  <si>
    <t>460021, ОРЕНБУРГСКАЯ ОБЛАСТЬ, Г ОРЕНБУРГ, УЛ ОМСКАЯ, Д. 52</t>
  </si>
  <si>
    <t>ООО ЗОЛОТОЙ ДРАКОН</t>
  </si>
  <si>
    <t>460035, ОРЕНБУРГСКАЯ ОБЛАСТЬ, Г ОРЕНБУРГ, УЛ ПОЛТАВСКАЯ, ЗД. 43/3, ЛИТЕР В2</t>
  </si>
  <si>
    <t>ООО ПВ-ОРЕНБУРГ</t>
  </si>
  <si>
    <t>461043, ОРЕНБУРГСКАЯ ОБЛАСТЬ, Г БУЗУЛУК, УЛ ОБЪЕЗДНАЯ, Д. 9</t>
  </si>
  <si>
    <t>ИП ПЛАСТУН ЕВГЕНИЙ СЕРГЕЕВИЧ</t>
  </si>
  <si>
    <t>ООО ПРИМА ОЙЛ</t>
  </si>
  <si>
    <t>460009, ОРЕНБУРГСКАЯ ОБЛАСТЬ, Г ОРЕНБУРГ, УЛ МЕБЕЛЬНАЯ, Д. 32, ОФИС 1</t>
  </si>
  <si>
    <t>ИП ЛЕБЕДЕВ СЕРГЕЙ ВАЛЕРЬЕВИЧ</t>
  </si>
  <si>
    <t>ИП ПИЛЬНОВА ЮЛИЯ АЛЕКСЕЕВНА</t>
  </si>
  <si>
    <t>ООО РОЗНИЧНАЯ СЕТЬ АЗС ОРЕНОЙЛ</t>
  </si>
  <si>
    <t>460040, ОРЕНБУРГСКАЯ ОБЛАСТЬ, Г ОРЕНБУРГ, УЛ ЛЕСОЗАЩИТНАЯ, Д. 13</t>
  </si>
  <si>
    <t>ИП ПРИБЫТКОВ ЭДУАРД ВАЛЕНТИНОВИЧ</t>
  </si>
  <si>
    <t>ООО ОРСК-АВТО-ЦЕНТР</t>
  </si>
  <si>
    <t>462419, РОССИЯ, ОРЕНБУРГСКАЯ ОБЛАСТЬ, Г.О. ГОРОД ОРСК, Г ОРСК, ТЕР. АВТОДОРОГА ЗАПАДНОЕ ШОССЕ, ЗД. 2</t>
  </si>
  <si>
    <t>ИП МОЛОДКИНА ЕВГЕНИЯ АНАТОЛЬЕВНА</t>
  </si>
  <si>
    <t>ООО АВТОСПУТНИК</t>
  </si>
  <si>
    <t>462433, ОРЕНБУРГСКАЯ ОБЛАСТЬ, Г ОРСК, УЛ ВЯЗЕМСКАЯ, Д. 33</t>
  </si>
  <si>
    <t>ИП СКАЧКОВ ВАЛЕРИЙ ПЕТРОВИЧ</t>
  </si>
  <si>
    <t>ИП ВЕЩИКОВА ОЛЬГА АНАТОЛЬЕВНА</t>
  </si>
  <si>
    <t>ИП ЕРМЯКОВ АЛЕКСЕЙ ВИТАЛЬЕВИЧ</t>
  </si>
  <si>
    <t>ИП БОГАТЫРЕВА ТАТЬЯНА СЕРГЕЕВНА</t>
  </si>
  <si>
    <t>ИП ЯКИМЕЦ АЛЕКСАНДР ВИТАЛЬЕВИЧ</t>
  </si>
  <si>
    <t>ИП СТРОКИНА ЕКАТЕРИНА ВИКТОРОВНА</t>
  </si>
  <si>
    <t>ИП ТИХОМИРОВА ГАЛИНА АЛЕКСАНДРОВНА</t>
  </si>
  <si>
    <t>ИП СКАЧКОВА ИРИНА ЮРЬЕВНА</t>
  </si>
  <si>
    <t>ИП ГРЕВЦЕВ СЕРГЕЙ ВАЛЕНТИНОВИЧ</t>
  </si>
  <si>
    <t>ИП ВОДОПЬЯНОВА ЕЛЕНА ПАВЛОВНА</t>
  </si>
  <si>
    <t>ИП БАРАНОВА СВЕТЛАНА ВЛАДИМИРОВНА</t>
  </si>
  <si>
    <t>ИП РОМАНЮК ВЛАДИМИР СЕМЁНОВИЧ</t>
  </si>
  <si>
    <t>ИП ЧУМАЧЕНКО СУЛТАН СЕРГЕЕВИЧ</t>
  </si>
  <si>
    <t>ИП МАКСИМОВА ТАТЬЯНА НИКОЛАЕВНА</t>
  </si>
  <si>
    <t>ИП ИВАНОВА ЕКАТЕРИНА ХАЛИЛОВНА</t>
  </si>
  <si>
    <t>ИП ЧЕРЕМИСИН ЮРИЙ ВЛАДИМИРОВИЧ</t>
  </si>
  <si>
    <t>ООО ПРАЙМТЕК</t>
  </si>
  <si>
    <t>460050, РОССИЯ, ОРЕНБУРГСКАЯ ОБЛАСТЬ, Г.О. ГОРОД ОРЕНБУРГ, Г ОРЕНБУРГ, ПРОЕЗД НИЖНИЙ, Д. 8/1, КВ. 32</t>
  </si>
  <si>
    <t>ИП ИВАНОВ МИХАИЛ ЕВГЕНЬЕВИЧ</t>
  </si>
  <si>
    <t>ИП МИХАЙЛОВ МИХАИЛ ГЕННАДЬЕВИЧ</t>
  </si>
  <si>
    <t>ИП СИЗОНОВА ИРИНА НИКОЛАЕВНА</t>
  </si>
  <si>
    <t>ИП Акимов Андрей Васильевич</t>
  </si>
  <si>
    <t>ИП МИХАЙЛОВ НИКОЛАЙ ПЕТРОВИЧ</t>
  </si>
  <si>
    <t>ИП ЧАПУРИНА ТАТЬЯНА АЛЕКСАНДРОВНА</t>
  </si>
  <si>
    <t>ИП ПРОХОРОВ АНДРЕЙ ЮРЬЕВИЧ</t>
  </si>
  <si>
    <t>ИП КОНЬШАКОВА СВЕТЛАНА ВЛАДИМИРОВНА</t>
  </si>
  <si>
    <t>ИП САИТКУЛОВ ФИЛЮС РАФИСОВИЧ</t>
  </si>
  <si>
    <t>ООО КОЛОРИТ</t>
  </si>
  <si>
    <t>461202, ОРЕНБУРГСКАЯ ОБЛАСТЬ, Р-Н НОВОСЕРГИЕВСКИЙ, П НОВОСЕРГИЕВКА, УЛ КОРОЛЕВА, ЗД. 7</t>
  </si>
  <si>
    <t>ИП КОБЕЛЕВА ОЛЬГА ВАСИЛЬЕВНА</t>
  </si>
  <si>
    <t>ИП АЮПОВ АЛЬБЕРТ ВАХИТОВИЧ</t>
  </si>
  <si>
    <t>ИП МУХАРЯМОВА НАДИЯ ДАМИРОВНА</t>
  </si>
  <si>
    <t>ИП МИШУКОВА ИРИНА АЛЕКСАНДРОВНА</t>
  </si>
  <si>
    <t>ИП КОМЛЕВ ЕВГЕНИЙ ВАЛЕРЬЕВИЧ</t>
  </si>
  <si>
    <t>ИП ДЁГТЕВА АННА ВЯЧЕСЛАВОВНА</t>
  </si>
  <si>
    <t>ИП Мавлембердина Илхамия Вагизовна</t>
  </si>
  <si>
    <t>ИП ГЕНЕРАЛОВ ДМИТРИЙ АЛЕКСАНДРОВИЧ</t>
  </si>
  <si>
    <t>ИП КАРЕВ АНДРЕЙ НИКОЛАЕВИЧ</t>
  </si>
  <si>
    <t>ИП КАРЦЕВ ОЛЕГ ГЕННАДЬЕВИЧ</t>
  </si>
  <si>
    <t>ИП МОСКАЛЕНКО АЛЕКСАНДР АЛЕКСЕЕВИЧ</t>
  </si>
  <si>
    <t>ИП КОНЬШАКОВ МИХАИЛ ГЕННАДЬЕВИЧ</t>
  </si>
  <si>
    <t>ИП АНДРЕЕВА ЕВГЕНИЯ ВЛАДИМИРОВНА</t>
  </si>
  <si>
    <t>ИП СМИЩЕНКО ЕВГЕНИЙ СЕРГЕЕВИЧ</t>
  </si>
  <si>
    <t>ООО ОРЕНБУРГ-СКАНСЕРВИС</t>
  </si>
  <si>
    <t>460036, ОРЕНБУРГСКАЯ ОБЛАСТЬ, Г ОРЕНБУРГ, УЛ ЛЕСОЗАЩИТНАЯ, Д.18</t>
  </si>
  <si>
    <t>ООО ИНТЕРАГРОТЕХ</t>
  </si>
  <si>
    <t>460507, ОРЕНБУРГСКАЯ ОБЛАСТЬ, М.Р-Н ОРЕНБУРГСКИЙ, С.П. ПРИГОРОДНЫЙ СЕЛЬСОВЕТ, УЛ ЭНЕРГЕТИКОВ, Д. 7</t>
  </si>
  <si>
    <t>460035, ОРЕНБУРГСКАЯ ОБЛАСТЬ, Г ОРЕНБУРГ, УЛ КОМСОМОЛЬСКАЯ, Д.197/3</t>
  </si>
  <si>
    <t>ООО ВЕЛЕС АВТО</t>
  </si>
  <si>
    <t>460507, ОРЕНБУРГСКАЯ ОБЛАСТЬ, Р-Н ОРЕНБУРГСКИЙ, П ПРИГОРОДНЫЙ, ПР-Д НОВОСЕЛОВ, Д. 9</t>
  </si>
  <si>
    <t>ООО СТО  МАСЛОФФ</t>
  </si>
  <si>
    <t>461795, ОРЕНБУРГСКАЯ ОБЛАСТЬ, Р-Н ПОНОМАРЕВСКИЙ, С СОФИЕВКА, УЛ ДВУХРЯДНАЯ, Д. 14</t>
  </si>
  <si>
    <t>ИП РОЖНОВ ИВАН ПЕТРОВИЧ</t>
  </si>
  <si>
    <t>ООО АГРОБАЗА</t>
  </si>
  <si>
    <t>462100, РОССИЯ, ОРЕНБУРГСКАЯ ОБЛАСТЬ, М.Р-Н САРАКТАШСКИЙ, П САРАКТАШ, С.П. САРАКТАШСКИЙ ПОССОВЕТ, УЛ СВОБОДЫ, Д. 2</t>
  </si>
  <si>
    <t>ИП МИРОНОВ ОЛЕГ АЛЕКСАНДРОВИЧ</t>
  </si>
  <si>
    <t>ИП ПОПОВКИН ОЛЕГ ВИКТОРОВИЧ</t>
  </si>
  <si>
    <t>ИП Степанов Евгений Александрович</t>
  </si>
  <si>
    <t>ИП ПУШКИН АЛЕКСАНДР АНАТОЛЬЕВИЧ</t>
  </si>
  <si>
    <t>ИП КУКТАШЕВ ИЛЬГИЗ ИШБУЛАТОВИЧ</t>
  </si>
  <si>
    <t>ИП Ахметшин Рамиль Зиннурович</t>
  </si>
  <si>
    <t>ИП РАХМОНОВ ХАМЗААЛИ САЙФУДДИНОВИЧ</t>
  </si>
  <si>
    <t>ИП СИЛАЕВ КИРИЛЛ ВЛАДИМИРОВИЧ</t>
  </si>
  <si>
    <t>Орловская область</t>
  </si>
  <si>
    <t>ИП КУЗЬМИНА МАРИНА НИКОЛАЕВНА</t>
  </si>
  <si>
    <t>ИП ИБОЯН ТЕЛЬМАН АВТАНДИЛОВИЧ</t>
  </si>
  <si>
    <t>ИП БОЛДЫКИН АЛЕКСАНДР ИВАНОВИЧ</t>
  </si>
  <si>
    <t>ИП МАКАРОВА ОЛЬГА ВАЛЕРЬЕВНА</t>
  </si>
  <si>
    <t>ИП МАКУШКИН ЯРОСЛАВ ПАВЛОВИЧ</t>
  </si>
  <si>
    <t>ИП ВОЛОДЬКО СЕРГЕЙ МИХАЙЛОВИЧ</t>
  </si>
  <si>
    <t>303850, ОРЛОВСКАЯ ОБЛАСТЬ, Г ЛИВНЫ, УЛ ПУШКИНА, Д.36</t>
  </si>
  <si>
    <t>ИП КУТАФИНА ЕЛЕНА ВИТАЛЬЕВНА</t>
  </si>
  <si>
    <t>ИП МЕЩЕРЯКОВ ЭДУАРД ВЛАДИМИРОВИЧ</t>
  </si>
  <si>
    <t>ИП АНЦУПОВА ХРИСТИНА ИВАНОВНА</t>
  </si>
  <si>
    <t>ИП ЖБАНОВ АЛЕКСЕЙ МИХАЙЛОВИЧ</t>
  </si>
  <si>
    <t>ИП КОВАЛЕВА ТАТЬЯНА ЕВГЕНЬЕВНА</t>
  </si>
  <si>
    <t>ИП ДАНИЛОВА НАТАЛЬЯ ФЕДОРОВНА</t>
  </si>
  <si>
    <t>ИП ДЖАББАРОВ НУСРЕТ ОСМАНОВИЧ</t>
  </si>
  <si>
    <t>ИП ТЕМНОВ ОЛЕГ НИКОЛАЕВИЧ</t>
  </si>
  <si>
    <t>ИП ТЕПЛЯКОВА ТАТЬЯНА ГЕННАДЬЕВНА</t>
  </si>
  <si>
    <t>ИП ТЫШКИВСКИЙ АЛЕКСАНДР МАРЬЯНОВИЧ</t>
  </si>
  <si>
    <t>ИП ТИТКОВА ЮЛИЯ ИГОРЕВНА</t>
  </si>
  <si>
    <t>ИП ГАСПАРЯН ЖОРА ВАГАРШАКОВИЧ</t>
  </si>
  <si>
    <t>ИП ВАСИНА МАРИНА ЕВГЕНЬЕВНА</t>
  </si>
  <si>
    <t>ИП ЛЕНИВКИНА ОЛЬГА ВЛАДИМИРОВНА</t>
  </si>
  <si>
    <t>ИП ПЛЕШАКОВА НАТАЛЬЯ НИКОЛАЕВНА</t>
  </si>
  <si>
    <t>АО АТЛАНТ</t>
  </si>
  <si>
    <t>302009, ОРЛОВСКАЯ ОБЛАСТЬ, Г ОРЁЛ, УЛ СЕВЕРНАЯ, Д. 9, ОФИС 12</t>
  </si>
  <si>
    <t>ИП ВОЛКОВ СЕРГЕЙ НИКОЛАЕВИЧ</t>
  </si>
  <si>
    <t>ИП Садов Игорь Александрович</t>
  </si>
  <si>
    <t>ИП СЕРГЕЕВА ЕЛЕНА ЕГОРОВНА</t>
  </si>
  <si>
    <t>ИП АРХИПОВ ДМИТРИЙ ВИКТОРОВИЧ</t>
  </si>
  <si>
    <t>ООО ЛЕСОТОРГОВАЯ БАЗА</t>
  </si>
  <si>
    <t>302016, РОССИЯ, ОРЛОВСКАЯ ОБЛАСТЬ, Г.О. ГОРОД ОРЁЛ, Г ОРЁЛ, УЛ ГОРОДСКАЯ, ЗД. 70</t>
  </si>
  <si>
    <t>АО ОРЕЛНЕФТЕПРОДУКТ</t>
  </si>
  <si>
    <t>302001, ОРЛОВСКАЯ ОБЛАСТЬ, Г ОРЁЛ, УЛ МАЯКОВСКОГО, Д.40</t>
  </si>
  <si>
    <t>ИП ЧЕРНЫХ ОЛЕГ НИКОЛАЕВИЧ</t>
  </si>
  <si>
    <t>302024, ОРЛОВСКАЯ ОБЛАСТЬ, Г ОРЁЛ, УЛ ИТАЛЬЯНСКАЯ, СООР. 3</t>
  </si>
  <si>
    <t>ИП САВОСТИКОВ СЕРГЕЙ АЛЕКСАНДРОВИЧ</t>
  </si>
  <si>
    <t>ООО БИЗНЕС КАР ОРЁЛ</t>
  </si>
  <si>
    <t>302007, ОРЛОВСКАЯ ОБЛАСТЬ, Г ОРЁЛ, Ш КАРАЧЕВСКОЕ, Д. 77, К. 1</t>
  </si>
  <si>
    <t>ООО САТЕЛЛИТ 57</t>
  </si>
  <si>
    <t>302038, ОРЛОВСКАЯ ОБЛАСТЬ, Р-Н ОРЛОВСКИЙ, УЛ КОНЁВСКАЯ, Д. 7</t>
  </si>
  <si>
    <t>ИП КОРОЛЕВ АЛЕКСЕЙ НИКОЛАЕВИЧ</t>
  </si>
  <si>
    <t>ОООТД МАЗ-ОРЁЛ</t>
  </si>
  <si>
    <t>302005, ОРЛОВСКАЯ ОБЛАСТЬ, Г ОРЁЛ, Ш КАРАЧЕВСКОЕ, Д. 79</t>
  </si>
  <si>
    <t>ООО МАЗ-АВТО</t>
  </si>
  <si>
    <t>302007, ОРЛОВСКАЯ ОБЛАСТЬ, Г ОРЁЛ, Ш КАРАЧЕВСКОЕ, Д. 79, ОФИС 115</t>
  </si>
  <si>
    <t>ООО АГРОТЕХ</t>
  </si>
  <si>
    <t>302016, РОССИЯ, ОРЛОВСКАЯ ОБЛАСТЬ, Г.О. ГОРОД ОРЁЛ, Г ОРЁЛ, ПЕР КАРАЧЕВСКИЙ, Д. 3, ПОМЕЩ. 5</t>
  </si>
  <si>
    <t>ИП САСИНА ЮЛИЯ СЕРГЕЕВНА</t>
  </si>
  <si>
    <t>ИП ТКАЧЕВ СЕРГЕЙ СЕРГЕЕВИЧ</t>
  </si>
  <si>
    <t>ИП АНДРЮШОВА ОЛЬГА ЮРЬЕВНА</t>
  </si>
  <si>
    <t>ООО ЛОГИСТИК</t>
  </si>
  <si>
    <t>302028, ОРЛОВСКАЯ ОБЛАСТЬ, Г ОРЁЛ, УЛ ГУРТЬЕВА, Д. 14, ПОМЕЩ. 64</t>
  </si>
  <si>
    <t>ИП НЕЧАЕВ ВИКТОР ВЛАДЛЕНОВИЧ</t>
  </si>
  <si>
    <t>ООО ТД ВОЗРОЖДЕНИЕ</t>
  </si>
  <si>
    <t>302025, РОССИЯ, ОРЛОВСКАЯ ОБЛАСТЬ, Г.О. ГОРОД ОРЁЛ, Г ОРЁЛ, Ш МОСКОВСКОЕ, СТР. 162Б</t>
  </si>
  <si>
    <t>ООО ТОРНАДО ОЙЛ</t>
  </si>
  <si>
    <t>302025, РОССИЯ, ОРЛОВСКАЯ ОБЛАСТЬ, Г.О. ГОРОД ОРЁЛ, Г ОРЁЛ, Ш МОСКОВСКОЕ, Д. 173, ПОМЕЩ. 12</t>
  </si>
  <si>
    <t>ООО СМАЗОЧНЫЕ РЕШЕНИЯ</t>
  </si>
  <si>
    <t>302009, РОССИЯ, ОРЛОВСКАЯ ОБЛАСТЬ, Г.О. ГОРОД ОРЁЛ, Г ОРЁЛ, УЛ ГАЙДАРА, СТР. 54, ПОМЕЩ. 2214</t>
  </si>
  <si>
    <t>ООО ЮНИОН ТРЕЙД</t>
  </si>
  <si>
    <t>302043, РОССИЯ, ОРЛОВСКАЯ ОБЛАСТЬ, Г.О. ГОРОД ОРЁЛ, Г ОРЁЛ, ПРОЕЗД КРОМСКОЙ, Д. 2, ОФИС 2.1.3</t>
  </si>
  <si>
    <t>БУЗ ОРЛОВСКОЙ ОБЛАСТИ САНАТОРИЙ ДУБРАВА</t>
  </si>
  <si>
    <t>302531, ОРЛОВСКАЯ ОБЛАСТЬ, М.О. ОРЛОВСКИЙ, ТЕР. САНАТОРИЙ ДУБРАВА, ЗД. 1</t>
  </si>
  <si>
    <t>ООО ИПЦ</t>
  </si>
  <si>
    <t>303035, ОРЛОВСКАЯ ОБЛАСТЬ, Г МЦЕНСК, МКР 1-Й, Д. 10, КОМ. 9</t>
  </si>
  <si>
    <t>ИП ТОРУБАРОВ АЛЕКСАНДР ЮРЬЕВИЧ</t>
  </si>
  <si>
    <t>ИП Рожков Григорий Евгеньевич</t>
  </si>
  <si>
    <t>ИП ГРЕКОВ МИХАИЛ ИВАНОВИЧ</t>
  </si>
  <si>
    <t>ИП ШЕШИН ВЛАДИМИР НИКОЛАЕВИЧ</t>
  </si>
  <si>
    <t>ИП НАХАЛОВА ОЛЬГА НИКОЛАЕВНА</t>
  </si>
  <si>
    <t>БСУ СО ОО ДОМ СОЦИАЛЬНОГО ОБСЛУЖИВАНИЯ УСПЕНСКИЙ</t>
  </si>
  <si>
    <t>303810, ОРЛОВСКАЯ ОБЛАСТЬ, Р-Н ЛИВЕНСКИЙ, С УСПЕНСКОЕ, УЛ КОМСОМОЛЬСКАЯ, Д. 23А</t>
  </si>
  <si>
    <t>ИП ВОЙНОВ ВИТАЛИЙ ВАЛЕРЬЕВИЧ</t>
  </si>
  <si>
    <t>ИП ЕВЛАМПИЕВ АНДРЕЙ ВЛАДИМИРОВИЧ</t>
  </si>
  <si>
    <t>ИП СЕРГЕЕЧЕВ НИКИТА НИКОЛАЕВИЧ</t>
  </si>
  <si>
    <t>ИП ЧЕРЕПАНОВА КИРА ЮРЬЕВНА</t>
  </si>
  <si>
    <t>ООО РЕГИОН57</t>
  </si>
  <si>
    <t>302504, РОССИЯ, ОРЛОВСКАЯ ОБЛАСТЬ, М.О. ОРЛОВСКИЙ, С БАКЛАНОВО, УЛ СПАССКАЯ, Д. 22, КВ. 18</t>
  </si>
  <si>
    <t>ИП Клейменов Алексей Игоревич</t>
  </si>
  <si>
    <t>ИП МИКУНОВА ГАЛИНА ВАЛЕРИКОВНА</t>
  </si>
  <si>
    <t>ИП Бутусов Алексей Петрович</t>
  </si>
  <si>
    <t>ИП ВЕРИЖНИКОВА ЛЮДМИЛА АЛЕКСЕЕВНА</t>
  </si>
  <si>
    <t>ООО ЭКСПАНСИЯ</t>
  </si>
  <si>
    <t>302020, РОССИЯ, ОРЛОВСКАЯ ОБЛАСТЬ, Г.О. ГОРОД ОРЁЛ, Г ОРЁЛ, УЛ КАРТУКОВА, Д. 6, КВ. 107</t>
  </si>
  <si>
    <t>ИП КОРОЛЕВА АЛЛА НИКОЛАЕВНА</t>
  </si>
  <si>
    <t>ООО ТЕХНОДОМ</t>
  </si>
  <si>
    <t>302527, РОССИЯ, ОРЛОВСКАЯ ОБЛАСТЬ, М.О. ОРЛОВСКИЙ, Д СТАНОВОЕ, УЛ ШКОЛЬНАЯ, ЗД. 6К</t>
  </si>
  <si>
    <t>302016, ОРЛОВСКАЯ ОБЛАСТЬ, Г ОРЁЛ, УЛ ЛЕРМОНТОВА, Д. 21</t>
  </si>
  <si>
    <t>ИП ДОРОНИН ИГОРЬ ВИКТОРОВИЧ</t>
  </si>
  <si>
    <t>ООО ТД АВТОПАРТНЁР</t>
  </si>
  <si>
    <t>302028, ОРЛОВСКАЯ ОБЛАСТЬ, Г ОРЁЛ, УЛ ГУРТЬЕВА, Д. 14</t>
  </si>
  <si>
    <t>ИП КУРЬЯКОВ АЛЕКСАНДР АЛЕКСАНДРОВИЧ</t>
  </si>
  <si>
    <t>ООО ОКЗ</t>
  </si>
  <si>
    <t>302020, ОРЛОВСКАЯ ОБЛАСТЬ, Г ОРЁЛ, УЛ ЦВЕТАЕВА, Д. 1 Б, ОФИС 12</t>
  </si>
  <si>
    <t>ООО ЧИСТОТА</t>
  </si>
  <si>
    <t>302040, РОССИЯ, ОРЛОВСКАЯ ОБЛАСТЬ, Г.О. ГОРОД ОРЁЛ, Г ОРЁЛ, УЛ ЛЕСКОВА, Д. 19, ПОМЕЩ. 55</t>
  </si>
  <si>
    <t>ИП ЕНИН МАКСИМ СЕРГЕЕВИЧ</t>
  </si>
  <si>
    <t>ИП МИТАСОВА МАРИНА МИХАЙЛОВНА</t>
  </si>
  <si>
    <t>ООО АВТОТРАНСРЕМОНТ</t>
  </si>
  <si>
    <t>302031, ОРЛОВСКАЯ ОБЛАСТЬ, Г.О. ГОРОД ОРЁЛ, Г ОРЁЛ, Ш НОВОСИЛЬСКОЕ, Д. 11, ОФИС 1</t>
  </si>
  <si>
    <t>ИП ГУСЕВ ЮРИЙ ЮРЬЕВИЧ</t>
  </si>
  <si>
    <t>ООО МТК РОСБЕРГ ЦЕНТР</t>
  </si>
  <si>
    <t>302025, ОРЛОВСКАЯ ОБЛАСТЬ, Г ОРЁЛ, Ш МОСКОВСКОЕ, Д. 173</t>
  </si>
  <si>
    <t>ИП ЖБАНОВА НАТАЛЬЯ ЮРЬЕВНА</t>
  </si>
  <si>
    <t>ИП КЛУШИНА ОЛЬГА СЕРГЕЕВНА</t>
  </si>
  <si>
    <t>ИП ДАНИЛОВ АЛЕКСЕЙ ДМИТРИЕВИЧ</t>
  </si>
  <si>
    <t>ИП МИХАЙЛИН СЕРГЕЙ ВЯЧЕСЛАВОВИЧ</t>
  </si>
  <si>
    <t>ИП ЖДАНЮК ГАЛИНА БОРИСОВНА</t>
  </si>
  <si>
    <t>ИП МЕДВЕДЕВ СЕРГЕЙ ВИКТОРОВИЧ</t>
  </si>
  <si>
    <t>ИП САВКОВ АЛЕКСЕЙ НИКОЛАЕВИЧ</t>
  </si>
  <si>
    <t>303560, ОРЛОВСКАЯ ОБЛАСТЬ, Р-Н ЗАЛЕГОЩЕНСКИЙ, ПГТ ЗАЛЕГОЩЬ, УЛ ПАНЮШКИНА, Д. 11</t>
  </si>
  <si>
    <t>ИП САПУНОВ СЕРГЕЙ ПЕТРОВИЧ</t>
  </si>
  <si>
    <t>ИП ИВАШОВ ИГОРЬ ПАВЛОВИЧ</t>
  </si>
  <si>
    <t>ИП АЛДОБАЕВ ИВАН АЛЕКСАНДРОВИЧ</t>
  </si>
  <si>
    <t>ИП ЩЕПИНА НАТАЛЬЯ СЕРГЕЕВНА</t>
  </si>
  <si>
    <t>ИП ИВАННИКОВА СВЕТЛАНА БОРИСОВНА</t>
  </si>
  <si>
    <t>БСУ СО ОО КАМЕНСКИЙ ГЕРОНТОЛОГИЧЕСКИЙ ЦЕНТР</t>
  </si>
  <si>
    <t>303002, ОРЛОВСКАЯ ОБЛАСТЬ, Р-Н МЦЕНСКИЙ, Д БОЛЬШАЯ КАМЕНКА, УЛ ЗЕЛЕНАЯ, Д. 1</t>
  </si>
  <si>
    <t>ИП ГРИШИНА МАРИНА ВАЛЕРЬЕВНА</t>
  </si>
  <si>
    <t>ИП ПЕТРЕНКО АЛЕКСАНДР НИКОЛАЕВИЧ</t>
  </si>
  <si>
    <t>ИП БУЛГАКОВ АНДРЕЙ СЕРГЕЕВИЧ</t>
  </si>
  <si>
    <t>ИП НЕЧАЕВА ЕЛЕНА СЕРГЕЕВНА</t>
  </si>
  <si>
    <t>ИП ОГАННИСЯН АРТАК ПОГОСОВИЧ</t>
  </si>
  <si>
    <t>ИП ДАНИЛОВ КОНСТАНТИН АЛЬБЕРТОВИЧ</t>
  </si>
  <si>
    <t>ИП ОЛЬХОВ АЛЕКСЕЙ ЮРЬЕВИЧ</t>
  </si>
  <si>
    <t>ИП ТИМОШИН АЛЕКСАНДР АЛЕКСАНДРОВИЧ</t>
  </si>
  <si>
    <t>ИП БУТУСОВ ВЛАДИМИР ПЕТРОВИЧ</t>
  </si>
  <si>
    <t>ИП СЫРЦЕВА ТАТЬЯНА ЛЕОНИДОВНА</t>
  </si>
  <si>
    <t>ИП Генкина Людмила Анатольевна</t>
  </si>
  <si>
    <t>ООО ПАРТНЕР АГРО</t>
  </si>
  <si>
    <t>302516, РОССИЯ, ОРЛОВСКАЯ ОБЛАСТЬ, М.О. ОРЛОВСКИЙ, П КУЛИКОВСКИЙ, УЛ СОВХОЗНАЯ, Д. 2А, СТР. 2</t>
  </si>
  <si>
    <t>ООО ФОРСАЖ-ОРЕЛ</t>
  </si>
  <si>
    <t>302030, ОРЛОВСКАЯ ОБЛАСТЬ, Г ОРЁЛ, УЛ ГЕРЦЕНА, Д. 6, ЛИТЕР Т, ПОМЕЩ. 128</t>
  </si>
  <si>
    <t>ИП ПЛАХОВ АЛЕКСАНДР АЛЕКСАНДРОВИЧ</t>
  </si>
  <si>
    <t>ИП КАВЫРШИН ВАДИМ ВАДИМОВИЧ</t>
  </si>
  <si>
    <t>ООО ТД ИТА</t>
  </si>
  <si>
    <t>ОРЛОВСКАЯ ОБЛАСТЬ, Г.О. ГОРОД ОРЁЛ, Г ОРЁЛ, УЛ РОСТОВСКАЯ, СТР. 13/2</t>
  </si>
  <si>
    <t>ООО РТСЕРВИС</t>
  </si>
  <si>
    <t>302024, ОРЛОВСКАЯ ОБЛАСТЬ, Г ОРЁЛ, УЛ ПОСЕЛКОВАЯ, Д. 15, ЛИТЕР Е, ОФИС 13</t>
  </si>
  <si>
    <t>ИП МОРДВИНОВА НАТАЛЬЯ АНАТОЛЬЕВНА</t>
  </si>
  <si>
    <t>ИП ШУБИНА ЕЛЕНА ВИКТОРОВНА</t>
  </si>
  <si>
    <t>ИП АНАНЬЕВ СЕРГЕЙ ВАСИЛЬЕВИЧ</t>
  </si>
  <si>
    <t>ИП СИМОНОВ ВЛАДИСЛАВ АНАТОЛЬЕВИЧ</t>
  </si>
  <si>
    <t>ИП ТЕПЛОВА ЛИДИЯ АЛЕКСЕЕВНА</t>
  </si>
  <si>
    <t>ООО КУЛ-АВТО</t>
  </si>
  <si>
    <t>302028, ОРЛОВСКАЯ ОБЛАСТЬ, Г ОРЁЛ, УЛ ГУРТЬЕВА, Д. 14, ПОМЕЩ. 22</t>
  </si>
  <si>
    <t>ООО СП-КАРД</t>
  </si>
  <si>
    <t>302004, ОРЛОВСКАЯ ОБЛАСТЬ, Г.О. ГОРОД ОРЁЛ, Г ОРЁЛ, УЛ ЛИВЕНСКАЯ, Д. 33, ПОМЕЩ. 171</t>
  </si>
  <si>
    <t>ИП ЩЕКОТИХИН МИХАИЛ СЕРГЕЕВИЧ</t>
  </si>
  <si>
    <t>ИП СИЛКИН АНДРЕЙ ВЛАДИМИРОВИЧ</t>
  </si>
  <si>
    <t>ИП КНЯЗЕВСКАЯ НАТАЛЬЯ ВЛАДИМИРОВНА</t>
  </si>
  <si>
    <t>ИП ВАСЕЕВ АЛЕКСАНДР АЛЕКСАНДРОВИЧ</t>
  </si>
  <si>
    <t>ООО МКЗАП</t>
  </si>
  <si>
    <t>Пензенская область</t>
  </si>
  <si>
    <t>440015, РОССИЯ, ПЕНЗЕНСКАЯ ОБЛАСТЬ, Г.О. ГОРОД ПЕНЗА, Г ПЕНЗА, УЛ АУСТРИНА, Д. 33</t>
  </si>
  <si>
    <t>ИП ОКСИНА МАРИНА АЛЕКСЕЕВНА</t>
  </si>
  <si>
    <t>ИП СЕВОСТЬЯНИХИН СЕРГЕЙ ЕВГЕНЬЕВИЧ</t>
  </si>
  <si>
    <t>ИП ЛОСКУТОВ ВАЛЕРИЙ ИВАНОВИЧ</t>
  </si>
  <si>
    <t>ООО СУРА-МОТОРС-СЕРВИС</t>
  </si>
  <si>
    <t>440028, ПЕНЗЕНСКАЯ ОБЛАСТЬ, Г ПЕНЗА, УЛ БЕЛЯЕВА, СТР. 2В, ОФИС 2</t>
  </si>
  <si>
    <t>ИП САЛМАНОВ ИЛЬЯ АЛЕКСАНДРОВИЧ</t>
  </si>
  <si>
    <t>ООО СУРА-МОТОРС-ТРАК</t>
  </si>
  <si>
    <t>440028, ПЕНЗЕНСКАЯ ОБЛАСТЬ, Г ПЕНЗА, УЛ БЕЛЯЕВА, СТР. 2В, ОФИС 4</t>
  </si>
  <si>
    <t>ИП ЧАЙНИКОВ АЛЕКСАНДР ИВАНОВИЧ</t>
  </si>
  <si>
    <t>440047, ПЕНЗЕНСКАЯ ОБЛАСТЬ, Г.О. ГОРОД ПЕНЗА, Г ПЕНЗА, УЛ УЛЬЯНОВСКАЯ, СТР. 89, ПОМЕЩ. 2</t>
  </si>
  <si>
    <t>ИП КАРЕВ АНТОН СЕРГЕЕВИЧ</t>
  </si>
  <si>
    <t>ИП ПОПОВА ОЛЬГА ИГОРЕВНА</t>
  </si>
  <si>
    <t>ООО АВТОКОРЕЯ</t>
  </si>
  <si>
    <t>440031, ПЕНЗЕНСКАЯ ОБЛАСТЬ, Г ПЕНЗА, УЛ ОКРУЖНАЯ, СТР. 3Д</t>
  </si>
  <si>
    <t>ООО СПАРТАК</t>
  </si>
  <si>
    <t>440058, ПЕНЗЕНСКАЯ ОБЛАСТЬ, Г ПЕНЗА, УЛ БИЙСКАЯ, Д. 1Г, ОФИС 23</t>
  </si>
  <si>
    <t>АО ПЕНЗАНЕФТЕПРОДУКТ</t>
  </si>
  <si>
    <t>440013, ПЕНЗЕНСКАЯ ОБЛАСТЬ, Г ПЕНЗА, УЛ НЕЙТРАЛЬНАЯ, СТР. 104Б</t>
  </si>
  <si>
    <t>ИП Аришин Юрий Борисович</t>
  </si>
  <si>
    <t>ИП Сигниенков Сергей Владимирович</t>
  </si>
  <si>
    <t>442539, ПЕНЗЕНСКАЯ ОБЛАСТЬ, Г КУЗНЕЦК, УЛ ЭНЕРГЕТИКОВ, ДВЛД 9</t>
  </si>
  <si>
    <t>ИП АРИСТОВ АЛЕКСЕЙ ВАСИЛЬЕВИЧ</t>
  </si>
  <si>
    <t>ИП ГОСТИНЦЕВ ОЛЕГ ЮРЬЕВИЧ</t>
  </si>
  <si>
    <t>ООО РОСТ ПЛЮС</t>
  </si>
  <si>
    <t>442761, ПЕНЗЕНСКАЯ ОБЛАСТЬ, Р-Н БЕССОНОВСКИЙ, С ЧЕМОДАНОВКА, УЛ ГЕНЕРАЛОВА, ЗД. 33/1</t>
  </si>
  <si>
    <t>ООО ВЕРГИТ</t>
  </si>
  <si>
    <t>440015, РОССИЯ, ПЕНЗЕНСКАЯ ОБЛАСТЬ, Г.О. ГОРОД ПЕНЗА, Г ПЕНЗА, УЛ АУСТРИНА, СТР. 94Б</t>
  </si>
  <si>
    <t>ООО ДЖИТИ-АВТО</t>
  </si>
  <si>
    <t>440018, РОССИЯ, ПЕНЗЕНСКАЯ ОБЛАСТЬ, Г.О. ГОРОД ПЕНЗА, Г ПЕНЗА, УЛ КРАСНОАРМЕЙСКАЯ, ДВЛД. 79</t>
  </si>
  <si>
    <t>440064, РОССИЯ, ПЕНЗЕНСКАЯ ОБЛАСТЬ, Г.О. ГОРОД ПЕНЗА, Г ПЕНЗА, УЛ ЛЯДОВА, Д. 64, КВ. 218</t>
  </si>
  <si>
    <t>ООО АВТОЗАПЧАСТЬ ГРУЗОВИК</t>
  </si>
  <si>
    <t>442246, ПЕНЗЕНСКАЯ ОБЛАСТЬ, Р-Н КАМЕНСКИЙ, Г КАМЕНКА, УЛ КОЛЬЦОВА, Д.10А</t>
  </si>
  <si>
    <t>ИП ХУРТОВА ЛИДИЯ ИВАНОВНА</t>
  </si>
  <si>
    <t>ИП ГУЩИНА ЕЛЕНА АЛЕКСАНДРОВНА</t>
  </si>
  <si>
    <t>ИП ЛАПТЕВ СЕРГЕЙ ИВАНОВИЧ</t>
  </si>
  <si>
    <t>ИП КОМАРОВ АЛЕКСЕЙ ВЛАДИМИРОВИЧ</t>
  </si>
  <si>
    <t>ИП ШУТИХИН ЕВГЕНИЙ АЛЕКСАНДРОВИЧ</t>
  </si>
  <si>
    <t>ИП ЖИРНОВА ЕЛЕНА СЕРГЕЕВНА</t>
  </si>
  <si>
    <t>ООО АВТОМАСТЕР-ВОСТОК</t>
  </si>
  <si>
    <t>440031, РОССИЯ, ПЕНЗЕНСКАЯ ОБЛАСТЬ, Г.О. ГОРОД ПЕНЗА, Г ПЕНЗА, УЛ ОКРУЖНАЯ, СТР. 3Д</t>
  </si>
  <si>
    <t>ООО ПРОДОПТ</t>
  </si>
  <si>
    <t>440031, РОССИЯ, ПЕНЗЕНСКАЯ ОБЛАСТЬ, Г.О. ГОРОД ПЕНЗА, Г ПЕНЗА, УЛ КРИВОЗЕРЬЕ, СТР. 26, ОФИС 1</t>
  </si>
  <si>
    <t>ООО ПРОДВИЖОК СЕРВИС</t>
  </si>
  <si>
    <t>РОССИЯ, ПЕНЗЕНСКАЯ ОБЛАСТЬ, Г.О. ГОРОД ПЕНЗА, Г ПЕНЗА, УЛ КАРПИНСКОГО, СТР. 183, ПОМЕЩ. 1</t>
  </si>
  <si>
    <t>ИП Аджигитов Гилфан Камилевич</t>
  </si>
  <si>
    <t>ИП ДУДАКОВ НИКОЛАЙ СЕРГЕЕВИЧ</t>
  </si>
  <si>
    <t>ИП ЕМЕЛИНА ЕЛЕНА ЮРЬЕВНА</t>
  </si>
  <si>
    <t>ИП ВОТРИНА ЕКАТЕРИНА ЮРЬЕВНА</t>
  </si>
  <si>
    <t>ИП ПАНФЕРОВА ГАЛИЯ ВЛАДИМИРОВНА</t>
  </si>
  <si>
    <t>ИП РЫБКИНА ИРИНА ВЯЧЕСЛАВОВНА</t>
  </si>
  <si>
    <t>ИП ФЕОКТИСТОВА НЭЛЛИ ВИКТОРОВНА</t>
  </si>
  <si>
    <t>ИП САУШКИН АНТОН СЕРГЕЕВИЧ</t>
  </si>
  <si>
    <t>ИП Тришкина Ольга Николаевна</t>
  </si>
  <si>
    <t>ИП КУЛЬКОВА МАРИЯ ВАСИЛЬЕВНА</t>
  </si>
  <si>
    <t>ИП АТЮШКИН СЕРГЕЙ АЛЕКСЕЕВИЧ</t>
  </si>
  <si>
    <t>ИП КИСТКИН МИХАИЛ ВИКТОРОВИЧ</t>
  </si>
  <si>
    <t>ИП ХИЧИНА ТАТЬЯНА ВИКТОРОВНА</t>
  </si>
  <si>
    <t>440023, ПЕНЗЕНСКАЯ ОБЛАСТЬ, Г ПЕНЗА, УЛ ИЗМАЙЛОВА, Д. 83, КВ. 60</t>
  </si>
  <si>
    <t>ООО ОЙЛХИТ</t>
  </si>
  <si>
    <t>440013, РОССИЯ, ПЕНЗЕНСКАЯ ОБЛАСТЬ, Г.О. ГОРОД ПЕНЗА, Г ПЕНЗА, УЛ КЛАРЫ ЦЕТКИН, Д. 37, КВ. 80</t>
  </si>
  <si>
    <t>ИП ДАНИЛЮК СЕРГЕЙ АЛЕКСАНДРОВИЧ</t>
  </si>
  <si>
    <t>ИП БУЧИН ДМИТРИЙ АЛЕКСЕЕВИЧ</t>
  </si>
  <si>
    <t>ООО СУРАТРАНЗИТ</t>
  </si>
  <si>
    <t>440066, ПЕНЗЕНСКАЯ ОБЛАСТЬ, Г.О. ГОРОД ПЕНЗА, Г ПЕНЗА, ПРОЕЗД РАХМАНИНОВА 3-Й, Д. 5</t>
  </si>
  <si>
    <t>ИП ГРИШИН АЛЕКСАНДР ВЛАДИМИРОВИЧ</t>
  </si>
  <si>
    <t>ООО СУРА-МОТОРС</t>
  </si>
  <si>
    <t>440028, ПЕНЗЕНСКАЯ ОБЛАСТЬ, Г ПЕНЗА, УЛ БЕЛЯЕВА, СТР. 2В, ОФИС 3</t>
  </si>
  <si>
    <t>ООО АВТОЛОЦМАН-КМ</t>
  </si>
  <si>
    <t>440028, ПЕНЗЕНСКАЯ ОБЛАСТЬ, Г ПЕНЗА, ПР-КТ ПОБЕДЫ, Д. 53</t>
  </si>
  <si>
    <t>ООО ТОРГ-ДЕТАЛЬ</t>
  </si>
  <si>
    <t>440047, ПЕНЗЕНСКАЯ ОБЛАСТЬ, Г ПЕНЗА, УЛ УЛЬЯНОВСКАЯ, Д. 56, КВ. 24</t>
  </si>
  <si>
    <t>ООО ДУНАЙ-АВТО</t>
  </si>
  <si>
    <t>ИП МАКАРЫЧЕВ АЛЕКСЕЙ АЛЕКСАНДРОВИЧ</t>
  </si>
  <si>
    <t>ООО ПЕНЗА-МОТОР</t>
  </si>
  <si>
    <t>440047, ПЕНЗЕНСКАЯ ОБЛАСТЬ, Г ПЕНЗА, УЛ УЛЬЯНОВСКАЯ, Д. 85, ПОМЕЩ. 1</t>
  </si>
  <si>
    <t>ИП ГОРШЕНИН ПАВЕЛ АЛЕКСАНДРОВИЧ</t>
  </si>
  <si>
    <t>ИП ПАНЬКИН СТАНИСЛАВ НИКОЛАЕВИЧ</t>
  </si>
  <si>
    <t>ИП СВЕТЛИЧНЫЙ АНДРЕЙ АЛЕКСАНДРОВИЧ</t>
  </si>
  <si>
    <t>ИП СЕМЕНОВ ДМИТРИЙ ВИКТОРОВИЧ</t>
  </si>
  <si>
    <t>ООО ПС-СЕРВИС</t>
  </si>
  <si>
    <t>442063, РОССИЯ, ПЕНЗЕНСКАЯ ОБЛАСТЬ, М.Р-Н БАШМАКОВСКИЙ, С ЗНАМЕНСКОЕ, С.П. ЗНАМЕНСКИЙ СЕЛЬСОВЕТ, УЛ СОВХОЗНАЯ, ДВЛД. 18, КВ. 3</t>
  </si>
  <si>
    <t>ИП КРАВЕЦ ГРИГОРИЙ ВЛАДИМИРОВИЧ</t>
  </si>
  <si>
    <t>ИП КОМАРОВ СЕРГЕЙ ВАСИЛЬЕВИЧ</t>
  </si>
  <si>
    <t>ИП КАЛИНИН РОМАН ЮРЬЕВИЧ</t>
  </si>
  <si>
    <t>ИП БУРЦЕВА ОЛЬГА ЕВГЕНЬЕВНА</t>
  </si>
  <si>
    <t>ООО 58 РЕГИОН</t>
  </si>
  <si>
    <t>440000, ПЕНЗЕНСКАЯ ОБЛАСТЬ, Г ПЕНЗА, УЛ ПЛЕХАНОВА, Д. 14, КВ. 26</t>
  </si>
  <si>
    <t>ООО ГРУЗОВИК 58</t>
  </si>
  <si>
    <t>440068, ПЕНЗЕНСКАЯ ОБЛАСТЬ, Г ПЕНЗА, УЛ ПЕРСПЕКТИВНАЯ, СТР. 13, ЛИТЕР А, ОФИС 2</t>
  </si>
  <si>
    <t>ООО КАРАВАН У ДОМА</t>
  </si>
  <si>
    <t>440058, РОССИЯ, ПЕНЗЕНСКАЯ ОБЛАСТЬ, Г.О. ГОРОД ПЕНЗА, Г ПЕНЗА, УЛ БИЙСКАЯ, СТР. 27, ОФИС 23</t>
  </si>
  <si>
    <t>ООО АВТО МАРКЕТ</t>
  </si>
  <si>
    <t>440058, РОССИЯ, ПЕНЗЕНСКАЯ ОБЛАСТЬ, Г.О. ГОРОД ПЕНЗА, Г ПЕНЗА, УЛ ТЕПЛИЧНАЯ, Д. 39, КВ. 125</t>
  </si>
  <si>
    <t>ИП САЩЕНКО ЕВГЕНИЙ ОЛЕГОВИЧ</t>
  </si>
  <si>
    <t>ИП СМОЛЬКОВ АЛЕКСАНДР ПЕТРОВИЧ</t>
  </si>
  <si>
    <t>ООО СТОСНАБ</t>
  </si>
  <si>
    <t>442963, ПЕНЗЕНСКАЯ ОБЛАСТЬ, Г ЗАРЕЧНЫЙ, УЛ ЗЕЛЕНАЯ, Д. 10В, КВ. 55</t>
  </si>
  <si>
    <t>ИП ДАНИЛОВ НИКОЛАЙ АЛЕКСАНДРОВИЧ</t>
  </si>
  <si>
    <t>ИП КОСТРОМИТИНА ТАТЬЯНА СЕРГЕЕВНА</t>
  </si>
  <si>
    <t>ИП КОРШЕВ НИКОЛАЙ НИКОЛАЕВИЧ</t>
  </si>
  <si>
    <t>ИП ТРЕНЬКИН СЕРГЕЙ АЛЕКСАНДРОВИЧ</t>
  </si>
  <si>
    <t>ИП ЗЯБИРОВ РУСЛАН ДЖАВДЯТОВИЧ</t>
  </si>
  <si>
    <t>ИП Авдеев Владимир Федорович</t>
  </si>
  <si>
    <t>ИП ТОРГАШЁВ ДМИТРИЙ ВАЛЕРЬЕВИЧ</t>
  </si>
  <si>
    <t>ИП СТРИЖКОВ ОЛЕГ ИВАНОВИЧ</t>
  </si>
  <si>
    <t>ИП ИЗМАЙЛОВА МАРИЯ АЛЕКСАНДРОВНА</t>
  </si>
  <si>
    <t>ИП ЛОГИНОВА ТАТЬЯНА АЛЕКСАНДРОВНА</t>
  </si>
  <si>
    <t>ИП ЧАЛЫШОВА ГАЛИНА НИКОЛАЕВНА</t>
  </si>
  <si>
    <t>ИП КОЧЕЛАЕВ ЕВГЕНИЙ АЛЕКСАНДРОВИЧ</t>
  </si>
  <si>
    <t>ООО КОМПАНИЯ КАРСНАБ</t>
  </si>
  <si>
    <t>440067, ПЕНЗЕНСКАЯ ОБЛАСТЬ, Г ПЕНЗА, УЛ ЧААДАЕВА, ВЛД. 36, К. А</t>
  </si>
  <si>
    <t>ООО ТОРГСЕРВИС 58</t>
  </si>
  <si>
    <t>440013, РОССИЯ, ПЕНЗЕНСКАЯ ОБЛАСТЬ, Г.О. ГОРОД ПЕНЗА, Г ПЕНЗА, УЛ ДРУЖБЫ, ЗД. 27</t>
  </si>
  <si>
    <t>440061, ПЕНЗЕНСКАЯ ОБЛАСТЬ, Г.О. ГОРОД ПЕНЗА, Г ПЕНЗА, УЛ ПРОЛЕТАРСКАЯ, СТР. 3</t>
  </si>
  <si>
    <t>ООО РАМСЕРВИС ГРУПП</t>
  </si>
  <si>
    <t>440061, РОССИЯ, ПЕНЗЕНСКАЯ ОБЛАСТЬ, Г.О. ГОРОД ПЕНЗА, Г ПЕНЗА, УЛ ПРОЛЕТАРСКАЯ, ВЛД. 61, СКЛ. СТО</t>
  </si>
  <si>
    <t>ООО КРУИЗ</t>
  </si>
  <si>
    <t>440066, ПЕНЗЕНСКАЯ ОБЛАСТЬ, Г ПЕНЗА, УЛ МУСОРГСКОГО, Д.13</t>
  </si>
  <si>
    <t>ИП ФЕДУЛАЕВ АЛЕКСАНДР СЕРГЕЕВИЧ</t>
  </si>
  <si>
    <t>ООО АВТОЛОЦМАН-СК</t>
  </si>
  <si>
    <t>440028, ПЕНЗЕНСКАЯ ОБЛАСТЬ, Г ПЕНЗА, ПР-КТ ПОБЕДЫ, СТР. 53Б</t>
  </si>
  <si>
    <t>ИП ГЛАЗУНОВ КИРИЛЛ АНДРЕЕВИЧ</t>
  </si>
  <si>
    <t>ИП ИВАНОВ СЕРГЕЙ ВИКТОРОВИЧ</t>
  </si>
  <si>
    <t>ООО МАРИЯ</t>
  </si>
  <si>
    <t>440018, ПЕНЗЕНСКАЯ ОБЛАСТЬ, Г ПЕНЗА, УЛ ТИМИРЯЗЕВА, ДВЛД. 99, К. А</t>
  </si>
  <si>
    <t>АО ГАЗПРОМ ГАЗОРАСПРЕДЕЛЕНИЕ ПЕНЗА</t>
  </si>
  <si>
    <t>440000, ПЕНЗЕНСКАЯ ОБЛАСТЬ, Г ПЕНЗА, УЛ МАКСИМА ГОРЬКОГО, СТР. 50</t>
  </si>
  <si>
    <t>ООО ПРЕМЬЕРА</t>
  </si>
  <si>
    <t>440011, ПЕНЗЕНСКАЯ ОБЛАСТЬ, Г ПЕНЗА, УЛ БУГРОВКА Б., Д.52</t>
  </si>
  <si>
    <t>ООО АКВА-ЛАЙФ</t>
  </si>
  <si>
    <t>ООО АВТОЛОЦМАН-М</t>
  </si>
  <si>
    <t>440008, ПЕНЗЕНСКАЯ ОБЛАСТЬ, Г ПЕНЗА, УЛ КУЛАКОВА, Д.14 Б</t>
  </si>
  <si>
    <t>ООО ПЕТРОЛЕУМ-СМ</t>
  </si>
  <si>
    <t>440011, ПЕНЗЕНСКАЯ ОБЛАСТЬ, Г ПЕНЗА, УЛ КАРПИНСКОГО, Д. 44 А, КВ. 48</t>
  </si>
  <si>
    <t>ООО ТМД</t>
  </si>
  <si>
    <t>440008, РОССИЯ, ПЕНЗЕНСКАЯ ОБЛАСТЬ, Г.О. ГОРОД ПЕНЗА, Г ПЕНЗА, УЛ СТАВСКОГО, Д. 14, КВ 36</t>
  </si>
  <si>
    <t>ООО СПЕКТР-АВТО</t>
  </si>
  <si>
    <t>440000, ПЕНЗЕНСКАЯ ОБЛАСТЬ, Г ПЕНЗА, ПР-КТ ПОБЕДЫ, Д.45</t>
  </si>
  <si>
    <t>ИП МУРАЛЬ ЕВГЕНИЙ НИКОЛАЕВИЧ</t>
  </si>
  <si>
    <t>ИП КУДРЯШОВА АЛЕКСАНДРА СЕРГЕЕВНА</t>
  </si>
  <si>
    <t>ИП ИВАНОВ ОЛЕГ ВЛАДИМИРОВИЧ</t>
  </si>
  <si>
    <t>ИП ИВАНОВ ИГОРЬ ВЛАДИМИРОВИЧ</t>
  </si>
  <si>
    <t>ИП КОСТРОМИТИН ДМИТРИЙ АЛЕКСЕЕВИЧ</t>
  </si>
  <si>
    <t>ИП АРЕФЬЕВ ВАДИМ АНАТОЛЬЕВИЧ</t>
  </si>
  <si>
    <t>ИП СУХОВА НАДЕЖДА ВИКТОРОВНА</t>
  </si>
  <si>
    <t>ИП ЦЫРИНА ВАЛЕНТИНА АЛЕКСЕЕВНА</t>
  </si>
  <si>
    <t>ИП БЫКОВ ВЛАДИМИР АЛЕКСАНДРОВИЧ</t>
  </si>
  <si>
    <t>ИП БУЯНИНА НАТАЛЬЯ ИВАНОВНА</t>
  </si>
  <si>
    <t>ИП КОСОВ АЛЕКСЕЙ НИКОЛАЕВИЧ</t>
  </si>
  <si>
    <t>ИП ФЕДОТОВА ЕЛЕНА ВЛАДИМИРОВНА</t>
  </si>
  <si>
    <t>ИП КИПУРОВ ЕВГЕНИЙ ПЕТРОВИЧ</t>
  </si>
  <si>
    <t>ООО ВК СЕРВИС</t>
  </si>
  <si>
    <t>440062, ПЕНЗЕНСКАЯ ОБЛАСТЬ, Г.О. ГОРОД ПЕНЗА, Г ПЕНЗА, ПРОЕЗД ОНЕЖСКИЙ 1-Й, СТР. 4</t>
  </si>
  <si>
    <t>ИП ИСЯНОВА ГЮЗЕЛЬ ФАТИХОВНА</t>
  </si>
  <si>
    <t>ООО АВТО-СНАБ</t>
  </si>
  <si>
    <t>440501, ПЕНЗЕНСКАЯ ОБЛАСТЬ, Р-Н ПЕНЗЕНСКИЙ, С ВОСКРЕСЕНОВКА, УЛ ЛЕСНАЯ, Д. 23</t>
  </si>
  <si>
    <t>ИП ЧЕВАЧИНА НАТАЛЬЯ ИВАНОВНА</t>
  </si>
  <si>
    <t>ООО АВТОМАСТЕР-ПЕНЗА</t>
  </si>
  <si>
    <t>440023, ПЕНЗЕНСКАЯ ОБЛАСТЬ, Г ПЕНЗА, УЛ ИЗМАЙЛОВА, ВЛД. 15, К. А</t>
  </si>
  <si>
    <t>ИП МОРОЗКИН АЛЕКСЕЙ ВИКТОРОВИЧ</t>
  </si>
  <si>
    <t>ИП КЛОЧКОВ ОЛЕГ НИКОЛАЕВИЧ</t>
  </si>
  <si>
    <t>ИП Четвериков Владимир Дмитриевич</t>
  </si>
  <si>
    <t>ИП БРИТЦОВ СЕРГЕЙ ВЛАДИМИРОВИЧ</t>
  </si>
  <si>
    <t>ИП БАРЫШНИКОВА ЛЮДМИЛА ВИКТОРОВНА</t>
  </si>
  <si>
    <t>ООО ПЕНЗА-АВТО</t>
  </si>
  <si>
    <t>440047, ПЕНЗЕНСКАЯ ОБЛАСТЬ, Г ПЕНЗА, УЛ УЛЬЯНОВСКАЯ, Д.91</t>
  </si>
  <si>
    <t>ООО СУРА-МОТОРС-АВТО</t>
  </si>
  <si>
    <t>ООО АЛЛЕР-АВТО</t>
  </si>
  <si>
    <t>440028, ПЕНЗЕНСКАЯ ОБЛАСТЬ, Г ПЕНЗА, УЛ БЕЛЯЕВА, СТР. 2В, ОФИС 1</t>
  </si>
  <si>
    <t>ООО ИЗАР-АВТО</t>
  </si>
  <si>
    <t>ООО СУРА-МОТОРС-ЦКР</t>
  </si>
  <si>
    <t>ООО СУРА-МОТОРС-СИТИ</t>
  </si>
  <si>
    <t>ООО ОЙЛ КОММЕРЦ</t>
  </si>
  <si>
    <t>440066, ПЕНЗЕНСКАЯ ОБЛАСТЬ, Г ПЕНЗА, УЛ БОРОДИНА, Д.4, 206</t>
  </si>
  <si>
    <t>ИП ЗИМИНА ОКСАНА СТАНИСЛАВОВНА</t>
  </si>
  <si>
    <t>ООО СИТИ ЛАЙТ</t>
  </si>
  <si>
    <t>440028, ПЕНЗЕНСКАЯ ОБЛАСТЬ, Г ПЕНЗА, УЛ СТРОИТЕЛЕЙ, Д. 35</t>
  </si>
  <si>
    <t>ИП СЕМЯЧКИН ВАДИМ АЛЕКСЕЕВИЧ</t>
  </si>
  <si>
    <t>ИП ФЕДУЛАЕВ СЕРГЕЙ АНАТОЛЬЕВИЧ</t>
  </si>
  <si>
    <t>ИП БУХАРЕВА НАТАЛЬЯ МИХАЙЛОВНА</t>
  </si>
  <si>
    <t>ООО АРБЕКОВО-ДРАЙВ</t>
  </si>
  <si>
    <t>440047, РОССИЯ, ПЕНЗЕНСКАЯ ОБЛАСТЬ, Г.О. ГОРОД ПЕНЗА, Г ПЕНЗА, УЛ УЛЬЯНОВСКАЯ, Д. 85, ПОМЕЩ. 3</t>
  </si>
  <si>
    <t>ИП ДОМНИНА ЕЛЕНА АЛЕКСАНДРОВНА</t>
  </si>
  <si>
    <t>ИП СЛЕПОВИЧЕВА ЕЛЕНА ВАЛЕРЬЕВНА</t>
  </si>
  <si>
    <t>ИП КАРАПУЛОВА ОЛЬГА ВЛАДИМИРОВНА</t>
  </si>
  <si>
    <t>ИП ПАХТАНОВ ДМИТРИЙ АЛЕКСАНДРОВИЧ</t>
  </si>
  <si>
    <t>ООО СТРОЙ-ХОЛДИНГ58</t>
  </si>
  <si>
    <t>440011, ПЕНЗЕНСКАЯ ОБЛАСТЬ, Г ПЕНЗА, УЛ 8 МАРТА, Д. 17, КВ. 79</t>
  </si>
  <si>
    <t>ИП ГЕТАЛОВ АЛЕКСАНДР ЮРЬЕВИЧ</t>
  </si>
  <si>
    <t>ИП МОИСЕЕВ СЕРГЕЙ ВАЛЕРЬЕВИЧ</t>
  </si>
  <si>
    <t>ООО АВТОСПЕЦОЙЛ</t>
  </si>
  <si>
    <t>440068, РОССИЯ, ПЕНЗЕНСКАЯ ОБЛАСТЬ, Г.О. ГОРОД ПЕНЗА, Г ПЕНЗА, УЛ ПЕТРОВСКАЯ, СТР. 86, ОФИС 1</t>
  </si>
  <si>
    <t>ИП ДУДОРОВ ПАВЕЛ АНДРЕЕВИЧ</t>
  </si>
  <si>
    <t>ИП НАГАРЕВ АНДРЕЙ СЕРГЕЕВИЧ</t>
  </si>
  <si>
    <t>ИП АВДОНИН ДМИТРИЙ НИКОЛАЕВИЧ</t>
  </si>
  <si>
    <t>ООО КДА58</t>
  </si>
  <si>
    <t>442963, ПЕНЗЕНСКАЯ ОБЛАСТЬ, Г.О. ЗАТО ГОРОД ЗАРЕЧНЫЙ, Г ЗАРЕЧНЫЙ, УЛ АХУНСКАЯ, Д. 7, КВ. 56</t>
  </si>
  <si>
    <t>ИП ЛЕГЧИЛИН АНДРЕЙ ВЛАДИМИРОВИЧ</t>
  </si>
  <si>
    <t>ИП ЯВОРСКИЙ ДЕНИС АНАТОЛЬЕВИЧ</t>
  </si>
  <si>
    <t>ИП КОСТРОМИТИН ДЕНИС АЛЕКСЕЕВИЧ</t>
  </si>
  <si>
    <t>ИП ДУБЦОВА ВЕРА АНАТОЛЬЕВНА</t>
  </si>
  <si>
    <t>ИП ЕЛОВИКОВА АНАСТАСИЯ СЕРГЕЕВНА</t>
  </si>
  <si>
    <t>Пермский край</t>
  </si>
  <si>
    <t>ИП КУЗНЕЦОВА ПОЛИНА ВЛАДИМИРОВНА</t>
  </si>
  <si>
    <t>ИП МИЛЬТО ЕЛЕНА АЛЕКСАНДРОВНА</t>
  </si>
  <si>
    <t>614010, РОССИЯ, ПЕРМСКИЙ КРАЙ, Г.О. ПЕРМСКИЙ, Г ПЕРМЬ, УЛ ГЕРОЕВ ХАСАНА, Д. 9, ЭТАЖ 2, ПОМЕЩ. 15</t>
  </si>
  <si>
    <t>ИП НИКИФОРОВА МАРИЯ АНАТОЛЬЕВНА</t>
  </si>
  <si>
    <t>ООО САТУРН-Р-АВТО</t>
  </si>
  <si>
    <t>614015, ПЕРМСКИЙ КРАЙ, Г ПЕРМЬ, УЛ КУЙБЫШЕВА, Д. 37, ОФИС 703</t>
  </si>
  <si>
    <t>ООО САТУРН-РА1</t>
  </si>
  <si>
    <t>614500, ПЕРМСКИЙ КРАЙ, Р-Н ПЕРМСКИЙ, Д ПЕСЬЯНКА, Ш КОСМОНАВТОВ, Д. 368Д</t>
  </si>
  <si>
    <t>ООО КОМПАНИЯ АЛЬФА-СИНТЕЗ</t>
  </si>
  <si>
    <t>614031, ПЕРМСКИЙ КРАЙ, Г ПЕРМЬ, УЛ ДОКУЧАЕВА, Д. 33, ОФИС 423</t>
  </si>
  <si>
    <t>ИП КОШЕЛЕВ ВЯЧЕСЛАВ ЕВГЕНЬЕВИЧ</t>
  </si>
  <si>
    <t>ООО ВМ ТЮМЕНЬ</t>
  </si>
  <si>
    <t>614500, ПЕРМСКИЙ КРАЙ, Р-Н ПЕРМСКИЙ, Д ХМЕЛИ, Ш КОСМОНАВТОВ, Д. 316, К. В, ПОМЕЩ. 210</t>
  </si>
  <si>
    <t>ООО САТУРН - Р - ТИТАН</t>
  </si>
  <si>
    <t>614015, ПЕРМСКИЙ КРАЙ, Г ПЕРМЬ, УЛ КУЙБЫШЕВА, Д. 37, ОФИС 700/8</t>
  </si>
  <si>
    <t>ООО ВЕГА-МОТОРС</t>
  </si>
  <si>
    <t>614013, ПЕРМСКИЙ КРАЙ, Г ПЕРМЬ, УЛ СПЕШИЛОВА, Д. 77</t>
  </si>
  <si>
    <t>ООО ДИСКОНТШИНА</t>
  </si>
  <si>
    <t>614068, ПЕРМСКИЙ КРАЙ, Г ПЕРМЬ, УЛ СУХОБРУСА, Д. 12</t>
  </si>
  <si>
    <t>ИП СУББОТИН АЛЕКСАНДР АНАТОЛЬЕВИЧ</t>
  </si>
  <si>
    <t>ИП Юсифов Джавад Чингизович</t>
  </si>
  <si>
    <t>ООО АВТОДИДЖИТАЛ</t>
  </si>
  <si>
    <t>614500, ПЕРМСКИЙ КРАЙ, Г ПЕРМЬ, Ш КОСМОНАВТОВ, Д.361</t>
  </si>
  <si>
    <t>ООО ТЕРРА-НОВА</t>
  </si>
  <si>
    <t>614064, ПЕРМСКИЙ КРАЙ, Г ПЕРМЬ, УЛ ГЕРОЕВ ХАСАНА, Д.81</t>
  </si>
  <si>
    <t>ООО ПСВ-КОЛОР</t>
  </si>
  <si>
    <t>614033, ПЕРМСКИЙ КРАЙ, Г.О. ПЕРМСКИЙ, Г ПЕРМЬ, УЛ КУЙБЫШЕВА, Д. 140Б</t>
  </si>
  <si>
    <t>ИП МИНАЕВ ДМИТРИЙ ВАСИЛЬЕВИЧ</t>
  </si>
  <si>
    <t>614025, ПЕРМСКИЙ КРАЙ, Г ПЕРМЬ, УЛ ГЕРОЕВ ХАСАНА, Д. 100, ОФИС 305</t>
  </si>
  <si>
    <t>ООО КЛУБ АВТО</t>
  </si>
  <si>
    <t>614012, ПЕРМСКИЙ КРАЙ, Г ПЕРМЬ, УЛ АРХИТЕКТОРА СВИЯЗЕВА, Д. 2А</t>
  </si>
  <si>
    <t>ИП МАСАЛКИН ОЛЕГ ВИКТОРОВИЧ</t>
  </si>
  <si>
    <t>ООО АКАДЕМИЯ АККРЕДИТАЦИИ</t>
  </si>
  <si>
    <t>614014, РОССИЯ, ПЕРМСКИЙ КРАЙ, Г.О. ПЕРМСКИЙ, Г ПЕРМЬ, УЛ САККО И ВАНЦЕТТИ, Д. 4</t>
  </si>
  <si>
    <t>ИП БАБУШКИН ВАДИМ ВЛАДИМИРОВИЧ</t>
  </si>
  <si>
    <t>ИП Волегов Александр Андреевич</t>
  </si>
  <si>
    <t>ИП МИННАХМЕТОВА АЛЕКСАНДРА РАИФОВНА</t>
  </si>
  <si>
    <t>ИП КАМАШЕВ ИГОРЬ ЛЕОНИДОВИЧ</t>
  </si>
  <si>
    <t>ИП МИКУЦКАЯ КСЕНИЯ АНДРЕЕВНА</t>
  </si>
  <si>
    <t>ИП КУЛЮШИН АЛЕКСАНДР ВЛАДИМИРОВИЧ</t>
  </si>
  <si>
    <t>ИП РАСПОНОМАРЕВА ЕЛЕНА ВИКТОРОВНА</t>
  </si>
  <si>
    <t>ИП ТАРАСОВ ДМИТРИЙ РОМАНОВИЧ</t>
  </si>
  <si>
    <t>ИП РАКЛАНОВА ТАТЬЯНА РАУИСОВНА</t>
  </si>
  <si>
    <t>ИП Туйсузов Олег Александрович</t>
  </si>
  <si>
    <t>ИП КОПЫСОВ ВЯЧЕСЛАВ АЛЕКСАНДРОВИЧ</t>
  </si>
  <si>
    <t>ООО ДЦ ПОВОЛЖЬЕ</t>
  </si>
  <si>
    <t>614042, РОССИЯ, ПЕРМСКИЙ КРАЙ, Г.О. ПЕРМСКИЙ, Г ПЕРМЬ, УЛ ЛАСЬВИНСКАЯ, Д. 86</t>
  </si>
  <si>
    <t>ООО ВОСТОК МОТОРС ПРИКАМЬЕ</t>
  </si>
  <si>
    <t>614500, ПЕРМСКИЙ КРАЙ, М.О. ПЕРМСКИЙ, Д ХМЕЛИ, Ш КОСМОНАВТОВ, Д. 328/1, ПОМЕЩ. 102</t>
  </si>
  <si>
    <t>ИП Щукин Андрей Арсеньевич</t>
  </si>
  <si>
    <t>ИП ФИРСОВ ВЛАДИМИР ВАЛЕРЬЕВИЧ</t>
  </si>
  <si>
    <t>ИП ЯРКОВ СЕРГЕЙ СТЕПАНОВИЧ</t>
  </si>
  <si>
    <t>ИП ЖИЖИЛЕВ ЮРИЙ ВАСИЛЬЕВИЧ</t>
  </si>
  <si>
    <t>ООО ДФМ</t>
  </si>
  <si>
    <t>614068, РОССИЯ, ПЕРМСКИЙ КРАЙ, Г.О. ПЕРМСКИЙ, Г ПЕРМЬ, УЛ СПЕШИЛОВА, ЗД. 107, ПОМЕЩ. 1</t>
  </si>
  <si>
    <t>ИП КОНДРАШКИН ДМИТРИЙ ЕВГЕНЬЕВИЧ</t>
  </si>
  <si>
    <t>ООО АВТОМАТИКА ПРО</t>
  </si>
  <si>
    <t>614015, ПЕРМСКИЙ КРАЙ, Г ПЕРМЬ, УЛ МОНАСТЫРСКАЯ, Д. 95Г, ЭТАЖ 3</t>
  </si>
  <si>
    <t>614000, РОССИЯ, ПЕРМСКИЙ КРАЙ, Г.О. ПЕРМСКИЙ, Г ПЕРМЬ, УЛ ЕКАТЕРИНИНСКАЯ, Д. 119, ОФИС 2</t>
  </si>
  <si>
    <t>ООО МИР СЕРВИС</t>
  </si>
  <si>
    <t>614068, РОССИЯ, ПЕРМСКИЙ КРАЙ, Г.О. ПЕРМСКИЙ, Г ПЕРМЬ, УЛ ЛУНАЧАРСКОГО, Д. 96, КВ. 104</t>
  </si>
  <si>
    <t>ООО УРАЛОПТИНСТРУМЕНТ</t>
  </si>
  <si>
    <t>614068, ПЕРМСКИЙ КРАЙ, Г ПЕРМЬ, УЛ ЛЕСОЗАВОДСКАЯ, Д.6</t>
  </si>
  <si>
    <t>ООО ПЕРМЬ ИТ СЕРВИС</t>
  </si>
  <si>
    <t>614064, ПЕРМСКИЙ КРАЙ, Г ПЕРМЬ, УЛ ГЕРОЕВ ХАСАНА, Д. 46, ЛИТЕРА Ф, ОФИС 222</t>
  </si>
  <si>
    <t>ООО ОФИС-ЦЕНТР</t>
  </si>
  <si>
    <t>614015, ПЕРМСКИЙ КРАЙ, Г ПЕРМЬ, УЛ ГАЗЕТЫ ЗВЕЗДА, Д. 27, ОФИС 206</t>
  </si>
  <si>
    <t>ООО САТУРН - Р - КАЛИПСО</t>
  </si>
  <si>
    <t>618400, ПЕРМСКИЙ КРАЙ, Г БЕРЕЗНИКИ, УЛ БЕРЕЗНИКОВСКАЯ, Д. 35, ОФИС 100</t>
  </si>
  <si>
    <t>ООО ВОЛНА</t>
  </si>
  <si>
    <t>614000, ПЕРМСКИЙ КРАЙ, Г ПЕРМЬ, УЛ ЛЕНИНА, Д. 72Б</t>
  </si>
  <si>
    <t>ООО ЕЛИЗАВЕТИНСКАЯ БОЛЬНИЦА</t>
  </si>
  <si>
    <t>614068, ПЕРМСКИЙ КРАЙ, Г ПЕРМЬ, УЛ ЕКАТЕРИНИНСКАЯ, Д.224</t>
  </si>
  <si>
    <t>ИП ФОМИНЫХ АЛЕВТИНА ВИКТОРОВНА</t>
  </si>
  <si>
    <t>ИП Бочуля Инга Евгеньевна</t>
  </si>
  <si>
    <t>ООО ПРЕМЬЕР</t>
  </si>
  <si>
    <t>614500, ПЕРМСКИЙ КРАЙ, Г ПЕРМЬ, Ш КОСМОНАВТОВ, СТР. 399Б</t>
  </si>
  <si>
    <t>ООО ТРАКМОТОРСПЕРМЬ</t>
  </si>
  <si>
    <t>614058, ПЕРМСКИЙ КРАЙ, Г ПЕРМЬ, УЛ ФОМИНСКАЯ, Д.43</t>
  </si>
  <si>
    <t>ИП БЫКОВ КОНСТАНТИН СЕРГЕЕВИЧ</t>
  </si>
  <si>
    <t>ООО УРАЛБЕНЗОТЕХ</t>
  </si>
  <si>
    <t>614500, ПЕРМСКИЙ КРАЙ, Р-Н ПЕРМСКИЙ, Д ХМЕЛИ, Ш КОСМОНАВТОВ, Д. 320</t>
  </si>
  <si>
    <t>ООО ЗАПАСОПТ</t>
  </si>
  <si>
    <t>614095, ПЕРМСКИЙ КРАЙ, Г ПЕРМЬ, УЛ КАРПИНСКОГО, ЗД. 91А, ОФИС 1</t>
  </si>
  <si>
    <t>ООО ЭКСПЕРТ М</t>
  </si>
  <si>
    <t>614068, ПЕРМСКИЙ КРАЙ, Г ПЕРМЬ, УЛ СЕРГЕЯ ДАНЩИНА, Д. 5, ОФИС 340А</t>
  </si>
  <si>
    <t>ИП САННИКОВ АНДРЕЙ ВЛАДИМИРОВИЧ</t>
  </si>
  <si>
    <t>ООО ТРЕЙДИМПОРТКОМ</t>
  </si>
  <si>
    <t>614058, РОССИЯ, ПЕРМСКИЙ КРАЙ, Г.О. ПЕРМСКИЙ, Г ПЕРМЬ, УЛ ФОМИНСКАЯ, Д. 50, К. 1, КОМ. 6</t>
  </si>
  <si>
    <t>ООО АВТОСИСТЕМА</t>
  </si>
  <si>
    <t>614065, ПЕРМСКИЙ КРАЙ, Г ПЕРМЬ, УЛ ВЕРХНЕ-МУЛЛИНСКАЯ, Д. 134</t>
  </si>
  <si>
    <t>ИП ЧУДИНОВ АЛЕКСАНДР СЕРГЕЕВИЧ</t>
  </si>
  <si>
    <t>ИП ЯЗВИНСКИЙ ДЕНИС АНАТОЛЬЕВИЧ</t>
  </si>
  <si>
    <t>ИП ДЕРБИН ЕГОР ВЛАДИМИРОВИЧ</t>
  </si>
  <si>
    <t>ИП ВАВИЛИНА МАРИЯ НИКОЛАЕВНА</t>
  </si>
  <si>
    <t>ООО АВТОЭКСКЛЮЗИВ</t>
  </si>
  <si>
    <t>614033, ПЕРМСКИЙ КРАЙ, Г ПЕРМЬ, УЛ ВАСИЛИЯ ВАСИЛЬЕВА, Д. 11, ОФИС МАГАЗИН АВТОЗАПЧАСТИ</t>
  </si>
  <si>
    <t>ИП ДВОЙНИКОВ ДЕНИС АЛЕКСАНДРОВИЧ</t>
  </si>
  <si>
    <t>ИП СКАЧКОВ ВЛАДИМИР АЛЕКСЕЕВИЧ</t>
  </si>
  <si>
    <t>ООО ЭР-ЭЙЧ-ТИ СПРЕЙТЕК</t>
  </si>
  <si>
    <t>614010, ПЕРМСКИЙ КРАЙ, Г ПЕРМЬ, ПР-КТ КОМСОМОЛЬСКИЙ, Д. 82, КВ. 45</t>
  </si>
  <si>
    <t>ООО МАСТАК-ПЛЮС</t>
  </si>
  <si>
    <t>614010, ПЕРМСКИЙ КРАЙ, Г ПЕРМЬ, УЛ КУЙБЫШЕВА, Д. 89</t>
  </si>
  <si>
    <t>ООО ОЛИМП ГРУПП</t>
  </si>
  <si>
    <t>614025, ПЕРМСКИЙ КРАЙ, Г.О. ПЕРМСКИЙ, Г ПЕРМЬ, УЛ ГЕРОЕВ ХАСАНА, Д. 105, К. 70, ОФИС 430</t>
  </si>
  <si>
    <t>ООО ТД СТАНДАРТ</t>
  </si>
  <si>
    <t>614055, ПЕРМСКИЙ КРАЙ, Г ПЕРМЬ, УЛ ПРОМЫШЛЕННАЯ, Д. 147</t>
  </si>
  <si>
    <t>614064, ПЕРМСКИЙ КРАЙ, Г ПЕРМЬ, УЛ ГЕРОЕВ ХАСАНА, Д. 17, ПОМЕЩ. 1-4</t>
  </si>
  <si>
    <t>ООО АСТОНМАРКЕТ</t>
  </si>
  <si>
    <t>614042, РОССИЯ, ПЕРМСКИЙ КРАЙ, Г.О. ПЕРМСКИЙ, Г ПЕРМЬ, УЛ СИВАШСКАЯ, Д. 7</t>
  </si>
  <si>
    <t>ООО ВЕГА МАС</t>
  </si>
  <si>
    <t>614067, РОССИЯ, ПЕРМСКИЙ КРАЙ, Г.О. ПЕРМСКИЙ, Г ПЕРМЬ, УЛ ВЕТЛУЖСКАЯ, Д. 66, ПОМЕЩ. 18</t>
  </si>
  <si>
    <t>ШЕЛЭКС  ООО</t>
  </si>
  <si>
    <t>614033, ПЕРМСКИЙ КРАЙ, Г ПЕРМЬ, УЛ ВАСИЛИЯ ВАСИЛЬЕВА, Д. 11</t>
  </si>
  <si>
    <t>ООО ОЙЛ МЕНЕДЖМЕНТ</t>
  </si>
  <si>
    <t>614000, ПЕРМСКИЙ КРАЙ, Г ПЕРМЬ, УЛ КУЙБЫШЕВА, Д.2, 405</t>
  </si>
  <si>
    <t>ООО БРОКЕРФИНАНССЕРВИС</t>
  </si>
  <si>
    <t>614064, ПЕРМСКИЙ КРАЙ, Г ПЕРМЬ, УЛ ГЕРОЕВ ХАСАНА, Д. 79, ЛИТЕРА А, ПОМЕЩЕНИЕ 6</t>
  </si>
  <si>
    <t>614015, ПЕРМСКИЙ КРАЙ, Г ПЕРМЬ, УЛ МАКСИМА ГОРЬКОГО, Д. 49, КВ. 67</t>
  </si>
  <si>
    <t>ООО АРКТИК-ПЕРМЬ</t>
  </si>
  <si>
    <t>614068, ПЕРМСКИЙ КРАЙ, Г ПЕРМЬ, УЛ ПУШКИНА, Д.109</t>
  </si>
  <si>
    <t>ООО КАМСКАЯ КРУИЗНАЯ КОМПАНИЯ</t>
  </si>
  <si>
    <t>614068, ПЕРМСКИЙ КРАЙ, Г ПЕРМЬ, УЛ ЛЕНИНА, Д. 72, К. Б</t>
  </si>
  <si>
    <t>ИП МУШНИКОВ СЕРГЕЙ БОРИСОВИЧ</t>
  </si>
  <si>
    <t>ИП ДУШЕЙКО ФРИДА МИХАЙЛОВНА</t>
  </si>
  <si>
    <t>ООО АЛЬЯНС ОЙЛ</t>
  </si>
  <si>
    <t>614068, ПЕРМСКИЙ КРАЙ, Г ПЕРМЬ, УЛ СЕРГЕЯ ДАНЩИНА, Д. 5, ОФИС 340</t>
  </si>
  <si>
    <t>ИП БАРКЛЯНСКИЙ ВИКТОР КОНСТАНТИНОВИЧ</t>
  </si>
  <si>
    <t>614067, ПЕРМСКИЙ КРАЙ, Г ПЕРМЬ, УЛ СОФЬИ КОВАЛЕВСКОЙ, Д.64</t>
  </si>
  <si>
    <t>ООО ФОЛЬКСВАГЕН КУЗОВ СЕРВИС</t>
  </si>
  <si>
    <t>614025, ПЕРМСКИЙ КРАЙ, Г ПЕРМЬ, УЛ ГЕРОЕВ ХАСАНА, Д. 105, КОРПУС 19</t>
  </si>
  <si>
    <t>ООО ФОЛЬКСВАГЕН ЦЕНТР СЕРВИС</t>
  </si>
  <si>
    <t>614500, РОССИЯ, ПЕРМСКИЙ КРАЙ, Г.О. ПЕРМСКИЙ, Г ПЕРМЬ, Ш КОСМОНАВТОВ, Д. 381</t>
  </si>
  <si>
    <t>ИП СТЯЖКИН ЮРИЙ МИХАЙЛОВИЧ</t>
  </si>
  <si>
    <t>ООО СМК-ПРОДУКТ</t>
  </si>
  <si>
    <t>614500, ПЕРМСКИЙ КРАЙ, Р-Н ПЕРМСКИЙ, Д ХМЕЛИ, Ш КОСМОНАВТОВ, Д. 304Б</t>
  </si>
  <si>
    <t>ООО ТД МЕХАНИК ТРЕЙД</t>
  </si>
  <si>
    <t>614097, ПЕРМСКИЙ КРАЙ, Г.О. ПЕРМСКИЙ, Г ПЕРМЬ, ПР-КТ ПАРКОВЫЙ, Д. 23, ПОМЕЩ. 15</t>
  </si>
  <si>
    <t>ИП МАСЛЕННИКОВ АНТОН АНДРЕЕВИЧ</t>
  </si>
  <si>
    <t>ИП МАСЛОВ АНДРЕЙ НИКОЛАЕВИЧ</t>
  </si>
  <si>
    <t>ИП ЯБЛОКОВА ТАТЬЯНА ВЛАДИМИРОВНА</t>
  </si>
  <si>
    <t>ИП ГАЛЕЕВ РУСЛАН ФААТОВИЧ</t>
  </si>
  <si>
    <t>ООО ДАН-МОТОРС</t>
  </si>
  <si>
    <t>614010, ПЕРМСКИЙ КРАЙ, Г ПЕРМЬ, УЛ КУЙБЫШЕВА, СТР. 117А</t>
  </si>
  <si>
    <t>ИП ЛАБУТИН ДЕНИС БОРИСОВИЧ</t>
  </si>
  <si>
    <t>ИП МЫМРИН ДМИТРИЙ АЛЕКСАНДРОВИЧ</t>
  </si>
  <si>
    <t>ООО ТЕРРА АВТО</t>
  </si>
  <si>
    <t>ИП Бажина Любовь Васильевна</t>
  </si>
  <si>
    <t>ИП АРБАТСКИХ МАРИНА АНАТОЛЬЕВНА</t>
  </si>
  <si>
    <t>ИП МИТРОФАНОВА НИНА АЛЕКСАНДРОВНА</t>
  </si>
  <si>
    <t>ИП БАБИЦКАЯ НАТАЛЬЯ НИКОЛАЕВНА</t>
  </si>
  <si>
    <t>ООО ВМ ЮГ</t>
  </si>
  <si>
    <t>614500, ПЕРМСКИЙ КРАЙ, Р-Н ПЕРМСКИЙ, Д ХМЕЛИ, Ш КОСМОНАВТОВ, Д. 316, К. В</t>
  </si>
  <si>
    <t>ИП БАХМАТОВА СВЕТЛАНА ВЯЧЕСЛАВОВНА</t>
  </si>
  <si>
    <t>ИП ЩУКИН ИВАН ИВАНОВИЧ</t>
  </si>
  <si>
    <t>ИП Щукин Владимир Иванович</t>
  </si>
  <si>
    <t>ООО ЭКСПЕРТ АВТО</t>
  </si>
  <si>
    <t>614013, ПЕРМСКИЙ КРАЙ, Г ПЕРМЬ, УЛ СПЕШИЛОВА, Д. 105</t>
  </si>
  <si>
    <t>ИП АВЕТИСЯН ЕЛЕНА ЮРЬЕВНА</t>
  </si>
  <si>
    <t>ООО АВТОЦЕНТРГАЗ</t>
  </si>
  <si>
    <t>614068, ПЕРМСКИЙ КРАЙ, Г.О. ПЕРМСКИЙ, Г ПЕРМЬ, УЛ РЕШЕТНИКОВА, Д. 4, ОФИС 313</t>
  </si>
  <si>
    <t>ООО КРОСС АВТО</t>
  </si>
  <si>
    <t>614000, ПЕРМСКИЙ КРАЙ, Г ПЕРМЬ, УЛ СОВЕТСКАЯ, Д. 47, ЛИТЕРА Б, ОФИС 14</t>
  </si>
  <si>
    <t>614500, ПЕРМСКИЙ КРАЙ, Р-Н ПЕРМСКИЙ, Д ХМЕЛИ, Ш КОСМОНАВТОВ, Д. 304Д/1, ОФИС 11</t>
  </si>
  <si>
    <t>ООО ЛИВЕРПУЛЬ</t>
  </si>
  <si>
    <t>614531, РОССИЯ, ПЕРМСКИЙ КРАЙ, М.О. ПЕРМСКИЙ, П ФЕРМА, УЛ ЖЕЛЕЗНОДОРОЖНАЯ, ЗД. 13</t>
  </si>
  <si>
    <t>ООО ЭНР</t>
  </si>
  <si>
    <t>614055, ПЕРМСКИЙ КРАЙ, Г ПЕРМЬ, УЛ ПРОМЫШЛЕННАЯ, Д.105</t>
  </si>
  <si>
    <t>ООО САТУРН - Р - АТЛАС</t>
  </si>
  <si>
    <t>614015, ПЕРМСКИЙ КРАЙ, Г ПЕРМЬ, УЛ КУЙБЫШЕВА, Д. 37, ОФИС 700/2</t>
  </si>
  <si>
    <t>ИП БОБРОВСКИЙ ВАДИМ АЛЕКСАНДРОВИЧ</t>
  </si>
  <si>
    <t>ООО АВТОТЕХЦЕНТР ЭКСКУРС</t>
  </si>
  <si>
    <t>614097, ПЕРМСКИЙ КРАЙ, Г ПЕРМЬ, ПР-КТ ПАРКОВЫЙ, Д.64</t>
  </si>
  <si>
    <t>ООО ЭКСКУРС-АВТО</t>
  </si>
  <si>
    <t>ООО ГОЛД РЕСУРС</t>
  </si>
  <si>
    <t>614025, ПЕРМСКИЙ КРАЙ, Г ПЕРМЬ, УЛ ГЕРОЕВ ХАСАНА, Д. 92, ОФИС 414</t>
  </si>
  <si>
    <t>ИП ДМИТРИЕВА ЭЛЬВИРА ЗАРИФЗЯНОВНА</t>
  </si>
  <si>
    <t>ООО ОЙЛ М</t>
  </si>
  <si>
    <t>614058, ПЕРМСКИЙ КРАЙ, Г ПЕРМЬ, УЛ МАЯКОВСКОГО, Д. 41, КВ. 99</t>
  </si>
  <si>
    <t>ООО ЛИКОЙЛ</t>
  </si>
  <si>
    <t>614058, РОССИЯ, ПЕРМСКИЙ КРАЙ, Г.О. ПЕРМСКИЙ, Г ПЕРМЬ, УЛ АЛТАЙСКАЯ, Д. 7, ОФИС 202</t>
  </si>
  <si>
    <t>ООО РМС59</t>
  </si>
  <si>
    <t>614017, РОССИЯ, ПЕРМСКИЙ КРАЙ, Г.О. ПЕРМСКИЙ, Г ПЕРМЬ, УЛ ЖЕЛЯБОВА, Д. 16, КВ. 266</t>
  </si>
  <si>
    <t>ООО ЗЕВС</t>
  </si>
  <si>
    <t>614094, РОССИЯ, ПЕРМСКИЙ КРАЙ, Г.О. ПЕРМСКИЙ, Г ПЕРМЬ, УЛ МИЛЬЧАКОВА, Д. 19, КВ. 143</t>
  </si>
  <si>
    <t>ИП МАСЛОВ ПРОХОР АНДРЕЕВИЧ</t>
  </si>
  <si>
    <t>ИП ПЫХТЕЕВ СЕРГЕЙ ЮРЬЕВИЧ</t>
  </si>
  <si>
    <t>ИП СЫРОМЯТНИКОВ АНДРЕЙ НИКОЛАЕВИЧ</t>
  </si>
  <si>
    <t>ИП МИЛЬТО ЕВГЕНИЙ СЕРГЕЕВИЧ</t>
  </si>
  <si>
    <t>ООО АВТОЛЕНД</t>
  </si>
  <si>
    <t>614065, РОССИЯ, ПЕРМСКИЙ КРАЙ, Г.О. ПЕРМСКИЙ, Г ПЕРМЬ, УЛ 3-Я ТЕПЛОПРОВОДНАЯ, СТР. 2</t>
  </si>
  <si>
    <t>ООО ЭМК</t>
  </si>
  <si>
    <t>614065, РОССИЯ, ПЕРМСКИЙ КРАЙ, Г.О. ПЕРМСКИЙ, Г ПЕРМЬ, УЛ ВЕРХНЕ-МУЛЛИНСКАЯ, Д. 134</t>
  </si>
  <si>
    <t>ИП ХАМИДУЛЛИНА НАДЕЖДА ВЛАДИМИРОВНА</t>
  </si>
  <si>
    <t>ИП ЗЕЛЕНИН СЕРГЕЙ ВСЕВОЛОДОВИЧ</t>
  </si>
  <si>
    <t>ИП КОСОТУРОВ АНДРЕЙ ВЛАДИМИРОВИЧ</t>
  </si>
  <si>
    <t>ООО ЭЛИТ МОБАЙЛ</t>
  </si>
  <si>
    <t>ИП ДЕТКИНА МАРИЯ АЛЕКСАНДРОВНА</t>
  </si>
  <si>
    <t>ИП УТЕШЕВ АНТОН ВЯЧЕСЛАВОВИЧ</t>
  </si>
  <si>
    <t>ИП ТРЕКОВ ЕГОР НИКОЛАЕВИЧ</t>
  </si>
  <si>
    <t>ООО ТЕРРА-МОТОРС</t>
  </si>
  <si>
    <t>614064, ПЕРМСКИЙ КРАЙ, Г ПЕРМЬ, УЛ ГЕРОЕВ ХАСАНА, Д. 79, ЛИТЕРА А, ПОМЕЩЕНИЕ 1</t>
  </si>
  <si>
    <t>ООО ЦЕНТР СЕРВИСНОГО ОБСЛУЖИВАНИЯ</t>
  </si>
  <si>
    <t>614064, ПЕРМСКИЙ КРАЙ, Г ПЕРМЬ, УЛ ГЕРОЕВ ХАСАНА, Д. 79, ЛИТЕР А, ПОМЕЩЕНИЕ 4</t>
  </si>
  <si>
    <t>ООО ЦЕНТР КУЗОВНОГО РЕМОНТА</t>
  </si>
  <si>
    <t>614064, ПЕРМСКИЙ КРАЙ, Г ПЕРМЬ, УЛ ГЕРОЕВ ХАСАНА, Д. 79, ЛИТЕРА А, ПОМЕЩЕНИЕ 35</t>
  </si>
  <si>
    <t>ООО ДЕМИДЫЧ</t>
  </si>
  <si>
    <t>614013, ПЕРМСКИЙ КРАЙ, Г ПЕРМЬ, УЛ СПЕШИЛОВА, Д. 61</t>
  </si>
  <si>
    <t>ИП ШАЙДУЛЛИН МАРАТ ИЛЬГАМОВИЧ</t>
  </si>
  <si>
    <t>ИП СКАЧКОВ ДАНИЛ ВЛАДИМИРОВИЧ</t>
  </si>
  <si>
    <t>ООО НПК</t>
  </si>
  <si>
    <t>614064, РОССИЯ, ПЕРМСКИЙ КРАЙ, Г.О. ПЕРМСКИЙ, Г ПЕРМЬ, УЛ УСОЛЬСКАЯ, Д. 15, ЛИТЕРА А, ОФИС 104</t>
  </si>
  <si>
    <t>ООО АКСИОНН-П</t>
  </si>
  <si>
    <t>614033, РОССИЯ, ПЕРМСКИЙ КРАЙ, Г.О. ПЕРМСКИЙ, Г ПЕРМЬ, УЛ ВАСИЛИЯ ВАСИЛЬЕВА, Д. 19, ОФИС 206</t>
  </si>
  <si>
    <t>ООО ДИСТАР ТРЕЙД</t>
  </si>
  <si>
    <t>614016, ПЕРМСКИЙ КРАЙ, Г ПЕРМЬ, УЛ ЕЛЬКИНА, Д. 3 А</t>
  </si>
  <si>
    <t>ИП МУЛЬКОВА ИЛЬСИЯР ГАБДУЛХАЕВНА</t>
  </si>
  <si>
    <t>614051, ПЕРМСКИЙ КРАЙ, Г.О. ПЕРМСКИЙ, Г ПЕРМЬ, УЛ УИНСКАЯ, Д. 3А, КВ. 80</t>
  </si>
  <si>
    <t>ООО АВТОМОЁ ОПТ</t>
  </si>
  <si>
    <t>614065, ПЕРМСКИЙ КРАЙ, Г ПЕРМЬ, УЛ АРХИТЕКТОРА СВИЯЗЕВА, Д. 37, ОФИС 25 А</t>
  </si>
  <si>
    <t>ООО СТО МЕХАНИК</t>
  </si>
  <si>
    <t>614065, РОССИЯ, ПЕРМСКИЙ КРАЙ, Г.О. ПЕРМСКИЙ, Г ПЕРМЬ, УЛ ПРОМЫШЛЕННАЯ, Д. 111, ПОМЕЩ. 8</t>
  </si>
  <si>
    <t>ИП КУРБАТОВ НИКОЛАЙ АЛЕКСЕЕВИЧ</t>
  </si>
  <si>
    <t>ИП Мельков Андрей Игоревич</t>
  </si>
  <si>
    <t>ООО ТЕРРА-СПОРТ</t>
  </si>
  <si>
    <t>614064, ПЕРМСКИЙ КРАЙ, Г ПЕРМЬ, УЛ ГЕРОЕВ ХАСАНА, Д.81, К.А</t>
  </si>
  <si>
    <t>ИП ШИРЫГИН ПАВЕЛ ВЛАДИМИРОВИЧ</t>
  </si>
  <si>
    <t>ИП БУРДИН СЕРГЕЙ КОНСТАНТИНОВИЧ</t>
  </si>
  <si>
    <t>ИП ИВАНЧИН СЕРГЕЙ АНАТОЛЬЕВИЧ</t>
  </si>
  <si>
    <t>ООО ОДАС</t>
  </si>
  <si>
    <t>614077, ПЕРМСКИЙ КРАЙ, Г ПЕРМЬ, УЛ ПУШКАРСКАЯ, Д. 138</t>
  </si>
  <si>
    <t>ИП ТИССЕН ЕЛЕНА СЕРГЕЕВНА</t>
  </si>
  <si>
    <t>ООО АГРОПРОФ</t>
  </si>
  <si>
    <t>614000, ПЕРМСКИЙ КРАЙ, Г.О. ПЕРМСКИЙ, Г ПЕРМЬ, УЛ МОНАСТЫРСКАЯ, Д. 3</t>
  </si>
  <si>
    <t>614025, ПЕРМСКИЙ КРАЙ, Г.О. ПЕРМСКИЙ, Г ПЕРМЬ, УЛ ГЕРОЕВ ХАСАНА, Д. 98</t>
  </si>
  <si>
    <t>ООО СМЕНА</t>
  </si>
  <si>
    <t>614107, РОССИЯ, ПЕРМСКИЙ КРАЙ, Г.О. ПЕРМСКИЙ, Г ПЕРМЬ, УЛ УРАЛЬСКАЯ, Д. 76А, ПОМЕЩ. 8</t>
  </si>
  <si>
    <t>ООО СИНПАГ</t>
  </si>
  <si>
    <t>614030, РОССИЯ, ПЕРМСКИЙ КРАЙ, Г.О. ПЕРМСКИЙ, Г ПЕРМЬ, УЛ НОВО-ГАЙВИНСКАЯ, СТР. 44</t>
  </si>
  <si>
    <t>ООО ОРДЖОНИКИДЗЕВСКИЙ ТКЦ</t>
  </si>
  <si>
    <t>614026, ПЕРМСКИЙ КРАЙ, Г ПЕРМЬ, УЛ КУТАМЫШСКАЯ, Д. 4, ОФИС 1</t>
  </si>
  <si>
    <t>ООО  ПРЕСТИЖ-СТРОЙ</t>
  </si>
  <si>
    <t>617020, ПЕРМСКИЙ КРАЙ, Р-Н ИЛЬИНСКИЙ, П ИЛЬИНСКИЙ, УЛ ПОБЕДЫ, Д. 95</t>
  </si>
  <si>
    <t>ИП ИБРАГИМОВ РАМИЛЬ ШАМИЛОВИЧ</t>
  </si>
  <si>
    <t>ИП МИРОНОВ ИГОРЬ МИХАЙЛОВИЧ</t>
  </si>
  <si>
    <t>ИП КОКОРИНА ЖАННА ВИКТОРОВНА</t>
  </si>
  <si>
    <t>ИП ЛЕПИХИН КОНСТАНТИН БОРИСОВИЧ</t>
  </si>
  <si>
    <t>ИП ЛОПАРЕВА НАТАЛЬЯ ИВАНОВНА</t>
  </si>
  <si>
    <t>ООО ЭКСПРЕСС-ТУР</t>
  </si>
  <si>
    <t>614068, ПЕРМСКИЙ КРАЙ, Г ПЕРМЬ, УЛ ЕКАТЕРИНИНСКАЯ, Д.53</t>
  </si>
  <si>
    <t>ООО АСТОН-СЕРВИС</t>
  </si>
  <si>
    <t>614042, ПЕРМСКИЙ КРАЙ, Г ПЕРМЬ, УЛ СИВАШСКАЯ, Д. 7</t>
  </si>
  <si>
    <t>ИП ВАРУШКИН ДМИТРИЙ ВЛАДИМИРОВИЧ</t>
  </si>
  <si>
    <t>ИП НИКОНОВ ВИТАЛИЙ СЕРГЕЕВИЧ</t>
  </si>
  <si>
    <t>ИП КРЕСТЬЯННИКОВ ВЛАДИМИР ВИКТОРОВИЧ</t>
  </si>
  <si>
    <t>ИП ЛАТЫПОВ ВЛАДИМИР ЮРЬЕВИЧ</t>
  </si>
  <si>
    <t>ИП Кузнецова Галина Вениаминовна</t>
  </si>
  <si>
    <t>618419, ПЕРМСКИЙ КРАЙ, Г БЕРЕЗНИКИ, УЛ КАРЛА МАРКСА, Д. 48, 409</t>
  </si>
  <si>
    <t>618400, ПЕРМСКИЙ КРАЙ, М.О. ГОРОД БЕРЕЗНИКИ, Г БЕРЕЗНИКИ, ПР-КТ СОВЕТСКИЙ, Д. 10, ЭТАЖ 1, ВХОД ОТДЕЛЬНЫЙ</t>
  </si>
  <si>
    <t>ИП ШАФРАНОВА ЛЮБОВЬ АНДРЕЕВНА</t>
  </si>
  <si>
    <t>ИП БАУЭР АНДРЕЙ ВАЛЕРЬЕВИЧ</t>
  </si>
  <si>
    <t>ИП КРОПАЧЕВА ЕКАТЕРИНА АЛЕКСЕЕВНА</t>
  </si>
  <si>
    <t>ИП СОЛДАЕВ ЮРИЙ ИВАНОВИЧ</t>
  </si>
  <si>
    <t>ИП НАСИРОВ ТОФИК НАСИР ОГЛЫ</t>
  </si>
  <si>
    <t>ИП ТЕРЕНТЬЕВ НИКИТА АНАТОЛЬЕВИЧ</t>
  </si>
  <si>
    <t>ИП САВИН АЛЕКСАНДР ГЕННАДЬЕВИЧ</t>
  </si>
  <si>
    <t>ИП ГАРКАЧ ДМИТРИЙ СЕРГЕЕВИЧ</t>
  </si>
  <si>
    <t>ИП ШАРИНА НАТАЛЬЯ АЛЕКСЕЕВНА</t>
  </si>
  <si>
    <t>ИП КУРБАЧЕВ АЛЕКСЕЙ НИКОЛАЕВИЧ</t>
  </si>
  <si>
    <t>ИП САЛАМАТОВ АЛЕКСАНДР НИКОЛАЕВИЧ</t>
  </si>
  <si>
    <t>ООО УРАЛЬСКАЯ ГАЗОВАЯ КОМПАНИЯ</t>
  </si>
  <si>
    <t>617470, ПЕРМСКИЙ КРАЙ, М.О. КУНГУРСКИЙ, Г КУНГУР, УЛ СТЕПАНА РАЗИНА, Д. 3Г</t>
  </si>
  <si>
    <t>ИП ПЕРМЯКОВА МАРГАРИТА АНАТОЛЬЕВНА</t>
  </si>
  <si>
    <t>ИП ЧУДИНОВА ЕЛЕНА ВАСИЛЬЕВНА</t>
  </si>
  <si>
    <t>ООО УРАЛАВТОСИЛА</t>
  </si>
  <si>
    <t>618554, ПЕРМСКИЙ КРАЙ, Г СОЛИКАМСК, УЛ ВСЕОБУЧА, Д. 97/1</t>
  </si>
  <si>
    <t>СПОК КОНСТАНТА</t>
  </si>
  <si>
    <t>618593, РОССИЯ, ПЕРМСКИЙ КРАЙ, М.О. КРАСНОВИШЕРСКИЙ, Г КРАСНОВИШЕРСК, УЛ 1-ГО МАЯ, Д. 15Б</t>
  </si>
  <si>
    <t>ГБУЗ ПК ГБ Г. СОЛИКАМСК</t>
  </si>
  <si>
    <t>618551, ПЕРМСКИЙ КРАЙ, Г СОЛИКАМСК, УЛ 20-ЛЕТИЯ ПОБЕДЫ, Д. 10</t>
  </si>
  <si>
    <t>ИП ЧЕРЕМНЫХ ЕВГЕНИЯ АЛЕКСАНДРОВНА</t>
  </si>
  <si>
    <t>618400, РОССИЯ, ПЕРМСКИЙ КРАЙ, М.О. ГОРОД БЕРЕЗНИКИ, Г БЕРЕЗНИКИ, УЛ БЕРЕЗНИКОВСКАЯ, Д. 88, ПОМЕЩ. 1</t>
  </si>
  <si>
    <t>ИП БУКИН СЕРГЕЙ СЕРГЕЕВИЧ</t>
  </si>
  <si>
    <t>ООО ВАЛЕНТИНА</t>
  </si>
  <si>
    <t>617750, ПЕРМСКИЙ КРАЙ, Г ЧАЙКОВСКИЙ, Д ЧУМНА, УЛ НОВАЯ, Д.3, 1</t>
  </si>
  <si>
    <t>ООО САТЕЛЛИТАВТО</t>
  </si>
  <si>
    <t>617742, ПЕРМСКИЙ КРАЙ, Г ЧАЙКОВСКИЙ, П ПРИКАМСКИЙ, УЛ ЦВЕТОЧНАЯ, ДВЛД. 10</t>
  </si>
  <si>
    <t>ИП ПОЗДЕЕВА СВЕТЛАНА ВЛАДИМИРОВНА</t>
  </si>
  <si>
    <t>ИП ГУСАРОВА НАТАЛЬЯ ВЛАДИМИРОВНА</t>
  </si>
  <si>
    <t>ИП Макаров Сергей Васильевич</t>
  </si>
  <si>
    <t>ИП РЕНЕВ АЛЕКСАНДР СЕРГЕЕВИЧ</t>
  </si>
  <si>
    <t>ИП СУЛЕЙМАНОВА ЭЛИНА ДЖАМАЛОВНА</t>
  </si>
  <si>
    <t>ИП ЛАТЫШЕВ ВАДИМ АРКАДЬЕВИЧ</t>
  </si>
  <si>
    <t>ИП МАХНУТИНА ЕЛЕНА ГЕННАДЬЕВНА</t>
  </si>
  <si>
    <t>ИП РУДАКОВ СЕРГЕЙ ВЛАДИМИРОВИЧ</t>
  </si>
  <si>
    <t>ИП АМИРОВА ВЕНЕРА РАФИТОВНА</t>
  </si>
  <si>
    <t>ООО ДВИЖОК</t>
  </si>
  <si>
    <t>614025, РОССИЯ, ПЕРМСКИЙ КРАЙ, Г.О. ПЕРМСКИЙ, Г ПЕРМЬ, УЛ ХЛЕБОЗАВОДСКАЯ, Д. 16А, СТР. 2</t>
  </si>
  <si>
    <t>ООО БАУМОЛЛ ТРЕЙД</t>
  </si>
  <si>
    <t>614025, ПЕРМСКИЙ КРАЙ, Г ПЕРМЬ, УЛ ГЕРОЕВ ХАСАНА, ЗД. 109, КАБИНЕТ 218</t>
  </si>
  <si>
    <t>ООО ЛЮКСОЙЛ</t>
  </si>
  <si>
    <t>614025, ПЕРМСКИЙ КРАЙ, Г.О. ПЕРМСКИЙ, Г ПЕРМЬ, УЛ ГЕРОЕВ ХАСАНА, Д. 105, К. 70, ОФИС 434</t>
  </si>
  <si>
    <t>614089, ПЕРМСКИЙ КРАЙ, Г ПЕРМЬ, УЛ 2-Я ПОЛЕВАЯ, СТР. 1А, ОФИС 1</t>
  </si>
  <si>
    <t>614064, ПЕРМСКИЙ КРАЙ, Г.О. ПЕРМСКИЙ, Г ПЕРМЬ, УЛ ЧКАЛОВА, Д. 9Д/9А, ОФИС 321</t>
  </si>
  <si>
    <t>ООО ПАРМА ОЙЛ</t>
  </si>
  <si>
    <t>614010, РОССИЯ, ПЕРМСКИЙ КРАЙ, Г.О. ПЕРМСКИЙ, Г ПЕРМЬ, УЛ КРАСНЫЕ КАЗАРМЫ, Д. 69, КВ. 317</t>
  </si>
  <si>
    <t>ИП Щербина Андрей Яковлевич</t>
  </si>
  <si>
    <t>ИП ШИПИЦИН КОНСТАНТИН ГЕОРГИЕВИЧ</t>
  </si>
  <si>
    <t>ИП ПОПКОВ АРТЕМ АНДРЕЕВИЧ</t>
  </si>
  <si>
    <t>ИП ФЕЛЬБУШ ДМИТРИЙ ЮРЬЕВИЧ</t>
  </si>
  <si>
    <t>ИП ПЛОТНИКОВ КОНСТАНТИН ПАВЛОВИЧ</t>
  </si>
  <si>
    <t>ИП БОЛЬШАГИНА ЕЛЕНА ВЯЧЕСЛАВОВНА</t>
  </si>
  <si>
    <t>ИП МАКУРИНА АННА АЛЕКСАНДРОВНА</t>
  </si>
  <si>
    <t>ООО МЕТАПЕРМЬ</t>
  </si>
  <si>
    <t>614051, ПЕРМСКИЙ КРАЙ, Г ПЕРМЬ, УЛ ПУШКАРСКАЯ, Д. 92, КВ. 41</t>
  </si>
  <si>
    <t>ООО СК-ГРУПП</t>
  </si>
  <si>
    <t>614066, ПЕРМСКИЙ КРАЙ, Г.О. ПЕРМСКИЙ, Г ПЕРМЬ, Ш КОСМОНАВТОВ, Д. 111Е, ОФИС 404</t>
  </si>
  <si>
    <t>ООО МИ ДРАЙВ</t>
  </si>
  <si>
    <t>614095, ПЕРМСКИЙ КРАЙ, Г ПЕРМЬ, УЛ СЕМЧЕНКО, ЗД. 12</t>
  </si>
  <si>
    <t>ООО М-РОКА</t>
  </si>
  <si>
    <t>614055, ПЕРМСКИЙ КРАЙ, Г ПЕРМЬ, УЛ ПРОМЫШЛЕННАЯ, Д. 105, ПОМЕЩ. 1</t>
  </si>
  <si>
    <t>ООО АВТО ЛЮКС</t>
  </si>
  <si>
    <t>614025, ПЕРМСКИЙ КРАЙ, Г ПЕРМЬ, УЛ ГЕРОЕВ ХАСАНА, Д. 102,, ЛИТЕР ММ1, ВХОД ОТДЕЛЬНЫЙ</t>
  </si>
  <si>
    <t>ООО ЕВРОДИЗЕЛЬ</t>
  </si>
  <si>
    <t>614982, ПЕРМСКИЙ КРАЙ, Г ПЕРМЬ, УЛ РЯЗАНСКАЯ, Д. 97Б</t>
  </si>
  <si>
    <t>614500, РОССИЯ, ПЕРМСКИЙ КРАЙ, М.О. ПЕРМСКИЙ, Д ХМЕЛИ, Ш КОСМОНАВТОВ, Д. 312Б, КОРПУС 3, ОФИС 104</t>
  </si>
  <si>
    <t>ИП ХАНЬЯРОВ ИШБУЛАТ КИНЬЯГУЛОВИЧ</t>
  </si>
  <si>
    <t>ООО КОСНА</t>
  </si>
  <si>
    <t>614107, РОССИЯ, ПЕРМСКИЙ КРАЙ, Г.О. ПЕРМСКИЙ, Г ПЕРМЬ, УЛ УРАЛЬСКАЯ, Д. 57А</t>
  </si>
  <si>
    <t>ИП Валеев Леонид Юрьевич</t>
  </si>
  <si>
    <t>ИП Соколов Михаил Владимирович</t>
  </si>
  <si>
    <t>ИП МИШИНА НАТАЛЬЯ ВАЛЕРЬЕВНА</t>
  </si>
  <si>
    <t>ИП МАРЕНИН АЛЕКСАНДР ИГОРЕВИЧ</t>
  </si>
  <si>
    <t>ООО АВТОМЭЙД</t>
  </si>
  <si>
    <t>614056, ПЕРМСКИЙ КРАЙ, Г ПЕРМЬ, УЛ ЦЕЛИННАЯ, Д. 23, КВ. 221-222</t>
  </si>
  <si>
    <t>ООО АВТО РИТЕЙЛ ДИАМАНТ</t>
  </si>
  <si>
    <t>614025, ПЕРМСКИЙ КРАЙ, Г ПЕРМЬ, УЛ ГЕРОЕВ ХАСАНА, Д. 105, К. 3, ПОМЕЩ. 1</t>
  </si>
  <si>
    <t>ИП ШКЛЯЕВА АРСЕНИЯ ВАЛЕРЬЕВНА</t>
  </si>
  <si>
    <t>ООО ЮНИТ ПРОДАКШН</t>
  </si>
  <si>
    <t>614107, ПЕРМСКИЙ КРАЙ, Г ПЕРМЬ, УЛ АНРИ БАРБЮСА, Д. 45, КВ. 68</t>
  </si>
  <si>
    <t>ООО ЭКСКУРС-ДРАЙВ</t>
  </si>
  <si>
    <t>614107, РОССИЯ, ПЕРМСКИЙ КРАЙ, Г.О. ПЕРМСКИЙ, Г ПЕРМЬ, УЛ УРАЛЬСКАЯ, Д. 76В</t>
  </si>
  <si>
    <t>ООО АВЕРОН</t>
  </si>
  <si>
    <t>614014, ПЕРМСКИЙ КРАЙ, Г ПЕРМЬ, УЛ САККО И ВАНЦЕТТИ, Д. 4</t>
  </si>
  <si>
    <t>ИП Корепанов Алексей Герасимович</t>
  </si>
  <si>
    <t>ИП Маева Оксана Валерьевна</t>
  </si>
  <si>
    <t>ИП ОХАПКИНА ОЛЬГА АНАТОЛЬЕВНА</t>
  </si>
  <si>
    <t>ИП Пляцок Юрий Юрьевич</t>
  </si>
  <si>
    <t>ИП МИНАКОВ ЮРИЙ ВЛАДИМИРОВИЧ</t>
  </si>
  <si>
    <t>ИП Тарасов Юрий Валентинович</t>
  </si>
  <si>
    <t>ООО АСТОН</t>
  </si>
  <si>
    <t>ИП БУГРОВ АЛЕКСЕЙ ЮРЬЕВИЧ</t>
  </si>
  <si>
    <t>ИП КУСКОВ ИВАН АЛЕКСАНДРОВИЧ</t>
  </si>
  <si>
    <t>ИП БОГОМОЛОВ АЛЕКСЕЙ НИКОЛАЕВИЧ</t>
  </si>
  <si>
    <t>ИП АСТАШОВ МИХАИЛ ВАСИЛЬЕВИЧ</t>
  </si>
  <si>
    <t>ООО ВЕСТА</t>
  </si>
  <si>
    <t>618400, ПЕРМСКИЙ КРАЙ, Г БЕРЕЗНИКИ, ПР-КТ ЛЕНИНА, Д. 65А, ОФИС 02</t>
  </si>
  <si>
    <t>ООО АВТОСАЛОН</t>
  </si>
  <si>
    <t>618400, РОССИЯ, ПЕРМСКИЙ КРАЙ, М.О. ГОРОД БЕРЕЗНИКИ, Г БЕРЕЗНИКИ, УЛ БЕРЕЗНИКОВСКАЯ, Д. 77, ПОМЕЩ. 17</t>
  </si>
  <si>
    <t>ИП КОНАКОВ АРТЕМ АНДРЕЕВИЧ</t>
  </si>
  <si>
    <t>ИП НЫРКОВА ЮЛИЯ ЛЕОНИДОВНА</t>
  </si>
  <si>
    <t>ИП КОПЫТОВА АНАСТАСИЯ ФИЛИППОВНА</t>
  </si>
  <si>
    <t>ИП ВЕРТЯНКИНА ТАТЬЯНА ВЛАДИМИРОВНА</t>
  </si>
  <si>
    <t>ИП Праведников Олег Иванович</t>
  </si>
  <si>
    <t>ИП ГАНЬЖИН ЕВГЕНИЙ АЛЕКСАНДРОВИЧ</t>
  </si>
  <si>
    <t>ИП ЧЕРНОУСОВ АЛЕКСАНДР ВИКТОРОВИЧ</t>
  </si>
  <si>
    <t>ИП КАРСАКОВ МИХАИЛ ВАДИМОВИЧ</t>
  </si>
  <si>
    <t>ИП ЧУГАЙНОВ СЕРГЕЙ ВАЛЕРЬЕВИЧ</t>
  </si>
  <si>
    <t>ООО ТВГ ГРУПП</t>
  </si>
  <si>
    <t>618547, ПЕРМСКИЙ КРАЙ, Г СОЛИКАМСК, УЛ СВОБОДЫ, Д. 50</t>
  </si>
  <si>
    <t>ИП ЮДИНА ЕЛЕНА ГЕННАДЬЕВНА</t>
  </si>
  <si>
    <t>ИП НАГАЕВА ВИКТОРИЯ ДАВЫДОВНА</t>
  </si>
  <si>
    <t>617762, ПЕРМСКИЙ КРАЙ, Г ЧАЙКОВСКИЙ, УЛ СОВЕТСКАЯ, ДВЛД. 2/10</t>
  </si>
  <si>
    <t>ИП КОНДАКОВА НАТАЛЬЯ АЛЕКСАНДРОВНА</t>
  </si>
  <si>
    <t>ИП ПАРКАЧЕВА ЛЮБОВЬ ВАЛЕРЬЕВНА</t>
  </si>
  <si>
    <t>ИП ВОЛЕГЖАНИН ВЛАДИСЛАВ АНДРЕЕВИЧ</t>
  </si>
  <si>
    <t>ИП КОШКАРОВ ЕВГЕНИЙ ИВАНОВИЧ</t>
  </si>
  <si>
    <t>614025, ПЕРМСКИЙ КРАЙ, Г ПЕРМЬ, УЛ ГЕРОЕВ ХАСАНА, Д. 102, ЛИТЕР ММ1, ВХОД ОТДЕЛЬНЫЙ</t>
  </si>
  <si>
    <t>ООО АВТОКАРТ</t>
  </si>
  <si>
    <t>614033, ПЕРМСКИЙ КРАЙ, Г.О. ПЕРМСКИЙ, Г ПЕРМЬ, УЛ ВАСИЛИЯ ВАСИЛЬЕВА, Д. 3В, ОФИС 1</t>
  </si>
  <si>
    <t>ООО АВТОЭКСПЕРТ-ПЕРМЬ</t>
  </si>
  <si>
    <t>614026, ПЕРМСКИЙ КРАЙ, Г ПЕРМЬ, УЛ БЕЛОЗЕРСКАЯ, Д. 30, КВ. 71</t>
  </si>
  <si>
    <t>ООО ИНТЕРНЕТ ТРЕЙД</t>
  </si>
  <si>
    <t>614064, ПЕРМСКИЙ КРАЙ, Г ПЕРМЬ, УЛ ГЕРОЕВ ХАСАНА, Д. 46, ЛИТЕР Ф, ОФИС 222</t>
  </si>
  <si>
    <t>ООО КОМПАНИЯ АВТОСНАБ</t>
  </si>
  <si>
    <t>614025, ПЕРМСКИЙ КРАЙ, Г ПЕРМЬ, УЛ ПИХТОВАЯ, СТР. 37В, ОФИС 3 (ОТДЕЛЬНЫЙ ВХОД)</t>
  </si>
  <si>
    <t>614065, РОССИЯ, ПЕРМСКИЙ КРАЙ, Г.О. ПЕРМСКИЙ, Г ПЕРМЬ, УЛ ПРОМЫШЛЕННАЯ, Д. 110, ОФИС 301</t>
  </si>
  <si>
    <t>ООО АН-ТРЕЙД</t>
  </si>
  <si>
    <t>614033, РОССИЯ, ПЕРМСКИЙ КРАЙ, Г.О. ПЕРМСКИЙ, Г ПЕРМЬ, УЛ ВАСИЛИЯ ВАСИЛЬЕВА, Д. 15, ПОМЕЩ. 1</t>
  </si>
  <si>
    <t>ООО АВТОЗАППРО</t>
  </si>
  <si>
    <t>614064, РОССИЯ, ПЕРМСКИЙ КРАЙ, Г.О. ПЕРМСКИЙ, Г ПЕРМЬ, УЛ ИЖЕВСКАЯ, Д. 12А, ОФИС 215</t>
  </si>
  <si>
    <t>ООО ДДН</t>
  </si>
  <si>
    <t>614016, РОССИЯ, ПЕРМСКИЙ КРАЙ, Г.О. ПЕРМСКИЙ, Г ПЕРМЬ, УЛ КУЙБЫШЕВА, Д. 79А, КВ. 128</t>
  </si>
  <si>
    <t>ИП ШАМАНИН АЛЕКСАНДР АЛЕКСАНДРОВИЧ</t>
  </si>
  <si>
    <t>ИП Дьякова Ольга Николаевна</t>
  </si>
  <si>
    <t>ООО ПЗМ</t>
  </si>
  <si>
    <t>614065, ПЕРМСКИЙ КРАЙ, Г ПЕРМЬ, УЛ ПРОМЫШЛЕННАЯ, Д. 133, К. А ЛИТЕР Б, ОФИС 1</t>
  </si>
  <si>
    <t>ИП ВОЛКОВ АЛЕКСАНДР АЛЕКСАНДРОВИЧ</t>
  </si>
  <si>
    <t>614500, ПЕРМСКИЙ КРАЙ, Г ПЕРМЬ, Ш КОСМОНАВТОВ, Д. 399, -</t>
  </si>
  <si>
    <t>ООО АВТК-ПРИКАМЬЕ</t>
  </si>
  <si>
    <t>614055, ПЕРМСКИЙ КРАЙ, Г.О. ПЕРМСКИЙ, Г ПЕРМЬ, УЛ ПРОМЫШЛЕННАЯ, Д. 147, ОФИС 201</t>
  </si>
  <si>
    <t>ИП МУКАТАНОВ ТАХИР ХАМЗОВИЧ</t>
  </si>
  <si>
    <t>ООО АИМ</t>
  </si>
  <si>
    <t>614107, ПЕРМСКИЙ КРАЙ, Г ПЕРМЬ, УЛ ТУРГЕНЕВА, Д. 25, КВ. 19</t>
  </si>
  <si>
    <t>ИП ФЕДОТОВА НАТАЛЬЯ ЛЕОНИДОВНА</t>
  </si>
  <si>
    <t>ИП ХОЗЯШЕВ ДМИТРИЙ СЕРГЕЕВИЧ</t>
  </si>
  <si>
    <t>ООО АВТОМАГ</t>
  </si>
  <si>
    <t>614051, ПЕРМСКИЙ КРАЙ, Г ПЕРМЬ, УЛ ПОНОМАРЕВА, Д. 56, КВ. 7</t>
  </si>
  <si>
    <t>ИП ЛАРИОНОВ ВЛАДИСЛАВ РОМАНОВИЧ</t>
  </si>
  <si>
    <t>ООО ТОРГСЕРВИС 59</t>
  </si>
  <si>
    <t>614058, ПЕРМСКИЙ КРАЙ, Г ПЕРМЬ, УЛ ТРАМВАЙНАЯ, Д. СТР33, КОРПУС 6</t>
  </si>
  <si>
    <t>ИП ГОРЯЧЕВ СЕРГЕЙ АЛЕКСАНДРОВИЧ</t>
  </si>
  <si>
    <t>ИП НОВИКОВ АНТОН ЮРЬЕВИЧ</t>
  </si>
  <si>
    <t>ИП ЯКИМОВ АЛЕКСЕЙ АЛЕКСАНДРОВИЧ</t>
  </si>
  <si>
    <t>ИП ЛОПАТИН ВЛАДИМИР АНАТОЛЬЕВИЧ</t>
  </si>
  <si>
    <t>ИП БУЧЕНКОВ РОМАН ВЛАДИСЛАВОВИЧ</t>
  </si>
  <si>
    <t>ИП ШВАРЕВ ДАНИИЛ ВЛАДИМИРОВИЧ</t>
  </si>
  <si>
    <t>ИП НОВИКОВА ЕВГЕНИЯ СЕРГЕЕВНА</t>
  </si>
  <si>
    <t>ИП ФОТЕЕВ МИХАИЛ АЛЕКСАНДРОВИЧ</t>
  </si>
  <si>
    <t>ИП ОПАРИНА ИРИНА ВЯЧЕСЛАВОВНА</t>
  </si>
  <si>
    <t>ИП БЕЗУКЛАДНИКОВА ЕЛЕНА ЮРЬЕВНА</t>
  </si>
  <si>
    <t>ООО АГРОСНАБ-АВТО</t>
  </si>
  <si>
    <t>618400, ПЕРМСКИЙ КРАЙ, Г БЕРЕЗНИКИ, ПР-КТ СОВЕТСКИЙ, Д. 2</t>
  </si>
  <si>
    <t>ООО РУССКИЕ АМФИБИИ</t>
  </si>
  <si>
    <t>618400, ПЕРМСКИЙ КРАЙ, Г БЕРЕЗНИКИ, УЛ КЛЮЧЕВАЯ, Д. 17</t>
  </si>
  <si>
    <t>ИП АГЕЕВ СЕРГЕЙ ЕВГЕНЬЕВИЧ</t>
  </si>
  <si>
    <t>ИП ГРИЗАН МИХАИЛ ВЛАДИМИРОВИЧ</t>
  </si>
  <si>
    <t>ИП ГЛАДЫШЕВА ИРИНА ГЕОРГИЕВНА</t>
  </si>
  <si>
    <t>ИП ТИМШИН АЛЕКСАНДР СЕРГЕЕВИЧ</t>
  </si>
  <si>
    <t>ООО ТОВАРЫ ДЛЯ ДОМА</t>
  </si>
  <si>
    <t>617470, ПЕРМСКИЙ КРАЙ, Г КУНГУР, УЛ СВЕРДЛОВА, Д. 43</t>
  </si>
  <si>
    <t>ГКУСО ПК ЦПД Г. КУНГУРА</t>
  </si>
  <si>
    <t>617470, ПЕРМСКИЙ КРАЙ, Г КУНГУР, УЛ СИТНИКОВА, Д. 102</t>
  </si>
  <si>
    <t>ИП МИНИН ИЛЬЯ СЕРГЕЕВИЧ</t>
  </si>
  <si>
    <t>ИП ИВШИН ВЛАДИМИР ТЕРЕНТЬЕВИЧ</t>
  </si>
  <si>
    <t>ИП ВАГАНОВ ИЛЬЯ ВЛАДИМИРОВИЧ</t>
  </si>
  <si>
    <t>ООО ЕВРОЛЮКС</t>
  </si>
  <si>
    <t>618551, ПЕРМСКИЙ КРАЙ, Г СОЛИКАМСК, УЛ 20-ЛЕТИЯ ПОБЕДЫ, Д. 79</t>
  </si>
  <si>
    <t>ИП Денисова Елена Борисовна</t>
  </si>
  <si>
    <t>ИП КУЗНЕЦОВА НАТАЛЬЯ НИКОЛАЕВНА</t>
  </si>
  <si>
    <t>ИП Цыбульская Татьяна Николаевна</t>
  </si>
  <si>
    <t>ИП САБАНЦЕВ НИКОЛАЙ МИНЕЕВИЧ</t>
  </si>
  <si>
    <t>ИП МИКОВ МАКСИМ НИКОЛАЕВИЧ</t>
  </si>
  <si>
    <t>ООО  ДВИЖЕНИЕ</t>
  </si>
  <si>
    <t>618206, ПЕРМСКИЙ КРАЙ, Г ЧУСОВОЙ, УЛ МИРА, Д. 17, 401</t>
  </si>
  <si>
    <t>ИП ЮРАШКОВ ДМИТРИЙ ЛЕОНИДОВИЧ</t>
  </si>
  <si>
    <t>618200, ПЕРМСКИЙ КРАЙ, Г ЧУСОВОЙ, УЛ ЧЕРНЫШЕВСКОГО, Д. 14А</t>
  </si>
  <si>
    <t>ООО АВТО-ТРЕЙД</t>
  </si>
  <si>
    <t>617120, ПЕРМСКИЙ КРАЙ, Р-Н ВЕРЕЩАГИНСКИЙ, Г ВЕРЕЩАГИНО, ТРАКТ ОЧЕРСКИЙ, Д. 12А</t>
  </si>
  <si>
    <t>ИП ПЬЯНКОВА ОЛЕСЯ БОРИСОВНА</t>
  </si>
  <si>
    <t>ИП ГУЩИН АЛЕКСЕЙ ИГОРЕВИЧ</t>
  </si>
  <si>
    <t>ИП МИНИН ВИКТОР АНАТОЛЬЕВИЧ</t>
  </si>
  <si>
    <t>617126, ПЕРМСКИЙ КРАЙ, Р-Н ВЕРЕЩАГИНСКИЙ, Г ВЕРЕЩАГИНО, УЛ ЛЕРМОНТОВА, ЗД. 2</t>
  </si>
  <si>
    <t>ИП Осинцева Татьяна Юрьевна</t>
  </si>
  <si>
    <t>ИП ОГОРОДОВ АЛЕКСАНДР АЛЕКСАНДРОВИЧ</t>
  </si>
  <si>
    <t>ИП АРМАНШИН МАРАТ ГАЛИМЬЯНОВИЧ</t>
  </si>
  <si>
    <t>ИП ЩЕЛКАНОВ ВИТАЛИЙ ВАЛЕРЬЕВИЧ</t>
  </si>
  <si>
    <t>ИП Фатихов Марат Рифович</t>
  </si>
  <si>
    <t>ИП ДОБРЫНИНА ГУЛЬМИРА АЙТМАГАМБЕТОВНА</t>
  </si>
  <si>
    <t>ИП КОШКИНА ТАТЬЯНА ЛЕОНИДОВНА</t>
  </si>
  <si>
    <t>ИП БЫЧИНА ЕЛЕНА ПАВЛОВНА</t>
  </si>
  <si>
    <t>ИП МАЛИНОВА НАТАЛЬЯ ВЛАДИМИРОВНА</t>
  </si>
  <si>
    <t>ИП Головков Владимир Ильич</t>
  </si>
  <si>
    <t>ИП СОЛОВЬЁВ ВЛАДИМИР ИВАНОВИЧ</t>
  </si>
  <si>
    <t>ИП СЕЛЕТКОВА КРИСТИНА АЛЕКСЕЕВНА</t>
  </si>
  <si>
    <t>ИП БАЛАНДИН ЮРИЙ АЛЕКСАНДРОВИЧ</t>
  </si>
  <si>
    <t>ООО ВМ-П-АЗИЯ</t>
  </si>
  <si>
    <t>614500, РОССИЯ, ПЕРМСКИЙ КРАЙ, М.О. ПЕРМСКИЙ, Д ХМЕЛИ, Ш КОСМОНАВТОВ, Д. 328/1, ЭТАЖ 1, ПОМЕЩ. 1</t>
  </si>
  <si>
    <t>ИП СКАЧКОВ МАТВЕЙ ИВАНОВИЧ</t>
  </si>
  <si>
    <t>ООО СТИНКО УРАЛ</t>
  </si>
  <si>
    <t>614500, ПЕРМСКИЙ КРАЙ, М.О. ПЕРМСКИЙ, Д ХМЕЛИ, Ш КОСМОНАВТОВ, Д. 316/30</t>
  </si>
  <si>
    <t>ИП БЕЗГОДОВА НАДЕЖДА ИВАНОВНА</t>
  </si>
  <si>
    <t>МБОУ СЕВЕРОКОММУНАРСКАЯ СОШ</t>
  </si>
  <si>
    <t>617252, ПЕРМСКИЙ КРАЙ, Р-Н СИВИНСКИЙ, П СЕВЕРНЫЙ КОММУНАР, УЛ П.ОСИПЕНКО, Д.4</t>
  </si>
  <si>
    <t>ИП МЕНЬШИКОВА ГАЛИНА СЕРГЕЕВНА</t>
  </si>
  <si>
    <t>ИП ВАХИТОВ РИНАТ ЛИНАРОВИЧ</t>
  </si>
  <si>
    <t>ИП САЙДАШЕВА АЛЬМИРА МАРАТОВНА</t>
  </si>
  <si>
    <t>ИП ЛЕВАШОВА ЕКАТЕРИНА НИКОЛАЕВНА</t>
  </si>
  <si>
    <t>ИП ЛАМАНОВ ВЯЧЕСЛАВ АЛЕКСАНДРОВИЧ</t>
  </si>
  <si>
    <t>ИП КИСЛИЦИН ЮРИЙ АЛЕКСАНДРОВИЧ</t>
  </si>
  <si>
    <t>ИП СОРОКИНА АЛЕСЯ АНДРЕЕВНА</t>
  </si>
  <si>
    <t>ИП РУДАКОВА АЛЕНА ВИКТОРОВНА</t>
  </si>
  <si>
    <t>ООО ЗАПЧАСТЬ-ЦЕНТР</t>
  </si>
  <si>
    <t>617764, РОССИЯ, ПЕРМСКИЙ КРАЙ, Г.О. ЧАЙКОВСКИЙ, Г ЧАЙКОВСКИЙ, УЛ ЛЕНИНА, Д. 62, КВ. 23</t>
  </si>
  <si>
    <t>ИП МИНИН СЕРГЕЙ ЮРЬЕВИЧ</t>
  </si>
  <si>
    <t>ООО ЗАВОД СМАЗОЧНЫХ МАТЕРИАЛОВ СМК</t>
  </si>
  <si>
    <t>618111, РОССИЯ, ПЕРМСКИЙ КРАЙ, М.О. ОХАНСКИЙ, С ТАБОРЫ, УЛ ОКТЯБРЯ, Д. 6, КВ. 1</t>
  </si>
  <si>
    <t>ГБУЗ ПК ЧУСОВСКАЯ ССМП</t>
  </si>
  <si>
    <t>618204, ПЕРМСКИЙ КРАЙ, Г ЧУСОВОЙ, УЛ СИВКОВА, Д. 9</t>
  </si>
  <si>
    <t>ИП ГУЩИНА ОЛЬГА АНАТОЛЬЕВНА</t>
  </si>
  <si>
    <t>ИП ЗЛОБИНА ЕВГЕНИЯ СЕРГЕЕВНА</t>
  </si>
  <si>
    <t>ИП ШТЕЙНИКОВ ЕГОР МИХАЙЛОВИЧ</t>
  </si>
  <si>
    <t>ИП Мельников Василий Петрович</t>
  </si>
  <si>
    <t>ИП Шадрин Михаил Юрьевич</t>
  </si>
  <si>
    <t>ИП ЗАГОРОДСКИХ ЮРИЙ БОРИСОВИЧ</t>
  </si>
  <si>
    <t>ИП КАМЕНЕВ СЕРГЕЙ АНАТОЛЬЕВИЧ</t>
  </si>
  <si>
    <t>ИП Тушенцов Андрей Олегович</t>
  </si>
  <si>
    <t>ИП Шолохов Владимир Андреевич</t>
  </si>
  <si>
    <t>ООО ТРИУМФ-ТОРГ</t>
  </si>
  <si>
    <t>618156, ПЕРМСКИЙ КРАЙ, Р-Н БАРДЫМСКИЙ, С БИЧУРИНО, УЛ СОВЕТСКАЯ, Д.30А</t>
  </si>
  <si>
    <t>ООО АВТО ПАРТНЕР</t>
  </si>
  <si>
    <t>618120, РОССИЯ, ПЕРМСКИЙ КРАЙ, М.О. ОСИНСКИЙ, Г ОСА, УЛ ЗЛЫГОСТЕВА, Д. 93</t>
  </si>
  <si>
    <t>ИП ИГОНИНА ФЛЮСЯ СЕМЁНОВНА</t>
  </si>
  <si>
    <t>ИП ГАНЕВА СОФЬЯ ВЕНИАМИНОВНА</t>
  </si>
  <si>
    <t>ИП СОКОЛОВА ЕЛИЗАВЕТА АНДРЕЕВНА</t>
  </si>
  <si>
    <t>ИП БОГОМОЛОВ АЛЕКСАНДР АНАТОЛЬЕВИЧ</t>
  </si>
  <si>
    <t>ИП СМОЛЯКОВ МИХАИЛ АЛЕКСАНДРОВИЧ</t>
  </si>
  <si>
    <t>ООО ЛЕНД РОВЕР ПЕРМЬ</t>
  </si>
  <si>
    <t>614500, ПЕРМСКИЙ КРАЙ, Р-Н ПЕРМСКИЙ, Д ПЕСЬЯНКА, Ш КОСМОНАВТОВ, Д. 368Б, ОФИС 200</t>
  </si>
  <si>
    <t>ИП ХАФИЗОВА ГУЛЬНАРА ИЛЬХАМОВНА</t>
  </si>
  <si>
    <t>ИП ШАЛЫГИНА СВЕТЛАНА ПЕТРОВНА</t>
  </si>
  <si>
    <t>ООО СТК ЕВРАЗИЯ</t>
  </si>
  <si>
    <t>614530, РОССИЯ, ПЕРМСКИЙ КРАЙ, М.О. ПЕРМСКИЙ, С ФРОЛЫ, ТРАКТ СИБИРСКИЙ, ЗД. 1/5</t>
  </si>
  <si>
    <t>ИП ШЕСТАКОВ АНДРЕЙ ЮРЬЕВИЧ</t>
  </si>
  <si>
    <t>ИП КОШКАРОВА ТАТЬЯНА НИКОЛАЕВНА</t>
  </si>
  <si>
    <t>ИП ПИВОВАРОВА НАТАЛЬЯ АЛЕКСАНДРОВНА</t>
  </si>
  <si>
    <t>ГБУЗ ПК ЧЕРНУШИНСКАЯ РБ</t>
  </si>
  <si>
    <t>617830, ПЕРМСКИЙ КРАЙ, Р-Н ЧЕРНУШИНСКИЙ, Г ЧЕРНУШКА, УЛ КОММУНИСТИЧЕСКАЯ, ЗД. 16</t>
  </si>
  <si>
    <t>ООО ГАЙНЫЛЕС</t>
  </si>
  <si>
    <t>619650, ПЕРМСКИЙ КРАЙ, Р-Н ГАЙНСКИЙ, П ГАЙНЫ, УЛ КАШИНА, Д.49</t>
  </si>
  <si>
    <t>ООО ОЙЛ ДЕЛИВЕРИ</t>
  </si>
  <si>
    <t>617066, РОССИЯ, ПЕРМСКИЙ КРАЙ, М.О. КРАСНОКАМСКИЙ, Г КРАСНОКАМСК, ПЕР ГОЗНАКОВСКИЙ, Д. 4</t>
  </si>
  <si>
    <t>ИП КЕРИМОВ ЯРАГИ МАГОМЕДОВИЧ</t>
  </si>
  <si>
    <t>ИП Целоусов Сергей Витальевич</t>
  </si>
  <si>
    <t>ООО ТРЕК АВТО</t>
  </si>
  <si>
    <t>617123, ПЕРМСКИЙ КРАЙ, Р-Н ВЕРЕЩАГИНСКИЙ, Г ВЕРЕЩАГИНО, УЛ К.МАРКСА, Д. 53А</t>
  </si>
  <si>
    <t>ИП КРАСНОСЕЛЬСКИХ ДЕНИС ОЛЕГОВИЧ</t>
  </si>
  <si>
    <t>ИП БАЛУЕВ АНДРЕЙ АЛЕКСЕЕВИЧ</t>
  </si>
  <si>
    <t>ИП ЧЕРЕПАНОВ РУСЛАН СЕМЕНОВИЧ</t>
  </si>
  <si>
    <t>ИП Собянин Андрей Александрович</t>
  </si>
  <si>
    <t>ИП СТЕПАНОВ АЛЕКСАНДР ВЛАДИМИРОВИЧ</t>
  </si>
  <si>
    <t>ИП ПЕРМЯКОВА ЛЮДМИЛА ЮРЬЕВНА</t>
  </si>
  <si>
    <t>ИП МЕДВЕДЕВА ГАЛИНА НИКОЛАЕВНА</t>
  </si>
  <si>
    <t>ИП Игошев Сергей Валентинович</t>
  </si>
  <si>
    <t>ИП СЕЛЕТКОВ НИКОЛАЙ ВИКТОРОВИЧ</t>
  </si>
  <si>
    <t>ООО КАМА-ТРЭВЕЛ</t>
  </si>
  <si>
    <t>614068, ПЕРМСКИЙ КРАЙ, Г ПЕРМЬ, УЛ ЛЕНИНА, Д.72, К.Б</t>
  </si>
  <si>
    <t>ООО РОТЕР</t>
  </si>
  <si>
    <t>ПЕРМСКИЙ КРАЙ, М.О. ПЕРМСКИЙ, Д ПЕСЬЯНКА, ТЕР. ГСК СВЕЧА, Г-Ж 10</t>
  </si>
  <si>
    <t>ООО ВОСТОК МОТОРС ПЕРМЬ</t>
  </si>
  <si>
    <t>ООО ПАРМА МОТОРС</t>
  </si>
  <si>
    <t>614532, РОССИЯ, ПЕРМСКИЙ КРАЙ, М.О. ПЕРМСКИЙ, Д НЕСТЮКОВО, УЛ ТРАКТОВАЯ, Д. 1/3, ОФИС 203</t>
  </si>
  <si>
    <t>ИП ТОЛСТИКОВ ДМИТРИЙ ГЕОРГИЕВИЧ</t>
  </si>
  <si>
    <t>ИП МАМАЕВ КОНСТАНТИН НИКОЛАЕВИЧ</t>
  </si>
  <si>
    <t>МОУ КИСЕЛЕВСКАЯ ОШИ</t>
  </si>
  <si>
    <t>617546, ПЕРМСКИЙ КРАЙ, Р-Н СУКСУНСКИЙ, Д КИСЕЛЕВО, УЛ ШКОЛЬНАЯ, ЗД. 14</t>
  </si>
  <si>
    <t>ИП КОЛМАКОВА ЛЮБОВЬ НИКОЛАЕВНА</t>
  </si>
  <si>
    <t>ИП Куимов Олег Владимирович</t>
  </si>
  <si>
    <t>ООО СПЕЦАГРОСНАБ</t>
  </si>
  <si>
    <t>617831, ПЕРМСКИЙ КРАЙ, Р-Н ЧЕРНУШИНСКИЙ, Г ЧЕРНУШКА, УЛ ПУШКИНА, Д. 2А</t>
  </si>
  <si>
    <t>ИП УФИМЦЕВА ГАЛИНА ЛЕОНИДОВНА</t>
  </si>
  <si>
    <t>ИП БРЮХОВ ЭДУАРД ВАСИЛЬЕВИЧ</t>
  </si>
  <si>
    <t>ООО ДЕМЕНЕВСКИЙ</t>
  </si>
  <si>
    <t>617830, РОССИЯ, ПЕРМСКИЙ КРАЙ, М.О. ЧЕРНУШИНСКИЙ, Г ЧЕРНУШКА, УЛ НЕФТЯНИКОВ, ЗД. 9</t>
  </si>
  <si>
    <t>ООО ТАП</t>
  </si>
  <si>
    <t>617830, РОССИЯ, ПЕРМСКИЙ КРАЙ, М.О. ЧЕРНУШИНСКИЙ, Г ЧЕРНУШКА, УЛ ЮБИЛЕЙНАЯ, Д. 32, КВ. 24</t>
  </si>
  <si>
    <t>ИП АШИТОК АНТОН ВЛАДИМИРОВИЧ</t>
  </si>
  <si>
    <t>ООО ЗА РУЛЕМ МЕЧТЫ</t>
  </si>
  <si>
    <t>Псковская область</t>
  </si>
  <si>
    <t>180006, РОССИЯ, ПСКОВСКАЯ ОБЛАСТЬ, Г.О. ГОРОД ПСКОВ, Г ПСКОВ, УЛ ЛЕОНА ПОЗЕМСКОГО, Д. 114, КВ. 1</t>
  </si>
  <si>
    <t>ИП ГАВРИЛОВ ВИТАЛИЙ АНАТОЛЬЕВИЧ</t>
  </si>
  <si>
    <t>НАРПО</t>
  </si>
  <si>
    <t>182251, ПСКОВСКАЯ ОБЛАСТЬ, Р-Н СЕБЕЖСКИЙ, Г СЕБЕЖ, УЛ ВОКЗАЛЬНАЯ, Д. 19</t>
  </si>
  <si>
    <t>ИП ЦЕПЛЯЕВА АННА ПЕТРОВНА</t>
  </si>
  <si>
    <t>ИП СЕРОВ ЮРИЙ ГЕННАДЬЕВИЧ</t>
  </si>
  <si>
    <t>ООО ЭКСПРЕСС ПРОФИ</t>
  </si>
  <si>
    <t>182570, РОССИЯ, ПСКОВСКАЯ ОБЛАСТЬ, М.О. УСВЯТСКИЙ, РП УСВЯТЫ, ПЛ СОВЕТСКАЯ, Д. 7, ЭТАЖ 2, ПОМЕЩ. 7</t>
  </si>
  <si>
    <t>ООО СТО ГРУЗТЕХНИКА</t>
  </si>
  <si>
    <t>180006, РОССИЯ, ПСКОВСКАЯ ОБЛАСТЬ, Г.О. ГОРОД ПСКОВ, Г ПСКОВ, УЛ ЛЕОНА ПОЗЕМСКОГО, Д. 125В, ПОМЕЩ. 6</t>
  </si>
  <si>
    <t>ООО АВТОСАЛОН 1</t>
  </si>
  <si>
    <t>180019, РОССИЯ, ПСКОВСКАЯ ОБЛАСТЬ, Г.О. ГОРОД ПСКОВ, Г ПСКОВ, УЛ ТРУДА, Д. 26, ОФИС 3</t>
  </si>
  <si>
    <t>ИП АЛЕКСЕЕВА ОКСАНА СЕРГЕЕВНА</t>
  </si>
  <si>
    <t>ИП Алексеев Алексей Анатольевич</t>
  </si>
  <si>
    <t>ИП Янкевич Любовь Николаевна</t>
  </si>
  <si>
    <t>ИП ЗИГМАНТАС МАРИНА ВЛАДИМИРОВНА</t>
  </si>
  <si>
    <t>ООО КОНТРАСТ</t>
  </si>
  <si>
    <t>182250, ПСКОВСКАЯ ОБЛАСТЬ, Р-Н СЕБЕЖСКИЙ, Г СЕБЕЖ, УЛ 7 НОЯБРЯ, Д.44, -, -</t>
  </si>
  <si>
    <t>ИП ЛЕХНОВА МАРИЯ СЕРГЕЕВНА</t>
  </si>
  <si>
    <t>ИП РЫБАКОВ ГЕННАДИЙ СТЕПАНОВИЧ</t>
  </si>
  <si>
    <t>ИП ОРЛОВА НАДЕЖДА АЛЕКСАНДРОВНА</t>
  </si>
  <si>
    <t>ИП ДАВЫДИК ДИНА АЛЕКСАНДРОВНА</t>
  </si>
  <si>
    <t>ИП ЛАРИОНОВ АЛЕКСЕЙ МИХАЙЛОВИЧ</t>
  </si>
  <si>
    <t>ИП МОРОЗОВ ДМИТРИЙ ВЛАДИМИРОВИЧ</t>
  </si>
  <si>
    <t>ИП ТРЕТЬЯК ВАДИМ НИКОЛАЕВИЧ</t>
  </si>
  <si>
    <t>ИП ЮРУШ МИХАИЛ ЮРЬЕВИЧ</t>
  </si>
  <si>
    <t>ЗАО АВТО-АС</t>
  </si>
  <si>
    <t>180006, ПСКОВСКАЯ ОБЛАСТЬ, Г ПСКОВ, УЛ ЛЕОНА ПОЗЕМСКОГО, Д.114А</t>
  </si>
  <si>
    <t>ООО ТЕХПРОМСНАБ</t>
  </si>
  <si>
    <t>180024, РОССИЯ, ПСКОВСКАЯ ОБЛАСТЬ, Г.О. ГОРОД ПСКОВ, Г ПСКОВ, ПР-КТ РИЖСКИЙ, Д. 100, ПОМЕЩ. 7</t>
  </si>
  <si>
    <t>ИП ДВОСКИН АНДРЕЙ ДМИТРИЕВИЧ</t>
  </si>
  <si>
    <t>ООО НОРД РУС</t>
  </si>
  <si>
    <t>180016, ПСКОВСКАЯ ОБЛАСТЬ, Г ПСКОВ, УЛ КРАСНОАРМЕЙСКАЯ, Д. 25А, КВ. 5</t>
  </si>
  <si>
    <t>ИП МАРТЯХИН ИГОРЬ ГЕРОНТЬЕВИЧ</t>
  </si>
  <si>
    <t>ИП ГУСЬКОВА ЮЛИЯ НИКОЛАЕВНА</t>
  </si>
  <si>
    <t>ООО ПСКОВ-ЛАДА</t>
  </si>
  <si>
    <t>180024, ПСКОВСКАЯ ОБЛАСТЬ, Г ПСКОВ, ПР-КТ РИЖСКИЙ, Д. 82, ПОМЕЩ. 3</t>
  </si>
  <si>
    <t>ИП НИКИТИН АЛЕКСАНДР ГЕННАДЬЕВИЧ</t>
  </si>
  <si>
    <t>ООО АМОТИВИКА</t>
  </si>
  <si>
    <t>180006, ПСКОВСКАЯ ОБЛАСТЬ, М.Р-Н ПСКОВСКИЙ, Д КОТОВО, С.П. ПИСКОВИЧСКАЯ ВОЛОСТЬ, УЛ ВАУЛИНОГОРСКОЕ ШОССЕ, Д. 14, ПОМЕЩ. 1</t>
  </si>
  <si>
    <t>ООО АВТОСАЛОН №1</t>
  </si>
  <si>
    <t>180006, РОССИЯ, ПСКОВСКАЯ ОБЛАСТЬ, Г.О. ГОРОД ПСКОВ, Г ПСКОВ, УЛ ЛЕОНА ПОЗЕМСКОГО, Д. 114</t>
  </si>
  <si>
    <t>ООО ЛИВА</t>
  </si>
  <si>
    <t>182110, РОССИЯ, ПСКОВСКАЯ ОБЛАСТЬ, Г.О. ГОРОД ВЕЛИКИЕ ЛУКИ, Г ВЕЛИКИЕ ЛУКИ, ПР-КТ ГАГАРИНА, Д. 18/15, ПОМЕЩ. 1009</t>
  </si>
  <si>
    <t>ИП ЯКОВЛЕВ АЛЕКСЕЙ АНАТОЛЬЕВИЧ</t>
  </si>
  <si>
    <t>ООО ФЭКТОРИ ХАБ</t>
  </si>
  <si>
    <t>182112, ПСКОВСКАЯ ОБЛАСТЬ, Г.О. ГОРОД ВЕЛИКИЕ ЛУКИ, Г ВЕЛИКИЕ ЛУКИ, ПРОЕЗД СИГОРИЦКИЙ, Д. 2</t>
  </si>
  <si>
    <t>ИП ПРОСКУРИНА ЕЛЕНА ЕВГЕНЬЕВНА</t>
  </si>
  <si>
    <t>ИП АРИСТОВ ВЛАДИМИР ВИКТОРОВИЧ</t>
  </si>
  <si>
    <t>ИП БРЕКАТНИН АРТЕМ ГЕОРГИЕВИЧ</t>
  </si>
  <si>
    <t>ИП БЕЛОВ ДМИТРИЙ ПАВЛОВИЧ</t>
  </si>
  <si>
    <t>ИП КОНЯРСКИЙ СЕРГЕЙ ВЛАДИМИРОВИЧ</t>
  </si>
  <si>
    <t>СЕБЕЖСКОЕ РАЙПО</t>
  </si>
  <si>
    <t>ИП ДЖАНИЕВ ТЕЛЬМАН БАЛАГА ОГЛЫ</t>
  </si>
  <si>
    <t>ГБУСО ПСКОВСКОЙ ОБЛАСТИ РЕАБИЛИТАЦИОННЫЙ ЦЕНТР ДЛЯ ДЕТЕЙ И ПОДРОСТКОВ С ОГРАНИЧЕННЫМИ ВОЗМОЖНОСТЯМИ</t>
  </si>
  <si>
    <t>182110, ПСКОВСКАЯ ОБЛАСТЬ, Г ВЕЛИКИЕ ЛУКИ, ПР-КТ ОКТЯБРЬСКИЙ, Д.11</t>
  </si>
  <si>
    <t>ИП УСТИМЧУК ЛЮДМИЛА ПЕТРОВНА</t>
  </si>
  <si>
    <t>ИП ГАВРИЛОВ СЕРГЕЙ АЛЕКСЕЕВИЧ</t>
  </si>
  <si>
    <t>АО ПСКОВСКИЙ ХЛЕБОКОМБИНАТ</t>
  </si>
  <si>
    <t>180006, ПСКОВСКАЯ ОБЛАСТЬ, Г ПСКОВ, УЛ ШОССЕЙНАЯ, Д.1</t>
  </si>
  <si>
    <t>ООО ДИСК</t>
  </si>
  <si>
    <t>180014, ПСКОВСКАЯ ОБЛАСТЬ, Г ПСКОВ, УЛ НИКОЛАЯ ВАСИЛЬЕВА, Д. 108Г</t>
  </si>
  <si>
    <t>ООО ТС МАСТЕР</t>
  </si>
  <si>
    <t>180024, ПСКОВСКАЯ ОБЛАСТЬ, Г ПСКОВ, ПР-КТ РИЖСКИЙ, Д. 88</t>
  </si>
  <si>
    <t>ООО СЕРВИСНЫЙ ЦЕНТР МАСТЕР</t>
  </si>
  <si>
    <t>180006, ПСКОВСКАЯ ОБЛАСТЬ, Г ПСКОВ, УЛ ПЕРВОМАЙСКАЯ, Д.33</t>
  </si>
  <si>
    <t>ИП АЗАРОВ ДМИТРИЙ АЛЕКСЕЕВИЧ</t>
  </si>
  <si>
    <t>ООО ТРАФИК</t>
  </si>
  <si>
    <t>180021, ПСКОВСКАЯ ОБЛАСТЬ, Г ПСКОВ, УЛ ИНДУСТРИАЛЬНАЯ, Д. 9/1, ЛИТЕР К, ОФИС 311</t>
  </si>
  <si>
    <t>ООО ТК ГЛЭДИС</t>
  </si>
  <si>
    <t>180006, ПСКОВСКАЯ ОБЛАСТЬ, Г ПСКОВ, УЛ ЛЕОНА ПОЗЕМСКОГО, Д. 108Б</t>
  </si>
  <si>
    <t>ИП БРЫЛЬ НАТАЛЬЯ НИКОЛАЕВНА</t>
  </si>
  <si>
    <t>ООО ЧУДСКАЯ</t>
  </si>
  <si>
    <t>180020, ПСКОВСКАЯ ОБЛАСТЬ, Г ПСКОВ, УЛ ЧУДСКАЯ, Д. 7</t>
  </si>
  <si>
    <t>ООО УХВАТ</t>
  </si>
  <si>
    <t>180004, ПСКОВСКАЯ ОБЛАСТЬ, Г ПСКОВ, УЛ МОРОЗОВСКАЯ ВЕТКА, Д. 4, КАБИНЕТ 1</t>
  </si>
  <si>
    <t>ООО АВТОСЕРВИС НА ЧУДСКОЙ</t>
  </si>
  <si>
    <t>180020, РОССИЯ, ПСКОВСКАЯ ОБЛАСТЬ, Г.О. ГОРОД ПСКОВ, Г ПСКОВ, УЛ ЧУДСКАЯ, Д. 1</t>
  </si>
  <si>
    <t>180019, РОССИЯ, ПСКОВСКАЯ ОБЛАСТЬ, Г.О. ГОРОД ПСКОВ, Г ПСКОВ, УЛ ТРУДА, Д. 26</t>
  </si>
  <si>
    <t>ООО ГАЛАКС</t>
  </si>
  <si>
    <t>182113, ПСКОВСКАЯ ОБЛАСТЬ, Г ВЕЛИКИЕ ЛУКИ, ПР-КТ ОКТЯБРЬСКИЙ, Д.120/1</t>
  </si>
  <si>
    <t>ООО АРИС-АЗС</t>
  </si>
  <si>
    <t>182173, ПСКОВСКАЯ ОБЛАСТЬ, М.Р-Н ВЕЛИКОЛУКСКИЙ, Д ТОРЧИЛОВО, С.П. ЛЫЧЕВСКАЯ ВОЛОСТЬ, ТЕР. 467 КМ АВТОДОРОГИ МОСКВА-БАЛТИЯ, СТР. 1К2, ПОМЕЩ. 1</t>
  </si>
  <si>
    <t>ИП МАЛЫШЕВ АЛЕКСЕЙ АНАТОЛЬЕВИЧ</t>
  </si>
  <si>
    <t>ИП ФИЛИППОВ АЛЕКСАНДР ЮРЬЕВИЧ</t>
  </si>
  <si>
    <t>ИП Богданов Роман Витальевич</t>
  </si>
  <si>
    <t>ИП ВИХРОВ АЛЕКСАНДР ГЕННАДЬЕВИЧ</t>
  </si>
  <si>
    <t>ИП ПАШАЕВА ЭЛФИДА ТОФИК КЫЗЫ</t>
  </si>
  <si>
    <t>ИП СИГОВА ЗИНАИДА ИВАНОВНА</t>
  </si>
  <si>
    <t>ИП ЛАШКОВА НАТАЛЬЯ ЮРЬЕВНА</t>
  </si>
  <si>
    <t>ИП Лукина Татьяна Михайловна</t>
  </si>
  <si>
    <t>ООО ПСКОВНЕФТЕПРОДУКТ</t>
  </si>
  <si>
    <t>180000, ПСКОВСКАЯ ОБЛАСТЬ, Г ПСКОВ, ПР-КТ ОКТЯБРЬСКИЙ, Д.4</t>
  </si>
  <si>
    <t>ИП ПОЛУБЕЛОВА ЕЛЕНА МИХАЙЛОВНА</t>
  </si>
  <si>
    <t>ООО МАЗСЕРВИС</t>
  </si>
  <si>
    <t>180006, ПСКОВСКАЯ ОБЛАСТЬ, Г ПСКОВ, УЛ ЛЕОНА ПОЗЕМСКОГО, Д.125В</t>
  </si>
  <si>
    <t>ИП МАРТЫНЕНКО АЛЕКСАНДР ВАЛЕРЬЕВИЧ</t>
  </si>
  <si>
    <t>ООО ГРУЗТЕХНИКА</t>
  </si>
  <si>
    <t>ИП КУРАНОВ СЕРГЕЙ ЮРЬЕВИЧ</t>
  </si>
  <si>
    <t>ООО АГРОМИР</t>
  </si>
  <si>
    <t>180014, ПСКОВСКАЯ ОБЛАСТЬ, Г.О. ГОРОД ПСКОВ, Г ПСКОВ, УЛ НОВГОРОДСКАЯ, Д. 23, ОФИС 1</t>
  </si>
  <si>
    <t>180017, ПСКОВСКАЯ ОБЛАСТЬ, Г ПСКОВ, УЛ МИЧУРИНСКАЯ, Д. 8</t>
  </si>
  <si>
    <t>ООО АЙРОН БАРБЕР</t>
  </si>
  <si>
    <t>180006, ПСКОВСКАЯ ОБЛАСТЬ, Г.О. ГОРОД ПСКОВ, Г ПСКОВ, УЛ ЛЕОНА ПОЗЕМСКОГО, Д. 92, ЛИТЕР А1, ПОМЕЩ. 16</t>
  </si>
  <si>
    <t>ООО ТРУДА</t>
  </si>
  <si>
    <t>180019, ПСКОВСКАЯ ОБЛАСТЬ, Г ПСКОВ, УЛ ТРУДА, Д. 79Б</t>
  </si>
  <si>
    <t>ООО АВТО ОИЛ</t>
  </si>
  <si>
    <t>180019, ПСКОВСКАЯ ОБЛАСТЬ, Г ПСКОВ, УЛ ИНЖЕНЕРНАЯ, Д. 102, ПОМ 2 ОФ 3</t>
  </si>
  <si>
    <t>ООО АВТОМАРКЕТ №1</t>
  </si>
  <si>
    <t>180019, РОССИЯ, ПСКОВСКАЯ ОБЛАСТЬ, Г.О. ГОРОД ПСКОВ, Г ПСКОВ, УЛ ТРУДА, Д. 26, ОФИС 2</t>
  </si>
  <si>
    <t>ООО АВТОКАДА РУС</t>
  </si>
  <si>
    <t>180006, ПСКОВСКАЯ ОБЛАСТЬ, Р-Н ПСКОВСКИЙ, Д КОТОВО, УЛ ВАУЛИНОГОРСКОЕ ШОССЕ, Д. 14, ПОМЕЩ. 29</t>
  </si>
  <si>
    <t>ИП ГРИБАНОВ АНТОН ВЛАДИМИРОВИЧ</t>
  </si>
  <si>
    <t>Ростовская область</t>
  </si>
  <si>
    <t>ООО Бэхтранс-Сервис</t>
  </si>
  <si>
    <t>346730, РОСТОВСКАЯ ОБЛАСТЬ, Г БАТАЙСК, УЛ ПРОИЗВОДСТВЕННАЯ, Д.12</t>
  </si>
  <si>
    <t>ООО ТД ПРЕМЬЕР-АВТО</t>
  </si>
  <si>
    <t>346750, РОСТОВСКАЯ ОБЛАСТЬ, Г БАТАЙСК, УЛ ПРОИЗВОДСТВЕННАЯ, ЗД. 18А, ОФИС 4</t>
  </si>
  <si>
    <t>ООО КИДТ</t>
  </si>
  <si>
    <t>346883, РОСТОВСКАЯ ОБЛАСТЬ, Г БАТАЙСК, Ш ВОСТОЧНОЕ, Д. 3, ОФИС 13</t>
  </si>
  <si>
    <t>ООО ДОНСКОЙ КУПАЖ</t>
  </si>
  <si>
    <t>346886, РОССИЯ, РОСТОВСКАЯ ОБЛАСТЬ, Г.О. ГОРОД БАТАЙСК, Г БАТАЙСК, ТЕР. ДНТ ДРУЖБА, УЛ ИВОВАЯ, ЗД. 15</t>
  </si>
  <si>
    <t>МБУ ЦСО БЕЛОКАЛИТВИНСКОГО РАЙОНА</t>
  </si>
  <si>
    <t>347042, РОСТОВСКАЯ ОБЛАСТЬ, Р-Н БЕЛОКАЛИТВИНСКИЙ, Г БЕЛАЯ КАЛИТВА, УЛ ЖУКОВСКОГО, Д. 11</t>
  </si>
  <si>
    <t>ИП ЛАПИН СЕРГЕЙ ВЛАДИМИРОВИЧ</t>
  </si>
  <si>
    <t>347041, РОССИЯ, РОСТОВСКАЯ ОБЛАСТЬ, М.Р-Н БЕЛОКАЛИТВИНСКИЙ, Г БЕЛАЯ КАЛИТВА, Г.П. БЕЛОКАЛИТВИНСКОЕ, УЛ СОЦИАЛИСТИЧЕСКАЯ, ДВЛД. 69А, ПОМЕЩ. 2</t>
  </si>
  <si>
    <t>ИП МИХАЙЛИЧЕНКОВ АЛЕКСЕЙ АЛЕКСЕЕВИЧ</t>
  </si>
  <si>
    <t>ИП МАСЛИХОВ АНДРЕЙ АЛЕКСАНДРОВИЧ</t>
  </si>
  <si>
    <t>ИП СЕРДЮК АРТЕМ АНДРЕЕВИЧ</t>
  </si>
  <si>
    <t>ИП Симонов Геннадий Анатольевич</t>
  </si>
  <si>
    <t>ИП Горбук Вадим Александрович</t>
  </si>
  <si>
    <t>ИП БАРДАКОВ СЕРГЕЙ ВИКТОРОВИЧ</t>
  </si>
  <si>
    <t>ИП ПОЛОВКОВ ИГОРЬ АНАТОЛЬЕВИЧ</t>
  </si>
  <si>
    <t>ООО ПАРТНЕР-АВТО</t>
  </si>
  <si>
    <t>347360, РОСТОВСКАЯ ОБЛАСТЬ, Г ВОЛГОДОНСК, УЛ СТЕПНАЯ, Д.30</t>
  </si>
  <si>
    <t>ИП БАХАРЕВ ЮРИЙ АЛЕКСАНДРОВИЧ</t>
  </si>
  <si>
    <t>ИП ПОТАПКИН МАКСИМ ГЕННАДИЕВИЧ</t>
  </si>
  <si>
    <t>ИП ГУЛАМОВ РАСИФ МАМЕДРЗА ОГЛЫ</t>
  </si>
  <si>
    <t>ИП КУЛЕШОВ ЕВГЕНИЙ СЕРГЕЕВИЧ</t>
  </si>
  <si>
    <t>ИП КОЛИНИЧЕНКО СЕРГЕЙ АЛЕКСАНДРОВИЧ</t>
  </si>
  <si>
    <t>ИП КИРИЧЕНКО НАДЕЖДА НИКОЛАЕВНА</t>
  </si>
  <si>
    <t>ИП ПОКОТИЛО ВЛАДИМИР МИХАЙЛОВИЧ</t>
  </si>
  <si>
    <t>ИП КАРАСЕВ СЕРГЕЙ ЭДУАРДОВИЧ</t>
  </si>
  <si>
    <t>ИП ПЧЕЛКИН СЕРГЕЙ СЕРГЕЕВИЧ</t>
  </si>
  <si>
    <t>ИП РОЖИК ЕВГЕНИЙ ВАЛЕРЬЕВИЧ</t>
  </si>
  <si>
    <t>ИП НОВИК ДАРЬЯ АЛЕКСАНДРОВНА</t>
  </si>
  <si>
    <t>ИП КУДРЯ ОЛЕГ ВИТАЛЬЕВИЧ</t>
  </si>
  <si>
    <t>ГБУСОН РО РЦ ГОРОДА ЗВЕРЕВО</t>
  </si>
  <si>
    <t>346311, РОСТОВСКАЯ ОБЛАСТЬ, Г ЗВЕРЕВО, УЛ КАЧАЛОВА, Д.30</t>
  </si>
  <si>
    <t>ИП БРАНИШТИ СЕРГЕЙ СЕРГЕЕВИЧ</t>
  </si>
  <si>
    <t>ИП УЗБЕК ИВАН ЮРЬЕВИЧ</t>
  </si>
  <si>
    <t>ИП МУХИНА ИРИНА АНАТОЛЬЕВНА</t>
  </si>
  <si>
    <t>ООО ГРАНД АГРО ЮГ</t>
  </si>
  <si>
    <t>346130, РОСТОВСКАЯ ОБЛАСТЬ, Р-Н МИЛЛЕРОВСКИЙ, Г МИЛЛЕРОВО, УЛ АРТИЛЛЕРИЙСКАЯ, Д. 35, ОФИС 3</t>
  </si>
  <si>
    <t>ИП КЛЮЧЕНКО ЕГОР СЕРГЕЕВИЧ</t>
  </si>
  <si>
    <t>ИП ГОНЧАРОВ АНТОН ВЛАДИМИРОВИЧ</t>
  </si>
  <si>
    <t>ИП КАУРОВ ЯН ВИТАЛЬЕВИЧ</t>
  </si>
  <si>
    <t>ООО САТЕЛЛИТ</t>
  </si>
  <si>
    <t>346411, РОСТОВСКАЯ ОБЛАСТЬ, Г НОВОЧЕРКАССК, УЛ КРЫЛОВА, Д. 13, ЛИТЕР А, ОФИС 416</t>
  </si>
  <si>
    <t>ИП ШАХОВ ИВАН ВАЛЕНТИНОВИЧ</t>
  </si>
  <si>
    <t>ИП БЕГУН ВАДИМ АЛЕКСЕЕВИЧ</t>
  </si>
  <si>
    <t>ИП ПАРАМОНОВА НАТАЛЬЯ ВАСИЛЬЕВНА</t>
  </si>
  <si>
    <t>ИП АВЕРИНА АННА ИГОРЕВНА</t>
  </si>
  <si>
    <t>ООО ДОНАВТОСНАБ</t>
  </si>
  <si>
    <t>347383, РОСТОВСКАЯ ОБЛАСТЬ, Г ВОЛГОДОНСК, УЛ МАРШАЛА КОШЕВОГО, Д. 25, СТР. 4, ПОМЕЩ. IV</t>
  </si>
  <si>
    <t>ИП ДРУГОВ ИВАН МИХАЙЛОВИЧ</t>
  </si>
  <si>
    <t>ИП ПОЛИТОВ АНТОН ЮРЬЕВИЧ</t>
  </si>
  <si>
    <t>ИП БОЙЧЕНКО ЕВГЕНИЙ ИВАНОВИЧ</t>
  </si>
  <si>
    <t>ИП ЗАГОРУЙКО КИРИЛЛ АНДРЕЕВИЧ</t>
  </si>
  <si>
    <t>ИП Березовский Алексей Владимирович</t>
  </si>
  <si>
    <t>ИП Сюсюра Ольга Владимировна</t>
  </si>
  <si>
    <t>ГАУ РО ЦГБ В Г. АЗОВЕ</t>
  </si>
  <si>
    <t>346782, РОСТОВСКАЯ ОБЛАСТЬ, Г АЗОВ, УЛ ИЗМАЙЛОВА, Д.58</t>
  </si>
  <si>
    <t>ООО АПЕКС</t>
  </si>
  <si>
    <t>346787, РОСТОВСКАЯ ОБЛАСТЬ, Г.О. ГОРОД АЗОВ, Г АЗОВ, УЛ МИРА, Д. 43</t>
  </si>
  <si>
    <t>ИП Жуков Александр Иванович</t>
  </si>
  <si>
    <t>ИП ТУПОГУЗ ДМИТРИЙ ВАДИМОВИЧ</t>
  </si>
  <si>
    <t>ИП МАКОТЧЕНКО АЛЕКСЕЙ НИКОЛАЕВИЧ</t>
  </si>
  <si>
    <t>ИП СИДОРЕНКО АЛЕКСАНДР НИКОЛАЕВИЧ</t>
  </si>
  <si>
    <t>ИП ШАФОРОСТОВ ВАСИЛИЙ НИКОЛАЕВИЧ</t>
  </si>
  <si>
    <t>ИП ДУБАЕВА АНАСТАСИЯ ДМИТРИЕВНА</t>
  </si>
  <si>
    <t>ИП ХАУСТОВ АНТОН НИКОЛАЕВИЧ</t>
  </si>
  <si>
    <t>ИП КОЛОМЕЙЦЕВ РОМАН ВАСИЛЬЕВИЧ</t>
  </si>
  <si>
    <t>ИП Коротков Евгений Данилович</t>
  </si>
  <si>
    <t>ИП Плетнёв Евгений Владимирович</t>
  </si>
  <si>
    <t>ИП Шейкин Владимир Александрович</t>
  </si>
  <si>
    <t>ИП ВИХРЕВ ВЯЧЕСЛАВ ВЛАДИМИРОВИЧ</t>
  </si>
  <si>
    <t>ООО КОНТИНЕНТ-АВТО</t>
  </si>
  <si>
    <t>347360, РОСТОВСКАЯ ОБЛАСТЬ, Г ВОЛГОДОНСК, УЛ СТЕПНАЯ, Д.78, -, -</t>
  </si>
  <si>
    <t>ООО ТД ТРИЯ</t>
  </si>
  <si>
    <t>347360, РОСТОВСКАЯ ОБЛАСТЬ, Г ВОЛГОДОНСК, УЛ ПОРТОВАЯ, Д. 1</t>
  </si>
  <si>
    <t>ООО РЕГТАН</t>
  </si>
  <si>
    <t>347360, РОСТОВСКАЯ ОБЛАСТЬ, Г ВОЛГОДОНСК, Ш ЦИМЛЯНСКОЕ, ЗД. 45Е</t>
  </si>
  <si>
    <t>ООО ВОЛГОДОНСНАБ</t>
  </si>
  <si>
    <t>347366, РОССИЯ, РОСТОВСКАЯ ОБЛАСТЬ, Г.О. ГОРОД ВОЛГОДОНСК, Г ВОЛГОДОНСК, ПЕР ПУШКИНА, Д. 6, КВ. 8</t>
  </si>
  <si>
    <t>ООО ИГРУС-61</t>
  </si>
  <si>
    <t>347366, РОССИЯ, РОСТОВСКАЯ ОБЛАСТЬ, Г.О. ГОРОД ВОЛГОДОНСК, Г ВОЛГОДОНСК, ПЕР ПОЧТОВЫЙ, ЗД. 3А</t>
  </si>
  <si>
    <t>ИП НИГОМЕДЗЯНОВ МИХАИЛ РАФАИЛОВИЧ</t>
  </si>
  <si>
    <t>ИП Лазарева Юлия Валерьевна</t>
  </si>
  <si>
    <t>ИП МАРАДУДИН ВЛАДИМИР ВЛАДИМИРОВИЧ</t>
  </si>
  <si>
    <t>ИП ЕНЕНКО ИРИНА ВЯЧЕСЛАВОВНА</t>
  </si>
  <si>
    <t>ИП ГАРКУШЕНКО МИХАИЛ ЮРЬЕВИЧ</t>
  </si>
  <si>
    <t>ИП ВАСИЛЬЧЕНКО ЕЛЕНА ВАЛЕРЬЕВНА</t>
  </si>
  <si>
    <t>ИП КОНЬКОВ НИКОЛАЙ АЛЕКСАНДРОВИЧ</t>
  </si>
  <si>
    <t>ИП МИНЬКО ВАЛЕНТИНА МИХАЙЛОВНА</t>
  </si>
  <si>
    <t>ИП МАКСИМОВ АЛЕКСАНДР ЮРЬЕВИЧ</t>
  </si>
  <si>
    <t>ИП ЧУКАВОВ РОМАН НИКОЛАЕВИЧ</t>
  </si>
  <si>
    <t>ИП СЛУКИН АЛЕКСАНДР ВИКТОРОВИЧ</t>
  </si>
  <si>
    <t>ИП Щербаков Антон Николаевич</t>
  </si>
  <si>
    <t>ИП КИМЛЫК ДМИТРИЙ АЛЕКСАНДРОВИЧ</t>
  </si>
  <si>
    <t>ИП Украинский Роман Валерьевич</t>
  </si>
  <si>
    <t>ИП ПОЛОЗЮК ДМИТРИЙ ДМИТРИЕВИЧ</t>
  </si>
  <si>
    <t>ИП БОНДАРЕНКО АНАТОЛИЙ ДМИТРИЕВИЧ</t>
  </si>
  <si>
    <t>ИП ДАТЧЕНКО НИКОЛАЙ НИКОЛАЕВИЧ</t>
  </si>
  <si>
    <t>ООО АМЗ-ТЕК</t>
  </si>
  <si>
    <t>346130, РОСТОВСКАЯ ОБЛАСТЬ, Р-Н МИЛЛЕРОВСКИЙ, Г МИЛЛЕРОВО, УЛ ФРУНЗЕ, Д. 17</t>
  </si>
  <si>
    <t>ИП ПОЛОЗЮК МАРИНА БОРИСОВНА</t>
  </si>
  <si>
    <t>ИП БЕЛЯЕВ ВИТАЛИЙ АЛЕКСАНДРОВИЧ</t>
  </si>
  <si>
    <t>ИП ДАВТЯН МАРЕТА ЛЬВОВНА</t>
  </si>
  <si>
    <t>ИП ЛЕОНОВА ЕЛЕНА МИХАЙЛОВНА</t>
  </si>
  <si>
    <t>ООО ТОРГСЕРВИС 61</t>
  </si>
  <si>
    <t>344002, РОССИЯ, РОСТОВСКАЯ ОБЛАСТЬ, Г.О. ГОРОД РОСТОВ-НА-ДОНУ, Г РОСТОВ-НА-ДОНУ, УЛ МОСКОВСКАЯ, ЗД. 43/13, КОМ. 31,31А</t>
  </si>
  <si>
    <t>ИП ЕРМАКОВА МАРИНА АЛЕКСАНДРОВНА</t>
  </si>
  <si>
    <t>ООО ТОАВТО</t>
  </si>
  <si>
    <t>346780, РОСТОВСКАЯ ОБЛАСТЬ, Г АЗОВ, УЛ ДРУЖБЫ, Д. 30</t>
  </si>
  <si>
    <t>ИП КОТЕНКО СЕРГЕЙ КОНСТАНТИНОВИЧ</t>
  </si>
  <si>
    <t>ИП НОВИЦКИЙ АНДРЕЙ ЕВГЕНЬЕВИЧ</t>
  </si>
  <si>
    <t>ИП МЕЛЬНИКОВ ОЛЕГ БОРИСОВИЧ</t>
  </si>
  <si>
    <t>ИП СИПЛИВАЯ АЛЛА НИКОЛАЕВНА</t>
  </si>
  <si>
    <t>ИП СОЛОМОНОВА ОЛЬГА АЛЕКСЕЕВНА</t>
  </si>
  <si>
    <t>ИП ДУМАЩИН ВЛАДИМИР ТАРАСОВИЧ</t>
  </si>
  <si>
    <t>ООО БМС</t>
  </si>
  <si>
    <t>346892, РОСТОВСКАЯ ОБЛАСТЬ, Г БАТАЙСК, УЛ 1-Й ПЯТИЛЕТКИ, ЗД. 12-Б, ОФИС 10</t>
  </si>
  <si>
    <t>ООО ЮНИТЕХ</t>
  </si>
  <si>
    <t>346884, РОССИЯ, РОСТОВСКАЯ ОБЛАСТЬ, Г.О. ГОРОД БАТАЙСК, Г БАТАЙСК, УЛ ГОГОЛЯ, Д. 122</t>
  </si>
  <si>
    <t>ИП ОТРОШКО ВЛАДИМИР ВЛАДИМИРОВИЧ</t>
  </si>
  <si>
    <t>ИП ГАРБУЗ ВЛАДИМИР НИКОЛАЕВИЧ</t>
  </si>
  <si>
    <t>ИП ВИНОГРАДОВ АНДРЕЙ МИХАЙЛОВИЧ</t>
  </si>
  <si>
    <t>ИП ЖДАНОВ РОМАН ЮРЬЕВИЧ</t>
  </si>
  <si>
    <t>ИП ПАВЛИЧЕНКО ИГОРЬ ВИКТОРОВИЧ</t>
  </si>
  <si>
    <t>ИП КУЛЕШОВА НАТАЛЬЯ ВЛАДИМИРОВНА</t>
  </si>
  <si>
    <t>ИП СЁМИН ВИТАЛИЙ ВЛАДИМИРОВИЧ</t>
  </si>
  <si>
    <t>ИП ШПИТЬКО СЕРГЕЙ ЮРЬЕВИЧ</t>
  </si>
  <si>
    <t>ИП БЫКОВ ВИКТОР ЮРЬЕВИЧ</t>
  </si>
  <si>
    <t>ИП ЯСЬКО ОЛЕГ ВЛАДИМИРОВИЧ</t>
  </si>
  <si>
    <t>ИП ЧИВЕЛЬ-ГЛАДКИХ АНТОНИНА СЕРГЕЕВНА</t>
  </si>
  <si>
    <t>ИП ПЧЕЛКИН АЛЕКСАНДР СЕРГЕЕВИЧ</t>
  </si>
  <si>
    <t>ИП КУЗНЕЦОВ НИКОЛАЙ ЮРЬЕВИЧ</t>
  </si>
  <si>
    <t>ООО АЗБУКА ИНСТРУМЕНТА</t>
  </si>
  <si>
    <t>347810, РОСТОВСКАЯ ОБЛАСТЬ, Г КАМЕНСК-ШАХТИНСКИЙ, УЛ СПОРТИВНАЯ, Д. 35</t>
  </si>
  <si>
    <t>ИП Слукина Наталия Александровна</t>
  </si>
  <si>
    <t>ИП ЧАЙКА АРТЕМ АЛЕКСАНДРОВИЧ</t>
  </si>
  <si>
    <t>ИП ВЕРБИЦКИЙ РОМАН ИВАНОВИЧ</t>
  </si>
  <si>
    <t>ИП БУТОВ АЛЕКСАНДР ИГОРЕВИЧ</t>
  </si>
  <si>
    <t>346357, РОСТОВСКАЯ ОБЛАСТЬ, Р-Н КРАСНОСУЛИНСКИЙ, Г КРАСНЫЙ СУЛИН, УЛ ГАГАРИНА, Д.66А</t>
  </si>
  <si>
    <t>346132, РОСТОВСКАЯ ОБЛАСТЬ, М.Р-Н МИЛЛЕРОВСКИЙ, Г МИЛЛЕРОВО, Г.П. МИЛЛЕРОВСКОЕ, УЛ 3 ИНТЕРНАЦИОНАЛА, ДВЛД. 43, ОФИС 4</t>
  </si>
  <si>
    <t>ИП НИЗКОДУБОВ АЛЕКСАНДР ВИКТОРОВИЧ</t>
  </si>
  <si>
    <t>ИП МИРОШНИК АНДРЕЙ АЛЕКСЕЕВИЧ</t>
  </si>
  <si>
    <t>ИП ГРАНЮКОВ СЕРГЕЙ АЛЕКСАНДРОВИЧ</t>
  </si>
  <si>
    <t>ИП БАБКИН ИВАН ВАЛЕРЬЕВИЧ</t>
  </si>
  <si>
    <t>ООО ЭКОСНАБ</t>
  </si>
  <si>
    <t>346400, РОССИЯ, РОСТОВСКАЯ ОБЛАСТЬ, Г.О. ГОРОД НОВОЧЕРКАССК, Г НОВОЧЕРКАССК, УЛ ДУБОВСКОГО, Д. 36, ОФИС 3</t>
  </si>
  <si>
    <t>ИП МАРКИН АЛЕКСАНДР ВИКТОРОВИЧ</t>
  </si>
  <si>
    <t>ИП Гончаров Олег Михайлович</t>
  </si>
  <si>
    <t>ИП Маслинников Николай Алексеевич</t>
  </si>
  <si>
    <t>ИП ЛУТОВ ВАСИЛИЙ ВИКТОРОВИЧ</t>
  </si>
  <si>
    <t>ООО ЮТЛ</t>
  </si>
  <si>
    <t>346910, РОСТОВСКАЯ ОБЛАСТЬ, Г НОВОШАХТИНСК, УЛ ПРИВОЛЬНАЯ, Д.31</t>
  </si>
  <si>
    <t>ИП ШЕВЯКОВ ОЛЕГ АНАТОЛЬЕВИЧ</t>
  </si>
  <si>
    <t>ИП ДИДЕНКО АЛЕКСАНДР АЛЕКСАНДРОВИЧ</t>
  </si>
  <si>
    <t>ИП ГЛУЩЕНКО МАКСИМ АЛЕКСАНДРОВИЧ</t>
  </si>
  <si>
    <t>ИП КОЧЕЛОВСКАЯ МАРИЯ ВЛАДИМИРОВНА</t>
  </si>
  <si>
    <t>ИП НЕСТЕРОВА ОКСАНА ИВАНОВНА</t>
  </si>
  <si>
    <t>ИП КОРЕЦКИЙ АНАТОЛИЙ АЛЕКСАНДРОВИЧ</t>
  </si>
  <si>
    <t>ООО ВСЕМАВТО</t>
  </si>
  <si>
    <t>347905, РОССИЯ, РОСТОВСКАЯ ОБЛАСТЬ, Г.О. ГОРОД ТАГАНРОГ, Г ТАГАНРОГ, УЛ СОЦИАЛИСТИЧЕСКАЯ, Д. 138</t>
  </si>
  <si>
    <t>347927, РОССИЯ, РОСТОВСКАЯ ОБЛАСТЬ, Г.О. ГОРОД ТАГАНРОГ, Г ТАГАНРОГ, УЛ ПОЛЯКОВСКОЕ ШОССЕ, Д. 16, ПОМЕЩ. 401</t>
  </si>
  <si>
    <t>ИП РОМАНЕНКО АЛЕКСЕЙ ВЯЧЕСЛАВОВИЧ</t>
  </si>
  <si>
    <t>ИП ПОНОМАРЕНКО ДМИТРИЙ МИХАЙЛОВИЧ</t>
  </si>
  <si>
    <t>ИП Уроженко Андрей Александрович</t>
  </si>
  <si>
    <t>ИП РУДАКОВ АЛЕКСЕЙ ГЕННАДИЕВИЧ</t>
  </si>
  <si>
    <t>ИП МИЩЕНКО ЕВГЕНИЙ ГЕННАДЬЕВИЧ</t>
  </si>
  <si>
    <t>ИП КОРНИЕНКО КАРИНА ВИКТОРОВНА</t>
  </si>
  <si>
    <t>ИП КРАСНОВ ЕВГЕНИЙ ОЛЕГОВИЧ</t>
  </si>
  <si>
    <t>ООО ПРОСТОРЫ</t>
  </si>
  <si>
    <t>347905, РОСТОВСКАЯ ОБЛАСТЬ, Г.О. ГОРОД ТАГАНРОГ, Г ТАГАНРОГ, УЛ СОЦИАЛИСТИЧЕСКАЯ, Д. 12-А</t>
  </si>
  <si>
    <t>ИП Вовк Николай Алексеевич</t>
  </si>
  <si>
    <t>ИП АФАНАСЬЕВА АНЖЕЛИКА ИВАНОВНА</t>
  </si>
  <si>
    <t>ООО ТМ ГРУПП</t>
  </si>
  <si>
    <t>346513, РОСТОВСКАЯ ОБЛАСТЬ, Г.О. ГОРОД ШАХТЫ, Г ШАХТЫ, ПЕР ШИШКИНА, ЗД. 162</t>
  </si>
  <si>
    <t>346518, РОСТОВСКАЯ ОБЛАСТЬ, Г.О. ГОРОД ШАХТЫ, Г ШАХТЫ, УЛ ДАЧНАЯ, ЗД. 329, ПОМЕЩ. 1</t>
  </si>
  <si>
    <t>ИП БУЦЫК СВЕТЛАНА МИТРОФАНОВНА</t>
  </si>
  <si>
    <t>ИП ЛАРИОНОВ АЛЕКСЕЙ АЛЕКСАНДРОВИЧ</t>
  </si>
  <si>
    <t>ИП Маслий Татьяна Юрьевна</t>
  </si>
  <si>
    <t>ИП ФЕДОРИЩЕВА ИРИНА ВЛАДИМИРОВНА</t>
  </si>
  <si>
    <t>ИП КРИВОШЛЫКОВ МАКСИМ АЛЕКСАНДРОВИЧ</t>
  </si>
  <si>
    <t>ИП ГУЖЕВ ВЛАДИМИР ВАДИМОВИЧ</t>
  </si>
  <si>
    <t>ИП ПОЛЯКОВА АНАСТАСИЯ ВЯЧЕСЛАВОВНА</t>
  </si>
  <si>
    <t>ИП ДАУРОВ АСЛАН АЛЬБЕРТОВИЧ</t>
  </si>
  <si>
    <t>ИП ЗИМИНА ЗОЯ ВЛАДИМИРОВНА</t>
  </si>
  <si>
    <t>ИП Ленкауцан Ляна Федоровна</t>
  </si>
  <si>
    <t>ИП СЕЛЕГЕНЕНКО ВАДИМ ВЛАДИМИРОВИЧ</t>
  </si>
  <si>
    <t>ИП КОЛЕСНИЧЕНКО ОЛЕГ ЮРЬЕВИЧ</t>
  </si>
  <si>
    <t>ИП ГАРАГУЛЯ ВЛАДИМИР ВЛАДИМИРОВИЧ</t>
  </si>
  <si>
    <t>ИП ОЛОНЦЕВ СЕРГЕЙ АЛЕКСАНДРОВИЧ</t>
  </si>
  <si>
    <t>ИП БЕЛЫЙ СЕРГЕЙ ИГОРЕВИЧ</t>
  </si>
  <si>
    <t>ИП СМИРНОВ МАКСИМ СЕРГЕЕВИЧ</t>
  </si>
  <si>
    <t>ООО ГМА.ШОП</t>
  </si>
  <si>
    <t>344068, РОССИЯ, РОСТОВСКАЯ ОБЛАСТЬ, Г.О. ГОРОД РОСТОВ-НА-ДОНУ, Г РОСТОВ-НА-ДОНУ, УЛ ПЛИЕВА, ЗД. 61</t>
  </si>
  <si>
    <t>ИП БОРИСОВ НИКОЛАЙ АЛЕКСЕЕВИЧ</t>
  </si>
  <si>
    <t>ИП КИЛЬЯН АРТУР ОЛЕГОВИЧ</t>
  </si>
  <si>
    <t>ИП МОЙСЕЙ ВЛАДИМИР ВАЛЕРЬЕВИЧ</t>
  </si>
  <si>
    <t>ИП ВИКАРНЫЙ АЛЕКСАНДР ВАЛЕРЬЕВИЧ</t>
  </si>
  <si>
    <t>ООО ИНКОРМЕТ</t>
  </si>
  <si>
    <t>344004, РОСТОВСКАЯ ОБЛАСТЬ, Г РОСТОВ-НА-ДОНУ, УЛ 2-Я БАРРИКАДНАЯ, Д.24</t>
  </si>
  <si>
    <t>ИП ПОСТНИКОВ ТИМОФЕЙ АЛЕКСЕЕВИЧ</t>
  </si>
  <si>
    <t>ООО НИМЭКС</t>
  </si>
  <si>
    <t>344116, РОСТОВСКАЯ ОБЛАСТЬ, Г РОСТОВ-НА-ДОНУ, УЛ СВЕРДЛОВСКАЯ, Д. 3, ОФИС 1</t>
  </si>
  <si>
    <t>ИП НЕВСКИЙ АЛЕКСАНДР АЛЕКСЕЕВИЧ</t>
  </si>
  <si>
    <t>ГБУ РО КВД</t>
  </si>
  <si>
    <t>344002, РОСТОВСКАЯ ОБЛАСТЬ, Г РОСТОВ-НА-ДОНУ, УЛ БАУМАНА, Д.70</t>
  </si>
  <si>
    <t>ИП ЗАГРЕБЕЛЬНЫЙ ДМИТРИЙ МАКСИМОВИЧ</t>
  </si>
  <si>
    <t>ООО ПАРТНЕР-ЮГ</t>
  </si>
  <si>
    <t>344025, РОСТОВСКАЯ ОБЛАСТЬ, Г РОСТОВ-НА-ДОНУ, УЛ ЧЕРЕВИЧКИНА, ЗД. 103, КОМ. 33</t>
  </si>
  <si>
    <t>ООО ГАЗ ЛИДЕР</t>
  </si>
  <si>
    <t>346720, РОСТОВСКАЯ ОБЛАСТЬ, Р-Н АКСАЙСКИЙ, Г АКСАЙ, ПР-КТ АКСАЙСКИЙ, Д. 19Б</t>
  </si>
  <si>
    <t>ООО ОБЕРЕГ</t>
  </si>
  <si>
    <t>344041, РОСТОВСКАЯ ОБЛАСТЬ, Г РОСТОВ-НА-ДОНУ, УЛ ОСЕННЯЯ, Д. 29, ОФИС 1, 6, 7</t>
  </si>
  <si>
    <t>ООО РПХ</t>
  </si>
  <si>
    <t>344002, РОСТОВСКАЯ ОБЛАСТЬ, Г РОСТОВ-НА-ДОНУ, ПЕР СОЛЯНОЙ СПУСК, Д. 3, ОФИС 10</t>
  </si>
  <si>
    <t>ООО НАВИСТАР</t>
  </si>
  <si>
    <t>344103, РОССИЯ, РОСТОВСКАЯ ОБЛАСТЬ, Г.О. ГОРОД РОСТОВ-НА-ДОНУ, Г РОСТОВ-НА-ДОНУ, УЛ ДОВАТОРА, Д. 150/1</t>
  </si>
  <si>
    <t>ИП НАУМОВ АНТОН НИКОЛАЕВИЧ</t>
  </si>
  <si>
    <t>ИП ПОТРАШКОВ СЕРГЕЙ АЛЕКСАНДРОВИЧ</t>
  </si>
  <si>
    <t>ИП КОРНЕВА ИРИНА ЮРЬЕВНА</t>
  </si>
  <si>
    <t>ИП БАБИНА НАТАЛЬЯ АЛЕКСЕЕВНА</t>
  </si>
  <si>
    <t>ИП ЛОТИЦКАЯ ЛЮБОВЬ АЛЕКСАНДРОВНА</t>
  </si>
  <si>
    <t>ООО ПКФ ПРОМАГРОЗАПЧАСТЬ</t>
  </si>
  <si>
    <t>347636, РОСТОВСКАЯ ОБЛАСТЬ, Р-Н САЛЬСКИЙ, Г САЛЬСК, УЛ ФАБРИЧНАЯ, Д.2/2, -, -</t>
  </si>
  <si>
    <t>ИП ДРАТОВ ПАВЕЛ ВАСИЛЬЕВИЧ</t>
  </si>
  <si>
    <t>ИП КОРНИЕНКО ВИКТОР АЛЕКСАНДРОВИЧ</t>
  </si>
  <si>
    <t>ИП ОРЛОВ АНДРЕЙ НИКОЛАЕВИЧ</t>
  </si>
  <si>
    <t>ИП Беспалов Олег Александрович</t>
  </si>
  <si>
    <t>ИП МАРКОВ АЛЕКСАНДР ВАЛЕРЬЕВИЧ</t>
  </si>
  <si>
    <t>ИП АМРАХОВ ГАДИР АЛМАМЕД ОГЛЫ</t>
  </si>
  <si>
    <t>ИП Бабкин Юрий Николаевич</t>
  </si>
  <si>
    <t>ООО ОФИСТАГ</t>
  </si>
  <si>
    <t>347900, РОСТОВСКАЯ ОБЛАСТЬ, Г ТАГАНРОГ, УЛ ЧЕХОВА, Д. 64, КВ. 3</t>
  </si>
  <si>
    <t>ООО ДЕЛМЕКС</t>
  </si>
  <si>
    <t>347913, РОСТОВСКАЯ ОБЛАСТЬ, Г ТАГАНРОГ, УЛ МЕНДЕЛЕЕВА, Д. 24, ОФИС 1</t>
  </si>
  <si>
    <t>ИП Грисенко Роман Васильевич</t>
  </si>
  <si>
    <t>ИП ЛУГОВАЯ ОЛЬГА НИКОЛАЕВНА</t>
  </si>
  <si>
    <t>ИП БОНДАРЕНКО СЕРГЕЙ АЛЕКСАНДРОВИЧ</t>
  </si>
  <si>
    <t>ИП Ткачев Александр Васильевич</t>
  </si>
  <si>
    <t>ИП ГРЕБЁНКИН БОРИС СЕРГЕЕВИЧ</t>
  </si>
  <si>
    <t>ИП КРЕГУЛ СВЕТЛАНА ЮРЬЕВНА</t>
  </si>
  <si>
    <t>ИП МУРСАЛОВ ВИТАЛИЙ АЛЕКСАНДРОВИЧ</t>
  </si>
  <si>
    <t>ИП Шаравин Александр Валерьевич</t>
  </si>
  <si>
    <t>ООО ТЕМП АВТО ДОН</t>
  </si>
  <si>
    <t>346518, РОСТОВСКАЯ ОБЛАСТЬ, Г ШАХТЫ, УЛ МАЯКОВСКОГО, ЗД. 222В, -</t>
  </si>
  <si>
    <t>ИП ПРИЛИПА ЕВГЕНИЙ ВЛАДИМИРОВИЧ</t>
  </si>
  <si>
    <t>ИП ЮДИНА ЕКАТЕРИНА ЕВГЕНЬЕВНА</t>
  </si>
  <si>
    <t>ИП СВЕКРОВИН ВЛАДИМИР ИГОРЕВИЧ</t>
  </si>
  <si>
    <t>ИП ПАРКШЕЕВ АРТУР СЕРОПОВИЧ</t>
  </si>
  <si>
    <t>ИП РЕДЬКИН ВЛАДИМИР АНАТОЛЬЕВИЧ</t>
  </si>
  <si>
    <t>ИП ШУЛЬГА ЕЛЕНА АНАТОЛЬЕВНА</t>
  </si>
  <si>
    <t>ИП ЕРЕМЕЕНКО ВИКТОР НИКОЛАЕВИЧ</t>
  </si>
  <si>
    <t>ИП ОЛЬТА НИКОЛАЙ ГРИГОРЬЕВИЧ</t>
  </si>
  <si>
    <t>ИП МУХАНЬКО ЕВГЕНИЙ МИХАЙЛОВИЧ</t>
  </si>
  <si>
    <t>ИП БОГДАНОВ ИГОРЬ ВАЛЕРЬЕВИЧ</t>
  </si>
  <si>
    <t>ООО ТД ПОДШИПНИК ЮГ</t>
  </si>
  <si>
    <t>344103, РОССИЯ, РОСТОВСКАЯ ОБЛАСТЬ, Г.О. ГОРОД РОСТОВ-НА-ДОНУ, Г РОСТОВ-НА-ДОНУ, УЛ ДОВАТОРА, Д. 158Б</t>
  </si>
  <si>
    <t>ИП ДЬЯЧЕК ПАВЕЛ НИКОЛАЕВИЧ</t>
  </si>
  <si>
    <t>ИП ОБРАСКОВА ИННА ВЕНИАМИНОВНА</t>
  </si>
  <si>
    <t>ООО КОМТРАНСЮГ</t>
  </si>
  <si>
    <t>344000, РОССИЯ, РОСТОВСКАЯ ОБЛАСТЬ, Г.О. ГОРОД РОСТОВ-НА-ДОНУ, Г РОСТОВ-НА-ДОНУ, ПР-КТ СОКОЛОВА, Д. 41, ОФИС 3</t>
  </si>
  <si>
    <t>ИП КУРБАТОВ АНДРЕЙ ЛЕОНИДОВИЧ</t>
  </si>
  <si>
    <t>ИП Пискунов Вадим Викторович</t>
  </si>
  <si>
    <t>ИП СИГАЕВ МИХАИЛ СЕРГЕЕВИЧ</t>
  </si>
  <si>
    <t>ИП Ласковец Дмитрий Александрович</t>
  </si>
  <si>
    <t>ИП ТУМАСЯНЦ МАРИНА СЕРГЕЕВНА</t>
  </si>
  <si>
    <t>ИП ХОПРЯЧКОВА ЕВГЕНИЯ ВАЛЕРЬЕВНА</t>
  </si>
  <si>
    <t>ИП Соколова Анжелика Вячеславовна</t>
  </si>
  <si>
    <t>ИП ТЮТЮННИКОВ АНДРЕЙ АЛЕКСАНДРОВИЧ</t>
  </si>
  <si>
    <t>346918, РОСТОВСКАЯ ОБЛАСТЬ, Г.О. ГОРОД НОВОШАХТИНСК, Г НОВОШАХТИНСК, УЛ ГОРНЯЦКАЯ, ЗД. 21А, ОФИС 43</t>
  </si>
  <si>
    <t>ИП БЕК АЛЕКСЕЙ ВИКТОРОВИЧ</t>
  </si>
  <si>
    <t>ИП БЕЛЕЦКИЙ СЕРГЕЙ ВЯЧЕСЛАВОВИЧ</t>
  </si>
  <si>
    <t>ИП БОЧАРНИКОВА ОЛЬГА НИКОЛАЕВНА</t>
  </si>
  <si>
    <t>ООО ЮГ РОССИИ</t>
  </si>
  <si>
    <t>347636, РОСТОВСКАЯ ОБЛАСТЬ, Р-Н САЛЬСКИЙ, Г САЛЬСК, УЛ ФРУНЗЕ, Д.3, К.0, 0</t>
  </si>
  <si>
    <t>ИП ДРАТОВ ВЯЧЕСЛАВ САФЕТОВИЧ</t>
  </si>
  <si>
    <t>ИП ЧЕРНЫШЕВ АЛЕКСЕЙ ЮРЬЕВИЧ</t>
  </si>
  <si>
    <t>ИП КОНОНЕНКО СЕРГЕЙ ПАВЛОВИЧ</t>
  </si>
  <si>
    <t>ИП СТЕПАНЕНКО ДМИТРИЙ НИКОЛАЕВИЧ</t>
  </si>
  <si>
    <t>ИП МЯКИНЧЕНКО АЛЕКСАНДР ГЕОРГИЕВИЧ</t>
  </si>
  <si>
    <t>ИП КИПШАРА ВИТАЛИЙ ЮРЬЕВИЧ</t>
  </si>
  <si>
    <t>ИП САВЧЕНКО ИВАН СЕРГЕЕВИЧ</t>
  </si>
  <si>
    <t>ИП ОБЕРТИНСКИЙ ВИКТОР ИГОРЕВИЧ</t>
  </si>
  <si>
    <t>ИП ЛЕСОВОЙ АЛЕКСЕЙ ГЕОРГИЕВИЧ</t>
  </si>
  <si>
    <t>ИП КОРОВКИН ДМИТРИЙ ВЛАДИМИРОВИЧ</t>
  </si>
  <si>
    <t>ИП АМРАХОВ АЯЗ ГАДИР ОГЛЫ</t>
  </si>
  <si>
    <t>ИП ГОНЧАР ВИКТОРИЯ ВИКТОРОВНА</t>
  </si>
  <si>
    <t>ИП СИРОТА ДМИТРИЙ ЛЬВОВИЧ</t>
  </si>
  <si>
    <t>ООО АВТО-МАРТ ТАГАНРОГ</t>
  </si>
  <si>
    <t>347902, РОСТОВСКАЯ ОБЛАСТЬ, Г ТАГАНРОГ, ПЕР ТРУДОВЫХ РЕЗЕРВОВ, Д. 10, ОФИС 313</t>
  </si>
  <si>
    <t>ООО МТ АВТОПАРТС</t>
  </si>
  <si>
    <t>347933, РОССИЯ, РОСТОВСКАЯ ОБЛАСТЬ, Г.О. ГОРОД ТАГАНРОГ, Г ТАГАНРОГ, УЛ ЧЕХОВА, Д. 353-5, ОФИС 5, ПОМЕЩ. 2</t>
  </si>
  <si>
    <t>ООО СНАБ-ТЕХНО</t>
  </si>
  <si>
    <t>347910, РОССИЯ, РОСТОВСКАЯ ОБЛАСТЬ, Г.О. ГОРОД ТАГАНРОГ, Г ТАГАНРОГ, УЛ ЛЕНИНА, Д. 214, ОФИС 2/2</t>
  </si>
  <si>
    <t>ИП ОХОТНИКОВ АЛЕКСЕЙ ЮРЬЕВИЧ</t>
  </si>
  <si>
    <t>ИП ВАСИЛЬЕВ АРТЕМ ВИКТОРОВИЧ</t>
  </si>
  <si>
    <t>ИП ДУБОВИК ДЕНИС СЕРГЕЕВИЧ</t>
  </si>
  <si>
    <t>ИП ТИМОШЕНКО ЕЛЕНА ГЕННАДЬЕВНА</t>
  </si>
  <si>
    <t>ИП КОВАЛЕНКО ИВАН АНАТОЛЬЕВИЧ</t>
  </si>
  <si>
    <t>ИП КУШНИРЮК МАРИНА АНАТОЛЬЕВНА</t>
  </si>
  <si>
    <t>ИП ГРИГОРЯН ВЕРА АЛЕКСАНДРОВНА</t>
  </si>
  <si>
    <t>ИП ТЕМЕРБЕК ИРИНА ВЛАДИМИРОВНА</t>
  </si>
  <si>
    <t>ИП ЗАХАРОВ АНТОН ЕВГЕНЬЕВИЧ</t>
  </si>
  <si>
    <t>ИП Тер-Осипов Владимир Ашотович</t>
  </si>
  <si>
    <t>ИП ШИНДЯЕВА НЕЛЛЯ ВИКТОРОВНА</t>
  </si>
  <si>
    <t>ИП БЕСПАЛОВ ЮРИЙ ГЕОРГИЕВИЧ</t>
  </si>
  <si>
    <t>ООО РТТ</t>
  </si>
  <si>
    <t>344009, РОССИЯ, РОСТОВСКАЯ ОБЛАСТЬ, Г.О. ГОРОД РОСТОВ-НА-ДОНУ, Г РОСТОВ-НА-ДОНУ, ПР-КТ ШОЛОХОВА, ЗД. 270/1, ЭТАЖ 1, ПОМЕЩ. 7В-7БА, 7Г-8-9</t>
  </si>
  <si>
    <t>ИП СЕРГИЕНКО ЛЮБОВЬ ФИЛИППОВНА</t>
  </si>
  <si>
    <t>ООО ШЕЛБИ</t>
  </si>
  <si>
    <t>346518, РОССИЯ, РОСТОВСКАЯ ОБЛАСТЬ, Г.О. ГОРОД ШАХТЫ, Г ШАХТЫ, УЛ ДАЧНАЯ, ДВЛД. 343</t>
  </si>
  <si>
    <t>ИП ЛИТВИНОВ ЕГОР СЕРГЕЕВИЧ</t>
  </si>
  <si>
    <t>ИП ЦЫГАНОК ВЛАДИМИР АНДРЕЕВИЧ</t>
  </si>
  <si>
    <t>ООО ЕВРО ОЙЛ</t>
  </si>
  <si>
    <t>344113, РОСТОВСКАЯ ОБЛАСТЬ, Г.О. ГОРОД РОСТОВ-НА-ДОНУ, Г РОСТОВ-НА-ДОНУ, ПР-КТ КОСМОНАВТОВ, Д. 41/2, КВ. 101</t>
  </si>
  <si>
    <t>ООО МАШПРОМСМ</t>
  </si>
  <si>
    <t>344038, РОСТОВСКАЯ ОБЛАСТЬ, Г.О. ГОРОД РОСТОВ-НА-ДОНУ, Г РОСТОВ-НА-ДОНУ, ПР-КТ МИХАИЛА НАГИБИНА, ЗД. 14А, ОФИС 36</t>
  </si>
  <si>
    <t>ООО МАШТОН ГРУПП</t>
  </si>
  <si>
    <t>344068, РОССИЯ, РОСТОВСКАЯ ОБЛАСТЬ, Г.О. ГОРОД РОСТОВ-НА-ДОНУ, Г РОСТОВ-НА-ДОНУ, ПЕР ИЗМАИЛЬСКИЙ, Д. 41А, КОМ. 8</t>
  </si>
  <si>
    <t>ООО ПЕТРО МАРКЕТ ПЛЮС</t>
  </si>
  <si>
    <t>344068, РОСТОВСКАЯ ОБЛАСТЬ, Г.О. ГОРОД РОСТОВ-НА-ДОНУ, Г РОСТОВ-НА-ДОНУ, УЛ ЛАРИНА, Д. 18/18, ОФИС 21</t>
  </si>
  <si>
    <t>ИП ЕВТУХОВ ВЛАДИМИР ВАЛЕРИЕВИЧ</t>
  </si>
  <si>
    <t>ИП ЛЯСКАЛО ВЛАДИСЛАВ НИКОЛАЕВИЧ</t>
  </si>
  <si>
    <t>ИП ЧЕРНОВ СЕРГЕЙ ВАСИЛЬЕВИЧ</t>
  </si>
  <si>
    <t>ИП АЙДИНЯН АННА ГЕННАДЬЕВНА</t>
  </si>
  <si>
    <t>ИП ЩЕРБАКОВА ОЛЬГА ВАСИЛЬЕВНА</t>
  </si>
  <si>
    <t>ИП ИБРАГИМОВА НИНА АЛЕКСАНДРОВНА</t>
  </si>
  <si>
    <t>344096, РОССИЯ, РОСТОВСКАЯ ОБЛАСТЬ, Г.О. ГОРОД РОСТОВ-НА-ДОНУ, Г РОСТОВ-НА-ДОНУ, ПР-КТ КОРОЛЕВА, ЗД. 1У, СТР. 1, КОМ. 2</t>
  </si>
  <si>
    <t>ООО МЕДТЕХНИКА ЮГ</t>
  </si>
  <si>
    <t>344069, РОСТОВСКАЯ ОБЛАСТЬ, Г.О. ГОРОД РОСТОВ-НА-ДОНУ, Г РОСТОВ-НА-ДОНУ, УЛ 2-Я ТУРНИРНАЯ, Д. 2/5</t>
  </si>
  <si>
    <t>ООО АВТОСКЛАД</t>
  </si>
  <si>
    <t>344000, РОСТОВСКАЯ ОБЛАСТЬ, Г.О. ГОРОД РОСТОВ-НА-ДОНУ, Г РОСТОВ-НА-ДОНУ, ПЕР КРЕПОСТНОЙ, ЗД. 147/251, ОФИС 304</t>
  </si>
  <si>
    <t>ИП БАДАЛЯН ЛЕВОН ЮРЬЕВИЧ</t>
  </si>
  <si>
    <t>ИП Тюленев Вячеслав Николаевич</t>
  </si>
  <si>
    <t>ИП НОВИКОВ ИГОРЬ АЛЕКСАНДРОВИЧ</t>
  </si>
  <si>
    <t>ИП Локтионова Марина Андреевна</t>
  </si>
  <si>
    <t>ИП Чикильдин Владимир Михайлович</t>
  </si>
  <si>
    <t>АО РН-РОСТОВНЕФТЕПРОДУКТ</t>
  </si>
  <si>
    <t>344000, РОССИЯ, РОСТОВСКАЯ ОБЛАСТЬ, Г.О. ГОРОД РОСТОВ-НА-ДОНУ, Г РОСТОВ-НА-ДОНУ, ПЕР УНИВЕРСИТЕТСКИЙ, Д. 131Г</t>
  </si>
  <si>
    <t>ООО АВТО-РЕВЮ</t>
  </si>
  <si>
    <t>344016, РОСТОВСКАЯ ОБЛАСТЬ, Г РОСТОВ-НА-ДОНУ, УЛ ТАГАНРОГСКАЯ, Д.211</t>
  </si>
  <si>
    <t>ООО ЛОГИСТИКА</t>
  </si>
  <si>
    <t>344018, РОССИЯ, РОСТОВСКАЯ ОБЛАСТЬ, Г.О. ГОРОД РОСТОВ-НА-ДОНУ, Г РОСТОВ-НА-ДОНУ, ПЕР СОБОРНЫЙ, Д. 79, КВ. 10</t>
  </si>
  <si>
    <t>ООО АТАЛАНТА</t>
  </si>
  <si>
    <t>344009, РОСТОВСКАЯ ОБЛАСТЬ, Г.О. ГОРОД РОСТОВ-НА-ДОНУ, Г РОСТОВ-НА-ДОНУ, ПР-КТ ШОЛОХОВА, ЗД. 320</t>
  </si>
  <si>
    <t>ИП ТУРКИНА ДАРЬЯ АЛЕКСЕЕВНА</t>
  </si>
  <si>
    <t>ООО МОСКВОРЕЧЬЕ ЮГ</t>
  </si>
  <si>
    <t>344016, РОСТОВСКАЯ ОБЛАСТЬ, Г.О. ГОРОД РОСТОВ-НА-ДОНУ, Г РОСТОВ-НА-ДОНУ, ПЕР НЕФТЯНОЙ, ЗД. 1, СТР. 1</t>
  </si>
  <si>
    <t>ООО КОМПАНИЯ АВТО М</t>
  </si>
  <si>
    <t>344103, РОСТОВСКАЯ ОБЛАСТЬ, Г.О. ГОРОД РОСТОВ-НА-ДОНУ, Г РОСТОВ-НА-ДОНУ, ПЕР МАШИНОСТРОИТЕЛЬНЫЙ, ВЛД. 2В, ОФИС 2</t>
  </si>
  <si>
    <t>ООО ФРАНС МОТОРС</t>
  </si>
  <si>
    <t>344064, РОСТОВСКАЯ ОБЛАСТЬ, Г РОСТОВ-НА-ДОНУ, УЛ ВАВИЛОВА, ЗД. 59Е, ЭТАЖ/КАБИНЕТ АНТРЕСОЛЬ/15</t>
  </si>
  <si>
    <t>ООО АВИНГРУП</t>
  </si>
  <si>
    <t>344064, РОССИЯ, РОСТОВСКАЯ ОБЛАСТЬ, Г.О. ГОРОД РОСТОВ-НА-ДОНУ, Г РОСТОВ-НА-ДОНУ, УЛ ВАВИЛОВА, Д. 74/1Р</t>
  </si>
  <si>
    <t>ИП Кривоногов Андрей Викторович</t>
  </si>
  <si>
    <t>ИП ХВАН ЛИЯ РИШАТОВНА</t>
  </si>
  <si>
    <t>ООО ДОН-МОТОРС ПЛЮС</t>
  </si>
  <si>
    <t>344009, РОСТОВСКАЯ ОБЛАСТЬ, Г РОСТОВ-НА-ДОНУ, ПР-КТ ШОЛОХОВА, ЗД. 316А</t>
  </si>
  <si>
    <t>ООО ПРАЙМКУЛ СИСТЕМС</t>
  </si>
  <si>
    <t>344065, РОСТОВСКАЯ ОБЛАСТЬ, Г РОСТОВ-НА-ДОНУ, УЛ ТРОЛЛЕЙБУСНАЯ, ЗД. 24/2В, ОФИС 832</t>
  </si>
  <si>
    <t>ООО АЛЬТА ЛУБРИКАНТС</t>
  </si>
  <si>
    <t>344065, РОСТОВСКАЯ ОБЛАСТЬ, Г.О. ГОРОД РОСТОВ-НА-ДОНУ, Г РОСТОВ-НА-ДОНУ, УЛ ОРСКАЯ, ЗД. 31В, КОМ. 46</t>
  </si>
  <si>
    <t>ООО ЮФОИЛ</t>
  </si>
  <si>
    <t>344056, РОСТОВСКАЯ ОБЛАСТЬ, Г РОСТОВ-НА-ДОНУ, УЛ БЕЛОРУССКАЯ, Д. 159, ОФИС 1, КОМ 2</t>
  </si>
  <si>
    <t>ООО ТД ПАРТНЕР-ЮГ</t>
  </si>
  <si>
    <t>344079, РОСТОВСКАЯ ОБЛАСТЬ, Г.О. ГОРОД РОСТОВ-НА-ДОНУ, Г РОСТОВ-НА-ДОНУ, УЛ НАНСЕНА, ЗД. 91В, СТР. 1, ЭТАЖ 2, КОМ. 1</t>
  </si>
  <si>
    <t>ИП ТРЕГУБЕНКО АЛЕКСЕЙ ВЛАДИМИРОВИЧ</t>
  </si>
  <si>
    <t>ИП ПРИЛЕПОВ ПАВЕЛ АНДРЕЕВИЧ</t>
  </si>
  <si>
    <t>ИП Партульянц Алексей Олегович</t>
  </si>
  <si>
    <t>ИП КОЛЕСНИКОВ АЛЕКСЕЙ ВЛАДИМИРОВИЧ</t>
  </si>
  <si>
    <t>ИП Овинников Андрей Анатольевич</t>
  </si>
  <si>
    <t>ООО РИКОС</t>
  </si>
  <si>
    <t>344000, РОСТОВСКАЯ ОБЛАСТЬ, Г.О. ГОРОД РОСТОВ-НА-ДОНУ, Г РОСТОВ-НА-ДОНУ, УЛ ТЕКУЧЕВА, ЗД. 229</t>
  </si>
  <si>
    <t>ИП РАДЧЕНКО ТАТЬЯНА ЮРЬЕВНА</t>
  </si>
  <si>
    <t>ООО ЮПТК</t>
  </si>
  <si>
    <t>344019, РОСТОВСКАЯ ОБЛАСТЬ, Г РОСТОВ-НА-ДОНУ, УЛ 17-Я ЛИНИЯ, Д.58</t>
  </si>
  <si>
    <t>ИП КУЗНЕЦОВ ЕВГЕНИЙ ЮРЬЕВИЧ</t>
  </si>
  <si>
    <t>ИП ПАНКОВА ЕКАТЕРИНА МИХАЙЛОВНА</t>
  </si>
  <si>
    <t>ИП Худавердян Сергей Андраникович</t>
  </si>
  <si>
    <t>ООО ВЭД ЮГ ТЛТ</t>
  </si>
  <si>
    <t>346882, РОСТОВСКАЯ ОБЛАСТЬ, Г БАТАЙСК, Ш САМАРСКОЕ, ЗД. 21А</t>
  </si>
  <si>
    <t>ИП БУТКО АРИНА СЕРГЕЕВНА</t>
  </si>
  <si>
    <t>ООО ЧЕЛЯБСПЕЦТЕХНИКА</t>
  </si>
  <si>
    <t>344010, РОСТОВСКАЯ ОБЛАСТЬ, Г РОСТОВ-НА-ДОНУ, УЛ ТЕКУЧЕВА, Д. 368, ОФИС 14</t>
  </si>
  <si>
    <t>ООО МКП КУБАНЬ</t>
  </si>
  <si>
    <t>344000, РОСТОВСКАЯ ОБЛАСТЬ, Г РОСТОВ-НА-ДОНУ, УЛ ТЕКУЧЕВА, Д. 352Б</t>
  </si>
  <si>
    <t>ООО АВИОР</t>
  </si>
  <si>
    <t>344000, РОСТОВСКАЯ ОБЛАСТЬ, Г РОСТОВ-НА-ДОНУ, УЛ ТЕКУЧЕВА, Д. 352А, ОФИС 12</t>
  </si>
  <si>
    <t>344111, РОССИЯ, РОСТОВСКАЯ ОБЛАСТЬ, Г.О. ГОРОД РОСТОВ-НА-ДОНУ, Г РОСТОВ-НА-ДОНУ, УЛ ЗЛАТОУСТОВСКАЯ, ЗД. 5Б</t>
  </si>
  <si>
    <t>ООО СЕРВИСПРОЕКТГРУПП</t>
  </si>
  <si>
    <t>344019, РОСТОВСКАЯ ОБЛАСТЬ, Г.О. ГОРОД РОСТОВ-НА-ДОНУ, Г РОСТОВ-НА-ДОНУ, ПР-КТ ШОЛОХОВА, ЗД. 27/82, ОФИС 17</t>
  </si>
  <si>
    <t>ООО СТОВАМ-ПРАКТИКА</t>
  </si>
  <si>
    <t>344025, РОССИЯ, РОСТОВСКАЯ ОБЛАСТЬ, Г.О. ГОРОД РОСТОВ-НА-ДОНУ, Г РОСТОВ-НА-ДОНУ, ПЕР КИРИЛЛОВСКИЙ, Д. 7</t>
  </si>
  <si>
    <t>ООО ЮГ САЙЛС</t>
  </si>
  <si>
    <t>344068, РОСТОВСКАЯ ОБЛАСТЬ, Г.О. ГОРОД РОСТОВ-НА-ДОНУ, Г РОСТОВ-НА-ДОНУ, ПЕР ИЗМАИЛЬСКИЙ, Д. 41А, КОМ. 8Б</t>
  </si>
  <si>
    <t>ИП НАЗЫРОВА ЕКАТЕРИНА АЛЕКСАНДРОВНА</t>
  </si>
  <si>
    <t>ООО  АБС-АВТО ДОН</t>
  </si>
  <si>
    <t>344103, РОСТОВСКАЯ ОБЛАСТЬ, Г РОСТОВ-НА-ДОНУ, УЛ ДОВАТОРА, ЗД. 197</t>
  </si>
  <si>
    <t>ООО  ЛАКТЕХЦЕНТР</t>
  </si>
  <si>
    <t>344065, РОСТОВСКАЯ ОБЛАСТЬ, Г.О. ГОРОД РОСТОВ-НА-ДОНУ, Г РОСТОВ-НА-ДОНУ, УЛ ТРОЛЛЕЙБУСНАЯ, ЗД. 4, КОМ. 23А</t>
  </si>
  <si>
    <t>ООО ААА МОТОРС ЦЕНТР</t>
  </si>
  <si>
    <t>344000, РОСТОВСКАЯ ОБЛАСТЬ, Г.О. ГОРОД РОСТОВ-НА-ДОНУ, Г РОСТОВ-НА-ДОНУ, ПР-КТ ТЕАТРАЛЬНЫЙ, ЗД. 60Б/341, КОМ. 15</t>
  </si>
  <si>
    <t>ООО  ПЯТАЯ ПЕРЕДАЧА</t>
  </si>
  <si>
    <t>344116, РОССИЯ, РОСТОВСКАЯ ОБЛАСТЬ, Г.О. ГОРОД РОСТОВ-НА-ДОНУ, Г РОСТОВ-НА-ДОНУ, УЛ МИНАЕВА, Д. 20</t>
  </si>
  <si>
    <t>344103, РОСТОВСКАЯ ОБЛАСТЬ, Г РОСТОВ-НА-ДОНУ, ПЕР МАШИНОСТРОИТЕЛЬНЫЙ, ЗД. 7/110</t>
  </si>
  <si>
    <t>ИП ШМАЛЬКО СЕРГЕЙ НИКОЛАЕВИЧ</t>
  </si>
  <si>
    <t>ООО ВИНС ГРУПП</t>
  </si>
  <si>
    <t>344041, РОСТОВСКАЯ ОБЛАСТЬ, Г РОСТОВ-НА-ДОНУ, УЛ ДОВАТОРА, Д. 144/30, ОФИС 2</t>
  </si>
  <si>
    <t>ООО АРТЕКС АВТО</t>
  </si>
  <si>
    <t>344016, РОССИЯ, РОСТОВСКАЯ ОБЛАСТЬ, Г.О. ГОРОД РОСТОВ-НА-ДОНУ, Г РОСТОВ-НА-ДОНУ, ПЕР 1-Й МАШИНОСТРОИТЕЛЬНЫЙ, ЗД. 1</t>
  </si>
  <si>
    <t>344103, РОССИЯ, РОСТОВСКАЯ ОБЛАСТЬ, Г.О. ГОРОД РОСТОВ-НА-ДОНУ, Г РОСТОВ-НА-ДОНУ, УЛ МАЛИНОВСКОГО, Д. 33/89, ПОМЕЩ. 13</t>
  </si>
  <si>
    <t>ООО СПЕЦСНАБ</t>
  </si>
  <si>
    <t>344103, РОССИЯ, РОСТОВСКАЯ ОБЛАСТЬ, Г.О. ГОРОД РОСТОВ-НА-ДОНУ, Г РОСТОВ-НА-ДОНУ, УЛ МАЛИНОВСКОГО, Д. 33/89, ПОМЕЩ. 13А</t>
  </si>
  <si>
    <t>ИП ТИМОФЕЕВ РОМАН ВЛАДИМИРОВИЧ</t>
  </si>
  <si>
    <t>ИП ДОРОШЕНКО ЕЛЕНА ПЕТРОВНА</t>
  </si>
  <si>
    <t>ООО ДОНПАК</t>
  </si>
  <si>
    <t>344091, РОСТОВСКАЯ ОБЛАСТЬ, Г.О. ГОРОД РОСТОВ-НА-ДОНУ, Г РОСТОВ-НА-ДОНУ, УЛ ПЕСКОВА, ЗД. 1, СТР. 4, КОМ. 11</t>
  </si>
  <si>
    <t>ООО ГИГАНТ СБЫТ</t>
  </si>
  <si>
    <t>344006, РОСТОВСКАЯ ОБЛАСТЬ, Г РОСТОВ-НА-ДОНУ, ПР-КТ ВОРОШИЛОВСКИЙ, Д. 18/18</t>
  </si>
  <si>
    <t>344020, РОССИЯ, РОСТОВСКАЯ ОБЛАСТЬ, Г.О. ГОРОД РОСТОВ-НА-ДОНУ, Г РОСТОВ-НА-ДОНУ, УЛ МЕХАНИЗАТОРОВ, ЗД. 10</t>
  </si>
  <si>
    <t>ИП Борисов Борис Викторович</t>
  </si>
  <si>
    <t>ИП ГОЛУБЕВ ПАВЕЛ АЛЕКСЕЕВИЧ</t>
  </si>
  <si>
    <t>344064, РОСТОВСКАЯ ОБЛАСТЬ, Г РОСТОВ-НА-ДОНУ, УЛ ВАВИЛОВА, ЗД. 67Д</t>
  </si>
  <si>
    <t>ИП ЛУНИН СЕРГЕЙ МИХАЙЛОВИЧ</t>
  </si>
  <si>
    <t>ИП КАНДАУРОВ АНДРЕЙ НИКОЛАЕВИЧ</t>
  </si>
  <si>
    <t>ООО ТИ СИ ЭЙЧ П</t>
  </si>
  <si>
    <t>346720, РОСТОВСКАЯ ОБЛАСТЬ, Р-Н АКСАЙСКИЙ, Г АКСАЙ, ПР-КТ АКСАЙСКИЙ, Д. 17</t>
  </si>
  <si>
    <t>ООО ТПК СИНТЕЗ</t>
  </si>
  <si>
    <t>344033, РОСТОВСКАЯ ОБЛАСТЬ, Г.О. ГОРОД РОСТОВ-НА-ДОНУ, Г РОСТОВ-НА-ДОНУ, УЛ ПОРТОВАЯ, ЗД. 543, ОФ. 303</t>
  </si>
  <si>
    <t>ООО ЧАЙКА</t>
  </si>
  <si>
    <t>344002, РОСТОВСКАЯ ОБЛАСТЬ, Г РОСТОВ-НА-ДОНУ, УЛ СТАНИСЛАВСКОГО, Д.48/24, 1</t>
  </si>
  <si>
    <t>ООО ТИ СИ ВИ</t>
  </si>
  <si>
    <t>ООО ЮТЭК</t>
  </si>
  <si>
    <t>344064, РОСТОВСКАЯ ОБЛАСТЬ, Г.О. ГОРОД РОСТОВ-НА-ДОНУ, Г РОСТОВ-НА-ДОНУ, УЛ ВАВИЛОВА, ВЛД. 65</t>
  </si>
  <si>
    <t>ООО ПРОФЕССИОНАЛ</t>
  </si>
  <si>
    <t>344069, РОСТОВСКАЯ ОБЛАСТЬ, Г РОСТОВ-НА-ДОНУ, УЛ ТАГАНРОГСКАЯ, ЗД. 106, СТР. 1</t>
  </si>
  <si>
    <t>ООО КЛИМАТЕКА</t>
  </si>
  <si>
    <t>344018, РОСТОВСКАЯ ОБЛАСТЬ, Г РОСТОВ-НА-ДОНУ, ПР-КТ БУДЕННОВСКИЙ, ЗД. 80, 26</t>
  </si>
  <si>
    <t>ООО АТР</t>
  </si>
  <si>
    <t>344064, РОСТОВСКАЯ ОБЛАСТЬ, Г.О. ГОРОД РОСТОВ-НА-ДОНУ, Г РОСТОВ-НА-ДОНУ, УЛ ВАВИЛОВА, ЗД. 56/4, СТР. 3, ОФИС 103</t>
  </si>
  <si>
    <t>ООО ДОН-ПЕЙНТ-СЕРВИС</t>
  </si>
  <si>
    <t>344064, РОСТОВСКАЯ ОБЛАСТЬ, Г РОСТОВ-НА-ДОНУ, УЛ ВАВИЛОВА, ЗД. 59Е, ЭТАЖ/КАБИНЕТ АНТРЕСОЛЬ/3</t>
  </si>
  <si>
    <t>ООО СПЕЦСНАБТАРА</t>
  </si>
  <si>
    <t>344018, РОСТОВСКАЯ ОБЛАСТЬ, Г РОСТОВ-НА-ДОНУ, ПЕР СОБОРНЫЙ, Д. 94Е, ОФИС 409Б</t>
  </si>
  <si>
    <t>ООО ГАЗСТРОЙ</t>
  </si>
  <si>
    <t>344013, РОССИЯ, РОСТОВСКАЯ ОБЛАСТЬ, Г.О. ГОРОД РОСТОВ-НА-ДОНУ, Г РОСТОВ-НА-ДОНУ, УЛ МЕЧНИКОВА, Д. 37</t>
  </si>
  <si>
    <t>ООО ПХК</t>
  </si>
  <si>
    <t>344018, РОССИЯ, РОСТОВСКАЯ ОБЛАСТЬ, Г.О. ГОРОД РОСТОВ-НА-ДОНУ, Г РОСТОВ-НА-ДОНУ, УЛ МЕЧНИКОВА, Д. 79/1, КОМ. 24А</t>
  </si>
  <si>
    <t>ИП БУДЫЛЬСКАЯ ЕЛЕНА ФИЛИППОВНА</t>
  </si>
  <si>
    <t>ИП ДАХНОВЕЦ ВАЛЕРИЙ ЯРОСЛАВОВИЧ</t>
  </si>
  <si>
    <t>ИП ЯСНИЦКИЙ МАКСИМ АЛЕКСЕЕВИЧ</t>
  </si>
  <si>
    <t>ООО ДОН-МОТОРС</t>
  </si>
  <si>
    <t>ООО ДОН-МОТОРС ВОСТОК</t>
  </si>
  <si>
    <t>344009, РОСТОВСКАЯ ОБЛАСТЬ, Г РОСТОВ-НА-ДОНУ, ПР-КТ ШОЛОХОВА, ЗД. 316А, КАБИНЕТ 3</t>
  </si>
  <si>
    <t>ИП МАКУШЕВ ЭДУАРД АЛЬБЕРТОВИЧ</t>
  </si>
  <si>
    <t>ИП ВЕДЕРНИКОВА ВИКТОРИЯ ВИТАЛЬЕВНА</t>
  </si>
  <si>
    <t>ИП КРЫЛОВ АНТОН ВАСИЛЬЕВИЧ</t>
  </si>
  <si>
    <t>ИП ФЕДОРОВ МАКСИМ ЮРЬЕВИЧ</t>
  </si>
  <si>
    <t>ООО ПРОФИТ-ЛИГА</t>
  </si>
  <si>
    <t>344064, РОСТОВСКАЯ ОБЛАСТЬ, Г РОСТОВ-НА-ДОНУ, ПЕР ТЕХНОЛОГИЧЕСКИЙ, Д.8Д</t>
  </si>
  <si>
    <t>ООО ДОНАВТО</t>
  </si>
  <si>
    <t>344111, РОСТОВСКАЯ ОБЛАСТЬ, Г РОСТОВ-НА-ДОНУ, ПР-КТ 40-ЛЕТИЯ ПОБЕДЫ, Д. 338</t>
  </si>
  <si>
    <t>ООО АРМАДА МАРИН</t>
  </si>
  <si>
    <t>344000, РОССИЯ, РОСТОВСКАЯ ОБЛАСТЬ, Г.О. ГОРОД РОСТОВ-НА-ДОНУ, Г РОСТОВ-НА-ДОНУ, УЛ ТЕКУЧЕВА, ЗД. 207Ж, КОМ. 35</t>
  </si>
  <si>
    <t>ИП ШИНКАРЕВ АЛЕКСАНДР ИГОРЕВИЧ</t>
  </si>
  <si>
    <t>ООО ФОРМУЛАА</t>
  </si>
  <si>
    <t>344000, РОСТОВСКАЯ ОБЛАСТЬ, Г.О. ГОРОД РОСТОВ-НА-ДОНУ, Г РОСТОВ-НА-ДОНУ, ПР-КТ ТЕАТРАЛЬНЫЙ, ЗД. 60Е, СТР. 1, ОФИС 202</t>
  </si>
  <si>
    <t>ИП ПУРАХИН ДМИТРИЙ ИВАНОВИЧ</t>
  </si>
  <si>
    <t>ОООЛУБРИМЕКС</t>
  </si>
  <si>
    <t>344065, РОСТОВСКАЯ ОБЛАСТЬ, Г.О. ГОРОД РОСТОВ-НА-ДОНУ, Г РОСТОВ-НА-ДОНУ, УЛ ТРОЛЛЕЙБУСНАЯ, ЗД. 4, КОМ. 28</t>
  </si>
  <si>
    <t>ООО ФОРМУЛА-Н</t>
  </si>
  <si>
    <t>344000, РОСТОВСКАЯ ОБЛАСТЬ, Г РОСТОВ-НА-ДОНУ, УЛ ТЕКУЧЕВА, Д.352Б</t>
  </si>
  <si>
    <t>344091, РОСТОВСКАЯ ОБЛАСТЬ, Г РОСТОВ-НА-ДОНУ, ПР-КТ СТАЧКИ, Д.251</t>
  </si>
  <si>
    <t>ООО НИКСИМ</t>
  </si>
  <si>
    <t>344032, РОССИЯ, РОСТОВСКАЯ ОБЛАСТЬ, Г.О. ГОРОД РОСТОВ-НА-ДОНУ, Г РОСТОВ-НА-ДОНУ, УЛ ЦВЕТОЧНАЯ, Д. 18</t>
  </si>
  <si>
    <t>ООО ТД ВЕСТ-ОЙЛ</t>
  </si>
  <si>
    <t>344103, РОСТОВСКАЯ ОБЛАСТЬ, Г.О. ГОРОД РОСТОВ-НА-ДОНУ, Г РОСТОВ-НА-ДОНУ, УЛ ДОВАТОРА, ЗД. 150Г</t>
  </si>
  <si>
    <t>ООО СЕРВИС-ТРЕЙД</t>
  </si>
  <si>
    <t>344015, РОСТОВСКАЯ ОБЛАСТЬ, Г РОСТОВ-НА-ДОНУ, УЛ ЕРЕМЕНКО, Д. 58, К. 3, КВ. 61</t>
  </si>
  <si>
    <t>ООО ДОНСПЕЦСНАБ</t>
  </si>
  <si>
    <t>344103, РОСТОВСКАЯ ОБЛАСТЬ, Г РОСТОВ-НА-ДОНУ, УЛ МАЛИНОВСКОГО, Д. 94/57, ОФИС 68/2</t>
  </si>
  <si>
    <t>ООО МОНЦА</t>
  </si>
  <si>
    <t>344022, РОСТОВСКАЯ ОБЛАСТЬ, Г.О. ГОРОД РОСТОВ-НА-ДОНУ, Г РОСТОВ-НА-ДОНУ, УЛ ОЧАКОВСКАЯ, Д. 39, КОМ. 12</t>
  </si>
  <si>
    <t>ООО МКП-ЗАПАД</t>
  </si>
  <si>
    <t>344049, РОССИЯ, РОСТОВСКАЯ ОБЛАСТЬ, Г.О. ГОРОД РОСТОВ-НА-ДОНУ, Г РОСТОВ-НА-ДОНУ, УЛ ДОВАТОРА, ЗД. 259, ОФИС 45</t>
  </si>
  <si>
    <t>ООО АКТАН</t>
  </si>
  <si>
    <t>344103, РОССИЯ, РОСТОВСКАЯ ОБЛАСТЬ, Г.О. ГОРОД РОСТОВ-НА-ДОНУ, Г РОСТОВ-НА-ДОНУ, УЛ МИЛЬЧАКОВА, Д. 45, КОМ. 7</t>
  </si>
  <si>
    <t>ООО ПРОМТРЕЙД-КАПИТАЛ</t>
  </si>
  <si>
    <t>344103, РОССИЯ, РОСТОВСКАЯ ОБЛАСТЬ, Г.О. ГОРОД РОСТОВ-НА-ДОНУ, Г РОСТОВ-НА-ДОНУ, УЛ МИЛЬЧАКОВА, Д. 45, КОМ. 5</t>
  </si>
  <si>
    <t>344049, РОССИЯ, РОСТОВСКАЯ ОБЛАСТЬ, Г.О. ГОРОД РОСТОВ-НА-ДОНУ, Г РОСТОВ-НА-ДОНУ, УЛ ЕРЕМЕНКО, Д. 101, КВ. 53</t>
  </si>
  <si>
    <t>ИП ХИТРИК ТАТЬЯНА ВЛАДИМИРОВНА</t>
  </si>
  <si>
    <t>ИП БАЛАЕВ ГЕОРГИЙ РАФАЭЛЬЕВИЧ</t>
  </si>
  <si>
    <t>ООО ЮХМ</t>
  </si>
  <si>
    <t>344039, РОСТОВСКАЯ ОБЛАСТЬ, Г РОСТОВ-НА-ДОНУ, УЛ КУРГАННАЯ, Д.17, К.Б</t>
  </si>
  <si>
    <t>ООО АНТЕК</t>
  </si>
  <si>
    <t>344002, РОСТОВСКАЯ ОБЛАСТЬ, Г РОСТОВ-НА-ДОНУ, УЛ ТЕМЕРНИЦКАЯ, Д.47, 4</t>
  </si>
  <si>
    <t>ИП ЕМЦЕВ ВИТАЛИЙ ИВАНОВИЧ</t>
  </si>
  <si>
    <t>ИП СОЛОНИЦКИЙ ЮРИЙ АЛЕКСЕЕВИЧ</t>
  </si>
  <si>
    <t>ИП ГАНЖА АЛЕКСЕЙ МИХАЙЛОВИЧ</t>
  </si>
  <si>
    <t>ООО РИКОЙЛ</t>
  </si>
  <si>
    <t>344016, РОСТОВСКАЯ ОБЛАСТЬ, Г РОСТОВ-НА-ДОНУ, ПЕР ДОКТОРСКИЙ, Д.33</t>
  </si>
  <si>
    <t>ООО ФОРТЕ ТУЛС ГМБХ</t>
  </si>
  <si>
    <t>344003, РОСТОВСКАЯ ОБЛАСТЬ, Г.О. ГОРОД РОСТОВ-НА-ДОНУ, Г РОСТОВ-НА-ДОНУ, ПР-КТ БУДЕННОВСКИЙ, ЗД. 62/2, ОФИС 16-17</t>
  </si>
  <si>
    <t>ИП ЗУЕВ СТАНИСЛАВ АНТОНОВИЧ</t>
  </si>
  <si>
    <t>ИП ШИШКИНА ЕЛЕНА АЛЕКСАНДРОВНА</t>
  </si>
  <si>
    <t>ООО КЗ РОСТСЕЛЬМАШ</t>
  </si>
  <si>
    <t>344029, РОСТОВСКАЯ ОБЛАСТЬ, Г РОСТОВ-НА-ДОНУ, УЛ МЕНЖИНСКОГО, Д.2</t>
  </si>
  <si>
    <t>ООО БИЗОН ЮГ</t>
  </si>
  <si>
    <t>344093, РОСТОВСКАЯ ОБЛАСТЬ, Г РОСТОВ-НА-ДОНУ, УЛ ДНЕПРОПЕТРОВСКАЯ, Д.81/1</t>
  </si>
  <si>
    <t>ИП ШВАДЧЕНКО АНТОН ВАЛЕРЬЕВИЧ</t>
  </si>
  <si>
    <t>ИП ПАШКОВ ПАВЕЛ ВЯЧЕСЛАВОВИЧ</t>
  </si>
  <si>
    <t>ИП Бахирев Александр Викторович</t>
  </si>
  <si>
    <t>ООО ЗЕЛЕНАЯ ПЛАНЕТА</t>
  </si>
  <si>
    <t>344065, РОСТОВСКАЯ ОБЛАСТЬ, Г РОСТОВ-НА-ДОНУ, УЛ ТРОЛЛЕЙБУСНАЯ, ЗД. 24/2В, ОФИС 22</t>
  </si>
  <si>
    <t>ООО РСТ ЮГ</t>
  </si>
  <si>
    <t>344002, РОСТОВСКАЯ ОБЛАСТЬ, Г.О. ГОРОД РОСТОВ-НА-ДОНУ, Г РОСТОВ-НА-ДОНУ, УЛ КРАСНОАРМЕЙСКАЯ, Д. 168/99</t>
  </si>
  <si>
    <t>ООО БИЗОН ДСТ</t>
  </si>
  <si>
    <t>344093, РОСТОВСКАЯ ОБЛАСТЬ, Г РОСТОВ-НА-ДОНУ, УЛ ДНЕПРОПЕТРОВСКАЯ, Д. 81, К. 1, ОФИС 406</t>
  </si>
  <si>
    <t>ИП ШАПОВАЛОВ ГЕННАДИЙ ВИКТОРОВИЧ</t>
  </si>
  <si>
    <t>ИП МОСКОВЧЕНКО ВИТАЛИЙ ВИКТОРОВИЧ</t>
  </si>
  <si>
    <t>ООО ДОМРАД</t>
  </si>
  <si>
    <t>344020, РОССИЯ, РОСТОВСКАЯ ОБЛАСТЬ, Г.О. ГОРОД РОСТОВ-НА-ДОНУ, Г РОСТОВ-НА-ДОНУ, УЛ МЕХАНИЗАТОРОВ, Д. 5/9, КОМ. 9</t>
  </si>
  <si>
    <t>ООО СПЕЦАВТОМАТ</t>
  </si>
  <si>
    <t>346811, РОСТОВСКАЯ ОБЛАСТЬ, М.Р-Н МЯСНИКОВСКИЙ, Х КАЛИНИН, С.П. КАЛИНИНСКОЕ, УЛ 1-Я КОЛЬЦЕВАЯ, Д. 44</t>
  </si>
  <si>
    <t>ИП ПОГОРЕЛОВ СЕРГЕЙ ЕВГЕНЬЕВИЧ</t>
  </si>
  <si>
    <t>ИП ПРИХОДЬКО АРТЕМ ВЛАДИМИРОВИЧ</t>
  </si>
  <si>
    <t>ООО АВТОПНЕВМАТИКА</t>
  </si>
  <si>
    <t>344000, РОСТОВСКАЯ ОБЛАСТЬ, Г РОСТОВ-НА-ДОНУ, ПЕР СЕМАШКО, Д.84</t>
  </si>
  <si>
    <t>ООО СЕРВИСПРОЕКТ</t>
  </si>
  <si>
    <t>344019, РОСТОВСКАЯ ОБЛАСТЬ, Г.О. ГОРОД РОСТОВ-НА-ДОНУ, Г РОСТОВ-НА-ДОНУ, ПР-КТ ШОЛОХОВА, ЗД. 27/82, ОФИС 15</t>
  </si>
  <si>
    <t>ООО РОСТТРЕЙДСЕРВИС</t>
  </si>
  <si>
    <t>344000, РОСТОВСКАЯ ОБЛАСТЬ, Г.О. ГОРОД РОСТОВ-НА-ДОНУ, Г РОСТОВ-НА-ДОНУ, УЛ ТЕКУЧЕВА, ЗД. 207Ж, КОМ. 34-35А</t>
  </si>
  <si>
    <t>ООО ЮГАГРОМАШ</t>
  </si>
  <si>
    <t>346884, РОСТОВСКАЯ ОБЛАСТЬ, Г БАТАЙСК, УЛ 60 ЛЕТ ПОБЕДЫ, Д. 42</t>
  </si>
  <si>
    <t>344019, РОССИЯ, РОСТОВСКАЯ ОБЛАСТЬ, Г.О. ГОРОД РОСТОВ-НА-ДОНУ, Г РОСТОВ-НА-ДОНУ, УЛ 1-Я МАЙСКАЯ, ЗД. 15/16, КОМ. 410</t>
  </si>
  <si>
    <t>ООО СЕРВИС ПРО</t>
  </si>
  <si>
    <t>344000, РОССИЯ, РОСТОВСКАЯ ОБЛАСТЬ, Г.О. ГОРОД РОСТОВ-НА-ДОНУ, Г РОСТОВ-НА-ДОНУ, УЛ ТЕКУЧЕВА, ЗД. 350А, ОФИС 59</t>
  </si>
  <si>
    <t>ООО АСГАРД-ЮГ</t>
  </si>
  <si>
    <t>344019, РОСТОВСКАЯ ОБЛАСТЬ, Г.О. ГОРОД РОСТОВ-НА-ДОНУ, Г РОСТОВ-НА-ДОНУ, УЛ 1-Я ЛИНИЯ, Д. 58/102, КВ. 69</t>
  </si>
  <si>
    <t>ООО СОЮЗ-ЗАПЧАСТЬ</t>
  </si>
  <si>
    <t>344072, РОССИЯ, РОСТОВСКАЯ ОБЛАСТЬ, Г.О. ГОРОД РОСТОВ-НА-ДОНУ, Г РОСТОВ-НА-ДОНУ, ПР-КТ 40-ЛЕТИЯ ПОБЕДЫ, Д. 53Б, КВ. 6</t>
  </si>
  <si>
    <t>ООО ФОРМУЛА-ВР</t>
  </si>
  <si>
    <t>344000, РОСТОВСКАЯ ОБЛАСТЬ, Г РОСТОВ-НА-ДОНУ, УЛ ТЕКУЧЕВА, Д. 350А</t>
  </si>
  <si>
    <t>ИП КОНОНЕНКО АННА ИВАНОВНА</t>
  </si>
  <si>
    <t>ООО ИНТЕРКОМПЛЕКТ ЮГ</t>
  </si>
  <si>
    <t>344065, РОСТОВСКАЯ ОБЛАСТЬ, Г.О. ГОРОД РОСТОВ-НА-ДОНУ, Г РОСТОВ-НА-ДОНУ, УЛ ТРОЛЛЕЙБУСНАЯ, ЗД. 4, КОМ. 29</t>
  </si>
  <si>
    <t>ИП РАЗУМОВ ВАДИМ ГЕННАДЬЕВИЧ</t>
  </si>
  <si>
    <t>ООО ОЕМ ОЙЛ ГРУП</t>
  </si>
  <si>
    <t>344103, РОСТОВСКАЯ ОБЛАСТЬ, Г РОСТОВ-НА-ДОНУ, УЛ МАЛИНОВСКОГО, Д. 37А</t>
  </si>
  <si>
    <t>ООО АРТ-МОТОРС</t>
  </si>
  <si>
    <t>344016, РОСТОВСКАЯ ОБЛАСТЬ, Г РОСТОВ-НА-ДОНУ, ПЕР 1-Й МАШИНОСТРОИТЕЛЬНЫЙ, ЗД. 1</t>
  </si>
  <si>
    <t>ИП ЛУПАНДИН ИГОРЬ АНДРЕЕВИЧ</t>
  </si>
  <si>
    <t>ООО ФОКУС АВТО</t>
  </si>
  <si>
    <t>344103, РОСТОВСКАЯ ОБЛАСТЬ, Г.О. ГОРОД РОСТОВ-НА-ДОНУ, Г РОСТОВ-НА-ДОНУ, УЛ ДОВАТОРА, ЗД. 169, ОФИС 5</t>
  </si>
  <si>
    <t>ОООАЯКС</t>
  </si>
  <si>
    <t>346782, РОСТОВСКАЯ ОБЛАСТЬ, Г АЗОВ, УЛ КОНДАУРОВА, Д.54</t>
  </si>
  <si>
    <t>ООО ДОНЗАПЧАСТЬ</t>
  </si>
  <si>
    <t>344103, РОССИЯ, РОСТОВСКАЯ ОБЛАСТЬ, Г.О. ГОРОД РОСТОВ-НА-ДОНУ, Г РОСТОВ-НА-ДОНУ, ПР-КТ СТАЧКИ, ЗД. 259А, СТР. 296</t>
  </si>
  <si>
    <t>ООО ЛАЙТ МОТОРС</t>
  </si>
  <si>
    <t>344103, РОССИЯ, РОСТОВСКАЯ ОБЛАСТЬ, Г.О. ГОРОД РОСТОВ-НА-ДОНУ, Г РОСТОВ-НА-ДОНУ, УЛ ДОВАТОРА, Д. 158/5</t>
  </si>
  <si>
    <t>ООО ТОРГСЕРВИС 161</t>
  </si>
  <si>
    <t>344002, РОССИЯ, РОСТОВСКАЯ ОБЛАСТЬ, Г.О. ГОРОД РОСТОВ-НА-ДОНУ, Г РОСТОВ-НА-ДОНУ, УЛ МОСКОВСКАЯ, ЗД. 43/13, ПОМЕЩ. 302</t>
  </si>
  <si>
    <t>ООО ТРАКФОРУМ</t>
  </si>
  <si>
    <t>344103, РОСТОВСКАЯ ОБЛАСТЬ, Г.О. ГОРОД РОСТОВ-НА-ДОНУ, Г РОСТОВ-НА-ДОНУ, УЛ ДОВАТОРА, Д. 144/26, КОМ. 5,6,7,8</t>
  </si>
  <si>
    <t>ООО АСМ-СЕРВИС</t>
  </si>
  <si>
    <t>344091, РОСТОВСКАЯ ОБЛАСТЬ, Г.О. ГОРОД РОСТОВ-НА-ДОНУ, Г РОСТОВ-НА-ДОНУ, УЛ ИЗВИЛИСТАЯ, Д. 10А, КВ. 1</t>
  </si>
  <si>
    <t>ООО АВТОЛИГА ЦЕНТР</t>
  </si>
  <si>
    <t>344091, РОССИЯ, РОСТОВСКАЯ ОБЛАСТЬ, Г.О. ГОРОД РОСТОВ-НА-ДОНУ, Г РОСТОВ-НА-ДОНУ, УЛ МАЛИНОВСКОГО, ЗД. 9А, ОФИС 110</t>
  </si>
  <si>
    <t>ИП ДОРОШЕНКО СЕРГЕЙ ВЛАДИМИРОВИЧ</t>
  </si>
  <si>
    <t>ИП СТЕБЛИНА ОЛЕСЯ АНАТОЛЬЕВНА</t>
  </si>
  <si>
    <t>ИП ЕРЕМИН МИХАИЛ МИХАЙЛОВИЧ</t>
  </si>
  <si>
    <t>ИП ТУНЕВ ОЛЕГ АНАТОЛЬЕВИЧ</t>
  </si>
  <si>
    <t>ИП ИВАНИЛОВА АЛИСА НИКОЛАЕВНА</t>
  </si>
  <si>
    <t>346720, РОСТОВСКАЯ ОБЛАСТЬ, М.Р-Н АКСАЙСКИЙ, Г АКСАЙ, Г.П. АКСАЙСКОЕ, УЛ ЗАПАДНАЯ, ЗД. 37В</t>
  </si>
  <si>
    <t>ИП Сидоренко Ирина Ивановна</t>
  </si>
  <si>
    <t>ИП ФРОЛЕНКО ВАСИЛИЙ ДМИТРИЕВИЧ</t>
  </si>
  <si>
    <t>ИП ЛОЗИН СЕРГЕЙ ВАСИЛЬЕВИЧ</t>
  </si>
  <si>
    <t>ИП БУГРИМ ЕВГЕНИЙ ГЕННАДИЕВИЧ</t>
  </si>
  <si>
    <t>ИП Семеновых Виктор Николаевич</t>
  </si>
  <si>
    <t>ИП ГОРБУНКОВ СЕРГЕЙ ЛЕОНИДОВИЧ</t>
  </si>
  <si>
    <t>346800, РОСТОВСКАЯ ОБЛАСТЬ, М.Р-Н МЯСНИКОВСКИЙ, С.П. ЧАЛТЫРСКОЕ, ТЕР. АВТОДОРОГА РОСТОВ-НА-ДОНУ - ТАГАНРОГ, КМ 9-Й, ЗД. 1</t>
  </si>
  <si>
    <t>ИП Неберекутин Юрий Николаевич</t>
  </si>
  <si>
    <t>ИП ИГНАТЧЕНКО НИКОЛАЙ АЛЕКСЕЕВИЧ</t>
  </si>
  <si>
    <t>ИП КУЗЬМЕНКО ЮЛИЯ АЛЕКСАНДРОВНА</t>
  </si>
  <si>
    <t>ИП ПОДОСИННИКОВА ИРИНА АЛЕКСАНДРОВНА</t>
  </si>
  <si>
    <t>ИП СТРИЖАКОВА ЕЛЕНА АНАТОЛЬЕВНА</t>
  </si>
  <si>
    <t>ИП СЕМЕНЯКОВ СЕРГЕЙ ПЕТРОВИЧ</t>
  </si>
  <si>
    <t>ИП КАПЛИН ДМИТРИЙ НИКОЛАЕВИЧ</t>
  </si>
  <si>
    <t>ИП ЛАРИОНОВА АЛЁНА ИВАНОВНА</t>
  </si>
  <si>
    <t>ИП ВЕЛЮТИЧ ВИТАЛИЙ АНАТОЛЬЕВИЧ</t>
  </si>
  <si>
    <t>ГКУСО РО ЕРОФЕЕВСКИЙ ЦЕНТР ПОМОЩИ ДЕТЯМ</t>
  </si>
  <si>
    <t>346060, РОСТОВСКАЯ ОБЛАСТЬ, Р-Н ТАРАСОВСКИЙ, Х ЕРОФЕЕВКА, УЛ ШКОЛЬНАЯ, Д.17</t>
  </si>
  <si>
    <t>ИП ЗЕМЛЯНСКАЯ ЭЛЬВИРА АЛЕКСЕЕВНА</t>
  </si>
  <si>
    <t>ИП ПРОЦЕНКО СЕРГЕЙ АНАТОЛЬЕВИЧ</t>
  </si>
  <si>
    <t>ООО ПРОФТЕКС</t>
  </si>
  <si>
    <t>346880, РОССИЯ, РОСТОВСКАЯ ОБЛАСТЬ, Г.О. ГОРОД БАТАЙСК, Г БАТАЙСК, УЛ 50 ЛЕТ ОКТЯБРЯ, Д. 133, ЭТАЖ 2, КОМ. 1</t>
  </si>
  <si>
    <t>ИП Бугаев Олег Васильевич</t>
  </si>
  <si>
    <t>ИП КИРИЛИН АНДРЕЙ СЕРГЕЕВИЧ</t>
  </si>
  <si>
    <t>ИП ШПИТАЛЬНЫЙ ЕВГЕНИЙ НИКОЛАЕВИЧ</t>
  </si>
  <si>
    <t>ИП СЕВЕРУХИНА ЛЮДМИЛА РУСЛАНОВНА</t>
  </si>
  <si>
    <t>ИП АСТАФЬЕВА ИРИНА ЛЕОНИДОВНА</t>
  </si>
  <si>
    <t>ИП КИРИЧЕНКО ВЯЧЕСЛАВ АНАТОЛЬЕВИЧ</t>
  </si>
  <si>
    <t>ИП ФЕДОРЧЕНКО СВЕТЛАНА ВАЛЕНТИНОВНА</t>
  </si>
  <si>
    <t>ИП Гусаков Андрей Алексеевич</t>
  </si>
  <si>
    <t>ИП КИПШАРА НАТАЛЬЯ НИКОЛАЕВНА</t>
  </si>
  <si>
    <t>ООО ТНП-СЕРВИС</t>
  </si>
  <si>
    <t>347910, РОСТОВСКАЯ ОБЛАСТЬ, Г ТАГАНРОГ, УЛ ЛЕНИНА, Д.175А</t>
  </si>
  <si>
    <t>ИП НЕЧАЕВ ДЕНИС ВЛАДИМИРОВИЧ</t>
  </si>
  <si>
    <t>ИП КРЕКШИН ВЯЧЕСЛАВ ВИКТОРОВИЧ</t>
  </si>
  <si>
    <t>ООО ТАКО ТРЕЙДИНГ</t>
  </si>
  <si>
    <t>344002, РОССИЯ, РОСТОВСКАЯ ОБЛАСТЬ, Г.О. ГОРОД РОСТОВ-НА-ДОНУ, Г РОСТОВ-НА-ДОНУ, ПР-КТ БУДЕННОВСКИЙ, Д. 22, КОМ./ПОМЕЩ. 13,14А, 15-16-17-18/30</t>
  </si>
  <si>
    <t>ООО ИНТЕРХИМ</t>
  </si>
  <si>
    <t>344018, РОСТОВСКАЯ ОБЛАСТЬ, Г РОСТОВ-НА-ДОНУ, ПР-КТ БУДЕННОВСКИЙ, ЗД. 80, ОФИС 1101</t>
  </si>
  <si>
    <t>ИП ИБРАГИМОВ РУСЛАН АШРАФОВИЧ</t>
  </si>
  <si>
    <t>ООО ЭКСПЕРТПРОФИ</t>
  </si>
  <si>
    <t>344019, РОССИЯ, РОСТОВСКАЯ ОБЛАСТЬ, Г.О. ГОРОД РОСТОВ-НА-ДОНУ, Г РОСТОВ-НА-ДОНУ, УЛ 14-Я ЛИНИЯ, ЗД. 50, ОФИС 407</t>
  </si>
  <si>
    <t>ИП ЧЕРНЫШОВ МАКСИМ ВИКТОРОВИЧ</t>
  </si>
  <si>
    <t>ООО ОМЕГА-ПЛЮС</t>
  </si>
  <si>
    <t>344096, РОСТОВСКАЯ ОБЛАСТЬ, Г.О. ГОРОД РОСТОВ-НА-ДОНУ, Г РОСТОВ-НА-ДОНУ, ПР-КТ КОРОЛЕВА, ЗД. 5/1, СТР. 1, ОФИС 6</t>
  </si>
  <si>
    <t>ИП МИЩЕНКО МАРИЗА БИЧИКОВНА</t>
  </si>
  <si>
    <t>ИП МОРОЗКИН ВЛАДИМИР НИКОЛАЕВИЧ</t>
  </si>
  <si>
    <t>ИП ЩЁТКА МАКСИМ МИХАЙЛОВИЧ</t>
  </si>
  <si>
    <t>ООО АЛЬТА</t>
  </si>
  <si>
    <t>344056, РОСТОВСКАЯ ОБЛАСТЬ, Г РОСТОВ-НА-ДОНУ, УЛ БЕЛОРУССКАЯ, Д. 159, ОФИС 1</t>
  </si>
  <si>
    <t>ООО ЦВЕТХИМ</t>
  </si>
  <si>
    <t>344096, РОСТОВСКАЯ ОБЛАСТЬ, Г.О. ГОРОД РОСТОВ-НА-ДОНУ, Г РОСТОВ-НА-ДОНУ, УЛ СТАРТОВАЯ, ЗД. 3/11, СТР. 1, ПОМЕЩ. ЛИТЕР А</t>
  </si>
  <si>
    <t>ООО УЛИСС</t>
  </si>
  <si>
    <t>344103, РОСТОВСКАЯ ОБЛАСТЬ, Г РОСТОВ-НА-ДОНУ, УЛ ДОВАТОРА, ЗД. 148, ОФИС 310</t>
  </si>
  <si>
    <t>ООО ТД &lt;&lt;АВТОЗАПЧАСТЬ ЮГ&gt;&gt;</t>
  </si>
  <si>
    <t>ООО СТЕЛС-ЮГ</t>
  </si>
  <si>
    <t>344090, РОСТОВСКАЯ ОБЛАСТЬ, Г РОСТОВ-НА-ДОНУ, УЛ ДОВАТОРА, Д. 146/1, К. 3, ОФИС 22</t>
  </si>
  <si>
    <t>ООО АВТО-АЛЬЯНС</t>
  </si>
  <si>
    <t>346800, РОСТОВСКАЯ ОБЛАСТЬ, М.Р-Н МЯСНИКОВСКИЙ, С.П. ЧАЛТЫРСКОЕ, ТЕР ЮГО-ВОСТОЧНАЯ ПРОМЗОНА, СООР. 6/2</t>
  </si>
  <si>
    <t>ИП МЕДВЕДЕВ ВАДИМ ВИТАЛЬЕВИЧ</t>
  </si>
  <si>
    <t>ИП СОЛОМОНОВ ВАДИМ ВИКТОРОВИЧ</t>
  </si>
  <si>
    <t>ИП АНТОНОВ ПЕТР ВАСИЛЬЕВИЧ</t>
  </si>
  <si>
    <t>ИП КРОТОВ ВАДИМ АНАТОЛЬЕВИЧ</t>
  </si>
  <si>
    <t>344114, РОССИЯ, РОСТОВСКАЯ ОБЛАСТЬ, М.Р-Н АКСАЙСКИЙ, Х НИЖНЕТЕМЕРНИЦКИЙ, С.П. ЩЕПКИНСКОЕ, УЛ ГАЙДАРА, ЗД. 6, СТР. 1, ПОМЕЩ. 15</t>
  </si>
  <si>
    <t>ИП ГРИЦАНОВ ОЛЕГ ГЕННАДЬЕВИЧ</t>
  </si>
  <si>
    <t>ООО АСТ-ТРЕЙД</t>
  </si>
  <si>
    <t>346719, РОССИЯ, РОСТОВСКАЯ ОБЛАСТЬ, М.Р-Н АКСАЙСКИЙ, П КРАСНЫЙ, С.П. ЩЕПКИНСКОЕ, УЛ ПРОМЫШЛЕННАЯ, ЗД. 9, ОФИС 2</t>
  </si>
  <si>
    <t>ИП ПАШКОВА НАТАЛЬЯ АЛЕКСЕЕВНА</t>
  </si>
  <si>
    <t>ИП ГУЛЬКО АЛЕКСАНДР ВЛАДИМИРОВИЧ</t>
  </si>
  <si>
    <t>ИП ЛОБАЧЕВ ВЛАДИМИР АНАТОЛЬЕВИЧ</t>
  </si>
  <si>
    <t>ИП БАТАЛКИН ГЕННАДИЙ ГЕННАДЬЕВИЧ</t>
  </si>
  <si>
    <t>ИП Тышкевич Вячеслав Владимирович</t>
  </si>
  <si>
    <t>ИП ГОРН ЕВГЕНИЙ АНДРЕЕВИЧ</t>
  </si>
  <si>
    <t>ИП ЛАРИОНОВА ВИКТОРИЯ АЛЕКСАНДРОВНА</t>
  </si>
  <si>
    <t>ИП ХОБОТОВА МАРИЯ ВЛАДИМИРОВНА</t>
  </si>
  <si>
    <t>ИП МАРЧЕНКО СЕРГЕЙ ВЛАДИМИРОВИЧ</t>
  </si>
  <si>
    <t>ИП ТКАЧЕНКО ДМИТРИЙ ДМИТРИЕВИЧ</t>
  </si>
  <si>
    <t>ИП ТКАЧЕВА СВЕТЛАНА ДМИТРИЕВНА</t>
  </si>
  <si>
    <t>ООО С3</t>
  </si>
  <si>
    <t>344103, РОССИЯ, РОСТОВСКАЯ ОБЛАСТЬ, Г.О. ГОРОД РОСТОВ-НА-ДОНУ, Г РОСТОВ-НА-ДОНУ, УЛ СОДРУЖЕСТВА, ЗД. 35/4, ЭТАЖ 3, КОМ. 4</t>
  </si>
  <si>
    <t>ООО БАУТОР</t>
  </si>
  <si>
    <t>344022, РОСТОВСКАЯ ОБЛАСТЬ, Г РОСТОВ-НА-ДОНУ, УЛ СТАНИСЛАВСКОГО, ЗД. 167/25, ОФИС 302</t>
  </si>
  <si>
    <t>ИП БЕХ ЕЛЕНА АЛЕКСАНДРОВНА</t>
  </si>
  <si>
    <t>ООО  БЕЛАРУСЮГСЕРВИС</t>
  </si>
  <si>
    <t>346789, РОСТОВСКАЯ ОБЛАСТЬ, Г АЗОВ, УЛ ДРУЖБЫ, Д.13 А</t>
  </si>
  <si>
    <t>ООО ГК АМР</t>
  </si>
  <si>
    <t>344082, РОСТОВСКАЯ ОБЛАСТЬ, Г РОСТОВ-НА-ДОНУ, УЛ БЕРЕГОВАЯ, ЗД. 8, ОФИС 911</t>
  </si>
  <si>
    <t>ИП МОРЕНОВА ГАЛИНА ВЛАДИМИРОВНА</t>
  </si>
  <si>
    <t>ООО ЕВРОКЛИМАТ</t>
  </si>
  <si>
    <t>346720, РОСТОВСКАЯ ОБЛАСТЬ, Р-Н АКСАЙСКИЙ, Г АКСАЙ, УЛ ЗАПАДНАЯ, Д. 37</t>
  </si>
  <si>
    <t>ИП СТРЕЛЬЦОВА ОЛЬГА ПАВЛОВНА</t>
  </si>
  <si>
    <t>ИП АЛЕКСЕЕВ АЛЕКСЕЙ АНАТОЛЬЕВИЧ</t>
  </si>
  <si>
    <t>ООО АВТОТРЕЙД-ДОН</t>
  </si>
  <si>
    <t>346715, РОСТОВСКАЯ ОБЛАСТЬ, Р-Н АКСАЙСКИЙ, Х КАМЫШЕВАХА, УЛ МЕТАЛЛУРГИЧЕСКАЯ, Д. 10А, ОФИС 1</t>
  </si>
  <si>
    <t>ООО ПРОДВИЖЕНИЯ</t>
  </si>
  <si>
    <t>346735, РОССИЯ, РОСТОВСКАЯ ОБЛАСТЬ, М.Р-Н АКСАЙСКИЙ, П РАССВЕТ, С.П. РАССВЕТОВСКОЕ, УЛ ИНСТИТУТСКАЯ, Д. 8, КВ. 51</t>
  </si>
  <si>
    <t>ИП ЩЕРБАКОВ ЮРИЙ АЛЕКСАНДРОВИЧ</t>
  </si>
  <si>
    <t>ИП ОПАНАСЮК ЕВГЕНИЙ ИВАНОВИЧ</t>
  </si>
  <si>
    <t>ИП ГРИШЕЧКО ВЛАДИМИР ВЛАДИМИРОВИЧ</t>
  </si>
  <si>
    <t>ИП МИРЗАХАНОВ ЭЛЬСУР МИРЗАХАНОВИЧ</t>
  </si>
  <si>
    <t>ИП ДАРМИН АНДРЕЙ ВЛАДИМИРОВИЧ</t>
  </si>
  <si>
    <t>ИП ЕПИХИНА ЕКАТЕРИНА ВИКТОРОВНА</t>
  </si>
  <si>
    <t>ООО АТЛАНТИС-23</t>
  </si>
  <si>
    <t>347830, РОССИЯ, РОСТОВСКАЯ ОБЛАСТЬ, М.Р-Н КАМЕНСКИЙ, Х СТАРАЯ СТАНИЦА, С.П. СТАРОСТАНИЧНОЕ, УЛ ЖЕЛЕЗНОДОРОЖНАЯ, Д. 1</t>
  </si>
  <si>
    <t>ИП Бондарев Владимир Сергеевич</t>
  </si>
  <si>
    <t>ИП ШАРАМКОВ АЛЕКСАНДР СЕРГЕЕВИЧ</t>
  </si>
  <si>
    <t>ИП МИХАЙЛЮК ВИТАЛИЙ ВЯЧЕСЛАВОВИЧ</t>
  </si>
  <si>
    <t>ИП ПОЛЯТЫКИН ЕВГЕНИЙ АЛЕКСАНДРОВИЧ</t>
  </si>
  <si>
    <t>ИП БРЫЛЬ ЕВГЕНИЙ АЛЕКСАНДРОВИЧ</t>
  </si>
  <si>
    <t>ИП ДЖЕЛАУХЯН МАРГАРИТА ДЗАРУКОВНА</t>
  </si>
  <si>
    <t>ООО ФОРТПАРТС</t>
  </si>
  <si>
    <t>РОСТОВСКАЯ ОБЛАСТЬ, М.Р-Н МЯСНИКОВСКИЙ, С.П. КРАСНОКРЫМСКОЕ, ТЕР АВТОДОРОГА РОСТОВ-НА-ДОНУ - НОВОШАХТИНСК, КМ 1-Й, СТР. 4/8</t>
  </si>
  <si>
    <t>ИП ЛИСАЧЕНКО АЛЕКСАНДР ПЕТРОВИЧ</t>
  </si>
  <si>
    <t>ИП ШЕРСТЮК ТАТЬЯНА ВИКТОРОВНА</t>
  </si>
  <si>
    <t>ИП ДОБРОВОЛЬСКАЯ ИРИНА НАСЫРОВНА</t>
  </si>
  <si>
    <t>ИП ЛОЗИНСКАЯ ЕЛЕНА МИХАЙЛОВНА</t>
  </si>
  <si>
    <t>ИП Соколов Станислав Леонидович</t>
  </si>
  <si>
    <t>ИП СЫСОЕНКО ЕВГЕНИЙ СЕРГЕЕВИЧ</t>
  </si>
  <si>
    <t>ИП КОЧЕГАРОВ ПЕТР ИВАНОВИЧ</t>
  </si>
  <si>
    <t>ООО МЕГА ОФИС</t>
  </si>
  <si>
    <t>347540, РОССИЯ, РОСТОВСКАЯ ОБЛАСТЬ, М.Р-Н ПРОЛЕТАРСКИЙ, Г ПРОЛЕТАРСК, Г.П. ПРОЛЕТАРСКОЕ, УЛ ПЕРВОМАЙСКАЯ, Д. 64, ОФИС 1</t>
  </si>
  <si>
    <t>ИП РЕУЦКИЙ АЛЕКСАНДР СТАНИСЛАВОВИЧ</t>
  </si>
  <si>
    <t>ИП ИЩЕНКО КАМИЛЬ АЛЕКСЕЕВИЧ</t>
  </si>
  <si>
    <t>ИП ГРИГА ЕЛЕНА АЛЕКСЕЕВНА</t>
  </si>
  <si>
    <t>ИП КАПЛИНА ОКСАНА ВЛАДИМИРОВНА</t>
  </si>
  <si>
    <t>МБОУ СОВЕТСКАЯ СОШ</t>
  </si>
  <si>
    <t>347180, РОСТОВСКАЯ ОБЛАСТЬ, Р-Н СОВЕТСКИЙ, СТ-ЦА СОВЕТСКАЯ, УЛ Ю.ГОРЕВА, Д.7</t>
  </si>
  <si>
    <t>ИП СИМАКОВ СЕРГЕЙ ВЕНИАМИНОВИЧ</t>
  </si>
  <si>
    <t>ИП МЕЛЬНИКОВА МАРИЯ ПЕТРОВНА</t>
  </si>
  <si>
    <t>ИП ВОЛК ИГОРЬ СТЕПАНОВИЧ</t>
  </si>
  <si>
    <t>ИП НЕБОЖЕНКО ЛЮДМИЛА ВИКТОРОВНА</t>
  </si>
  <si>
    <t>ИП ЛУКЬЯНЧЕНКО ЕВГЕНИЙ АЛЕКСАНДРОВИЧ</t>
  </si>
  <si>
    <t>ИП КОМЕЛЯГИНА ЛАРИСА ВАСИЛЬЕВНА</t>
  </si>
  <si>
    <t>ИП ВОЛОШИН СЕРГЕЙ ЕВГЕНИЕВИЧ</t>
  </si>
  <si>
    <t>ИП ВОЛОШИН КОНСТАНТИН СЕРГЕЕВИЧ</t>
  </si>
  <si>
    <t>ИП ЕФИМОВА ЕЛЕНА ВИКТОРОВНА</t>
  </si>
  <si>
    <t>МБУ ЦСО ГРАЖДАН ПОЖИЛОГО ВОЗРАСТА И ИНВАЛИДОВ АЗОВСКОГО РАЙОНА</t>
  </si>
  <si>
    <t>346765, РОСТОВСКАЯ ОБЛАСТЬ, Р-Н АЗОВСКИЙ, С АЛЕКСАНДРОВКА, УЛ КРАСНАЯ, ЗД. 157</t>
  </si>
  <si>
    <t>ИП АВЕРИНА ТАТЬЯНА ЮРЬЕВНА</t>
  </si>
  <si>
    <t>ИП ШЕВЧЕНКО АНДРЕЙ АНДРЕЕВИЧ</t>
  </si>
  <si>
    <t>ИП Еремина Ирина Сергеевна</t>
  </si>
  <si>
    <t>ООО ГТС РОСТОВ-ДОН</t>
  </si>
  <si>
    <t>346720, РОСТОВСКАЯ ОБЛАСТЬ, Р-Н АКСАЙСКИЙ, Г АКСАЙ, ПР-КТ АКСАЙСКИЙ, ЗД. 13Б</t>
  </si>
  <si>
    <t>ООО ТВК ЮЖНЫЙ</t>
  </si>
  <si>
    <t>346886, РОСТОВСКАЯ ОБЛАСТЬ, Р-Н АКСАЙСКИЙ, ТЕР АВТОДОРОГИ М 4 ДОН</t>
  </si>
  <si>
    <t>ООО СЦ РЕГИОН 61</t>
  </si>
  <si>
    <t>ООО ГРИФОН</t>
  </si>
  <si>
    <t>346703, РОСТОВСКАЯ ОБЛАСТЬ, Р-Н АКСАЙСКИЙ, Х МАЯКОВСКОГО, УЛ ЗАВОДСКАЯ, Д. 49</t>
  </si>
  <si>
    <t>ИП ОСМАНОВ БУДАГ ГАСЫМ ОГЛЫ</t>
  </si>
  <si>
    <t>ООО ЛИГАИМПОРТ</t>
  </si>
  <si>
    <t>РОССИЯ, РОСТОВСКАЯ ОБЛАСТЬ, Г.О. ГОРОД РОСТОВ-НА-ДОНУ, Г РОСТОВ-НА-ДОНУ, УЛ ОРСКАЯ, ЗД. 12Г, СТР. 2</t>
  </si>
  <si>
    <t>ООО ДОН-МОТОРС ЮГ</t>
  </si>
  <si>
    <t>346720, РОССИЯ, РОСТОВСКАЯ ОБЛАСТЬ, М.Р-Н АКСАЙСКИЙ, Г АКСАЙ, Г.П. АКСАЙСКОЕ, ПР-КТ АКСАЙСКИЙ, ЗД. 15, ПОМЕЩ. 48</t>
  </si>
  <si>
    <t>ИП ВОЛОЩЕНКО СЕРГЕЙ АЛЕКСАНДРОВИЧ</t>
  </si>
  <si>
    <t>ИП ЕВДОКИМОВ ВАЛЕНТИН АНАТОЛЬЕВИЧ</t>
  </si>
  <si>
    <t>ИП МАРТОПЛЯС ВИТАЛИЙ СЕРГЕЕВИЧ</t>
  </si>
  <si>
    <t>ИП ПОНОМАРЕНКО ДЕНИС ВАЛЕРЬЕВИЧ</t>
  </si>
  <si>
    <t>ИП ПОДРОЙКИН ВЯЧЕСЛАВ АЛЕКСАНДРОВИЧ</t>
  </si>
  <si>
    <t>ИП КАПКАНОВА ЭЛЕОНОРА ЭДУАРДОВНА</t>
  </si>
  <si>
    <t>ИП КОНЦЕДАЙЛО ДМИТРИЙ СЕРГЕЕВИЧ</t>
  </si>
  <si>
    <t>ИП ПАВЛОВ АЛЕКСЕЙ ИВАНОВИЧ</t>
  </si>
  <si>
    <t>ИП Зуев Михаил Юрьевич</t>
  </si>
  <si>
    <t>ИП КРИВОРОТОВА МАРИЯ ЮРЬЕВНА</t>
  </si>
  <si>
    <t>МБУ ЦСОГПВИИ КАГАЛЬНИЦКОГО РАЙОНА</t>
  </si>
  <si>
    <t>347700, РОСТОВСКАЯ ОБЛАСТЬ, Р-Н КАГАЛЬНИЦКИЙ, СТ-ЦА КАГАЛЬНИЦКАЯ, УЛ ПОЧТОВАЯ, Д. 101</t>
  </si>
  <si>
    <t>ИП ЗОЛОТАРЁВ СЕРГЕЙ ВЛАДИМИРОВИЧ</t>
  </si>
  <si>
    <t>ИП Кушнаренко Сергей Александрович</t>
  </si>
  <si>
    <t>347830, РОСТОВСКАЯ ОБЛАСТЬ, Р-Н КАМЕНСКИЙ, Х СТАРАЯ СТАНИЦА, УЛ БОЛЬШЕВИСТСКАЯ, Д.1</t>
  </si>
  <si>
    <t>ИП КЛЫКОВА СВЕТЛАНА НИКОЛАЕВНА</t>
  </si>
  <si>
    <t>ИП Кучеров Михаил Сергеевич</t>
  </si>
  <si>
    <t>ИП Тарасова Марина Николаевна</t>
  </si>
  <si>
    <t>ИП ПАНФИЛОВА ТАТЬЯНА АЛЕКСАНДРОВНА</t>
  </si>
  <si>
    <t>ИП СУПРИНОВИЧ ВИКТОР АЛЕКСАНДРОВИЧ</t>
  </si>
  <si>
    <t>ИП Баян Вартерес Теватосович</t>
  </si>
  <si>
    <t>ИП Баграмян Сурен Егорович</t>
  </si>
  <si>
    <t>ООО АВТОСОЮЗ</t>
  </si>
  <si>
    <t>346815, РОССИЯ, РОСТОВСКАЯ ОБЛАСТЬ, М.Р-Н МЯСНИКОВСКИЙ, Х КРАСНЫЙ КРЫМ, С.П. КРАСНОКРЫМСКОЕ, УЛ ИНДУСТРИАЛЬНАЯ, ЗД. 6</t>
  </si>
  <si>
    <t>ИП БАЯН АНЖЕЛИКА ТИКРАНОВНА</t>
  </si>
  <si>
    <t>ИП БЕРЕКЧИЯН АЙК ХУГАСОВИЧ</t>
  </si>
  <si>
    <t>ИП ЧАЛХАХЯН МАРИНА АГОПОВНА</t>
  </si>
  <si>
    <t>ИП ПЕНЯВСКАЯ ЛЮДМИЛА ИВАНОВНА</t>
  </si>
  <si>
    <t>ИП ПЕНЯВСКАЯ ОЛЬГА ЮРЬЕВНА</t>
  </si>
  <si>
    <t>ИП БЛАГОДАРНЫЙ ОЛЕГ АЛЕКСЕЕВИЧ</t>
  </si>
  <si>
    <t>ИП БУТОВ РУСЛАН СЕРГЕЕВИЧ</t>
  </si>
  <si>
    <t>ИП МАНАСЯН ВАЛЕНТИНА АЛЕКСЕЕВНА</t>
  </si>
  <si>
    <t>ИП ПАШИНЯН РАДИК РАФИКОВИЧ</t>
  </si>
  <si>
    <t>ИП БОНДАРЕНКО ИГОРЬ ДМИТРИЕВИЧ</t>
  </si>
  <si>
    <t>ИП ГОНЧАРОВА ЕЛЕНА ВЛАДИМИРОВНА</t>
  </si>
  <si>
    <t>ООО КАМАЗ-ДОН</t>
  </si>
  <si>
    <t>346056, РОСТОВСКАЯ ОБЛАСТЬ, Р-Н ТАРАСОВСКИЙ, Х ВАСИЛЬЕВКА, УЛ РАБОЧАЯ, Д.1Б</t>
  </si>
  <si>
    <t>ИП КОНТАРЕВА ИРИНА ВЛАДИМИРОВНА</t>
  </si>
  <si>
    <t>ИП КРЕСТЬЯНИНОВА ДИАНА ИГОРЕВНА</t>
  </si>
  <si>
    <t>ИП БОЛДЫРЕВА НАТАЛЬЯ ВЛАДИМИРОВНА</t>
  </si>
  <si>
    <t>ИП ПУШКАРЕВ СЕРГЕЙ ПЕТРОВИЧ</t>
  </si>
  <si>
    <t>ИП КОЧЕТОВА МАРИНА ВЛАДИМИРОВНА</t>
  </si>
  <si>
    <t>ИП Аносова Елена Александровна</t>
  </si>
  <si>
    <t>ИП ТЕНЯКОВА ТАТЬЯНА АНАТОЛЬЕВНА</t>
  </si>
  <si>
    <t>ООО АГРОФИРМА ЦЕЛИНА</t>
  </si>
  <si>
    <t>347760, РОСТОВСКАЯ ОБЛАСТЬ, Р-Н ЦЕЛИНСКИЙ, П ЦЕЛИНА, УЛ СТЕПНАЯ, Д.1</t>
  </si>
  <si>
    <t>ООО ФРЕГАТ</t>
  </si>
  <si>
    <t>344072, РОСТОВСКАЯ ОБЛАСТЬ, Г РОСТОВ-НА-ДОНУ, ПР-КТ 40-ЛЕТИЯ ПОБЕДЫ, Д.160</t>
  </si>
  <si>
    <t>ООО АВТОМОЛЛ</t>
  </si>
  <si>
    <t>346720, РОСТОВСКАЯ ОБЛАСТЬ, Р-Н АКСАЙСКИЙ, Г АКСАЙ, УЛ ЗАПАДНАЯ, ДВЛД. 37Е, ОФИС 4</t>
  </si>
  <si>
    <t>ООО ЛЕНД-АГРО</t>
  </si>
  <si>
    <t>346720, РОСТОВСКАЯ ОБЛАСТЬ, Р-Н АКСАЙСКИЙ, Г АКСАЙ, ПР-КТ ЛЕНИНА, ЗД. 42</t>
  </si>
  <si>
    <t>ООО БИЗНЕС-НОВАТОР</t>
  </si>
  <si>
    <t>346720, РОСТОВСКАЯ ОБЛАСТЬ, Р-Н АКСАЙСКИЙ, Г АКСАЙ, ПР-КТ ЛЕНИНА, ЗД. 42, ОФИС 6</t>
  </si>
  <si>
    <t>ООО ФРЕШ ДИЛЕР</t>
  </si>
  <si>
    <t>346720, РОСТОВСКАЯ ОБЛАСТЬ, Р-Н АКСАЙСКИЙ, Г АКСАЙ, ПР-КТ АКСАЙСКИЙ, Д. 19, КОМ. 19</t>
  </si>
  <si>
    <t>ООО РОСТАВТОКОМПЛЕКТ</t>
  </si>
  <si>
    <t>РОССИЯ, РОСТОВСКАЯ ОБЛАСТЬ, М.Р-Н АКСАЙСКИЙ, Г АКСАЙ, Г.П. АКСАЙСКОЕ, УЛ ЗАПАДНАЯ, ЗД. 2Х, КОМ. 8</t>
  </si>
  <si>
    <t>ООО ФЕНИКС-АВТО ЮГ</t>
  </si>
  <si>
    <t>347740, РОСТОВСКАЯ ОБЛАСТЬ, Р-Н ЗЕРНОГРАДСКИЙ, Г ЗЕРНОГРАД, УЛ ИМ ТОЛСТОГО, ДВЛД. 27</t>
  </si>
  <si>
    <t>ИП КАЛЮЖНАЯ ДАРЬЯ ДМИТРИЕВНА</t>
  </si>
  <si>
    <t>МБУ ЦСО МАРТЫНОВСКОГО РАЙОНА</t>
  </si>
  <si>
    <t>346660, РОСТОВСКАЯ ОБЛАСТЬ, Р-Н МАРТЫНОВСКИЙ, СЛ БОЛЬШАЯ МАРТЫНОВКА, ПЕР ЛЕМЕШКО, Д.14</t>
  </si>
  <si>
    <t>ИП ГУЛАХМЕДОВ АХМЕД ХУДЖАТОВИЧ</t>
  </si>
  <si>
    <t>ООО АВТОМОБИЛИСТ-3</t>
  </si>
  <si>
    <t>346720, РОСТОВСКАЯ ОБЛАСТЬ, Р-Н АКСАЙСКИЙ, Г АКСАЙ, УЛ ПРОМЫШЛЕННАЯ, ВЛД. 4А</t>
  </si>
  <si>
    <t>ИП ЧЕКАЛОВ ОЛЕГ НИКОЛАЕВИЧ</t>
  </si>
  <si>
    <t>ИП БЕЛЫЙ СЕРГЕЙ ВЛАДИМИРОВИЧ</t>
  </si>
  <si>
    <t>ООО РЕГИОНАЛЬНЫЙ ЦЕНТР МАЗ ЮГ</t>
  </si>
  <si>
    <t>346815, РОССИЯ, РОСТОВСКАЯ ОБЛАСТЬ, М.Р-Н МЯСНИКОВСКИЙ, Х КРАСНЫЙ КРЫМ, С.П. КРАСНОКРЫМСКОЕ, ПРОМЗОНА 1-Й КМ АВТОДОРОГИ РОСТОВ-НОВОШАХТИНСК, ЗД. 5/7</t>
  </si>
  <si>
    <t>ИП Калугян Амбарцум Торосович</t>
  </si>
  <si>
    <t>ИП ХУРДАЯН ЮРИЙ ВАЛЕРЬЕВИЧ</t>
  </si>
  <si>
    <t>ИП ТОРМОСИН АНАТОЛИЙ КОНСТАНТИНОВИЧ</t>
  </si>
  <si>
    <t>ИП Писаренкова Татьяна Валентиновна</t>
  </si>
  <si>
    <t>ИП ПАХОМОВА АНТОНИНА АЛЕКСАНДРОВНА</t>
  </si>
  <si>
    <t>ИП Меликян Левик Ерванди</t>
  </si>
  <si>
    <t>ИП ОРЕХОВ СЕРГЕЙ НИКОЛАЕВИЧ</t>
  </si>
  <si>
    <t>ИП ДРАГЕЛЕВ ИГОРЬ АНАТОЛЬЕВИЧ</t>
  </si>
  <si>
    <t>ИП СУХОВЕНКО ЛИНДА ВИКТОРОВНА</t>
  </si>
  <si>
    <t>ИП БОНДАРЕНКО СЕРГЕЙ СЕРГЕЕВИЧ</t>
  </si>
  <si>
    <t>ИП КИРИЛЕНКО НИКОЛАЙ ВЛАДИМИРОВИЧ</t>
  </si>
  <si>
    <t>ИП Лагутин Петр Иванович</t>
  </si>
  <si>
    <t>ИП ПУШКАРЕВ ИВАН МИХАЙЛОВИЧ</t>
  </si>
  <si>
    <t>ООО АЗОТ</t>
  </si>
  <si>
    <t>347760, РОСТОВСКАЯ ОБЛАСТЬ, Р-Н ЦЕЛИНСКИЙ, П ЦЕЛИНА, УЛ 7-Я ЛИНИЯ, Д.98</t>
  </si>
  <si>
    <t>ИП СЫСОЕВА НАТАЛЬЯ ВАСИЛЬЕВНА</t>
  </si>
  <si>
    <t>Рязанская область</t>
  </si>
  <si>
    <t>390000, РОССИЯ, РЯЗАНСКАЯ ОБЛАСТЬ, Г.О. ГОРОД РЯЗАНЬ, Г РЯЗАНЬ, УЛ СОЛНЕЧНАЯ, Д. 5, ОФИС 1</t>
  </si>
  <si>
    <t>ООО РЕМДОРТЕХ62</t>
  </si>
  <si>
    <t>390047, РОССИЯ, РЯЗАНСКАЯ ОБЛАСТЬ, Г.О. ГОРОД РЯЗАНЬ, Г РЯЗАНЬ, Ш КУЙБЫШЕВСКОЕ, Д. 35А</t>
  </si>
  <si>
    <t>ООО ЦМК 62</t>
  </si>
  <si>
    <t>390046, РОССИЯ, РЯЗАНСКАЯ ОБЛАСТЬ, Г.О. ГОРОД РЯЗАНЬ, Г РЯЗАНЬ, УЛ ЕСЕНИНА, Д. 116/1, ОФИС 905Б</t>
  </si>
  <si>
    <t>ИП ХАРИТОНОВ ЮРИЙ СЕРГЕЕВИЧ</t>
  </si>
  <si>
    <t>ИП ПАВЛЮКОВА ВАЛЕНТИНА НИКОЛАЕВНА</t>
  </si>
  <si>
    <t>ИП РОМАНОВА ОЛЬГА АЛЕКСАНДРОВНА</t>
  </si>
  <si>
    <t>ООО МИХАЙЛОВ - ЛАДА</t>
  </si>
  <si>
    <t>391710, РЯЗАНСКАЯ ОБЛАСТЬ, Р-Н МИХАЙЛОВСКИЙ, С КОЗЛОВКА, УЛ ЛЕЩЕНКА, Д.142</t>
  </si>
  <si>
    <t>ИП КАЛУГИНА НАДЕЖДА НИКОЛАЕВНА</t>
  </si>
  <si>
    <t>ООО ТПК МИР КОЛЕСА</t>
  </si>
  <si>
    <t>390011, РЯЗАНСКАЯ ОБЛАСТЬ, Г РЯЗАНЬ, Р-Н ЮЖНЫЙ ПРОМУЗЕЛ, Д.13В, К.1</t>
  </si>
  <si>
    <t>ООО РОЗА ВЕТРОВ</t>
  </si>
  <si>
    <t>390527, РОССИЯ, РЯЗАНСКАЯ ОБЛАСТЬ, М.Р-Н РЯЗАНСКИЙ, С ДУБРОВИЧИ, С.П. ДУБРОВИЧЕСКОЕ, ТЕР. АВТОДОРОГА РЯЗАНЬ-КЛЕПИКИ, КМ 6-Й, СТР. 6, ПОМЕЩ. 14</t>
  </si>
  <si>
    <t>ООО ЭКОСОЛ-СИНТЕЗ</t>
  </si>
  <si>
    <t>390525, РЯЗАНСКАЯ ОБЛАСТЬ, Р-Н РЯЗАНСКИЙ, С ПОЛЯНЫ, УЛ НОВАЯ, ЛИТЕРА А</t>
  </si>
  <si>
    <t>ООО РОЗА Н</t>
  </si>
  <si>
    <t>390527, РОССИЯ, РЯЗАНСКАЯ ОБЛАСТЬ, М.Р-Н РЯЗАНСКИЙ, С ДУБРОВИЧИ, С.П. ДУБРОВИЧЕСКОЕ, ТЕР. АВТОДОРОГА РЯЗАНЬ-КЛЕПИКИ, КМ 6-Й, СТР. 6, ПОМЕЩ. 19</t>
  </si>
  <si>
    <t>ИП ГОРШКОВА ЕЛЕНА ИВАНОВНА</t>
  </si>
  <si>
    <t>ИП ПАРШИКОВ СТАНИСЛАВ АЛЕКСАНДРОВИЧ</t>
  </si>
  <si>
    <t>ИП Саморуков Виктор Дмитриевич</t>
  </si>
  <si>
    <t>ИП ЕЛИСЕЕВ АЛЕКСАНДР ВИКТОРОВИЧ</t>
  </si>
  <si>
    <t>ИП ПОРУНКОВ АЛЕКСАНДР АНАТОЛЬЕВИЧ</t>
  </si>
  <si>
    <t>КОЛХОЗ ШЕЛКОВСКОЙ</t>
  </si>
  <si>
    <t>391182, РЯЗАНСКАЯ ОБЛАСТЬ, М.Р-Н СТАРОЖИЛОВСКИЙ, Д ЕРШОВО, С.П. СТОЛПЯНСКОЕ, УЛ МОЛОДЕЖНАЯ, Д. 21, ПОМЕЩ. Н1</t>
  </si>
  <si>
    <t>ИП ЛАРИНА ГАЛИНА ИВАНОВНА</t>
  </si>
  <si>
    <t>ИП БОРЦОВ ЕВГЕНИЙ АНАТОЛЬЕВИЧ</t>
  </si>
  <si>
    <t>ИП ЛУКЬЯНОВ ЮРИЙ ВЛАДИМИРОВИЧ</t>
  </si>
  <si>
    <t>ИП СТЕПАНОВ АЛЕКСЕЙ ЕВГЕНЬЕВИЧ</t>
  </si>
  <si>
    <t>ИП Поляков Роман Николаевич</t>
  </si>
  <si>
    <t>ООО НПО СМАРТАЭРО</t>
  </si>
  <si>
    <t>391833, РОССИЯ, РЯЗАНСКАЯ ОБЛАСТЬ, М.Р-Н СКОПИНСКИЙ, С ВОСЛЕБОВО, С.П. ВОСЛЕБОВСКОЕ, ТЕР. ПРОМЫШЛЕННАЯ ЗОНА N 2, ЗД. 1, ПОМЕЩ. Н2</t>
  </si>
  <si>
    <t>ООО СНАБПРОФДЕТАЛЬ</t>
  </si>
  <si>
    <t>390029, РОССИЯ, РЯЗАНСКАЯ ОБЛАСТЬ, Г.О. ГОРОД РЯЗАНЬ, Г РЯЗАНЬ, УЛ ВЕСЕННЯЯ, Д. 12Б, ПОМЕЩ. Н3</t>
  </si>
  <si>
    <t>ИП Степина Елена Вячеславовна</t>
  </si>
  <si>
    <t>ИП КАРПОВА МАРИЯ ВЯЧЕСЛАВОВНА</t>
  </si>
  <si>
    <t>ИП БРЮШКОВА СВЕТЛАНА ГРИГОРЬЕВНА</t>
  </si>
  <si>
    <t>ИП МИШАКОВ ВЛАДИМИР НИКОЛАЕВИЧ</t>
  </si>
  <si>
    <t>ИП ПРОХОДЦОВА МАРИНА ВЯЧЕСЛАВОВНА</t>
  </si>
  <si>
    <t>ИП ДВОРЦОВ АНДРЕЙ СЕРГЕЕВИЧ</t>
  </si>
  <si>
    <t>ООО РЯЗАНЬСКАН</t>
  </si>
  <si>
    <t>390511, РЯЗАНСКАЯ ОБЛАСТЬ, Р-Н РЯЗАНСКИЙ, Д ТУРЛАТОВО, УЛ СОЛНЕЧНАЯ, ЗД. 50</t>
  </si>
  <si>
    <t>ИП СЕЛИМЯН АРЕН САРГИСОВИЧ</t>
  </si>
  <si>
    <t>ИП СПИРЯКОВА НАТАЛЬЯ ИВАНОВНА</t>
  </si>
  <si>
    <t>ИП ЖУЛАНОВА ОЛЬГА ЕВГЕНЬЕВНА</t>
  </si>
  <si>
    <t>ИП ДАРЮШИН ВЛАДИМИР ВЛАДИМИРОВИЧ</t>
  </si>
  <si>
    <t>ИП Пильников Михаил Анатольевич</t>
  </si>
  <si>
    <t>ИП ЧИКИН ФЕДОР ГЕННАДИЕВИЧ</t>
  </si>
  <si>
    <t>ИП Фокина Алевтина Михайловна</t>
  </si>
  <si>
    <t>ИП КОРАБЛИН АНДРЕЙ АНАТОЛЬЕВИЧ</t>
  </si>
  <si>
    <t>ИП СЫЧИКОВ ОЛЕГ ВАСИЛЬЕВИЧ</t>
  </si>
  <si>
    <t>ИП КОЗЫРЕВ АЛЕКСЕЙ АНАТОЛЬЕВИЧ</t>
  </si>
  <si>
    <t>ИП ПОЭТОВ АНТОН ЮРЬЕВИЧ</t>
  </si>
  <si>
    <t>ООО ТОРГЗАПЧАСТЬ</t>
  </si>
  <si>
    <t>391121, РОССИЯ, РЯЗАНСКАЯ ОБЛАСТЬ, М.Р-Н РЫБНОВСКИЙ, Д БАГРАМОВО, С.П. БАГРАМОВСКОЕ, Д. 14, КВ. 29</t>
  </si>
  <si>
    <t>ИП ШУЛЬГИН АНДРЕЙ ВИКТОРОВИЧ</t>
  </si>
  <si>
    <t>ИП КОМАРОВА ЕКАТЕРИНА СЕРГЕЕВНА</t>
  </si>
  <si>
    <t>ИП Рункина Елена Александровна</t>
  </si>
  <si>
    <t>ООО АГРОЦЕНТР</t>
  </si>
  <si>
    <t>391050, РЯЗАНСКАЯ ОБЛАСТЬ, Р-Н СПАССКИЙ, Г СПАССК-РЯЗАНСКИЙ, УЛ РЯЗАНСКОЕ ШОССЕ, ЗД. 13</t>
  </si>
  <si>
    <t>ИП ГУРКИНА СВЕТЛАНА АЛЕКСЕЕВНА</t>
  </si>
  <si>
    <t>ИП МОЧЕНОВ РОМАН ВИКТОРОВИЧ</t>
  </si>
  <si>
    <t>ИП Еремеев Владислав Викторович</t>
  </si>
  <si>
    <t>ИП КУЗНЕЦОВ ДМИТРИЙ СЕРГЕЕВИЧ</t>
  </si>
  <si>
    <t>ИП СОКОЛОВ МИХАИЛ ЮРЬЕВИЧ</t>
  </si>
  <si>
    <t>ООО РН-СМАЗОЧНЫЕ МАТЕРИАЛЫ</t>
  </si>
  <si>
    <t>390011, РЯЗАНСКАЯ ОБЛАСТЬ, Г РЯЗАНЬ, Р-Н ЮЖНЫЙ ПРОМУЗЕЛ, Д.8</t>
  </si>
  <si>
    <t>ИП МЫЛКО ЛЮБОВЬ РИХАРДТОВНА</t>
  </si>
  <si>
    <t>ИП КОВТУН ЛЕОНИД ГЕННАДЬЕВИЧ</t>
  </si>
  <si>
    <t>ИП ХОРИН СЕРГЕЙ СЕМЕНОВИЧ</t>
  </si>
  <si>
    <t>ООО АВТОРЕМСТРОЙСЕРВИС</t>
  </si>
  <si>
    <t>390029, РЯЗАНСКАЯ ОБЛАСТЬ, Г РЯЗАНЬ, УЛ ОСТРОВСКОГО, Д.109/2</t>
  </si>
  <si>
    <t>ИП БАРМОТИНА АНАСТАСИЯ ВАДИМОВНА</t>
  </si>
  <si>
    <t>ИП БЕЗБАБНОВА ВАЛЕНТИНА ПЕТРОВНА</t>
  </si>
  <si>
    <t>ИП Тренин Александр Николаевич</t>
  </si>
  <si>
    <t>ИП ПЕТРУХИН АЛЕКСАНДР ОЛЕГОВИЧ</t>
  </si>
  <si>
    <t>ИП БАРАНОВ АНДРЕЙ ВЛАДИМИРОВИЧ</t>
  </si>
  <si>
    <t>ООО ВЕСНА</t>
  </si>
  <si>
    <t>390010, РЯЗАНСКАЯ ОБЛАСТЬ, Г.О. ГОРОД РЯЗАНЬ, Г РЯЗАНЬ, ПРОЕЗД ШАБУЛИНА, Д. 8, ПОМЕЩ. 2</t>
  </si>
  <si>
    <t>ООО РУС-ОЙЛ</t>
  </si>
  <si>
    <t>390026, РЯЗАНСКАЯ ОБЛАСТЬ, Г РЯЗАНЬ, УЛ ЛЕНИНСКОГО КОМСОМОЛА, Д. 85, КВ. 158</t>
  </si>
  <si>
    <t>ООО ЭНЕРГОКОМПЛЕКТ</t>
  </si>
  <si>
    <t>390043, РЯЗАНСКАЯ ОБЛАСТЬ, Г РЯЗАНЬ, ПР-Д ШАБУЛИНА, Д. 5, ОФИС 33</t>
  </si>
  <si>
    <t>ИП СТЕПАШКИНА ЕКАТЕРИНА СЕРГЕЕВНА</t>
  </si>
  <si>
    <t>ИП ДАНИЛКИН ВИКТОР СЕРГЕЕВИЧ</t>
  </si>
  <si>
    <t>ИП СМИРНОВ ИГОРЬ ЕВГЕНЬЕВИЧ</t>
  </si>
  <si>
    <t>ООО РЗ СМ</t>
  </si>
  <si>
    <t>390011, РЯЗАНСКАЯ ОБЛАСТЬ, Г РЯЗАНЬ, Ш РЯЖСКОЕ, Д. 20, К. 1</t>
  </si>
  <si>
    <t>ООО СТО ГРУЗОВИКОВЪ</t>
  </si>
  <si>
    <t>390047, РЯЗАНСКАЯ ОБЛАСТЬ, Г РЯЗАНЬ, Ш КУЙБЫШЕВСКОЕ, Д.52</t>
  </si>
  <si>
    <t>ИП ПЕТРОВСКИЙ ОЛЕГ ЮРЬЕВИЧ</t>
  </si>
  <si>
    <t>ООО АЗИЯ-КАР 62</t>
  </si>
  <si>
    <t>390047, РЯЗАНСКАЯ ОБЛАСТЬ, Г РЯЗАНЬ, Ш КУЙБЫШЕВСКОЕ, Д. 51</t>
  </si>
  <si>
    <t>ООО МЕХАНИК 62</t>
  </si>
  <si>
    <t>390511, РОССИЯ, РЯЗАНСКАЯ ОБЛАСТЬ, М.Р-Н РЯЗАНСКИЙ, Д ТУРЛАТОВО, С.П. ТУРЛАТОВСКОЕ, УЛ СОЛНЕЧНАЯ, Д. 70</t>
  </si>
  <si>
    <t>ООО СТРОИТЕЛЬНОЕ ОБОРУДОВАНИЕ</t>
  </si>
  <si>
    <t>390047, РЯЗАНСКАЯ ОБЛАСТЬ, Г РЯЗАНЬ, Ш КУЙБЫШЕВСКОЕ, Д. 25, СТР. 15, ЛИТЕРА Б</t>
  </si>
  <si>
    <t>390046, РЯЗАНСКАЯ ОБЛАСТЬ, Г.О. ГОРОД РЯЗАНЬ, Г РЯЗАНЬ, УЛ КОЛХОЗНАЯ, Д. 11, ПОМЕЩ. 104</t>
  </si>
  <si>
    <t>ООО ДЖИ ЭНД ДЖИ ЛУБРИКАНТС</t>
  </si>
  <si>
    <t>390047, РЯЗАНСКАЯ ОБЛАСТЬ, Г РЯЗАНЬ, УЛ ПОЛЕВАЯ (СОКОЛОВКА), Д. 58</t>
  </si>
  <si>
    <t>ИП ЮШИНА ЕКАТЕРИНА СЕРГЕЕВНА</t>
  </si>
  <si>
    <t>ООО ЦМК</t>
  </si>
  <si>
    <t>390046, РЯЗАНСКАЯ ОБЛАСТЬ, Г.О. ГОРОД РЯЗАНЬ, Г РЯЗАНЬ, УЛ ЕСЕНИНА, Д. 116/1, ОФИС 905А</t>
  </si>
  <si>
    <t>ИП ЛЕЛЁВКИН РОМАН АНДРЕЕВИЧ</t>
  </si>
  <si>
    <t>390511, РОССИЯ, РЯЗАНСКАЯ ОБЛАСТЬ, Г.О. ГОРОД РЯЗАНЬ, Г РЯЗАНЬ, Р-Н ТУРЛАТОВО, Д. 2</t>
  </si>
  <si>
    <t>ООО ТПК ЭКО-ТЕСТ</t>
  </si>
  <si>
    <t>390047, РОССИЯ, РЯЗАНСКАЯ ОБЛАСТЬ, Г.О. ГОРОД РЯЗАНЬ, Г РЯЗАНЬ, Ш КУЙБЫШЕВСКОЕ, Д. 41, ПОМЕЩ/ОФИС Н1/3</t>
  </si>
  <si>
    <t>ИП СМИРНОВА НАТАЛЬЯ ЮРЬЕВНА</t>
  </si>
  <si>
    <t>ИП ПОПОВА СОФИЯ ИГОРЕВНА</t>
  </si>
  <si>
    <t>ИП ТИМОШКОВА ЕЛЕНА АЛЕКСЕЕВНА</t>
  </si>
  <si>
    <t>ИП САМОХВАЛОВА ИРИНА СЕРГЕЕВНА</t>
  </si>
  <si>
    <t>ИП МАСЛИХОВ АЛЕКСЕЙ МИХАЙЛОВИЧ</t>
  </si>
  <si>
    <t>ИП Сидоров Виталий Александрович</t>
  </si>
  <si>
    <t>ИП ЛОГИНОВ СЕРГЕЙ ГЕННАДЬЕВИЧ</t>
  </si>
  <si>
    <t>ИП МЕЛЬНИКОВА ОЛЬГА ЮРЬЕВНА</t>
  </si>
  <si>
    <t>ИП ГАМАЛЕЙ ЕВГЕНИЙ ВИКТОРОВИЧ</t>
  </si>
  <si>
    <t>ИП ЯЗЫНИНА МАРИНА ГЕОРГИЕВНА</t>
  </si>
  <si>
    <t>ООО АВТОИМПОРТ-КИА</t>
  </si>
  <si>
    <t>390006, РЯЗАНСКАЯ ОБЛАСТЬ, Г РЯЗАНЬ, УЛ ЕСЕНИНА, Д.1Б</t>
  </si>
  <si>
    <t>ООО МИЛКАГРО</t>
  </si>
  <si>
    <t>390006, РЯЗАНСКАЯ ОБЛАСТЬ, Г РЯЗАНЬ, УЛ ГРИБОЕДОВА, Д.22, ОФИС Н11</t>
  </si>
  <si>
    <t>ИП БИРЮКОВ ДМИТРИЙ СЕРГЕЕВИЧ</t>
  </si>
  <si>
    <t>ООО СЕЛЕНА</t>
  </si>
  <si>
    <t>390048, РЯЗАНСКАЯ ОБЛАСТЬ, Г РЯЗАНЬ, Ш КАСИМОВСКОЕ, Д.46А</t>
  </si>
  <si>
    <t>ООО ФЬЮЧЕ МОТОРС</t>
  </si>
  <si>
    <t>390000, РЯЗАНСКАЯ ОБЛАСТЬ, Г РЯЗАНЬ, УЛ ПОЛЕВАЯ, Д. 80, КВ. 44</t>
  </si>
  <si>
    <t>ИП Старчиков Владимир Иванович</t>
  </si>
  <si>
    <t>ООО РИВ-ОЙЛ</t>
  </si>
  <si>
    <t>390011, РЯЗАНСКАЯ ОБЛАСТЬ, Г.О. ГОРОД РЯЗАНЬ, Г РЯЗАНЬ, Р-Н ЮЖНЫЙ ПРОМУЗЕЛ, Д. 13В, СТР. 7, ОФИС 19</t>
  </si>
  <si>
    <t>ИП ТРАЧКОВ ДМИТРИЙ ВЛАДИМИРОВИЧ</t>
  </si>
  <si>
    <t>ИП ЗАХАРКИН АЛЕКСЕЙ ВЛАДИМИРОВИЧ</t>
  </si>
  <si>
    <t>ИП БОРОДИН ЕВГЕНИЙ ИГОРЕВИЧ</t>
  </si>
  <si>
    <t>ИП ВАГИН АЛЕКСАНДР ЮРЬЕВИЧ</t>
  </si>
  <si>
    <t>ИП ПИЛЬНИКОВА ТАТЬЯНА АЛЕКСАНДРОВНА</t>
  </si>
  <si>
    <t>ИП ЛЕТЦЕВ МИХАИЛ ВАСИЛЬЕВИЧ</t>
  </si>
  <si>
    <t>ООО КАРМЕН</t>
  </si>
  <si>
    <t>390023, РЯЗАНСКАЯ ОБЛАСТЬ, Г РЯЗАНЬ, ПР-Д ЯБЛОЧКОВА, Д.5 В</t>
  </si>
  <si>
    <t>ИП НАЗАРОВА СВЕТЛАНА ВИТАЛЬЕВНА</t>
  </si>
  <si>
    <t>ИП БРЫСИНА ЕЛЕНА НИКОЛАЕВНА</t>
  </si>
  <si>
    <t>ИП ДМИТРИЕВ СЕРГЕЙ ВИКТОРОВИЧ</t>
  </si>
  <si>
    <t>ИП ПОПОВ СЕРГЕЙ АЛЕКСАНДРОВИЧ</t>
  </si>
  <si>
    <t>ООО АЛМАЗ</t>
  </si>
  <si>
    <t>390039, РЯЗАНСКАЯ ОБЛАСТЬ, Г РЯЗАНЬ, УЛ БИРЮЗОВА, Д.15, К.1</t>
  </si>
  <si>
    <t>ООО АВТОЦЕНТР КАМАЗАПЧАСТЬ</t>
  </si>
  <si>
    <t>390010, РЯЗАНСКАЯ ОБЛАСТЬ, Г РЯЗАНЬ, УЛ МАГИСТРАЛЬНАЯ, Д.10 Б, -, -</t>
  </si>
  <si>
    <t>390010, РЯЗАНСКАЯ ОБЛАСТЬ, Г РЯЗАНЬ, ПР-Д ШАБУЛИНА, Д.2, К.2</t>
  </si>
  <si>
    <t>ООО АВТОМАСТЕРРЗН</t>
  </si>
  <si>
    <t>390044, РОССИЯ, РЯЗАНСКАЯ ОБЛАСТЬ, Г.О. ГОРОД РЯЗАНЬ, Г РЯЗАНЬ, УЛ МЕРВИНСКАЯ, Д. 4, ОФИС 2</t>
  </si>
  <si>
    <t>ООО АВТОПРЕСТИЖ</t>
  </si>
  <si>
    <t>390044, РОССИЯ, РЯЗАНСКАЯ ОБЛАСТЬ, Г.О. ГОРОД РЯЗАНЬ, Г РЯЗАНЬ, Ш МОСКОВСКОЕ, Д. 20, ОФИС 350</t>
  </si>
  <si>
    <t>ИП МИХАЛЕВ СЕРГЕЙ АЛЕКСАНДРОВИЧ</t>
  </si>
  <si>
    <t>ООО ТФК КОМТЕКС</t>
  </si>
  <si>
    <t>390047, РЯЗАНСКАЯ ОБЛАСТЬ, Г РЯЗАНЬ, Ш КУЙБЫШЕВСКОЕ, Д. 25, ПОМЕЩ. Н9</t>
  </si>
  <si>
    <t>ООО ЭКО-ТЕСТАВТО</t>
  </si>
  <si>
    <t>390048, РЯЗАНСКАЯ ОБЛАСТЬ, Г.О. ГОРОД РЯЗАНЬ, Г РЯЗАНЬ, УЛ НОВОСЕЛОВ, Д. 40А, ПОМЕЩ. Н1</t>
  </si>
  <si>
    <t>ООО БИЗНЕС ГЛОБАЛ</t>
  </si>
  <si>
    <t>390046, РЯЗАНСКАЯ ОБЛАСТЬ, Г РЯЗАНЬ, ПР-Д СВЕТЛЫЙ, Д. 39, ПОМЕЩ. Н8</t>
  </si>
  <si>
    <t>ОООГЛАВСБЫТ</t>
  </si>
  <si>
    <t>390047, РЯЗАНСКАЯ ОБЛАСТЬ, Г РЯЗАНЬ, Ш КУЙБЫШЕВСКОЕ, Д. 43, ОФИС 1</t>
  </si>
  <si>
    <t>ООО АЛЬЯНС-М</t>
  </si>
  <si>
    <t>390029, РЯЗАНСКАЯ ОБЛАСТЬ, Г РЯЗАНЬ, УЛ ПРОФЕССОРА НИКУЛИНА, Д. 6, КВ. 38</t>
  </si>
  <si>
    <t>ООО ТРАКДЕТАЛЬ62</t>
  </si>
  <si>
    <t>390048, РОССИЯ, РЯЗАНСКАЯ ОБЛАСТЬ, Г.О. ГОРОД РЯЗАНЬ, Г РЯЗАНЬ, УЛ НОВОСЕЛОВ, Д. 55, КВ. 146</t>
  </si>
  <si>
    <t>ИП БАРАНИЧ ЕКАТЕРИНА ЮРЬЕВНА</t>
  </si>
  <si>
    <t>ООО АВТОТЕХ</t>
  </si>
  <si>
    <t>390019, РЯЗАНСКАЯ ОБЛАСТЬ, Г РЯЗАНЬ, Р-Н 8-Й, Д. 189</t>
  </si>
  <si>
    <t>ИП ШИРОКОВ МАКСИМ СЕРГЕЕВИЧ</t>
  </si>
  <si>
    <t>ИП ДАНИЛИНА ЛАРИСА ДМИТРИЕВНА</t>
  </si>
  <si>
    <t>ООО ЖЕМЧУГ-С</t>
  </si>
  <si>
    <t>391430, РЯЗАНСКАЯ ОБЛАСТЬ, Г САСОВО, ПР-Д ПРОМЫШЛЕННЫЙ, Д. 6</t>
  </si>
  <si>
    <t>ИП ЖИРЁХИН АЛЕКСЕЙ АЛЕКСАНДРОВИЧ</t>
  </si>
  <si>
    <t>ООО МАГАЗИН СКОПИНАГРОСНАБ</t>
  </si>
  <si>
    <t>391800, РЯЗАНСКАЯ ОБЛАСТЬ, Г СКОПИН, УЛ ПУШКИНА, Д.150</t>
  </si>
  <si>
    <t>ИП ЛЕЛЁВКИНА АЛЕНА АРКАДЬЕВНА</t>
  </si>
  <si>
    <t>ИП ПОПОВА ДАРИНА ИГОРЕВНА</t>
  </si>
  <si>
    <t>ИП БОБЫЛЕВ АЛЕКСАНДР НИКОЛАЕВИЧ</t>
  </si>
  <si>
    <t>ИП СТРЕКАЛОВ СЕРГЕЙ ГЕННАДИЕВИЧ</t>
  </si>
  <si>
    <t>ООО АВТОЭКОНОМ</t>
  </si>
  <si>
    <t>390000, РЯЗАНСКАЯ ОБЛАСТЬ, Г.О. ГОРОД РЯЗАНЬ, Г РЯЗАНЬ, УЛ ГОРЬКОГО, Д. 86, ПОМЕЩЕНИЕ/ОФИС Н42/1</t>
  </si>
  <si>
    <t>ООО ЛЕ-МАН</t>
  </si>
  <si>
    <t>ИП НИКИФОРУК МАКСИМ МИХАЙЛОВИЧ</t>
  </si>
  <si>
    <t>ООО АЛЬВА</t>
  </si>
  <si>
    <t>390006, РЯЗАНСКАЯ ОБЛАСТЬ, Г РЯЗАНЬ, УЛ СКОМОРОШИНСКАЯ, Д.15, К.1, 46</t>
  </si>
  <si>
    <t>ИП ГУСЯТНИКОВ ДМИТРИЙ АЛЕКСАНДРОВИЧ</t>
  </si>
  <si>
    <t>ООО МБ РЯЗАНЬ</t>
  </si>
  <si>
    <t>390006, РЯЗАНСКАЯ ОБЛАСТЬ, Г РЯЗАНЬ, УЛ ЕСЕНИНА, Д.1 Б</t>
  </si>
  <si>
    <t>ИП БАННЫЙ ЯРОСЛАВ ОЛЕГОВИЧ</t>
  </si>
  <si>
    <t>ООО НЕФТЕТРАНС</t>
  </si>
  <si>
    <t>390006, РЯЗАНСКАЯ ОБЛАСТЬ, Г.О. ГОРОД РЯЗАНЬ, Г РЯЗАНЬ, Ш СОЛОТЧИНСКОЕ, Д. 2А</t>
  </si>
  <si>
    <t>390006, РЯЗАНСКАЯ ОБЛАСТЬ, Г.О. ГОРОД РЯЗАНЬ, Г РЯЗАНЬ, УЛ ЕСЕНИНА, Д. 1, ОФИС 101</t>
  </si>
  <si>
    <t>ИП ТИШКИН ИГОРЬ ПЕТРОВИЧ</t>
  </si>
  <si>
    <t>ООО МАГНУМ</t>
  </si>
  <si>
    <t>390013, РЯЗАНСКАЯ ОБЛАСТЬ, Г.О. ГОРОД РЯЗАНЬ, Г РЯЗАНЬ, УЛ СИТНИКОВСКАЯ, Д. 69А, ПОМЕЩ. 1</t>
  </si>
  <si>
    <t>ИП ОРЛОВ АНДРЕЙ ВИКТОРОВИЧ</t>
  </si>
  <si>
    <t>ИП БАТРОВ НИКОЛАЙ АЛЕКСАНДРОВИЧ</t>
  </si>
  <si>
    <t>АО РЯЗАНЬНЕФТЕПРОДУКТ</t>
  </si>
  <si>
    <t>390013, РОССИЯ, РЯЗАНСКАЯ ОБЛАСТЬ, Г.О. ГОРОД РЯЗАНЬ, Г РЯЗАНЬ, УЛ ТОВАРНЫЙ ДВОР (СТАНЦИЯ РЯЗАНЬ-1), Д. 80</t>
  </si>
  <si>
    <t>ИП ТЕРЕНТЬЕВА ИРИНА ВИКТОРОВНА</t>
  </si>
  <si>
    <t>ИП ЕПИШИН ВИКТОР АНАТОЛЬЕВИЧ</t>
  </si>
  <si>
    <t>ОООРЕВОЛ</t>
  </si>
  <si>
    <t>390011, РЯЗАНСКАЯ ОБЛАСТЬ, Г РЯЗАНЬ, Р-Н ЮЖНЫЙ ПРОМУЗЕЛ, Д.6А, 420</t>
  </si>
  <si>
    <t>АО РЯЗАНСКАЯ СМАЗОЧНАЯ КОМПАНИЯ</t>
  </si>
  <si>
    <t>390000, РЯЗАНСКАЯ ОБЛАСТЬ, Г.О. ГОРОД РЯЗАНЬ, Г РЯЗАНЬ, УЛ ПРАВО-ЛЫБЕДСКАЯ, Д. 27, ПОМЕЩ. Н154</t>
  </si>
  <si>
    <t>ИП ЕПИШИН ДЕНИС ЛЕОНИДОВИЧ</t>
  </si>
  <si>
    <t>ИП ЛИФАНОВА ЛЮДМИЛА ЕВГЕНЬЕВНА</t>
  </si>
  <si>
    <t>ООО АВТОСАЛОН КАНИЩЕВО</t>
  </si>
  <si>
    <t>390039, РЯЗАНСКАЯ ОБЛАСТЬ, Г РЯЗАНЬ, УЛ БИРЮЗОВА, Д.1В, -, -</t>
  </si>
  <si>
    <t>ИП МАКУРОВ ВАЛЕНТИН АЛЕКСАНДРОВИЧ</t>
  </si>
  <si>
    <t>ООО НКД-СЕРВИС</t>
  </si>
  <si>
    <t>390023, РЯЗАНСКАЯ ОБЛАСТЬ, Г РЯЗАНЬ, ПР-Д ЯБЛОЧКОВА, Д. 5, К. 2</t>
  </si>
  <si>
    <t>ИП ИВАНОВА ЮЛИЯ ИВАНОВНА</t>
  </si>
  <si>
    <t>ИП ПИЛЬНИКОВ ОЛЕГ ВАЛЕРЬЕВИЧ</t>
  </si>
  <si>
    <t>ООО АВТОПОГРУЗЧИК</t>
  </si>
  <si>
    <t>390047, РЯЗАНСКАЯ ОБЛАСТЬ, Г РЯЗАНЬ, Ш КУЙБЫШЕВСКОЕ, Д. 45, К. А, ПОМ/ОФИС Н2/29</t>
  </si>
  <si>
    <t>ООО РУСАВТО</t>
  </si>
  <si>
    <t>390023, РЯЗАНСКАЯ ОБЛАСТЬ, Г РЯЗАНЬ, ПР-Д ЯБЛОЧКОВА, Д.5, К.В</t>
  </si>
  <si>
    <t>ИП САВИНЫХ СВЕТЛАНА ВИТАЛЬЕВНА</t>
  </si>
  <si>
    <t>ИП КЛИМКОВ СЕРГЕЙ АНАТОЛЬЕВИЧ</t>
  </si>
  <si>
    <t>ООО  ОК ЗВЕЗДНЫЙ</t>
  </si>
  <si>
    <t>391082, РЯЗАНСКАЯ ОБЛАСТЬ, Р-Н СПАССКИЙ, С ВЫПОЛЗОВО, ТЕР ОЗДОРОВИТЕЛЬНЫЙ КОМПЛЕКС ЗВЕЗДНЫЙ, Д. 16</t>
  </si>
  <si>
    <t>ИП ПОПОВ ИГОРЬ НИКОЛАЕВИЧ</t>
  </si>
  <si>
    <t>ИП БРЯКИНА ЛЮДМИЛА ВАСИЛЬЕВНА</t>
  </si>
  <si>
    <t>390047, РЯЗАНСКАЯ ОБЛАСТЬ, Г РЯЗАНЬ, Ш КУЙБЫШЕВСКОЕ, Д. 40Б</t>
  </si>
  <si>
    <t>ООО АВТОТРЕЙД-ЗАПАД</t>
  </si>
  <si>
    <t>390017, РЯЗАНСКАЯ ОБЛАСТЬ, Г.О. ГОРОД РЯЗАНЬ, Г РЯЗАНЬ, Ш РЯЖСКОЕ, Д. 15</t>
  </si>
  <si>
    <t>ООО СПЕЦТЕХ</t>
  </si>
  <si>
    <t>390011, РОССИЯ, РЯЗАНСКАЯ ОБЛАСТЬ, Г.О. ГОРОД РЯЗАНЬ, Г РЯЗАНЬ, КМ 197 (ОКРУЖНАЯ ДОРОГА), Д. 5, ОФИС 18</t>
  </si>
  <si>
    <t>ООО ПК РУСИНДАСТРИ</t>
  </si>
  <si>
    <t>390025, РОССИЯ, РЯЗАНСКАЯ ОБЛАСТЬ, Г.О. ГОРОД РЯЗАНЬ, Г РЯЗАНЬ, УЛ ЩОРСА, Д. 38/11, СТР. 1, ОФИС 3</t>
  </si>
  <si>
    <t>ООО М-ЦЕНТР РЯЗАНЬ</t>
  </si>
  <si>
    <t>ИП ПИРОЖКОВ ВЛАДИМИР ВЛАДИМИРОВИЧ</t>
  </si>
  <si>
    <t>ИП КРЮЧКОВА ЕЛЕНА ЮРЬЕВНА</t>
  </si>
  <si>
    <t>ООО АЙСБЕРГ</t>
  </si>
  <si>
    <t>390023, РОССИЯ, РЯЗАНСКАЯ ОБЛАСТЬ, Г.О. ГОРОД РЯЗАНЬ, Г РЯЗАНЬ, ПРОЕЗД ЯБЛОЧКОВА, Д. 8Д, ПОМЕЩ./ОФИС Н4/15А</t>
  </si>
  <si>
    <t>ИП БЕЛОНОЖКИН АЛЕКСЕЙ ГЕННАДЬЕВИЧ</t>
  </si>
  <si>
    <t>ИП ФЕДИН АНДРЕЙ АЛЕКСАНДРОВИЧ</t>
  </si>
  <si>
    <t>ИП ЛИПАТОВ ЮРИЙ АНАТОЛЬЕВИЧ</t>
  </si>
  <si>
    <t>ИП ГАЗИНА ЕЛЕНА ВАЛЕРЬЕВНА</t>
  </si>
  <si>
    <t>ИП КАХИМОВА НИНА ЮРЬЕВНА</t>
  </si>
  <si>
    <t>ИП ИЛЬИН АЛЕКСЕЙ ВЛАДИМИРОВИЧ</t>
  </si>
  <si>
    <t>ООО ЕДИНСТВО</t>
  </si>
  <si>
    <t>391800, РЯЗАНСКАЯ ОБЛАСТЬ, Г СКОПИН, УЛ СОВЕТСКАЯ, Д. 77, ЛИТЕРА А, А1, А, ОФИС 1</t>
  </si>
  <si>
    <t>ИП Кирилова Раиса Александровна</t>
  </si>
  <si>
    <t>ИП СЕРГУШКИНА МАРИНА АЛЕКСАНДРОВНА</t>
  </si>
  <si>
    <t>ООО ТЕХНОРЕСУРС-Р</t>
  </si>
  <si>
    <t>390011, РЯЗАНСКАЯ ОБЛАСТЬ, Г РЯЗАНЬ, Р-Н ЮЖНЫЙ ПРОМУЗЕЛ, Д. 10, СТР. 1, Н1, ПОМЕЩ. 24</t>
  </si>
  <si>
    <t>ИП КОВАЛЕНКО ЛИАНА БОРИСОВНА</t>
  </si>
  <si>
    <t>ИП СИМАКИН ВАДИМ СЕРГЕЕВИЧ</t>
  </si>
  <si>
    <t>ИП БЕЛОНОЖКИНА ТАТЬЯНА ГЕННАДЬЕВНА</t>
  </si>
  <si>
    <t>ООО КОМПАНИЯ АВТОИМПОРТ</t>
  </si>
  <si>
    <t>ИП ИЛЬИН ИЛЬЯ АЛЕКСАНДРОВИЧ</t>
  </si>
  <si>
    <t>ООО ЭКООЙЛ</t>
  </si>
  <si>
    <t>390037, РЯЗАНСКАЯ ОБЛАСТЬ, Г.О. ГОРОД РЯЗАНЬ, Г РЯЗАНЬ, Ш КАСИМОВСКОЕ, Д. 57, К. 2, ПОМЕЩ./ОФИС Н1/1</t>
  </si>
  <si>
    <t>390027, РЯЗАНСКАЯ ОБЛАСТЬ, Г.О. ГОРОД РЯЗАНЬ, Г РЯЗАНЬ, УЛ БЫСТРЕЦКАЯ, Д. 22, КВ. 325</t>
  </si>
  <si>
    <t>ООО НОВАТЭК</t>
  </si>
  <si>
    <t>390047, РЯЗАНСКАЯ ОБЛАСТЬ, Г РЯЗАНЬ, Р-Н ПЕСОЧНЯ, Д. 6, ОФИС 3А</t>
  </si>
  <si>
    <t>ООО ХОРС</t>
  </si>
  <si>
    <t>390011, РОССИЯ, РЯЗАНСКАЯ ОБЛАСТЬ, Г.О. ГОРОД РЯЗАНЬ, Г РЯЗАНЬ, КМ 196 (ОКРУЖНАЯ ДОРОГА), Д. 12, ПОМЕЩ. 32</t>
  </si>
  <si>
    <t>ООО УЮТ 62</t>
  </si>
  <si>
    <t>390020, РОССИЯ, РЯЗАНСКАЯ ОБЛАСТЬ, Г.О. ГОРОД РЯЗАНЬ, Г РЯЗАНЬ, КМ 185 (ОКРУЖНАЯ ДОРОГА), Д. 6, ПОМЕЩ. Н5, ОФИС 16</t>
  </si>
  <si>
    <t>ИП ЖУРАВЛЕВ МАКСИМ ВЛАДИМИРОВИЧ</t>
  </si>
  <si>
    <t>ООО СЫСОИ</t>
  </si>
  <si>
    <t>391891, РОССИЯ, РЯЗАНСКАЯ ОБЛАСТЬ, М.Р-Н САРАЕВСКИЙ, С СЫСОИ, С.П. СЫСОЕВСКОЕ, УЛ НОВАЯ, Д. 20</t>
  </si>
  <si>
    <t>ИП БИРЮКОВ АНДРЕЙ АНАТОЛЬЕВИЧ</t>
  </si>
  <si>
    <t>ИП ПЕРЕВОЗЧИКОВ СЕРГЕЙ НИКОЛАЕВИЧ</t>
  </si>
  <si>
    <t>ИП ФЕДЮНИН ВЛАДИСЛАВ ВАЛЕРЬЕВИЧ</t>
  </si>
  <si>
    <t>390020, РЯЗАНСКАЯ ОБЛАСТЬ, Г РЯЗАНЬ, КМ 185 (ОКРУЖНАЯ ДОРОГА), Д. 2Б, ОФИС 204</t>
  </si>
  <si>
    <t>ИП Рюмин Юрий Михайлович</t>
  </si>
  <si>
    <t>ООО СПЕЦАВТО</t>
  </si>
  <si>
    <t>390047, РЯЗАНСКАЯ ОБЛАСТЬ, Г РЯЗАНЬ, П КАРЦЕВО, Д.7</t>
  </si>
  <si>
    <t>ИП КОРЧМИН МАКСИМ СЕРГЕЕВИЧ</t>
  </si>
  <si>
    <t>ООО АВТОИМПОРТ ЦЕНТР</t>
  </si>
  <si>
    <t>390011, РЯЗАНСКАЯ ОБЛАСТЬ, Г.О. ГОРОД РЯЗАНЬ, Г РЯЗАНЬ, УЛ РЯЗАНСКАЯ, Д. 22Д, ПОМЕЩ. Н15, КАБ. 1</t>
  </si>
  <si>
    <t>ИП ИВАНОВА ТАТЬЯНА АЛЕКСАНДРОВНА</t>
  </si>
  <si>
    <t>ООО НТЦ ХИММОТОЛОГИЯ</t>
  </si>
  <si>
    <t>391539, РЯЗАНСКАЯ ОБЛАСТЬ, М.Р-Н ШИЛОВСКИЙ, РП ЛЕСНОЙ, Г.П. ЛЕСНОВСКОЕ, УЛ ПРОМЫШЛЕННАЯ, ЗД. 21, ПОМЕЩ. Н1</t>
  </si>
  <si>
    <t>390011, РЯЗАНСКАЯ ОБЛАСТЬ, Г РЯЗАНЬ, Р-Н ЮЖНЫЙ ПРОМУЗЕЛ, СТР. 10Д, ПОМЕЩ. 107</t>
  </si>
  <si>
    <t>ИП ШИБАЛИН ДЕНИС СЕРГЕЕВИЧ</t>
  </si>
  <si>
    <t>ИП КОРЯГИНА МАРГАРИТА АНАТОЛЬЕВНА</t>
  </si>
  <si>
    <t>ИП КРУКОВСКИЙ МАКСИМ ВАЛЕРЬЕВИЧ</t>
  </si>
  <si>
    <t>ООО СТРОЙКА</t>
  </si>
  <si>
    <t>390044, РЯЗАНСКАЯ ОБЛАСТЬ, Г РЯЗАНЬ, Ш МОСКОВСКОЕ, Д. 20, ОФИС 803/1</t>
  </si>
  <si>
    <t>ИП ГРИНЕНКО ГАЛИНА ЮРЬЕВНА</t>
  </si>
  <si>
    <t>ИП ЛУКИНА НАДЕЖДА НИКОЛАЕВНА</t>
  </si>
  <si>
    <t>ИП БОХОВКО ЕКАТЕРИНА АЛЕКСЕЕВНА</t>
  </si>
  <si>
    <t>ИП САЛИЕВА МАРИЯ АЛЕКСЕЕВНА</t>
  </si>
  <si>
    <t>390000, РЯЗАНСКАЯ ОБЛАСТЬ, Г РЯЗАНЬ, УЛ МАЯКОВСКОГО, Д. 1А, ЭТАЖ/ПОМ. 1/106</t>
  </si>
  <si>
    <t>ООО ЕГОРЬЕ</t>
  </si>
  <si>
    <t>390000, РОССИЯ, РЯЗАНСКАЯ ОБЛАСТЬ, Г.О. ГОРОД РЯЗАНЬ, Г РЯЗАНЬ, УЛ ПРАВО-ЛЫБЕДСКАЯ, Д. 35, К. 2, ОФИС 404</t>
  </si>
  <si>
    <t>ООО РЗ МС</t>
  </si>
  <si>
    <t>390017, РОССИЯ, РЯЗАНСКАЯ ОБЛАСТЬ, Г.О. ГОРОД РЯЗАНЬ, Г РЯЗАНЬ, Ш РЯЖСКОЕ, Д. 20Г, ПОМЕЩ. 1</t>
  </si>
  <si>
    <t>ИП СТАРОСТИН ВЯЧЕСЛАВ АЛЕКСАНДРОВИЧ</t>
  </si>
  <si>
    <t>Самарская область</t>
  </si>
  <si>
    <t>ООО А ТОРГОВЛЯ</t>
  </si>
  <si>
    <t>443070, САМАРСКАЯ ОБЛАСТЬ, Г САМАРА, УЛ ЗАГОРОДНАЯ, Д. 1, ОФИС 6</t>
  </si>
  <si>
    <t>ООО ЕВРОАВТОЦЕНТР</t>
  </si>
  <si>
    <t>443901, САМАРСКАЯ ОБЛАСТЬ, Г.О. САМАРА, П БЕРЕЗА, ВН.Р-Н КРАСНОГЛИНСКИЙ, КВ-Л 4-Й, ЗД. 16, СТР. 2, ОФИС 1</t>
  </si>
  <si>
    <t>ИП ПЕСТРИКОВ МАКСИМ СЕРГЕЕВИЧ</t>
  </si>
  <si>
    <t>ООО ЭЛКС-СЕТЬ</t>
  </si>
  <si>
    <t>443070, САМАРСКАЯ ОБЛАСТЬ, Г САМАРА, УЛ ЗАГОРОДНАЯ, Д.1</t>
  </si>
  <si>
    <t>ООО ПАРТНЕР ТРАК</t>
  </si>
  <si>
    <t>443017, САМАРСКАЯ ОБЛАСТЬ, Г САМАРА, ПЕР КАРЬЕРНЫЙ 5-Й, Д.9</t>
  </si>
  <si>
    <t>ООО ВОСЕМНАДЦАТЬ ПЛЮС</t>
  </si>
  <si>
    <t>443070, САМАРСКАЯ ОБЛАСТЬ, Г САМАРА, УЛ ЗАГОРОДНАЯ, Д. 1, ЭТАЖ 1, ОФИС 20</t>
  </si>
  <si>
    <t>ООО ОПТИМА-К</t>
  </si>
  <si>
    <t>443070, САМАРСКАЯ ОБЛАСТЬ, Г САМАРА, УЛ ЗАГОРОДНАЯ, Д. 1</t>
  </si>
  <si>
    <t>ООО СМ-ЛОГИСТИК</t>
  </si>
  <si>
    <t>446205, САМАРСКАЯ ОБЛАСТЬ, Г НОВОКУЙБЫШЕВСК, УЛ Л.ТОЛСТОГО, Д. 21, КАБИНЕТ 223</t>
  </si>
  <si>
    <t>ООО ПРОДМАГ-8</t>
  </si>
  <si>
    <t>443070, САМАРСКАЯ ОБЛАСТЬ, Г САМАРА, УЛ ЗАГОРОДНАЯ, Д. 1, ЭТАЖ 1, ОФИС 18</t>
  </si>
  <si>
    <t>ООО САМПРОДТОРГ-5</t>
  </si>
  <si>
    <t>443070, САМАРСКАЯ ОБЛАСТЬ, Г САМАРА, УЛ ЗАГОРОДНАЯ, Д. 1, ЭТАЖ 1, ОФИС 48</t>
  </si>
  <si>
    <t>ООО КТ-3</t>
  </si>
  <si>
    <t>ООО ГРОШ</t>
  </si>
  <si>
    <t>443070, САМАРСКАЯ ОБЛАСТЬ, Г САМАРА, УЛ ЗАГОРОДНАЯ, Д. 1, ЭТАЖ 1, ОФИС 17</t>
  </si>
  <si>
    <t>443070, САМАРСКАЯ ОБЛАСТЬ, Г.О. САМАРА, Г САМАРА, ВН.Р-Н ЖЕЛЕЗНОДОРОЖНЫЙ, УЛ ДЗЕРЖИНСКОГО, СТР. 52М, ОФИС 26</t>
  </si>
  <si>
    <t>ООО ГЕКУБА</t>
  </si>
  <si>
    <t>443070, САМАРСКАЯ ОБЛАСТЬ, Г.О. САМАРА, Г САМАРА, ВН.Р-Н ЖЕЛЕЗНОДОРОЖНЫЙ, УЛ ЗАГОРОДНАЯ, Д. 1, КОМ. 20</t>
  </si>
  <si>
    <t>ООО БИЗНЕС ТЕХНОЛОГИИ И ИННОВАЦИИ</t>
  </si>
  <si>
    <t>443082, САМАРСКАЯ ОБЛАСТЬ, Г САМАРА, УЛ НОВО-УРИЦКАЯ, Д.22, ЛИТЕРА А, ОФИС 31</t>
  </si>
  <si>
    <t>ИП СЕРГЕЕВ МАКСИМ БОРИСОВИЧ</t>
  </si>
  <si>
    <t>ИП ГАЛИЕВ ИЛЬДАР ЗИНЯТУЛЛОВИЧ</t>
  </si>
  <si>
    <t>ИП СОЛУЯНОВ ИГОРЬ ВАЛЕРЬЕВИЧ</t>
  </si>
  <si>
    <t>ООО САМАРА-МОТОРС</t>
  </si>
  <si>
    <t>443072, САМАРСКАЯ ОБЛАСТЬ, Г САМАРА, ЛН 1-Я (17 КМ МОСКОВСКОГО ШОССЕ ТЕР.), Д. 15</t>
  </si>
  <si>
    <t>ООО АЛЛЮР</t>
  </si>
  <si>
    <t>445054, РОССИЯ, САМАРСКАЯ ОБЛАСТЬ, Г.О. ТОЛЬЯТТИ, Г ТОЛЬЯТТИ, УЛ МИРА, ЗД. 133А, ОФИС 53</t>
  </si>
  <si>
    <t>ООО САМАРА-АВТО</t>
  </si>
  <si>
    <t>443035, САМАРСКАЯ ОБЛАСТЬ, Г САМАРА, УЛ МИРНАЯ, Д. 3</t>
  </si>
  <si>
    <t>ООО ТД ДВК</t>
  </si>
  <si>
    <t>443044, САМАРСКАЯ ОБЛАСТЬ, Г.О. САМАРА, П ЗУБЧАНИНОВКА, ВН.Р-Н КИРОВСКИЙ, УЛ САМОЛЕТНАЯ, ВЛД. 123, ОФИС 201-202</t>
  </si>
  <si>
    <t>ООО СИЛК ВЭЙ</t>
  </si>
  <si>
    <t>443031, САМАРСКАЯ ОБЛАСТЬ, Г.О. САМАРА, Г САМАРА, ВН.Р-Н КИРОВСКИЙ, УЛ ДЕМОКРАТИЧЕСКАЯ, ЗД. 63А</t>
  </si>
  <si>
    <t>ООО АМХ САМАРА</t>
  </si>
  <si>
    <t>443022, САМАРСКАЯ ОБЛАСТЬ, Г САМАРА, ПР-Д СОВХОЗНЫЙ, Д. 16, КАБИНЕТ 209</t>
  </si>
  <si>
    <t>ООО ПСМ</t>
  </si>
  <si>
    <t>443904, САМАРСКАЯ ОБЛАСТЬ, Г САМАРА, П ЗУБЧАНИНОВКА, Ш ЗУБЧАНИНОВСКОЕ, Д. 130, ЛИТЕР Б, ОФИС 10</t>
  </si>
  <si>
    <t>ООО ТЭДДИ</t>
  </si>
  <si>
    <t>443106, САМАРСКАЯ ОБЛАСТЬ, Г.О. САМАРА, Г САМАРА, ВН.Р-Н КИРОВСКИЙ, ПР-КТ КАРЛА МАРКСА, Д. 486, КВ. 24</t>
  </si>
  <si>
    <t>ООО КЛУБ МАСЛО РЕГИОН</t>
  </si>
  <si>
    <t>443098, САМАРСКАЯ ОБЛАСТЬ, Г.О. САМАРА, Г САМАРА, ВН.Р-Н КИРОВСКИЙ, УЛ ЕЛИЗАРОВА, ВЛД. 103, ОФИС 14</t>
  </si>
  <si>
    <t>ИП СНИГИРЬ ДМИТРИЙ НИКОЛАЕВИЧ</t>
  </si>
  <si>
    <t>ИП БЕЛЯЕВ АЛЕКСЕЙ МИХАЙЛОВИЧ</t>
  </si>
  <si>
    <t>ИП ШУТКО ЮЛИЯ ГЕОРГИЕВНА</t>
  </si>
  <si>
    <t>ООО СТРОИТЕЛЬНЫЕ МАШИНЫ</t>
  </si>
  <si>
    <t>443028, САМАРСКАЯ ОБЛАСТЬ, Г.О. САМАРА, Г САМАРА, ВН.Р-Н КРАСНОГЛИНСКИЙ, ТЕР 20 КМ МОСКОВСКОГО ШОССЕ, ЗД. 33, ОФИС 201</t>
  </si>
  <si>
    <t>ООО Р.А.О. ФАВОРИТ</t>
  </si>
  <si>
    <t>443026, САМАРСКАЯ ОБЛАСТЬ, Г САМАРА, П УПРАВЛЕНЧЕСКИЙ, Ш КРАСНОГЛИНСКОЕ, Д.1А, ОФИС 5</t>
  </si>
  <si>
    <t>ООО САМАРА-КОМ-ТРАНС</t>
  </si>
  <si>
    <t>443051, САМАРСКАЯ ОБЛАСТЬ, Г САМАРА, ПР-КТ КАРЛА МАРКСА, Д. 526, ПОМЕЩ. 31</t>
  </si>
  <si>
    <t>ООО ВЕХА- РЕГИОН</t>
  </si>
  <si>
    <t>443004, САМАРСКАЯ ОБЛАСТЬ, Г САМАРА, УЛ ГРОЗНЕНСКАЯ, Д. 63, КОМ. 25</t>
  </si>
  <si>
    <t>ООО ТОРГОВЫЙ ДОМ ПОДШИПНИКМАШ САМАРА</t>
  </si>
  <si>
    <t>443101, САМАРСКАЯ ОБЛАСТЬ, Г САМАРА, УЛ УТЕВСКАЯ, 20А, КОМ. 2</t>
  </si>
  <si>
    <t>ООО ТОРГСЕРВИС 63</t>
  </si>
  <si>
    <t>443101, САМАРСКАЯ ОБЛАСТЬ, Г САМАРА, ПЕР УТЕВСКИЙ, Д.10, СТРОЕНИЕ 1</t>
  </si>
  <si>
    <t>ИП ЕПИФАНОВ МИХАИЛ АЛЕКСАНДРОВИЧ</t>
  </si>
  <si>
    <t>ООО КИС</t>
  </si>
  <si>
    <t>443071, САМАРСКАЯ ОБЛАСТЬ, Г САМАРА, ПР-КТ ВОЛЖСКИЙ, Д.19, ОФИС 8-2</t>
  </si>
  <si>
    <t>ООО ТРЭК-АВТО</t>
  </si>
  <si>
    <t>443082, САМАРСКАЯ ОБЛАСТЬ, Г САМАРА, УЛ КЛИНИЧЕСКАЯ, Д. 200, КОМ. 25</t>
  </si>
  <si>
    <t>ООО АКЦЕПТ</t>
  </si>
  <si>
    <t>443045, САМАРСКАЯ ОБЛАСТЬ, Г.О. САМАРА, Г САМАРА, ВН.Р-Н СОВЕТСКИЙ, УЛ ГАГАРИНА, Д. 82А, ОФИС 507</t>
  </si>
  <si>
    <t>ООО АРГО-МОТОРС</t>
  </si>
  <si>
    <t>443080, САМАРСКАЯ ОБЛАСТЬ, Г.О. САМАРА, Г САМАРА, ВН.Р-Н ОКТЯБРЬСКИЙ, Ш МОСКОВСКОЕ, Д. 17А</t>
  </si>
  <si>
    <t>АО САМАРАНЕФТЕПРОДУКТ</t>
  </si>
  <si>
    <t>443010, САМАРСКАЯ ОБЛАСТЬ, Г САМАРА, УЛ ГАЛАКТИОНОВСКАЯ, Д. 72/63</t>
  </si>
  <si>
    <t>443031, САМАРСКАЯ ОБЛАСТЬ, Г.О. САМАРА, Г САМАРА, ВН.Р-Н ПРОМЫШЛЕННЫЙ, УЛ 9-Я ПРОСЕКА 2 ЛИНИЯ, Д. 18А, ОФИС 3</t>
  </si>
  <si>
    <t>ООО ТЕХМАСТЕР</t>
  </si>
  <si>
    <t>443085, САМАРСКАЯ ОБЛАСТЬ, Г САМАРА, Ш ЮЖНОЕ, Д. 14-А, КОМ. 18</t>
  </si>
  <si>
    <t>ООО КАРНЕ</t>
  </si>
  <si>
    <t>443010, САМАРСКАЯ ОБЛАСТЬ, Г.О. САМАРА, Г САМАРА, ВН.Р-Н ЛЕНИНСКИЙ, УЛ КУЙБЫШЕВА, Д. 128, ОФИС 316</t>
  </si>
  <si>
    <t>443099, САМАРСКАЯ ОБЛАСТЬ, Г.О. САМАРА, Г САМАРА, ВН.Р-Н САМАРСКИЙ, УЛ СТЕПАНА РАЗИНА, Д. 174, КВ. 34</t>
  </si>
  <si>
    <t>ИП НИКИТИН КИРИЛЛ АЛЕКСАНДРОВИЧ</t>
  </si>
  <si>
    <t>ГБОУ САМАРСКИЙ КАЗАЧИЙ КАДЕТСКИЙ КОРПУС</t>
  </si>
  <si>
    <t>443067, САМАРСКАЯ ОБЛАСТЬ, Г САМАРА, УЛ МОРИСА ТОРЕЗА, Д.52</t>
  </si>
  <si>
    <t>ООО НИПП ВАЛЬМА</t>
  </si>
  <si>
    <t>443013, САМАРСКАЯ ОБЛАСТЬ, Г САМАРА, УЛ КИЕВСКАЯ, Д.13</t>
  </si>
  <si>
    <t>ООО ЯР-МЕТРО</t>
  </si>
  <si>
    <t>443070, САМАРСКАЯ ОБЛАСТЬ, Г САМАРА, УЛ ЗАГОРОДНАЯ, Д. 1, ЭТАЖ 2, ОФИС 16</t>
  </si>
  <si>
    <t>ООО ТСК ВОЛГАЭНЕРГОПРОМ</t>
  </si>
  <si>
    <t>443070, САМАРСКАЯ ОБЛАСТЬ, Г САМАРА, УЛ ДЗЕРЖИНСКОГО, Д.46, ЛИТЕРА Д</t>
  </si>
  <si>
    <t>ООО ФЛЕКС-АВТО</t>
  </si>
  <si>
    <t>443093, САМАРСКАЯ ОБЛАСТЬ, Г САМАРА, УЛ МЯГИ, Д.16, 49</t>
  </si>
  <si>
    <t>ООО ВАЛДАЙ И КОМПАНИЯ</t>
  </si>
  <si>
    <t>443109, САМАРСКАЯ ОБЛАСТЬ, Г САМАРА, П ЗУБЧАНИНОВКА, УЛ ТОВАРНАЯ, ЗД. 8, К 1</t>
  </si>
  <si>
    <t>ООО ОСТАП-7</t>
  </si>
  <si>
    <t>ООО САМПРОДТОРГ-6</t>
  </si>
  <si>
    <t>ООО ОСТАП-1</t>
  </si>
  <si>
    <t>ООО ТЛ ПЛЮС</t>
  </si>
  <si>
    <t>443070, САМАРСКАЯ ОБЛАСТЬ, Г.О. САМАРА, Г САМАРА, ВН.Р-Н ЖЕЛЕЗНОДОРОЖНЫЙ, УЛ ЗАГОРОДНАЯ, Д. 1, ОФИС 1</t>
  </si>
  <si>
    <t>ООО ПРАЦ КАМАЗ</t>
  </si>
  <si>
    <t>443532, САМАРСКАЯ ОБЛАСТЬ, Р-Н ВОЛЖСКИЙ, П ВЕРХНЯЯ ПОДСТЕПНОВКА, УЛ СПЕЦИАЛИСТОВ, Д.13</t>
  </si>
  <si>
    <t>ИП МИЩИНСКИЙ ИЛЬЯ ВЛАДИМИРОВИЧ</t>
  </si>
  <si>
    <t>ООО ТД БЕЛАРУСЬ</t>
  </si>
  <si>
    <t>443075, САМАРСКАЯ ОБЛАСТЬ, Г.О. САМАРА, Г САМАРА, ВН.Р-Н КРАСНОГЛИНСКИЙ, МКР. КРУТЫЕ КЛЮЧИ, УЛ МИРА, ЗД. 11</t>
  </si>
  <si>
    <t>ООО ГЛОБАЛ-АВТО</t>
  </si>
  <si>
    <t>443109, САМАРСКАЯ ОБЛАСТЬ, Г САМАРА, П ЗУБЧАНИНОВКА, УЛ ТОВАРНАЯ, Д. 5, ЭТАЖ 2, КАБИНЕТ 8</t>
  </si>
  <si>
    <t>ООО ВОЛГАНЕФТЕПРОДУКТ</t>
  </si>
  <si>
    <t>443114, САМАРСКАЯ ОБЛАСТЬ, Г САМАРА, ПР-КТ КИРОВА, СООР. 393А</t>
  </si>
  <si>
    <t>ООО ЭКСПЕРТ АВТО САМАРА</t>
  </si>
  <si>
    <t>443031, САМАРСКАЯ ОБЛАСТЬ, Г САМАРА, УЛ ДЕМОКРАТИЧЕСКАЯ, ВЛД 55</t>
  </si>
  <si>
    <t>ООО РЕГИОН-ШИНА 63</t>
  </si>
  <si>
    <t>443044, САМАРСКАЯ ОБЛАСТЬ, Г САМАРА, П ЗУБЧАНИНОВКА, УЛ ТОВАРНАЯ, Д. 70, ЛИТЕРА Z, КОМ. 22</t>
  </si>
  <si>
    <t>ООО БТ-ПРОМ</t>
  </si>
  <si>
    <t>443072, САМАРСКАЯ ОБЛАСТЬ, Г САМАРА, ТЕР 18 КМ МОСКОВСКОГО ШОССЕ, ЛИТЕР А, К. 6, КОМ. 18</t>
  </si>
  <si>
    <t>ООО ТД АВТОАТОМ</t>
  </si>
  <si>
    <t>443109, САМАРСКАЯ ОБЛАСТЬ, Г САМАРА, П ЗУБЧАНИНОВКА, УЛ ТОВАРНАЯ, Д. 5, ЛИТЕРА Г, КОМ. 13</t>
  </si>
  <si>
    <t>ИП МЕРКУЛОВ АЛЕКСАНДР ВИКТОРОВИЧ</t>
  </si>
  <si>
    <t>ООО ОЛВИ-МОБИЛЬНОСТЬ</t>
  </si>
  <si>
    <t>443114, САМАРСКАЯ ОБЛАСТЬ, Г.О. САМАРА, Г САМАРА, ВН.Р-Н КИРОВСКИЙ, УЛ ГЕОРГИЯ ДИМИТРОВА, Д. 14, ПОМЕЩ. Н23</t>
  </si>
  <si>
    <t>ИП ХОХЛОВ ИГОРЬ ГЕННАДЬЕВИЧ</t>
  </si>
  <si>
    <t>ООО САМАРА-СЕВЕР-АВТО</t>
  </si>
  <si>
    <t>443075, САМАРСКАЯ ОБЛАСТЬ, Г САМАРА, ТЕР 24 КМ МОСКОВСКОГО ШОССЕ, Д. 3, СТР. 1</t>
  </si>
  <si>
    <t>ООО САМАРА-СКАН</t>
  </si>
  <si>
    <t>443028, САМАРСКАЯ ОБЛАСТЬ, Г САМАРА, Ш МОСКОВСКОЕ (П МЕХЗАВОД), Д. 27</t>
  </si>
  <si>
    <t>ООО ТАНЕТ</t>
  </si>
  <si>
    <t>443028, САМАРСКАЯ ОБЛАСТЬ, Г.О. САМАРА, П КОЗЕЛКОВСКАЯ СТАНЦИЯ, ВН.Р-Н КРАСНОГЛИНСКИЙ, УЛ КУРИЛЬСКАЯ, Д. 60</t>
  </si>
  <si>
    <t>ООО АЗУРИТ</t>
  </si>
  <si>
    <t>443075, САМАРСКАЯ ОБЛАСТЬ, Г.О. САМАРА, Г САМАРА, ВН.Р-Н КРАСНОГЛИНСКИЙ, МКР. КРУТЫЕ КЛЮЧИ, УЛ МИРА, Д. 81, КВ. 34</t>
  </si>
  <si>
    <t>ООО МОБИТОП</t>
  </si>
  <si>
    <t>443061, САМАРСКАЯ ОБЛАСТЬ, Г САМАРА, УЛ УРАЛЬСКАЯ, Д. 38</t>
  </si>
  <si>
    <t>ООО ИНТРАК</t>
  </si>
  <si>
    <t>443004, САМАРСКАЯ ОБЛАСТЬ, Г САМАРА, УЛ ГРОЗНЕНСКАЯ, Д. 38, ЛИТЕРА К</t>
  </si>
  <si>
    <t>ООО САВ</t>
  </si>
  <si>
    <t>443085, САМАРСКАЯ ОБЛАСТЬ, Г САМАРА, Ш ЮЖНОЕ, Д. 12, СТР. 4</t>
  </si>
  <si>
    <t>ООО САМАРА-АВТО ЮГ</t>
  </si>
  <si>
    <t>443085, САМАРСКАЯ ОБЛАСТЬ, Г.О. САМАРА, Г САМАРА, ВН.Р-Н КУЙБЫШЕВСКИЙ, Ш ЮЖНОЕ, ЗД. 14, ОФИС 3</t>
  </si>
  <si>
    <t>ИП ВИТЕНШТЕЙН ГРИГОРИЙ АЛЕКСАНДРОВИЧ</t>
  </si>
  <si>
    <t>ИП ПОСПЕЛОВ ДМИТРИЙ ВЛАДИМИРОВИЧ</t>
  </si>
  <si>
    <t>ГБУЗ СОКСПК</t>
  </si>
  <si>
    <t>443068, САМАРСКАЯ ОБЛАСТЬ, Г САМАРА, УЛ НОВО-САДОВАЯ, Д.156</t>
  </si>
  <si>
    <t>ИП МЕНЬШЕНИНА СВЕТЛАНА ГРИГОРЬЕВНА</t>
  </si>
  <si>
    <t>ИП КАЗАКОВ ДМИТРИЙ ВАЛЕРЬЕВИЧ</t>
  </si>
  <si>
    <t>ГБУЗ САМАРСКАЯ СМП</t>
  </si>
  <si>
    <t>443096, САМАРСКАЯ ОБЛАСТЬ, Г САМАРА, УЛ БОЛЬНИЧНАЯ, Д.2</t>
  </si>
  <si>
    <t>ООО СТИН +</t>
  </si>
  <si>
    <t>443022, САМАРСКАЯ ОБЛАСТЬ, Г.О. САМАРА, Г САМАРА, ВН.Р-Н ПРОМЫШЛЕННЫЙ, ПР-КТ КИРОВА, Д. 24, К. 41, ЭТАЖ 2, КОМ. 2</t>
  </si>
  <si>
    <t>ООО МОТОР ОЙЛ</t>
  </si>
  <si>
    <t>443013, САМАРСКАЯ ОБЛАСТЬ, Г САМАРА, УЛ МИЧУРИНА, ЗД. 21Б</t>
  </si>
  <si>
    <t>ООО АВРОРА-АВТО-ЦЕНТР</t>
  </si>
  <si>
    <t>443045, САМАРСКАЯ ОБЛАСТЬ, Г САМАРА, УЛ АВРОРЫ, Д.150</t>
  </si>
  <si>
    <t>ИП ПОЗДНЯКОВ ОЛЕГ ИГОРЕВИЧ</t>
  </si>
  <si>
    <t>ООО ВИК</t>
  </si>
  <si>
    <t>443011, САМАРСКАЯ ОБЛАСТЬ, Г САМАРА, УЛ РАДИАЛЬНАЯ 2-Я, Д. 11</t>
  </si>
  <si>
    <t>443070, РОССИЯ, САМАРСКАЯ ОБЛАСТЬ, Г.О. САМАРА, Г САМАРА, ВН.Р-Н ЖЕЛЕЗНОДОРОЖНЫЙ, УЛ ЗАГОРОДНАЯ, Д. 1, ОФИС 6</t>
  </si>
  <si>
    <t>ИП КАЛМЫКОВ ДМИТРИЙ ГРИГОРЬЕВИЧ</t>
  </si>
  <si>
    <t>443082, САМАРСКАЯ ОБЛАСТЬ, Г САМАРА, УЛ НОВО-УРИЦКАЯ, Д.22</t>
  </si>
  <si>
    <t>ООО ЯР ЭНТЕРТЕЙНМЕНТ КОМПАНИ</t>
  </si>
  <si>
    <t>ООО СТХ</t>
  </si>
  <si>
    <t>443070, САМАРСКАЯ ОБЛАСТЬ, Г.О. САМАРА, Г САМАРА, ВН.Р-Н ЖЕЛЕЗНОДОРОЖНЫЙ, УЛ ЗАГОРОДНАЯ, Д. 1, КОМ. 17</t>
  </si>
  <si>
    <t>ООО МЁБИУС ЛУБРИКАНТС</t>
  </si>
  <si>
    <t>443080, САМАРСКАЯ ОБЛАСТЬ, Г САМАРА, Ш МОСКОВСКОЕ, Д. 55, ОФИС 1003</t>
  </si>
  <si>
    <t>ООО ЯР-ПРОДУКТ</t>
  </si>
  <si>
    <t>443070, САМАРСКАЯ ОБЛАСТЬ, Г САМАРА, УЛ ЗАГОРОДНАЯ, Д. 1, ЭТАЖ 1, ОФИС 21</t>
  </si>
  <si>
    <t>ООО ПРОДМАГ-9</t>
  </si>
  <si>
    <t>ООО ОСТАП-2</t>
  </si>
  <si>
    <t>ООО ОПТИМА-САМАРА</t>
  </si>
  <si>
    <t>443070, САМАРСКАЯ ОБЛАСТЬ, Г САМАРА, УЛ ЗАГОРОДНАЯ, Д. 1, ЭТАЖ 1, ОФИС 36</t>
  </si>
  <si>
    <t>ООО ВД ГРУПП 63</t>
  </si>
  <si>
    <t>443036, САМАРСКАЯ ОБЛАСТЬ, Г САМАРА, УЛ ДЕПОВСКАЯ, Д. 60, ПОМ. Ж1</t>
  </si>
  <si>
    <t>ООО НЕРЕИДА</t>
  </si>
  <si>
    <t>ООО МИМАС</t>
  </si>
  <si>
    <t>ООО ПРОТЕЙ</t>
  </si>
  <si>
    <t>ООО САМАРА РЕГИОН ПРОДУКТ</t>
  </si>
  <si>
    <t>ИП МИХАЙЛОВ НИКИТА АНДРЕЕВИЧ</t>
  </si>
  <si>
    <t>ИП ГОРОДКОВ АЛЕКСАНДР ВАЛЕРЬЕВИЧ</t>
  </si>
  <si>
    <t>ИП БИРЮКОВ ДМИТРИЙ АНАТОЛЬЕВИЧ</t>
  </si>
  <si>
    <t>ООО ЛАДА-М</t>
  </si>
  <si>
    <t>443072, САМАРСКАЯ ОБЛАСТЬ, Г САМАРА, ТЕР 18 КМ МОСКОВСКОГО ШОССЕ, Д.1</t>
  </si>
  <si>
    <t>ИП БОРОЗДИН ОЛЕГ БОРИСОВИЧ</t>
  </si>
  <si>
    <t>ООО АЛЬТЕРНАТИВА-С</t>
  </si>
  <si>
    <t>443044, САМАРСКАЯ ОБЛАСТЬ, Г САМАРА, П ЗУБЧАНИНОВКА, УЛ ТОВАРНАЯ, Д.70</t>
  </si>
  <si>
    <t>ООО СИБАЛЬ-АВТО</t>
  </si>
  <si>
    <t>443124, САМАРСКАЯ ОБЛАСТЬ, Г.О. САМАРА, Г САМАРА, ВН.Р-Н ПРОМЫШЛЕННЫЙ, ПРОСЕКА 6-Я, Д. 161, ПОМЕЩ. Н14</t>
  </si>
  <si>
    <t>ООО  ЛУБРИТЭК</t>
  </si>
  <si>
    <t>443023, САМАРСКАЯ ОБЛАСТЬ, Г.О. САМАРА, Г САМАРА, ВН.Р-Н СОВЕТСКИЙ, УЛ ГАГАРИНА, Д. 155, КВ. 8</t>
  </si>
  <si>
    <t>ИП БЛИЗНЕЦ ИГОРЬ ВАЛЕНТИНОВИЧ</t>
  </si>
  <si>
    <t>ИП ИВАНОВ МАКСИМ ЮРЬЕВИЧ</t>
  </si>
  <si>
    <t>ООО АСАВТО НА АЛМА-АТИНСКОЙ</t>
  </si>
  <si>
    <t>443106, САМАРСКАЯ ОБЛАСТЬ, Г САМАРА, УЛ АЛМА-АТИНСКАЯ, ЗД. 87</t>
  </si>
  <si>
    <t>ООО ВЭЙПАРТС</t>
  </si>
  <si>
    <t>445149, САМАРСКАЯ ОБЛАСТЬ, Р-Н СТАВРОПОЛЬСКИЙ, УЛ 981-Й КИЛОМЕТР (ТРАССА М5 МОСКВА-ЧЕЛЯБИНСК ТЕР.), ЗД. 5, ОФИС Б/Н</t>
  </si>
  <si>
    <t>ИП ЧЕБОТАРЬ НИКОЛАЙ НИКОЛАЕВИЧ</t>
  </si>
  <si>
    <t>ООО ВИП АВТО САМАРА</t>
  </si>
  <si>
    <t>443031, САМАРСКАЯ ОБЛАСТЬ, Г.О. САМАРА, Г САМАРА, ВН.Р-Н КИРОВСКИЙ, УЛ ДЕМОКРАТИЧЕСКАЯ, ВЛД. 55, ОФИС 2</t>
  </si>
  <si>
    <t>443106, САМАРСКАЯ ОБЛАСТЬ, Г.О. САМАРА, Г САМАРА, ВН.Р-Н КИРОВСКИЙ, УЛ СТАРА ЗАГОРА, Д. 293, КВ. 166</t>
  </si>
  <si>
    <t>ООО ТЕХОЙЛЛОГИСТИКА</t>
  </si>
  <si>
    <t>443044, РОССИЯ, САМАРСКАЯ ОБЛАСТЬ, Г.О. САМАРА, П ЗУБЧАНИНОВКА, ВН.Р-Н КИРОВСКИЙ, УЛ ТОВАРНАЯ, ЗД. 70, К. 5, СКЛ. 1</t>
  </si>
  <si>
    <t>ИП ФИДЛЕР ИРИНА ИГОРЕВНА</t>
  </si>
  <si>
    <t>ИП ЯГИН ВЯЧЕСЛАВ НИКОЛАЕВИЧ</t>
  </si>
  <si>
    <t>ИП ГОРБУНОВ ВАСИЛИЙ СЕРГЕЕВИЧ</t>
  </si>
  <si>
    <t>ИП Нагорнов Олег Анатольевич</t>
  </si>
  <si>
    <t>ИП БУЛАТОВА ЕЛЕНА НИКОЛАЕВНА</t>
  </si>
  <si>
    <t>ООО МАН ЦЕНТР САМАРА</t>
  </si>
  <si>
    <t>443901, САМАРСКАЯ ОБЛАСТЬ, Г.О. САМАРА, П БЕРЕЗА, ВН.Р-Н КРАСНОГЛИНСКИЙ, КВ-Л 4-Й, ЗД. 16, СТР. 4</t>
  </si>
  <si>
    <t>ООО САМАРА-ТРАК-СЕРВИС</t>
  </si>
  <si>
    <t>443901, САМАРСКАЯ ОБЛАСТЬ, Г.О. САМАРА, П БЕРЕЗА, ВН.Р-Н КРАСНОГЛИНСКИЙ, КВ-Л 4-Й, ЗД. 16, СТР. 4, ОФИС 1</t>
  </si>
  <si>
    <t>ООО ПРЕМИУМ АВТО</t>
  </si>
  <si>
    <t>443076, САМАРСКАЯ ОБЛАСТЬ, Г САМАРА, УЛ АВРОРЫ, Д. 63, ПОМЕЩ. 205</t>
  </si>
  <si>
    <t>443109, САМАРСКАЯ ОБЛАСТЬ, Г САМАРА, П ЗУБЧАНИНОВКА, УЛ ЛИТВИНОВА, ВЛД 302А, КОМ. 2</t>
  </si>
  <si>
    <t>ООО ГОРОД ВКУСОВ</t>
  </si>
  <si>
    <t>443902, РОССИЯ, САМАРСКАЯ ОБЛАСТЬ, Г.О. САМАРА, С ЗАДЕЛЬНОЕ, ВН.Р-Н КРАСНОГЛИНСКИЙ, УЛ ШКОЛЬНАЯ, Д. 21А</t>
  </si>
  <si>
    <t>ОООПРАКТИКА ПОВОЛЖЬЕ</t>
  </si>
  <si>
    <t>443101, САМАРСКАЯ ОБЛАСТЬ, Г САМАРА, УЛ УТЕВСКАЯ, Д.30 А</t>
  </si>
  <si>
    <t>ООО АВТОСПЕЦВОЛГА</t>
  </si>
  <si>
    <t>443004, САМАРСКАЯ ОБЛАСТЬ, Г САМАРА, УЛ ГРОЗНЕНСКАЯ, Д.63</t>
  </si>
  <si>
    <t>ООО САМАРА ЮГ АВТО</t>
  </si>
  <si>
    <t>443125, РОССИЯ, САМАРСКАЯ ОБЛАСТЬ, Г.О. САМАРА, Г САМАРА, ВН.Р-Н ПРОМЫШЛЕННЫЙ, Ш МОСКОВСКОЕ, Д. 264А</t>
  </si>
  <si>
    <t>ИП ДУБРОВКО АНДРЕЙ СЕРГЕЕВИЧ</t>
  </si>
  <si>
    <t>ООО САМАРСКИЕ ЗАПЧАСТИ</t>
  </si>
  <si>
    <t>443042, САМАРСКАЯ ОБЛАСТЬ, Г.О. САМАРА, Г САМАРА, ВН.Р-Н КУЙБЫШЕВСКИЙ, УЛ БЕЛОРУССКАЯ, Д. 115, КВ. 100</t>
  </si>
  <si>
    <t>ИП ЕРАСТОВ ВЯЧЕСЛАВ ГЕННАДЬЕВИЧ</t>
  </si>
  <si>
    <t>ИП МАМЧЕНКО ИНЕССА ВЛАДИМИРОВНА</t>
  </si>
  <si>
    <t>ИП ЧЕРНОЗУБЦЕВ НИКИТА ОЛЕГОВИЧ</t>
  </si>
  <si>
    <t>ООО АВТОДОР</t>
  </si>
  <si>
    <t>443068, САМАРСКАЯ ОБЛАСТЬ, Г САМАРА, УЛ ЛЕЙТЕНАНТА ШМИДТА, Д.19, СТРОЕНИЕ 1</t>
  </si>
  <si>
    <t>ООО ТВ</t>
  </si>
  <si>
    <t>446208, САМАРСКАЯ ОБЛАСТЬ, Г НОВОКУЙБЫШЕВСК, УЛ КИРОВА, Д.11, ЭТАЖ 1</t>
  </si>
  <si>
    <t>ООО ТОП СЕРВИС САМАРА</t>
  </si>
  <si>
    <t>446379, САМАРСКАЯ ОБЛАСТЬ, Р-Н КРАСНОЯРСКИЙ, ПГТ НОВОСЕМЕЙКИНО, УЛ ПРОМЫШЛЕННОЕ ШОССЕ, Д. 8, ОФИС 63</t>
  </si>
  <si>
    <t>443069, САМАРСКАЯ ОБЛАСТЬ, Г САМАРА, УЛ ВОЛГИНА, Д. 127А, К. 5, ОФИС 1</t>
  </si>
  <si>
    <t>ООО МАРКЕТ АВТО</t>
  </si>
  <si>
    <t>443080, САМАРСКАЯ ОБЛАСТЬ, Г.О. САМАРА, Г САМАРА, ВН.Р-Н ОКТЯБРЬСКИЙ, Ш МОСКОВСКОЕ, Д. 55, ОФИС 14-38</t>
  </si>
  <si>
    <t>ИП ИВАНОВ МАКСИМ ДМИТРИЕВИЧ</t>
  </si>
  <si>
    <t>ООО ВЛАДА ОЙЛ</t>
  </si>
  <si>
    <t>443023, САМАРСКАЯ ОБЛАСТЬ, Г.О. САМАРА, Г САМАРА, ВН.Р-Н СОВЕТСКИЙ, УЛ ПРОМЫШЛЕННОСТИ, Д. 296, КОМ. 4-2</t>
  </si>
  <si>
    <t>ИП ГОЛОВАНОВ ЕВГЕНИЙ ВЛАДИМИРОВИЧ</t>
  </si>
  <si>
    <t>ООО СИРИУС-ПРОФИ</t>
  </si>
  <si>
    <t>443086, САМАРСКАЯ ОБЛАСТЬ, Г.О. САМАРА, Г САМАРА, ВН.Р-Н ОКТЯБРЬСКИЙ, УЛ ВРУБЕЛЯ, Д. 17, КВ. 298</t>
  </si>
  <si>
    <t>443004, САМАРСКАЯ ОБЛАСТЬ, Г САМАРА, Ш СТРОМИЛОВСКОЕ, Д. 5, ЛИТЕРА А, ОФИС 127</t>
  </si>
  <si>
    <t>ООО ПЕТРО-СМ</t>
  </si>
  <si>
    <t>443001, САМАРСКАЯ ОБЛАСТЬ, Г.О. САМАРА, Г САМАРА, ВН.Р-Н ЛЕНИНСКИЙ, УЛ ПУШКИНА, Д. 268, КОМ. 6, РАБ.М. 2</t>
  </si>
  <si>
    <t>ООО МСТ</t>
  </si>
  <si>
    <t>443047, САМАРСКАЯ ОБЛАСТЬ, Г.О. САМАРА, Г САМАРА, ВН.Р-Н КУЙБЫШЕВСКИЙ, УЛ СЕРПУХОВСКАЯ, Д. 19</t>
  </si>
  <si>
    <t>ООО ТЕБА</t>
  </si>
  <si>
    <t>ООО ЛЕДА</t>
  </si>
  <si>
    <t>ООО УЛЬТРА-С</t>
  </si>
  <si>
    <t>443030, САМАРСКАЯ ОБЛАСТЬ, Г.О. САМАРА, Г САМАРА, ВН.Р-Н ЛЕНИНСКИЙ, УЛ ЧЕРНОРЕЧЕНСКАЯ, Д. 6, ЛИТЕРА АА9, ОФИС 110</t>
  </si>
  <si>
    <t>ООО ССС</t>
  </si>
  <si>
    <t>443011, САМАРСКАЯ ОБЛАСТЬ, Г.О. САМАРА, Г САМАРА, ВН.Р-Н ПРОМЫШЛЕННЫЙ, УЛ 22 ПАРТСЪЕЗДА, Д. 207, ОФИС 38</t>
  </si>
  <si>
    <t>ООО ГАЛАТЕЯ</t>
  </si>
  <si>
    <t>443066, САМАРСКАЯ ОБЛАСТЬ, Г.О. САМАРА, Г САМАРА, ВН.Р-Н СОВЕТСКИЙ, ПЕР ВТОРОЙ БЕЗЫМЯННЫЙ, Д. 1, ОФИС 314</t>
  </si>
  <si>
    <t>ООО ТИТАНИЯ</t>
  </si>
  <si>
    <t>ООО РОСТЛАЙН ПОВОЛЖЬЕ</t>
  </si>
  <si>
    <t>443022, САМАРСКАЯ ОБЛАСТЬ, Г.О. САМАРА, Г САМАРА, ВН.Р-Н СОВЕТСКИЙ, Ш ЗАВОДСКОЕ, Д. 13Д, ОФИС 308</t>
  </si>
  <si>
    <t>443022, САМАРСКАЯ ОБЛАСТЬ, Г.О. САМАРА, Г САМАРА, ВН.Р-Н СОВЕТСКИЙ, ПРОЕЗД МАЛЬЦЕВА, Д. 7, ОФИС 211</t>
  </si>
  <si>
    <t>ООО АВГУСТ 21</t>
  </si>
  <si>
    <t>443066, САМАРСКАЯ ОБЛАСТЬ, Г.О. САМАРА, Г САМАРА, ВН.Р-Н СОВЕТСКИЙ, ПЕР ВТОРОЙ БЕЗЫМЯННЫЙ, Д. 1, ОФИС 303</t>
  </si>
  <si>
    <t>ООО  СЕРВИС ТЕЛЕКОМ</t>
  </si>
  <si>
    <t>443076, САМАРСКАЯ ОБЛАСТЬ, Г САМАРА, ПЕР БЕЛЬСКИЙ, Д. 7</t>
  </si>
  <si>
    <t>ИП ДОРОЖКИН ЕВГЕНИЙ ВАДИМОВИЧ</t>
  </si>
  <si>
    <t>ИП ГУРОВ ИГОРЬ ВЛАДИМИРОВИЧ</t>
  </si>
  <si>
    <t>ИП КУЗНЕЦОВ ЕВГЕНИЙ АНАТОЛЬЕВИЧ</t>
  </si>
  <si>
    <t>ООО ЭНТУЗИАСТ-С</t>
  </si>
  <si>
    <t>443022, РОССИЯ, САМАРСКАЯ ОБЛАСТЬ, Г.О. САМАРА, Г САМАРА, ВН.Р-Н СОВЕТСКИЙ, Ш ЗАВОДСКОЕ, Д. 14, К. 3, ОФИС 201</t>
  </si>
  <si>
    <t>ИП ТЮКИЛИН ЕВГЕНИЙ СЕРГЕЕВИЧ</t>
  </si>
  <si>
    <t>ИП КАЛМЫКОВ ПАВЕЛ АЛЕКСАНДРОВИЧ</t>
  </si>
  <si>
    <t>ИП ПОСТНОВ СЕРГЕЙ АЛЕКСАНДРОВИЧ</t>
  </si>
  <si>
    <t>ООО ЦЕНТР НА МОСКОВСКОМ</t>
  </si>
  <si>
    <t>443125, САМАРСКАЯ ОБЛАСТЬ, Г САМАРА, Ш МОСКОВСКОЕ, Д. 262, КОРПУС А,КАБИНЕТ 3</t>
  </si>
  <si>
    <t>ООО ПАРТНЕРСНАБ</t>
  </si>
  <si>
    <t>443016, САМАРСКАЯ ОБЛАСТЬ, Г.О. САМАРА, Г САМАРА, ВН.Р-Н ПРОМЫШЛЕННЫЙ, УЛ ПРОЛЕТНАЯ, Д. 14, ОФИС 7</t>
  </si>
  <si>
    <t>ООО ТД ЛЕТО</t>
  </si>
  <si>
    <t>443125, САМАРСКАЯ ОБЛАСТЬ, Г САМАРА, ПР-КТ КИРОВА, Д. 328, КВ. 9</t>
  </si>
  <si>
    <t>ООО ТД АШК</t>
  </si>
  <si>
    <t>443022, САМАРСКАЯ ОБЛАСТЬ, Г.О. САМАРА, Г САМАРА, ВН.Р-Н СОВЕТСКИЙ, ПРОЕЗД МАЛЬЦЕВА, Д. 4, ОФИС 2</t>
  </si>
  <si>
    <t>ИП ДАНИЛОВА ИРИНА СЕРГЕЕВНА</t>
  </si>
  <si>
    <t>ИП КНЯЗЬКИНА ИРИНА ЮРЬЕВНА</t>
  </si>
  <si>
    <t>443052, САМАРСКАЯ ОБЛАСТЬ, Г САМАРА, ПР-КТ КИРОВА, Д.24, К.1, ОФИС 1</t>
  </si>
  <si>
    <t>ООО ФЕРРУМ АВТО</t>
  </si>
  <si>
    <t>443052, САМАРСКАЯ ОБЛАСТЬ, Г САМАРА, УЛ ЗЕМЕЦА, Д. 43</t>
  </si>
  <si>
    <t>ГБУЗ СО ТСП № 1</t>
  </si>
  <si>
    <t>445042, САМАРСКАЯ ОБЛАСТЬ, Г ТОЛЬЯТТИ, УЛ СВЕРДЛОВА, Д.9</t>
  </si>
  <si>
    <t>443028, САМАРСКАЯ ОБЛАСТЬ, Г.О. САМАРА, П МЕХЗАВОД, ВН.Р-Н КРАСНОГЛИНСКИЙ, КВ-Л 1-Й, Д. 38, КВ. 84</t>
  </si>
  <si>
    <t>ООО СЕТЬ АЗС УРАЛНЕФТЕПРОДУКТ</t>
  </si>
  <si>
    <t>445026, РОССИЯ, САМАРСКАЯ ОБЛАСТЬ, Г.О. ТОЛЬЯТТИ, Г ТОЛЬЯТТИ, УЛ СВЕРДЛОВА, Д. 41, ПОМЕЩ. 1019</t>
  </si>
  <si>
    <t>ООО НЕОТРЕЙД</t>
  </si>
  <si>
    <t>445045, САМАРСКАЯ ОБЛАСТЬ, Г ТОЛЬЯТТИ, УЛ ГРОМОВОЙ, Д. 56, КОМ. 3</t>
  </si>
  <si>
    <t>АО ЛАДА-ИМИДЖ</t>
  </si>
  <si>
    <t>445043, САМАРСКАЯ ОБЛАСТЬ, Г ТОЛЬЯТТИ, УЛ СЕВЕРНАЯ, ВЛД. 81</t>
  </si>
  <si>
    <t>ООО ПРЕМЬЕР-СПОРТ</t>
  </si>
  <si>
    <t>445057, САМАРСКАЯ ОБЛАСТЬ, Г ТОЛЬЯТТИ, УЛ СПОРТИВНАЯ, Д.22</t>
  </si>
  <si>
    <t>ООО ДИЗЕЛЬ-Т</t>
  </si>
  <si>
    <t>445030, САМАРСКАЯ ОБЛАСТЬ, Г ТОЛЬЯТТИ, УЛ 40 ЛЕТ ПОБЕДЫ, Д.61В, 265</t>
  </si>
  <si>
    <t>ООО АМТ</t>
  </si>
  <si>
    <t>445009, САМАРСКАЯ ОБЛАСТЬ, Г.О. ТОЛЬЯТТИ, Г ТОЛЬЯТТИ, УЛ РАДИЩЕВА, Д. 10, СТР. 1, КАБИНЕТ 204</t>
  </si>
  <si>
    <t>ИП КАЩЕЕВА ЮЛИЯ СЕРГЕЕВНА</t>
  </si>
  <si>
    <t>АО АГРОЛАДАСЕРВИС</t>
  </si>
  <si>
    <t>445036, САМАРСКАЯ ОБЛАСТЬ, Г ТОЛЬЯТТИ, УЛ БОТАНИЧЕСКАЯ, Д.6, К.1</t>
  </si>
  <si>
    <t>ООО ЛАДА СПЕЦОБОРУДОВАНИЕ</t>
  </si>
  <si>
    <t>445043, САМАРСКАЯ ОБЛАСТЬ, Г ТОЛЬЯТТИ, УЛ КОММУНАЛЬНАЯ, ВЛД. 12</t>
  </si>
  <si>
    <t>ООО ТОРГОВЫЙ ДОМ ПОВОЛЖЬЕ-СМ</t>
  </si>
  <si>
    <t>445043, РОССИЯ, САМАРСКАЯ ОБЛАСТЬ, Г.О. ТОЛЬЯТТИ, Г ТОЛЬЯТТИ, УЛ СЕВЕРНАЯ, Д. 20В, ЭТАЖ 2, ПОМЕЩ. 1</t>
  </si>
  <si>
    <t>ООО ВОЛГА-СМ</t>
  </si>
  <si>
    <t>445043, РОССИЯ, САМАРСКАЯ ОБЛАСТЬ, Г.О. ТОЛЬЯТТИ, Г ТОЛЬЯТТИ, УЛ ВОКЗАЛЬНАЯ, ВЛД. 44, ОФИС 301</t>
  </si>
  <si>
    <t>ООО ТК ВИОЙЛ</t>
  </si>
  <si>
    <t>445056, САМАРСКАЯ ОБЛАСТЬ, Г ТОЛЬЯТТИ, УЛ 40 ЛЕТ ПОБЕДЫ, Д. 61, КВ. 206</t>
  </si>
  <si>
    <t>ООО СПС</t>
  </si>
  <si>
    <t>445043, САМАРСКАЯ ОБЛАСТЬ, Г ТОЛЬЯТТИ, УЛ СЕВЕРНАЯ, Д. 65А, ОФИС 1</t>
  </si>
  <si>
    <t>445036, САМАРСКАЯ ОБЛАСТЬ, Г ТОЛЬЯТТИ, УЛ БОРКОВСКАЯ, СООР. 91А</t>
  </si>
  <si>
    <t>ООО АВТОКОМПАС</t>
  </si>
  <si>
    <t>445044, САМАРСКАЯ ОБЛАСТЬ, Г.О. ТОЛЬЯТТИ, Г ТОЛЬЯТТИ, УЛ ОФИЦЕРСКАЯ, Д. 14, ЭТАЖ/КОМ. 1/94А, 97А</t>
  </si>
  <si>
    <t>ООО ПКФ ПРОКАМ</t>
  </si>
  <si>
    <t>445039, САМАРСКАЯ ОБЛАСТЬ, Г.О. ТОЛЬЯТТИ, Г ТОЛЬЯТТИ, Б-Р ГАЯ, ВЛД. 19, ОФИС 38</t>
  </si>
  <si>
    <t>ООО МАКСОЙЛ</t>
  </si>
  <si>
    <t>445043, РОССИЯ, САМАРСКАЯ ОБЛАСТЬ, Г.О. ТОЛЬЯТТИ, Г ТОЛЬЯТТИ, УЛ КОММУНАЛЬНАЯ, Д. 16, КОМ. 410-2</t>
  </si>
  <si>
    <t>ООО ТАБАЧНЫЙ МИР</t>
  </si>
  <si>
    <t>445043, РОССИЯ, САМАРСКАЯ ОБЛАСТЬ, Г.О. ТОЛЬЯТТИ, Г ТОЛЬЯТТИ, УЛ ТРАНСПОРТНАЯ, ВЛД. 7, СТР. 9, КОМ. 82</t>
  </si>
  <si>
    <t>ИП БУРДЕНЮК ОЛЕСЯ ЮРЬЕВНА</t>
  </si>
  <si>
    <t>ИП ГОЛОЗУБОВ ВАСИЛИЙ ВИКТОРОВИЧ</t>
  </si>
  <si>
    <t>ООО ФОРА-ИНВЕСТ</t>
  </si>
  <si>
    <t>445015, САМАРСКАЯ ОБЛАСТЬ, Г ТОЛЬЯТТИ, УЛ ЖЕЛЕЗНОДОРОЖНАЯ, Д.50</t>
  </si>
  <si>
    <t>ООО ВИКИНГИ</t>
  </si>
  <si>
    <t>445032, САМАРСКАЯ ОБЛАСТЬ, Г ТОЛЬЯТТИ, УЛ ЗАСТАВНАЯ, ВЛД. 3</t>
  </si>
  <si>
    <t>ООО КОМПАНИЯ БАЛКАН</t>
  </si>
  <si>
    <t>445043, РОССИЯ, САМАРСКАЯ ОБЛАСТЬ, Г.О. ТОЛЬЯТТИ, Г ТОЛЬЯТТИ, УЛ КОММУНАЛЬНАЯ, ВЛД. 31Б</t>
  </si>
  <si>
    <t>ИП ТРАТАЕВСКИЙ ДМИТРИЙ АЛЕКСЕЕВИЧ</t>
  </si>
  <si>
    <t>ООО ДВК</t>
  </si>
  <si>
    <t>445000, САМАРСКАЯ ОБЛАСТЬ, Г ТОЛЬЯТТИ, Ш ОБВОДНОЕ, Д.32, 1</t>
  </si>
  <si>
    <t>ООО СФЕРА-ОЙЛ</t>
  </si>
  <si>
    <t>445012, САМАРСКАЯ ОБЛАСТЬ, Г ТОЛЬЯТТИ, УЛ КОММУНИСТИЧЕСКАЯ, Д. 99, КВ. 9</t>
  </si>
  <si>
    <t>ООО АЙПАРТС</t>
  </si>
  <si>
    <t>445007, САМАРСКАЯ ОБЛАСТЬ, Г.О. ТОЛЬЯТТИ, Г ТОЛЬЯТТИ, УЛ НОВОЗАВОДСКАЯ, ВЛД. 2, КОМ. 312</t>
  </si>
  <si>
    <t>ИП МИРОШНИЧЕНКО АНДРЕЙ ВИКТОРОВИЧ</t>
  </si>
  <si>
    <t>ООО СНП-АВТО</t>
  </si>
  <si>
    <t>446001, САМАРСКАЯ ОБЛАСТЬ, Г СЫЗРАНЬ, ПЕР ПРОЛЕТАРСКИЙ, Д. 22, ОФИС 7</t>
  </si>
  <si>
    <t>ООО РАДУГА - СЕРВИС</t>
  </si>
  <si>
    <t>446001, САМАРСКАЯ ОБЛАСТЬ, Г СЫЗРАНЬ, УЛ СТЕПАНА РАЗИНА, Д.28</t>
  </si>
  <si>
    <t>ООО ТД АЛТЫН</t>
  </si>
  <si>
    <t>446013, САМАРСКАЯ ОБЛАСТЬ, Г СЫЗРАНЬ, УЛ УРИЦКОГО, ЗД. 2, 1</t>
  </si>
  <si>
    <t>ООО ТД ЭСКАДО</t>
  </si>
  <si>
    <t>446026, САМАРСКАЯ ОБЛАСТЬ, Г СЫЗРАНЬ, УЛ КИРОВА, Д.75</t>
  </si>
  <si>
    <t>ИП КУДЯЕВ СЕРГЕЙ ШАФКАТЬЕВИЧ</t>
  </si>
  <si>
    <t>ООО ИРБИС РЕГИОН ПОВОЛЖЬЕ</t>
  </si>
  <si>
    <t>445246, САМАРСКАЯ ОБЛАСТЬ, Г ОКТЯБРЬСК, УЛ ПЛОДОВАЯ, Д. 6, КОР 2, КАБ 3В</t>
  </si>
  <si>
    <t>ИП АЛЯЕВ АЛЕКСЕЙ ВАЛЕРИЕВИЧ</t>
  </si>
  <si>
    <t>ИП ЕГОЛЬНИКОВА ОЛЬГА ВЛАДИМИРОВНА</t>
  </si>
  <si>
    <t>ИП ВАСИЛЬЕВ ДМИТРИЙ ОЛЕГОВИЧ</t>
  </si>
  <si>
    <t>ИП ШАЛАГИН СЕРГЕЙ АЛЕКСАНДРОВИЧ</t>
  </si>
  <si>
    <t>ООО ПАН-АВТО</t>
  </si>
  <si>
    <t>446253, САМАРСКАЯ ОБЛАСТЬ, Р-Н БЕЗЕНЧУКСКИЙ, ПГТ БЕЗЕНЧУК, УЛ ЧАПАЕВА, Д. 27, КВ. 8</t>
  </si>
  <si>
    <t>ООО ФРЦ ЯМЗ 63</t>
  </si>
  <si>
    <t>443047, САМАРСКАЯ ОБЛАСТЬ, М.Р-Н ВОЛЖСКИЙ, С ЛОПАТИНО, С.П. ЛОПАТИНО, МКР. ЮЖНЫЙ ГОРОД, УЛ ЗАВОДСКАЯ, ЗД. 1, Г-Ж 1</t>
  </si>
  <si>
    <t>ИП ЧЕРНЕЙКИНА СВЕТЛАНА ОЛЕГОВНА</t>
  </si>
  <si>
    <t>ИП БЕЖКИН МАКСИМ АЛЕКСЕЕВИЧ</t>
  </si>
  <si>
    <t>ИП Баранов Владимир Иванович</t>
  </si>
  <si>
    <t>ИП Лунев Сергей Геннадьевич</t>
  </si>
  <si>
    <t>ИП ГЛАДКИХ СВЕТЛАНА ЯКОВЛЕВНА</t>
  </si>
  <si>
    <t>ИП ТУКМАЧЕВ АНАТОЛИЙ ГЕННАДЬЕВИЧ</t>
  </si>
  <si>
    <t>ООО САМТРАК</t>
  </si>
  <si>
    <t>446436, РОССИЯ, САМАРСКАЯ ОБЛАСТЬ, Г.О. КИНЕЛЬ, Г КИНЕЛЬ, ПЕР КОЛХОЗНЫЙ, ДВЛД. 15, ОФИС 5</t>
  </si>
  <si>
    <t>ИП ШЛЯПИН СЕРГЕЙ СЕРГЕЕВИЧ</t>
  </si>
  <si>
    <t>ИП ГОВДА ВЛАДИМИР ВЛАДИМИРОВИЧ</t>
  </si>
  <si>
    <t>ООО САМАРА ЮГ</t>
  </si>
  <si>
    <t>443085, САМАРСКАЯ ОБЛАСТЬ, Г.О. САМАРА, Г САМАРА, ВН.Р-Н КУЙБЫШЕВСКИЙ, Ш ЮЖНОЕ, Д. 12А, СТР. 4, ОФИС 1</t>
  </si>
  <si>
    <t>ООО АВТООНЛАЙН</t>
  </si>
  <si>
    <t>443528, РОССИЯ, САМАРСКАЯ ОБЛАСТЬ, М.Р-Н ВОЛЖСКИЙ, ПГТ СТРОЙКЕРАМИКА, Г.П. СМЫШЛЯЕВКА, ПРОЕЗД ПОЖАРНЫЙ, ЗД. 4, СТР. 1, ОФИС 1</t>
  </si>
  <si>
    <t>ООО ТЕХАВТО</t>
  </si>
  <si>
    <t>443023, САМАРСКАЯ ОБЛАСТЬ, Г САМАРА, УЛ ПРОМЫШЛЕННОСТИ, Д. 291, КОМ. 42</t>
  </si>
  <si>
    <t>ИП Антонов Олег Владимирович</t>
  </si>
  <si>
    <t>ООО КЛУБ МАСЛО</t>
  </si>
  <si>
    <t>443017, САМАРСКАЯ ОБЛАСТЬ, Г САМАРА, Ш ЗАВОДСКОЕ, Д. 2, СТР. 2, ОФИС 15</t>
  </si>
  <si>
    <t>ООО КОРДЕЛИЯ</t>
  </si>
  <si>
    <t>ООО ЛАДЬЯ</t>
  </si>
  <si>
    <t>443022, САМАРСКАЯ ОБЛАСТЬ, Г.О. САМАРА, Г САМАРА, ВН.Р-Н СОВЕТСКИЙ, ПРОЕЗД МАЛЬЦЕВА, Д. 4, ОФИС 5</t>
  </si>
  <si>
    <t>ИП КОВАЛЬСКАЯ ЕЛЕНА БОРИСОВНА</t>
  </si>
  <si>
    <t>ООО  ТФ ОПТИМА - ВОЛГА</t>
  </si>
  <si>
    <t>446208, САМАРСКАЯ ОБЛАСТЬ, Г НОВОКУЙБЫШЕВСК, УЛ МИРОНОВА, Д. 19, ЭТАЖ 1, КОМ. 91</t>
  </si>
  <si>
    <t>ООО ПИЛИГРИМ</t>
  </si>
  <si>
    <t>443070, САМАРСКАЯ ОБЛАСТЬ, Г САМАРА, УЛ ЗАГОРОДНАЯ, Д. 1, ЭТАЖ 2, ОФИС 21</t>
  </si>
  <si>
    <t>ООО АВТОЦЕНТР НА ЗАВОДСКОМ</t>
  </si>
  <si>
    <t>443022, САМАРСКАЯ ОБЛАСТЬ, Г.О. САМАРА, Г САМАРА, ВН.Р-Н СОВЕТСКИЙ, Ш ЗАВОДСКОЕ, Д. 14Н, ОФИС 105</t>
  </si>
  <si>
    <t>ООО САМУР</t>
  </si>
  <si>
    <t>446205, РОССИЯ, САМАРСКАЯ ОБЛАСТЬ, Г.О. НОВОКУЙБЫШЕВСК, Г НОВОКУЙБЫШЕВСК, УЛ СУВОРОВА, ЗД. 10, СТР. 1</t>
  </si>
  <si>
    <t>ООО ТАБАКЕРКА</t>
  </si>
  <si>
    <t>443074, САМАРСКАЯ ОБЛАСТЬ, Г САМАРА, УЛ МОРИСА ТОРЕЗА, Д. 119, ЭТАЖ 1, КОМНАТА 49</t>
  </si>
  <si>
    <t>ООО ТЕХНО ЛИДЕР</t>
  </si>
  <si>
    <t>443080, САМАРСКАЯ ОБЛАСТЬ, Г САМАРА, Ш МОСКОВСКОЕ, Д. 55, ЭТАЖ 10, КОМНАТА 1018</t>
  </si>
  <si>
    <t>443080, САМАРСКАЯ ОБЛАСТЬ, Г САМАРА, УЛ АНТОНОВА-ОВСЕЕНКО, Д.16, ОФИС 3</t>
  </si>
  <si>
    <t>ИП ЛУЗИН ИГОРЬ ЮРЬЕВИЧ</t>
  </si>
  <si>
    <t>ИП МИЗУРОВ ДЕНИС ЕВГЕНЬЕВИЧ</t>
  </si>
  <si>
    <t>ООО ВАЛЕНТАЙН-2002</t>
  </si>
  <si>
    <t>ООО ТОП ПАРТС САМАРА</t>
  </si>
  <si>
    <t>443063, САМАРСКАЯ ОБЛАСТЬ, Г САМАРА, УЛ СЕРДОБСКАЯ, Д.37, 7</t>
  </si>
  <si>
    <t>ООО ТРОН</t>
  </si>
  <si>
    <t>443031, САМАРСКАЯ ОБЛАСТЬ, Г САМАРА, УЛ СОЛНЕЧНАЯ, Д. 67/135А, КВ. 33</t>
  </si>
  <si>
    <t>ООО МАХОВИК63</t>
  </si>
  <si>
    <t>443090, САМАРСКАЯ ОБЛАСТЬ, Г.О. САМАРА, Г САМАРА, ВН.Р-Н СОВЕТСКИЙ, УЛ АНТОНОВА-ОВСЕЕНКО, Д. 44А, ОФИС 207</t>
  </si>
  <si>
    <t>ООО РЕМАРК-А</t>
  </si>
  <si>
    <t>443029, САМАРСКАЯ ОБЛАСТЬ, Г.О. САМАРА, Г САМАРА, ВН.Р-Н ПРОМЫШЛЕННЫЙ, УЛ СОЛНЕЧНАЯ, Д. 40, КВ. 111</t>
  </si>
  <si>
    <t>ООО ТОРГСТРОЙ</t>
  </si>
  <si>
    <t>443124, САМАРСКАЯ ОБЛАСТЬ, Г САМАРА, УЛ НОВО-САДОВАЯ, Д. 180А, ЭТАЖ 1,ОФИС 45</t>
  </si>
  <si>
    <t>ООО САМОЦВЕТ</t>
  </si>
  <si>
    <t>443056, САМАРСКАЯ ОБЛАСТЬ, Г.О. САМАРА, Г САМАРА, ВН.Р-Н ОКТЯБРЬСКИЙ, УЛ НИКОЛАЯ ПАНОВА, Д. 44</t>
  </si>
  <si>
    <t>ИП СТРЕЛЬНИКОВ КИРИЛЛ АЛЕКСАНДРОВИЧ</t>
  </si>
  <si>
    <t>ООО  БАЗИС</t>
  </si>
  <si>
    <t>443035, САМАРСКАЯ ОБЛАСТЬ, Г САМАРА, ПР-КТ КИРОВА, ВЛД 255, КОРПУС ЛИТЕРА Я, ОФИС 410А</t>
  </si>
  <si>
    <t>ООО ТМС</t>
  </si>
  <si>
    <t>445036, САМАРСКАЯ ОБЛАСТЬ, Г ТОЛЬЯТТИ, УЛ БОТАНИЧЕСКАЯ, Д. 20, СТР. 47, ПОМЕЩ. 1</t>
  </si>
  <si>
    <t>ООО БИЗНЕС-ШИНЫ</t>
  </si>
  <si>
    <t>445047, РОССИЯ, САМАРСКАЯ ОБЛАСТЬ, Г.О. ТОЛЬЯТТИ, Г ТОЛЬЯТТИ, УЛ ТОПОЛИНАЯ, Д. 23, КВ. 47</t>
  </si>
  <si>
    <t>445028, РОССИЯ, САМАРСКАЯ ОБЛАСТЬ, Г.О. ТОЛЬЯТТИ, Г ТОЛЬЯТТИ, ПР-КТ МОСКОВСКИЙ, Д. 51, КВ. 1</t>
  </si>
  <si>
    <t>ООО ОПТТЕХМАСЛО</t>
  </si>
  <si>
    <t>445051, РОССИЯ, САМАРСКАЯ ОБЛАСТЬ, Г.О. ТОЛЬЯТТИ, Г ТОЛЬЯТТИ, УЛ ФРУНЗЕ, Д. 8, КОМ. 8-6</t>
  </si>
  <si>
    <t>ООО ЛАДА ЦИФРА</t>
  </si>
  <si>
    <t>445043, РОССИЯ, САМАРСКАЯ ОБЛАСТЬ, Г.О. ТОЛЬЯТТИ, Г ТОЛЬЯТТИ, УЛ СЕВЕРНАЯ, ВЛД. 81, ОФИС 212</t>
  </si>
  <si>
    <t>ИП КАЛМЫКОВ ЭДУАРД ВИКТОРОВИЧ</t>
  </si>
  <si>
    <t>ИП ЮНУСОВ РУСЛАН МАНСУРОВИЧ</t>
  </si>
  <si>
    <t>ООО А.ТРЕЙДИНГ</t>
  </si>
  <si>
    <t>445000, САМАРСКАЯ ОБЛАСТЬ, Г ТОЛЬЯТТИ, УЛ ТРАНСПОРТНАЯ, Д.22 А</t>
  </si>
  <si>
    <t>ИП КЛЕМЕНТЬЕВ ДМИТРИЙ ЛЕОНИДОВИЧ</t>
  </si>
  <si>
    <t>ООО ТК ВИКИНГИ</t>
  </si>
  <si>
    <t>445045, САМАРСКАЯ ОБЛАСТЬ, Г ТОЛЬЯТТИ, УЛ ГРОМОВОЙ, Д.51А</t>
  </si>
  <si>
    <t>ООО АВТО-ПЛАНЕТА</t>
  </si>
  <si>
    <t>445032, РОССИЯ, САМАРСКАЯ ОБЛАСТЬ, Г.О. ТОЛЬЯТТИ, Г ТОЛЬЯТТИ, УЛ ВОСКРЕСЕНСКАЯ, Д. 16, СТР. 4</t>
  </si>
  <si>
    <t>ИП ОСИПОВ АЛЕКСЕЙ НИКОЛАЕВИЧ</t>
  </si>
  <si>
    <t>ООО ТЕХНИЧЕСКИЙ ЦЕНТР КУРС</t>
  </si>
  <si>
    <t>445028, САМАРСКАЯ ОБЛАСТЬ, Г ТОЛЬЯТТИ, Б-Р ПРИМОРСКИЙ, ЗД. 43</t>
  </si>
  <si>
    <t>ИП ШУГАЙ ОЛЕГ ОЛЕГОВИЧ</t>
  </si>
  <si>
    <t>ИП САВИН АНДРЕЙ АНАТОЛЬЕВИЧ</t>
  </si>
  <si>
    <t>ИП ГОЛОЛОБОВ ИГОРЬ СЕРГЕЕВИЧ</t>
  </si>
  <si>
    <t>ООО УК ТОН-АВТО</t>
  </si>
  <si>
    <t>445000, САМАРСКАЯ ОБЛАСТЬ, Г ТОЛЬЯТТИ, УЛ ВОСКРЕСЕНСКАЯ, Д.16, СТРОЕНИЕ 3</t>
  </si>
  <si>
    <t>ИП ШЛЕЙПЕР ПАВЕЛ АНДРЕЕВИЧ</t>
  </si>
  <si>
    <t>ИП НЕМЦЕВ ЕВГЕНИЙ АЛЕКСАНДРОВИЧ</t>
  </si>
  <si>
    <t>445027, САМАРСКАЯ ОБЛАСТЬ, Г ТОЛЬЯТТИ, УЛ ЮБИЛЕЙНАЯ, Д. 57, КВ. 177</t>
  </si>
  <si>
    <t>ООО ОЙЛ ЭКСПРЕСС</t>
  </si>
  <si>
    <t>445030, САМАРСКАЯ ОБЛАСТЬ, Г.О. ТОЛЬЯТТИ, Г ТОЛЬЯТТИ, УЛ АВТОСТРОИТЕЛЕЙ, Д. 15, КВ. 226</t>
  </si>
  <si>
    <t>445028, САМАРСКАЯ ОБЛАСТЬ, Г.О. ТОЛЬЯТТИ, Г ТОЛЬЯТТИ, Б-Р ПРИМОРСКИЙ, Д. 55, ОФИС 214</t>
  </si>
  <si>
    <t>ООО РЕГИОН ТОРГ</t>
  </si>
  <si>
    <t>445000, САМАРСКАЯ ОБЛАСТЬ, Г ТОЛЬЯТТИ, УЛ ТРАНСПОРТНАЯ, Д. 7, СТР. 9, КОМ. 49</t>
  </si>
  <si>
    <t>ИП ВЕКШИН ДЕНИС ВЛАДИМИРОВИЧ</t>
  </si>
  <si>
    <t>ИП ТИМОФЕЕВ АЛЕКСАНДР МИХАЙЛОВИЧ</t>
  </si>
  <si>
    <t>445030, САМАРСКАЯ ОБЛАСТЬ, Г.О. ТОЛЬЯТТИ, Г ТОЛЬЯТТИ, УЛ 40 ЛЕТ ПОБЕДЫ, Д. 19Б, ПОМЕЩ. 1005</t>
  </si>
  <si>
    <t>ИП МАСЛОВА ОЛЬГА АЛЕКСАНДРОВНА</t>
  </si>
  <si>
    <t>ИП СИНЕЛЬНИКОВА ОЛЬГА АЛЕКСАНДРОВНА</t>
  </si>
  <si>
    <t>ООО ЛАНТ</t>
  </si>
  <si>
    <t>445032, САМАРСКАЯ ОБЛАСТЬ, Г ТОЛЬЯТТИ, УЛ ВОСКРЕСЕНСКАЯ, Д. 16, СТР. 4</t>
  </si>
  <si>
    <t>ИП МЯГКАЯ НАДЕЖДА ИВАНОВНА</t>
  </si>
  <si>
    <t>ИП АНДРЕЯНОВА ИРИНА ВАДИМОВНА</t>
  </si>
  <si>
    <t>ИП ШАШКИНА АЛЕКСАНДРА РИНАТОВНА</t>
  </si>
  <si>
    <t>ООО АВТОЦЕНТР АЛЬФА</t>
  </si>
  <si>
    <t>443082, САМАРСКАЯ ОБЛАСТЬ, Г САМАРА, УЛ НОВО-УРИЦКАЯ, Д. 22, КАБИНЕТ 2</t>
  </si>
  <si>
    <t>ООО ПРОМАГРО</t>
  </si>
  <si>
    <t>445035, САМАРСКАЯ ОБЛАСТЬ, Г ТОЛЬЯТТИ, УЛ ГОЛОСОВА, Д. 75, КВ. 80</t>
  </si>
  <si>
    <t>ООО РЕМСЕРВИС</t>
  </si>
  <si>
    <t>445019, САМАРСКАЯ ОБЛАСТЬ, Г ТОЛЬЯТТИ, ПР-Д 3-ИЙ ЛЕСНОЙ, Д. 18</t>
  </si>
  <si>
    <t>ООО МАГИСТРАЛЬ-АВТО</t>
  </si>
  <si>
    <t>445041, САМАРСКАЯ ОБЛАСТЬ, Г ТОЛЬЯТТИ, УЛ МАГИСТРАЛЬНАЯ, ВЛД. 9, ПОМЕЩ. 1</t>
  </si>
  <si>
    <t>ИП МИРОНОВ ДАНИИЛ ВАСИЛЬЕВИЧ</t>
  </si>
  <si>
    <t>ГБОУ СОШ ЦЕНТР ОБРАЗОВАНИЯ ПОС. ВАРЛАМОВО</t>
  </si>
  <si>
    <t>446073, САМАРСКАЯ ОБЛАСТЬ, Р-Н СЫЗРАНСКИЙ, П ВАРЛАМОВО, УЛ СОВЕТСКАЯ, Д.12</t>
  </si>
  <si>
    <t>ИП ИЛЬИНА ЛЮДМИЛА ВЛАДИМИРОВНА</t>
  </si>
  <si>
    <t>ООО СФИНКС</t>
  </si>
  <si>
    <t>ИП ГЕНБЕРГЕР МАРИЯ АНДРЕЕВНА</t>
  </si>
  <si>
    <t>ИП КАМИН ДМИТРИЙ АЛЕКСЕЕВИЧ</t>
  </si>
  <si>
    <t>ИП ОСЬКИН СЕРГЕЙ ВИТАЛИЕВИЧ</t>
  </si>
  <si>
    <t>ООО НПФ ИЗОМЕР</t>
  </si>
  <si>
    <t>446205, САМАРСКАЯ ОБЛАСТЬ, Г НОВОКУЙБЫШЕВСК, УЛ МОНТАЖНАЯ, Д.3А</t>
  </si>
  <si>
    <t>ООО ЛОТО-Н</t>
  </si>
  <si>
    <t>443070, САМАРСКАЯ ОБЛАСТЬ, Г САМАРА, УЛ ЗАГОРОДНАЯ, Д. 1, КОМ. 20</t>
  </si>
  <si>
    <t>ИП ЛАПШИН АНДРЕЙ ИВАНОВИЧ</t>
  </si>
  <si>
    <t>ООО ТК МОТОР ТРЕЙД</t>
  </si>
  <si>
    <t>443528, САМАРСКАЯ ОБЛАСТЬ, Р-Н ВОЛЖСКИЙ, ПГТ СТРОЙКЕРАМИКА, УЛ СТЕПНАЯ, ЛИТЕРА Д, КОМ. 7</t>
  </si>
  <si>
    <t>ООО  ОЗОН ПЛЮС</t>
  </si>
  <si>
    <t>446250, САМАРСКАЯ ОБЛАСТЬ, Р-Н БЕЗЕНЧУКСКИЙ, ПГТ БЕЗЕНЧУК, УЛ БЫКОВСКОГО, Д. 68</t>
  </si>
  <si>
    <t>ООО ОЛЕОНАФТ</t>
  </si>
  <si>
    <t>443047, РОССИЯ, САМАРСКАЯ ОБЛАСТЬ, М.Р-Н ВОЛЖСКИЙ, С ЛОПАТИНО, С.П. ЛОПАТИНО, МКР. ЮЖНЫЙ ГОРОД, УЛ ЗАВОДСКАЯ, ЗД. 2, СТР. 1, ОФИС 1</t>
  </si>
  <si>
    <t>446253, РОССИЯ, САМАРСКАЯ ОБЛАСТЬ, М.Р-Н БЕЗЕНЧУКСКИЙ, ПГТ БЕЗЕНЧУК, Г.П. БЕЗЕНЧУК, УЛ СОВЕТСКАЯ, ЗД. 105Г</t>
  </si>
  <si>
    <t>ИП КУДИМОВ ВАДИМ ВЯЧЕСЛАВОВИЧ</t>
  </si>
  <si>
    <t>ИП ШАРОВА ИРИНА ВЛАДИМИРОВНА</t>
  </si>
  <si>
    <t>ИП ЛОБАНЧУКОВА ТАТЬЯНА ВЛАДИМИРОВНА</t>
  </si>
  <si>
    <t>ИП ПРОНЬКИН ИВАН ВАСИЛЬЕВИЧ</t>
  </si>
  <si>
    <t>ГКУ СОСРЦН ОГОНЁК</t>
  </si>
  <si>
    <t>446302, САМАРСКАЯ ОБЛАСТЬ, Г ОТРАДНЫЙ, УЛ ГАГАРИНА, Д.59, К.А, ---</t>
  </si>
  <si>
    <t>ИП ЗАБОРОВСКИЙ ЮРИЙ МИХАЙЛОВИЧ</t>
  </si>
  <si>
    <t>ИП ФЕДОСЕЕВ ВЯЧЕСЛАВ НИКОЛАЕВИЧ</t>
  </si>
  <si>
    <t>ИП ВОЛГИНА СВЕТЛАНА ВАЛЕРЬЕВНА</t>
  </si>
  <si>
    <t>ООО ЖГК РАЙДЕРС</t>
  </si>
  <si>
    <t>445354, РОССИЯ, САМАРСКАЯ ОБЛАСТЬ, Г.О. ЖИГУЛЕВСК, Г ЖИГУЛЕВСК, УЛ РЕПИНА, Д. 17, КВ. 143</t>
  </si>
  <si>
    <t>ООО АВТО СНАБ</t>
  </si>
  <si>
    <t>443023, РОССИЯ, САМАРСКАЯ ОБЛАСТЬ, Г.О. САМАРА, Г САМАРА, ВН.Р-Н СОВЕТСКИЙ, УЛ ПРОМЫШЛЕННОСТИ, Д. 296, КОМ. 37-11</t>
  </si>
  <si>
    <t>ООО ГК ТСК</t>
  </si>
  <si>
    <t>443022, САМАРСКАЯ ОБЛАСТЬ, Г САМАРА, ПР-Д МАЛЬЦЕВА, Д. 4, ЛИТЕРА А15, А16, ОФИС 505</t>
  </si>
  <si>
    <t>ИП МАЙДАНЮК АЛЕНА АЛЕКСАНДРОВНА</t>
  </si>
  <si>
    <t>ООО СТО-763</t>
  </si>
  <si>
    <t>443022, САМАРСКАЯ ОБЛАСТЬ, Г.О. САМАРА, Г САМАРА, ВН.Р-Н ПРОМЫШЛЕННЫЙ, Ш ЗАВОДСКОЕ, Д. 27</t>
  </si>
  <si>
    <t>ООО ТАЛАССА</t>
  </si>
  <si>
    <t>ООО ССТ-ПОВОЛЖЬЕ</t>
  </si>
  <si>
    <t>443066, САМАРСКАЯ ОБЛАСТЬ, Г.О. САМАРА, Г САМАРА, ВН.Р-Н СОВЕТСКИЙ, ПЕР ВТОРОЙ БЕЗЫМЯННЫЙ, Д. 4А, КВ. 28</t>
  </si>
  <si>
    <t>ООО ВОЛГАНЕФТЕПРОДУКТ ПЛЮС</t>
  </si>
  <si>
    <t>443063, САМАРСКАЯ ОБЛАСТЬ, Г.О. САМАРА, Г САМАРА, ВН.Р-Н СОВЕТСКИЙ, ПРОЕЗД БАЛХАШСКИЙ, Д. 11, КОМ. 9</t>
  </si>
  <si>
    <t>443070, САМАРСКАЯ ОБЛАСТЬ, Г САМАРА, УЛ ЗАГОРОДНАЯ, Д. 1, ЭТАЖ 2, КОМНАТА 11</t>
  </si>
  <si>
    <t>ООО ВЕХА-МАСТЕР</t>
  </si>
  <si>
    <t>443004, РОССИЯ, САМАРСКАЯ ОБЛАСТЬ, Г.О. САМАРА, Г САМАРА, ВН.Р-Н КУЙБЫШЕВСКИЙ, УЛ ГРОЗНЕНСКАЯ, Д. 63, КОМ. 33</t>
  </si>
  <si>
    <t>ООО ТАП-ИНВЕСТ-1</t>
  </si>
  <si>
    <t>443548, САМАРСКАЯ ОБЛАСТЬ, М.Р-Н ВОЛЖСКИЙ, Г.П. СМЫШЛЯЕВКА, ТЕР. ПРОМЗОНА, УЛ МЕХАНИЗАТОРОВ, ЗД. 1, К. 1, ОФИС 20</t>
  </si>
  <si>
    <t>ООО ЛИБЕРТИ</t>
  </si>
  <si>
    <t>443117, САМАРСКАЯ ОБЛАСТЬ, Г.О. САМАРА, Г САМАРА, ВН.Р-Н СОВЕТСКИЙ, УЛ ПРОМЫШЛЕННОСТИ, Д. 205, КОМ. 1</t>
  </si>
  <si>
    <t>ООО САМАРА-АВТО-ЛЮКС</t>
  </si>
  <si>
    <t>443125, САМАРСКАЯ ОБЛАСТЬ, Г САМАРА, Ш МОСКОВСКОЕ, Д.264А</t>
  </si>
  <si>
    <t>ООО НПО ТРИАДА</t>
  </si>
  <si>
    <t>443050, САМАРСКАЯ ОБЛАСТЬ, Г САМАРА, П ЗУБЧАНИНОВКА, Ш СМЫШЛЯЕВСКОЕ, Д. 1А, ОФИС 261</t>
  </si>
  <si>
    <t>ИП КЛИМОВА АСИЯТ БАДРУДИНОВНА</t>
  </si>
  <si>
    <t>ИП ЖУЛИНА ОЛЬГА ВИКТОРОВНА</t>
  </si>
  <si>
    <t>ООО МЕТАЛЛИКДРАЙВ</t>
  </si>
  <si>
    <t>443022, САМАРСКАЯ ОБЛАСТЬ, Г.О. САМАРА, Г САМАРА, ВН.Р-Н СОВЕТСКИЙ, Ш ЗАВОДСКОЕ, Д. 31Г</t>
  </si>
  <si>
    <t>ООО ПРЕМЬЕРА-ЦЕНТР</t>
  </si>
  <si>
    <t>ООО КВАЛИТЕТ</t>
  </si>
  <si>
    <t>445051, САМАРСКАЯ ОБЛАСТЬ, Г ТОЛЬЯТТИ, УЛ МАРШАЛА ЖУКОВА, Д. 22, КВ. 229</t>
  </si>
  <si>
    <t>ООО БАШСНАБСТРОЙ</t>
  </si>
  <si>
    <t>445042, САМАРСКАЯ ОБЛАСТЬ, Г ТОЛЬЯТТИ, ПР-КТ СТЕПАНА РАЗИНА, Д. 9-А, КОМ. 81</t>
  </si>
  <si>
    <t>ООО ЛК</t>
  </si>
  <si>
    <t>445051, САМАРСКАЯ ОБЛАСТЬ, Г ТОЛЬЯТТИ, ПР-КТ СТЕПАНА РАЗИНА, Д. 55, КВ. 101</t>
  </si>
  <si>
    <t>ООО МАГНУМ-М</t>
  </si>
  <si>
    <t>445032, РОССИЯ, САМАРСКАЯ ОБЛАСТЬ, Г.О. ТОЛЬЯТТИ, Г ТОЛЬЯТТИ, УЛ ЗАСТАВНАЯ, ВЛД. 9Б</t>
  </si>
  <si>
    <t>ООО ТСК-ОЙЛ</t>
  </si>
  <si>
    <t>445043, РОССИЯ, САМАРСКАЯ ОБЛАСТЬ, Г.О. ТОЛЬЯТТИ, Г ТОЛЬЯТТИ, УЛ СЕВЕРНАЯ, ЗД. 111, ПОМЕЩ. 351-354</t>
  </si>
  <si>
    <t>ИП ТРОФИМОВ ПЕТР ПЕТРОВИЧ</t>
  </si>
  <si>
    <t>ООО ИМОЛА</t>
  </si>
  <si>
    <t>445043, САМАРСКАЯ ОБЛАСТЬ, Г ТОЛЬЯТТИ, Ш ЮЖНОЕ, Д.26А</t>
  </si>
  <si>
    <t>ООО ВЛАКО-СЕРВИС</t>
  </si>
  <si>
    <t>445004, САМАРСКАЯ ОБЛАСТЬ, Г ТОЛЬЯТТИ, Ш ХРЯЩЕВСКОЕ, Д.11</t>
  </si>
  <si>
    <t>АО ТОН-АВТО</t>
  </si>
  <si>
    <t>445032, САМАРСКАЯ ОБЛАСТЬ, Г ТОЛЬЯТТИ, УЛ ВОСКРЕСЕНСКАЯ, Д. 16</t>
  </si>
  <si>
    <t>ИП ЖИЛЯКОВА НАТАЛЬЯ АНАТОЛЬЕВНА</t>
  </si>
  <si>
    <t>ООО ЮМИКС</t>
  </si>
  <si>
    <t>445000, САМАРСКАЯ ОБЛАСТЬ, Г ТОЛЬЯТТИ, УЛ БОТАНИЧЕСКАЯ, Д.7А, ГСК 63, ПОМЕЩЕНИЕ 1008</t>
  </si>
  <si>
    <t>ИП ГРУНЕВА НАТАЛЬЯ ВЛАДИМИРОВНА</t>
  </si>
  <si>
    <t>ООО АЛЬФА-МОТОРС</t>
  </si>
  <si>
    <t>445047, САМАРСКАЯ ОБЛАСТЬ, Г ТОЛЬЯТТИ, Ш ЮЖНОЕ, Д.14</t>
  </si>
  <si>
    <t>445030, РОССИЯ, САМАРСКАЯ ОБЛАСТЬ, Г.О. ТОЛЬЯТТИ, Г ТОЛЬЯТТИ, УЛ 40 ЛЕТ ПОБЕДЫ, Д. 19Б, ОФИС 1007</t>
  </si>
  <si>
    <t>ИП КАРНАУХОВА ЕКАТЕРИНА СЕРГЕЕВНА</t>
  </si>
  <si>
    <t>ООО АРЛАН АВТО</t>
  </si>
  <si>
    <t>445044, САМАРСКАЯ ОБЛАСТЬ, Г ТОЛЬЯТТИ, Ш ЮЖНОЕ, ЗД. 73, ОФИС 1</t>
  </si>
  <si>
    <t>ИП СМИРНОВ ДМИТРИЙ АЛЕКСЕЕВИЧ</t>
  </si>
  <si>
    <t>ООО ТЕХДЕТАЛЬ</t>
  </si>
  <si>
    <t>443031, САМАРСКАЯ ОБЛАСТЬ, Г.О. САМАРА, Г САМАРА, ВН.Р-Н КИРОВСКИЙ, УЛ ДЕМОКРАТИЧЕСКАЯ, ЗД. 45А</t>
  </si>
  <si>
    <t>ООО ТЕХНО КОНСАЛТ</t>
  </si>
  <si>
    <t>445044, САМАРСКАЯ ОБЛАСТЬ, Г.О. ТОЛЬЯТТИ, Г ТОЛЬЯТТИ, Б-Р ИТАЛЬЯНСКИЙ, Д. 6, КВ. 390</t>
  </si>
  <si>
    <t>ООО ВОЛГАХИМТРАНС</t>
  </si>
  <si>
    <t>ООО  ТЭКО</t>
  </si>
  <si>
    <t>445039, САМАРСКАЯ ОБЛАСТЬ, Г ТОЛЬЯТТИ, Б-Р ГАЯ, Д. 9, КВ. 53</t>
  </si>
  <si>
    <t>ООО ПИТ-ЛЕЙН</t>
  </si>
  <si>
    <t>445042, САМАРСКАЯ ОБЛАСТЬ, Г ТОЛЬЯТТИ, УЛ ВОРОШИЛОВА, Д. 12, КВ. 195</t>
  </si>
  <si>
    <t>ООО МАН СЕРВИС</t>
  </si>
  <si>
    <t>445047, САМАРСКАЯ ОБЛАСТЬ, Г ТОЛЬЯТТИ, УЛ 40 ЛЕТ ПОБЕДЫ, Д. 2, КВ. 420</t>
  </si>
  <si>
    <t>ООО ПОВОЛЖСКАЯ ТОРГОВАЯ КОМПАНИЯ</t>
  </si>
  <si>
    <t>ООО АМ КОМПАНИ</t>
  </si>
  <si>
    <t>445022, САМАРСКАЯ ОБЛАСТЬ, Г ТОЛЬЯТТИ, УЛ ТОЛСТОГО, Д.3</t>
  </si>
  <si>
    <t>ИП ШЕВЧЕНКО ЮРИЙ ИВАНОВИЧ</t>
  </si>
  <si>
    <t>ООО ТТГ</t>
  </si>
  <si>
    <t>445046, САМАРСКАЯ ОБЛАСТЬ, Г ТОЛЬЯТТИ, УЛ КОММУНИСТИЧЕСКАЯ, Д. 13, КВ. 141</t>
  </si>
  <si>
    <t>ООО АВТОГОРИЗОНТ</t>
  </si>
  <si>
    <t>445026, САМАРСКАЯ ОБЛАСТЬ, Г.О. ТОЛЬЯТТИ, Г ТОЛЬЯТТИ, ПР-КТ МОСКОВСКИЙ, Д. 21, ПОМЕЩ. 1003, ОФИС 58/4</t>
  </si>
  <si>
    <t>ООО СОЮЗ</t>
  </si>
  <si>
    <t>445046, САМАРСКАЯ ОБЛАСТЬ, Г ТОЛЬЯТТИ, УЛ ГРОМОВОЙ, Д. 2А, ОФИС 2</t>
  </si>
  <si>
    <t>ООО ПИТ-СТОП</t>
  </si>
  <si>
    <t>446031, САМАРСКАЯ ОБЛАСТЬ, Г.О. СЫЗРАНЬ, Г СЫЗРАНЬ, УЛ ЗВЕЗДНАЯ, Д. 10, КВ. 87</t>
  </si>
  <si>
    <t>ИП ГЛУХОВ МАКСИМ ВЛАДИМИРОВИЧ</t>
  </si>
  <si>
    <t>ИП ЧЕРНАВИН ЕВГЕНИЙ СЕРГЕЕВИЧ</t>
  </si>
  <si>
    <t>ИП БАКШЕЕВ АНДРЕЙ СЕРГЕЕВИЧ</t>
  </si>
  <si>
    <t>ООО РЕГИОН ТРЕЙД</t>
  </si>
  <si>
    <t>446115, САМАРСКАЯ ОБЛАСТЬ, Г ЧАПАЕВСК, УЛ ЛЕНИНА, Д. 88, ЭТАЖ 1, ОФИС 2</t>
  </si>
  <si>
    <t>ООО ОПТИМА ТРЕЙД</t>
  </si>
  <si>
    <t>446206, САМАРСКАЯ ОБЛАСТЬ, Г НОВОКУЙБЫШЕВСК, УЛ ПИРОГОВА, Д. 10, ЭТАЖ 1, ОФИС 1Б</t>
  </si>
  <si>
    <t>446200, РОССИЯ, САМАРСКАЯ ОБЛАСТЬ, Г.О. НОВОКУЙБЫШЕВСК, Г НОВОКУЙБЫШЕВСК, ПР-КТ ПОБЕДЫ, ЗД. 1Ж</t>
  </si>
  <si>
    <t>ИП БЕЖКИН АЛЕКСЕЙ ГЕННАДЬЕВИЧ</t>
  </si>
  <si>
    <t>ИП СМОЛЯГИН ВЛАДИМИР АЛЕКСАНДРОВИЧ</t>
  </si>
  <si>
    <t>ИП АБАСОВА ЛЮДМИЛА МИХАЙЛОВНА</t>
  </si>
  <si>
    <t>ИП НИКОНЕНКО СЕРГЕЙ ИВАНОВИЧ</t>
  </si>
  <si>
    <t>ИП АРЕСТОВ ВИТАЛИЙ ВИКТОРОВИЧ</t>
  </si>
  <si>
    <t>443047, РОССИЯ, САМАРСКАЯ ОБЛАСТЬ, М.Р-Н ВОЛЖСКИЙ, С ЛОПАТИНО, С.П. ЛОПАТИНО, МКР. ЮЖНЫЙ ГОРОД, УЛ ЗАВОДСКАЯ, ЗД. 1, КОМ. 15-6</t>
  </si>
  <si>
    <t>ИП АНТОНОВА ИРИНА ВЛАДИМИРОВНА</t>
  </si>
  <si>
    <t>ООО ДЖЕНТЕР</t>
  </si>
  <si>
    <t>446304, САМАРСКАЯ ОБЛАСТЬ, Г ОТРАДНЫЙ, УЛ ЛЕНИНА, Д. 4</t>
  </si>
  <si>
    <t>ИП ХАКИМОВ РУСЛАН ХАМИТОВИЧ</t>
  </si>
  <si>
    <t>ИП ЛАТЫПОВ ИЛЬНАЗ ГУСМАНОВИЧ</t>
  </si>
  <si>
    <t>ООО СЛАДПРОМ</t>
  </si>
  <si>
    <t>446390, САМАРСКАЯ ОБЛАСТЬ, Р-Н КРАСНОЯРСКИЙ, С НОВЫЙ БУЯН, УЛ СОВХОЗНАЯ, Д. 1 Г, ОФИС 1</t>
  </si>
  <si>
    <t>АО ПОХВИСТНЕВСКАГРОПРОМСНАБ</t>
  </si>
  <si>
    <t>446453, САМАРСКАЯ ОБЛАСТЬ, Г ПОХВИСТНЕВО, УЛ ТУПИКОВАЯ, Д.1</t>
  </si>
  <si>
    <t>ИП БАКШАЕВА СВЕТЛАНА ВИКТОРОВНА</t>
  </si>
  <si>
    <t>ООО АСАВТО НА СОЛНЕЧНОЙ</t>
  </si>
  <si>
    <t>445140, САМАРСКАЯ ОБЛАСТЬ, Р-Н СТАВРОПОЛЬСКИЙ, С ТИМОФЕЕВКА, УЛ СОЛНЕЧНАЯ, Д. 1  А</t>
  </si>
  <si>
    <t>445043, САМАРСКАЯ ОБЛАСТЬ, Г ТОЛЬЯТТИ, УЛ КОММУНАЛЬНАЯ, Д. 16, ОФИС 106</t>
  </si>
  <si>
    <t>ООО ПРОКАМ ТЛТ</t>
  </si>
  <si>
    <t>445143, САМАРСКАЯ ОБЛАСТЬ, Р-Н СТАВРОПОЛЬСКИЙ, С ПОДСТЕПКИ, ТЕР КОМПЛЕКС ЛУЖКИ-1 МАССИВ ВОСТОЧНЫЙ, ЗД. 12</t>
  </si>
  <si>
    <t>ООО ЭМ ПАРТС</t>
  </si>
  <si>
    <t>445009, РОССИЯ, САМАРСКАЯ ОБЛАСТЬ, Г.О. ТОЛЬЯТТИ, Г ТОЛЬЯТТИ, УЛ ОКТЯБРЬСКАЯ, Д. 72А, ПОМЕЩ. 1002</t>
  </si>
  <si>
    <t>ООО ГК АВТОГОРИЗОНТ</t>
  </si>
  <si>
    <t>445045, РОССИЯ, САМАРСКАЯ ОБЛАСТЬ, Г.О. ТОЛЬЯТТИ, Г ТОЛЬЯТТИ, УЛ ЯРОСЛАВСКАЯ, ЗД. 12, СТР. 8</t>
  </si>
  <si>
    <t>АО ГЦЗЧХПИС</t>
  </si>
  <si>
    <t>445020, РОССИЯ, САМАРСКАЯ ОБЛАСТЬ, Г.О. ТОЛЬЯТТИ, Г ТОЛЬЯТТИ, УЛ ГИДРОСТРОЕВСКАЯ, Д. 21</t>
  </si>
  <si>
    <t>ИП МАЙОРОВА АННА АЛЕКСАНДРОВНА</t>
  </si>
  <si>
    <t>ИП СМИРНОВ СЕРГЕЙ АНАТОЛЬЕВИЧ</t>
  </si>
  <si>
    <t>ИП МЕЗЕНЦЕВ ВЛАДИМИР ГЕННАДЬЕВИЧ</t>
  </si>
  <si>
    <t>ИП ВОРОНИНА ИННА ГЕННАДЬЕВНА</t>
  </si>
  <si>
    <t>ИП ЯШИН СЕРГЕЙ НИКОЛАЕВИЧ</t>
  </si>
  <si>
    <t>ИП ШЛЯПИНА АННА СЕРГЕЕВНА</t>
  </si>
  <si>
    <t>ИП ТАИШЕВ МАРАТ ГАЛИУЛЛОВИЧ</t>
  </si>
  <si>
    <t>ИП БЛИНКОВ АЛЕКСЕЙ ГЕННАДЬЕВИЧ</t>
  </si>
  <si>
    <t>ИП ПОДТОПКИН АНДРЕЙ НИКОЛАЕВИЧ</t>
  </si>
  <si>
    <t>ИП ХОХРОВ ЕВГЕНИЙ ВАЛЕРЬЕВИЧ</t>
  </si>
  <si>
    <t>ИП КРИВОШЕЕВ АЛЕКСАНДР ДМИТРИЕВИЧ</t>
  </si>
  <si>
    <t>446800, САМАРСКАЯ ОБЛАСТЬ, Р-Н КОШКИНСКИЙ, С КОШКИ, УЛ 60 ЛЕТ ОКТЯБРЯ, Д.43 А</t>
  </si>
  <si>
    <t>ООО АВТОРИТЕТ</t>
  </si>
  <si>
    <t>443075, РОССИЯ, САМАРСКАЯ ОБЛАСТЬ, Г.О. САМАРА, Г САМАРА, ВН.Р-Н КРАСНОГЛИНСКИЙ, МКР. КРУТЫЕ КЛЮЧИ, УЛ МИРА, ЗД. 11</t>
  </si>
  <si>
    <t>ООО ДАВЫДОВ</t>
  </si>
  <si>
    <t>446378, РОССИЯ, САМАРСКАЯ ОБЛАСТЬ, М.Р-Н КРАСНОЯРСКИЙ, ПГТ НОВОСЕМЕЙКИНО, Г.П. НОВОСЕМЕЙКИНО, УЛ НОВАЯ, Д. 24, КВ. 4</t>
  </si>
  <si>
    <t>ИП КОСАЧЕВ АЛЕКСАНДР НИКОЛАЕВИЧ</t>
  </si>
  <si>
    <t>ИП КУДРЯШОВ АЛЕКСЕЙ ВИКТОРОВИЧ</t>
  </si>
  <si>
    <t>ИП ПИМЕНОВА АНАСТАСИЯ АЛЕКСАНДРОВНА</t>
  </si>
  <si>
    <t>ИП ВЛАДИМИРОВ ДМИТРИЙ ВЛАДИМИРОВИЧ</t>
  </si>
  <si>
    <t>ООО КАНЦОНА ПЛЮС</t>
  </si>
  <si>
    <t>445009, САМАРСКАЯ ОБЛАСТЬ, Г ТОЛЬЯТТИ, УЛ ШЛЮТОВА, Д.120</t>
  </si>
  <si>
    <t>ИП МУХИН АЛЕКСАНДР АЛЕКСАНДРОВИЧ</t>
  </si>
  <si>
    <t>ИП ЛАРЧЕНКО АНДРЕЙ АНАТОЛЬЕВИЧ</t>
  </si>
  <si>
    <t>ООО АВТОТЕХТОРГ</t>
  </si>
  <si>
    <t>445140, РОССИЯ, САМАРСКАЯ ОБЛАСТЬ, М.Р-Н СТАВРОПОЛЬСКИЙ, С ТИМОФЕЕВКА, С.П. ТИМОФЕЕВКА, УЛ СТРОИТЕЛЕЙ, ЗД. 91Д, ОФИС 1</t>
  </si>
  <si>
    <t>ООО ТСМ-ЛОГИСТИК</t>
  </si>
  <si>
    <t>445143, РОССИЯ, САМАРСКАЯ ОБЛАСТЬ, М.Р-Н СТАВРОПОЛЬСКИЙ, С ПОДСТЕПКИ, С.П. ПОДСТЕПКИ, УЛ ЛУГОВАЯ, Д. 131Б</t>
  </si>
  <si>
    <t>ИП ЛАРИЧКИН ДАНИИЛ КИРИЛЛОВИЧ</t>
  </si>
  <si>
    <t>ООО ЭКСПЕРТ САМАРА</t>
  </si>
  <si>
    <t>443082, САМАРСКАЯ ОБЛАСТЬ, Г САМАРА, УЛ НОВО-УРИЦКАЯ, Д. 22</t>
  </si>
  <si>
    <t>ООО СЦС АВТО</t>
  </si>
  <si>
    <t>443080, САМАРСКАЯ ОБЛАСТЬ, Г САМАРА, УЛ РЕВОЛЮЦИОННАЯ, Д.70, ЛИТЕР 38,38-1,38-2</t>
  </si>
  <si>
    <t>ООО ЦЕНТР САМАРА</t>
  </si>
  <si>
    <t>443082, САМАРСКАЯ ОБЛАСТЬ, Г САМАРА, УЛ НОВО-УРИЦКАЯ, Д. 22, ЛИТЕРА Ж, КАБИНЕТ 1</t>
  </si>
  <si>
    <t>ООО ВЕЛДИНГ ГРУПП САМАРА</t>
  </si>
  <si>
    <t>ООО ОСТАП-4</t>
  </si>
  <si>
    <t>ООО ВИНКОД</t>
  </si>
  <si>
    <t>443051, САМАРСКАЯ ОБЛАСТЬ, Г.О. САМАРА, Г САМАРА, ВН.Р-Н КИРОВСКИЙ, Ш РАКИТОВСКОЕ, ЗД. 24А, СТР. 1</t>
  </si>
  <si>
    <t>ИП КАЛМЫКОВ ВИКТОР ГРИГОРЬЕВИЧ</t>
  </si>
  <si>
    <t>ООО ЖУГУ</t>
  </si>
  <si>
    <t>443106, САМАРСКАЯ ОБЛАСТЬ, Г САМАРА, ПР-КТ КАРЛА МАРКСА, Д. 486, КВ. 6</t>
  </si>
  <si>
    <t>ИП ОПАРИНА ЛЮБОВЬ АНАТОЛЬЕВНА</t>
  </si>
  <si>
    <t>ИП ТРОПЫНИН СЕРГЕЙ ВЯЧЕСЛАВОВИЧ</t>
  </si>
  <si>
    <t>ООО ТЕХНИКА ПОВОЛЖЬЯ</t>
  </si>
  <si>
    <t>ООО ГРАД-АВТО</t>
  </si>
  <si>
    <t>443085, САМАРСКАЯ ОБЛАСТЬ, Г САМАРА, Ш ЮЖНОЕ, Д. 14</t>
  </si>
  <si>
    <t>ООО ТЕХМАРКЕТ</t>
  </si>
  <si>
    <t>445039, САМАРСКАЯ ОБЛАСТЬ, Г ТОЛЬЯТТИ, Б-Р ГАЯ, Д. 19, КОМ. 21</t>
  </si>
  <si>
    <t>ООО ТСК-ТЕХНОЛОДЖИ</t>
  </si>
  <si>
    <t>443022, САМАРСКАЯ ОБЛАСТЬ, Г САМАРА, ПР-Д МАЛЬЦЕВА, Д.4, ОФИСНЫЙ ТЕРМИНАЛ А 15, ОФИС 403</t>
  </si>
  <si>
    <t>ИП ИГНАТОВ МАКСИМ ПЕТРОВИЧ</t>
  </si>
  <si>
    <t>ООО ТД ЛУБРИТЭК</t>
  </si>
  <si>
    <t>443009, САМАРСКАЯ ОБЛАСТЬ, Г.О. САМАРА, Г САМАРА, ВН.Р-Н ПРОМЫШЛЕННЫЙ, ПЕР ЮРИЯ ПАВЛОВА, Д. 8, ОФИС 120</t>
  </si>
  <si>
    <t>ООО НПП ПРОМТЭК</t>
  </si>
  <si>
    <t>443052, САМАРСКАЯ ОБЛАСТЬ, Г САМАРА, Ш ЗАВОДСКОЕ, Д. 53А</t>
  </si>
  <si>
    <t>ЗАО ТЗА</t>
  </si>
  <si>
    <t>445003, САМАРСКАЯ ОБЛАСТЬ, Г ТОЛЬЯТТИ, Ш КОМСОМОЛЬСКОЕ, ВЛД. 39</t>
  </si>
  <si>
    <t>ОБЩЕСТВО С ОГРАНИЧЕННОЙ ОТВЕТСТВЕННОСТЬЮ РУСВОЛГА-КОММЕРЦ</t>
  </si>
  <si>
    <t>445031, РОССИЯ, САМАРСКАЯ ОБЛАСТЬ, Г.О. ТОЛЬЯТТИ, Г ТОЛЬЯТТИ, УЛ ТОПОЛИНАЯ, Д. 16, КВ. 26</t>
  </si>
  <si>
    <t>ИП ШИНДРЯЕВА ОЛЬГА ВИТАЛЬЕВНА</t>
  </si>
  <si>
    <t>ИП ПОПОВ ПАВЕЛ АЛЕКСАНДРОВИЧ</t>
  </si>
  <si>
    <t>ИП КАЗАКОВ ЮРИЙ ВАДИМОВИЧ</t>
  </si>
  <si>
    <t>ИП САФРОНОВ СЕРГЕЙ НИКОЛАЕВИЧ</t>
  </si>
  <si>
    <t>ООО ВОЛГАПРОДУКТ</t>
  </si>
  <si>
    <t>445054, САМАРСКАЯ ОБЛАСТЬ, Г ТОЛЬЯТТИ, УЛ БАНЫКИНА, Д. 50, КВ. 204</t>
  </si>
  <si>
    <t>446008, САМАРСКАЯ ОБЛАСТЬ, Г СЫЗРАНЬ, УЛ МАЯКОВСКОГО, Д. 19</t>
  </si>
  <si>
    <t>ИП КОРКИН ОЛЕГ АЛЬБЕРТОВИЧ</t>
  </si>
  <si>
    <t>ИП БУСАРОВА МАРГАРИТА СЕРГЕЕВНА</t>
  </si>
  <si>
    <t>ГКУ СО РЦДИПОВ СВЕТЛЯЧОК</t>
  </si>
  <si>
    <t>446218, САМАРСКАЯ ОБЛАСТЬ, Г НОВОКУЙБЫШЕВСК, УЛ СВЕРДЛОВА, ЗД. 5В</t>
  </si>
  <si>
    <t>446115, САМАРСКАЯ ОБЛАСТЬ, Г ЧАПАЕВСК, УЛ ЛЕНИНА, Д. 88, ЭТАЖ 1, ОФИС 1Н</t>
  </si>
  <si>
    <t>ИП КУЗИН ДМИТРИЙ АЛЕКСАНДРОВИЧ</t>
  </si>
  <si>
    <t>ИП ГУРЬЯНОВ АЛЕКСЕЙ АЛЕКСАНДРОВИЧ</t>
  </si>
  <si>
    <t>ИП КЕРЕСЕЛИДЗЕ СЕРГЕЙ ВАСИЛЬЕВИЧ</t>
  </si>
  <si>
    <t>ИП ТОРЯНИК ЛЮДМИЛА АЛЕКСАНДРОВНА</t>
  </si>
  <si>
    <t>ИП СТУПНИКОВА АНЖЕЛА НИКОЛАЕВНА</t>
  </si>
  <si>
    <t>ИП ШАРОВАТОВА ЛЮДМИЛА ВИКТОРОВНА</t>
  </si>
  <si>
    <t>ИП МОРДОВИН СЕРГЕЙ ВАЛЕРИЕВИЧ</t>
  </si>
  <si>
    <t>ООО МАСТЕРКАР</t>
  </si>
  <si>
    <t>443022, САМАРСКАЯ ОБЛАСТЬ, Г САМАРА, УЛ 22 ПАРТСЪЕЗДА, Д.7 А, 442</t>
  </si>
  <si>
    <t>ООО КУХМАСТЕР</t>
  </si>
  <si>
    <t>443528, САМАРСКАЯ ОБЛАСТЬ, Р-Н ВОЛЖСКИЙ, ПГТ СТРОЙКЕРАМИКА, К.8</t>
  </si>
  <si>
    <t>ООО ШИНТЕХТОРГ</t>
  </si>
  <si>
    <t>446351, САМАРСКАЯ ОБЛАСТЬ, Р-Н КИНЕЛЬ-ЧЕРКАССКИЙ, С КИНЕЛЬ-ЧЕРКАССЫ, УЛ КАЛИНИНА, Д.2Б</t>
  </si>
  <si>
    <t>ООО АЗСРОСБИ</t>
  </si>
  <si>
    <t>446304, САМАРСКАЯ ОБЛАСТЬ, Г ОТРАДНЫЙ, УЛ ЖЕЛЕЗНОДОРОЖНАЯ, Д. 66</t>
  </si>
  <si>
    <t>ООО ТД САМАРА-ОЙЛ</t>
  </si>
  <si>
    <t>446394, САМАРСКАЯ ОБЛАСТЬ, Р-Н КРАСНОЯРСКИЙ, ПГТ ВОЛЖСКИЙ, УЛ ЗАВОДСКАЯ, Д.1</t>
  </si>
  <si>
    <t>446370, САМАРСКАЯ ОБЛАСТЬ, Р-Н КРАСНОЯРСКИЙ, С КРАСНЫЙ ЯР, УЛ ДОРОЖНАЯ, Д. 25В, ОФИС 2</t>
  </si>
  <si>
    <t>ИП БЫЛИНИН АЛЕКСЕЙ АНАТОЛЬЕВИЧ</t>
  </si>
  <si>
    <t>ИП МАЧНЕВ АЛЕКСАНДР ПЕТРОВИЧ</t>
  </si>
  <si>
    <t>ООО АУРА</t>
  </si>
  <si>
    <t>445043, САМАРСКАЯ ОБЛАСТЬ, Г ТОЛЬЯТТИ, УЛ ТРАНСПОРТНАЯ, Д.3</t>
  </si>
  <si>
    <t>ООО БАРГУЗИН</t>
  </si>
  <si>
    <t>445007, САМАРСКАЯ ОБЛАСТЬ, Г ТОЛЬЯТТИ, УЛ ЛАРИНА, ЗД. 151, СТР. 15</t>
  </si>
  <si>
    <t>РОССИЯ, САМАРСКАЯ ОБЛАСТЬ, М.Р-Н СТАВРОПОЛЬСКИЙ, С ТИМОФЕЕВКА, С.П. ТИМОФЕЕВКА, УЛ ОБВОДНАЯ, ЗД. 3Г</t>
  </si>
  <si>
    <t>ООО НПО КИПРОЛ</t>
  </si>
  <si>
    <t>445045, РОССИЯ, САМАРСКАЯ ОБЛАСТЬ, Г.О. ТОЛЬЯТТИ, Г ТОЛЬЯТТИ, УЛ ЯРОСЛАВСКАЯ, Д. 9, КВ. 66</t>
  </si>
  <si>
    <t>ООО ДЖАВТО</t>
  </si>
  <si>
    <t>445009, РОССИЯ, САМАРСКАЯ ОБЛАСТЬ, Г.О. ТОЛЬЯТТИ, Г ТОЛЬЯТТИ, УЛ ОКТЯБРЬСКАЯ, Д. 72А, ПОМЕЩ. 1001</t>
  </si>
  <si>
    <t>ИП СТЕПАНОВ ВЛАДИМИР НИКОЛАЕВИЧ</t>
  </si>
  <si>
    <t>ООО СЕЛЬСТРОЙ</t>
  </si>
  <si>
    <t>446840, САМАРСКАЯ ОБЛАСТЬ, Р-Н ЧЕЛНО-ВЕРШИНСКИЙ, С ЧЕЛНО-ВЕРШИНЫ, УЛ ПРОМЫШЛЕННАЯ, ЗД. 6А</t>
  </si>
  <si>
    <t>ИП Шакуто Татьяна Владимировна</t>
  </si>
  <si>
    <t>ООО ТВС-АГРОТЕХНИКА</t>
  </si>
  <si>
    <t>443901, САМАРСКАЯ ОБЛАСТЬ, Г.О. САМАРА, П БЕРЕЗА, ВН.Р-Н КРАСНОГЛИНСКИЙ, КВ-Л 4-Й, ЗД. 16, СТР. 3</t>
  </si>
  <si>
    <t>ИП ПЛОХОТНИКОВ АЛЕКСЕЙ БОРИСОВИЧ</t>
  </si>
  <si>
    <t>ООО ОПТИМА - УРАЛ</t>
  </si>
  <si>
    <t>443070, САМАРСКАЯ ОБЛАСТЬ, Г САМАРА, УЛ ЗАГОРОДНАЯ, Д. 1, ЭТАЖ 1, ОФИС 6</t>
  </si>
  <si>
    <t>ИП ХОХРОВА АННА АЛЕКСАНДРОВНА</t>
  </si>
  <si>
    <t>ООО ФАСТ АЗС</t>
  </si>
  <si>
    <t>443099, САМАРСКАЯ ОБЛАСТЬ, Г.О. САМАРА, Г САМАРА, ВН.Р-Н САМАРСКИЙ, УЛ СТЕПАНА РАЗИНА, Д. 150, КВ. 58</t>
  </si>
  <si>
    <t>ИП САЙГУШЕВА ВИКТОРИЯ НИКОЛАЕВНА</t>
  </si>
  <si>
    <t>ООО ПОВОЛЖЬЕ-АВТО</t>
  </si>
  <si>
    <t>443085, САМАРСКАЯ ОБЛАСТЬ, Г САМАРА, Ш ЮЖНОЕ, Д. 14-А</t>
  </si>
  <si>
    <t>ИП Любкин Леонид Давидович</t>
  </si>
  <si>
    <t>ИП ВАСЮХИН ДИМИТРИЙ АЛЕКСАНДРОВИЧ</t>
  </si>
  <si>
    <t>ИП ДОЛГОПОЛОВ ВАЛЕРИЙ ВИКТОРОВИЧ</t>
  </si>
  <si>
    <t>ИП АЗАРЯН РАИСА МИНЗАИТОВНА</t>
  </si>
  <si>
    <t>ИП ИВАНОВ ВИТАЛИЙ ОЛЕГОВИЧ</t>
  </si>
  <si>
    <t>Саратовская область</t>
  </si>
  <si>
    <t>ИП АНИЩЕНКО ЮРИЙ ВИКТОРОВИЧ</t>
  </si>
  <si>
    <t>ООО АЦ ЮГО-ЗАПАД</t>
  </si>
  <si>
    <t>413112, САРАТОВСКАЯ ОБЛАСТЬ, Г ЭНГЕЛЬС, ПР-КТ ВОЛЖСКИЙ, Д. 75</t>
  </si>
  <si>
    <t>ИП Амриев Арби Курейшевич</t>
  </si>
  <si>
    <t>ИП ХРОМЫХ АНДРЕЙ ВЯЧЕСЛАВОВИЧ</t>
  </si>
  <si>
    <t>ООО ПОВОЛЖЬЕТРАНС</t>
  </si>
  <si>
    <t>410022, РОССИЯ, САРАТОВСКАЯ ОБЛАСТЬ, Г.О. ГОРОД САРАТОВ, Г САРАТОВ, ПР-КТ ЭНТУЗИАСТОВ, Д. 102, ОФИС 4-4</t>
  </si>
  <si>
    <t>ИП ОКРОКОВ АНДРЕЙ НИКОЛАЕВИЧ</t>
  </si>
  <si>
    <t>ИП ЗИБАРЕВ АНДРЕЙ АЛЕКСАНДРОВИЧ</t>
  </si>
  <si>
    <t>ИП Репетунова Ольга Юрьевна</t>
  </si>
  <si>
    <t>ИП ЯКОВЛЕВ АЛЕКСАНДР ВИКТОРОВИЧ</t>
  </si>
  <si>
    <t>ИП МАРЧЕНКОВА НАТАЛЬЯ АНАТОЛЬЕВНА</t>
  </si>
  <si>
    <t>ИП СМИРНОВ ПЕТР ГЕННАДЬЕВИЧ</t>
  </si>
  <si>
    <t>ИП ПИЧУГИН ДМИТРИЙ АЛЕКСЕЕВИЧ</t>
  </si>
  <si>
    <t>ИП ВЛАДЫКИН МАКСИМ НИКОЛАЕВИЧ</t>
  </si>
  <si>
    <t>ООО ГОЛЬФСТРИМ КОМФОРТ</t>
  </si>
  <si>
    <t>410530, САРАТОВСКАЯ ОБЛАСТЬ, Г САРАТОВ, ТЕР КОМБИНАТА ДУБКИ, ЗД. 5</t>
  </si>
  <si>
    <t>ИП ВАЛЬТЕР ОЛЕГ ВАЛЕРЬЕВИЧ</t>
  </si>
  <si>
    <t>ИП МУСАЕЛЯН ОЛЬГА ВЯЧЕСЛАВОВНА</t>
  </si>
  <si>
    <t>412420, САРАТОВСКАЯ ОБЛАСТЬ, Г АТКАРСК, УЛ СОВЕТСКАЯ, Д.111, 1</t>
  </si>
  <si>
    <t>ИП АРТАМОХИН АНДРЕЙ ВЛАДИМИРОВИЧ</t>
  </si>
  <si>
    <t>ИП ГАЛИМОВ НАИЛЬ НУРГАЛИЕВИЧ</t>
  </si>
  <si>
    <t>ИП СУДАКОВ ОЛЕГ ГЕОРГИЕВИЧ</t>
  </si>
  <si>
    <t>ООО ПИТ СТОП</t>
  </si>
  <si>
    <t>413840, САРАТОВСКАЯ ОБЛАСТЬ, Г БАЛАКОВО, УЛ КОМАРОВА, Д.15</t>
  </si>
  <si>
    <t>ООО КОНТИНЕНТ ПЛЮС</t>
  </si>
  <si>
    <t>413840, САРАТОВСКАЯ ОБЛАСТЬ, Г БАЛАКОВО, УЛ 20 ЛЕТ ВЛКСМ, Д.56, 27</t>
  </si>
  <si>
    <t>ООО ФИЛЬТРСНАБ+</t>
  </si>
  <si>
    <t>413841, САРАТОВСКАЯ ОБЛАСТЬ, Г БАЛАКОВО, УЛ ЛОБАЧЕВСКОГО, Д. 94</t>
  </si>
  <si>
    <t>ИП ДАВИЙ АЛЕКСЕЙ ВЛАДИМИРОВИЧ</t>
  </si>
  <si>
    <t>ИП МУДРЕНОВ АНДРЕЙ АРТЕМОВИЧ</t>
  </si>
  <si>
    <t>ИП ВАЛИЕВА ЛИЛИЯ АЛЕКСАНДРОВНА</t>
  </si>
  <si>
    <t>ИП КУРБАШНОВ АНАТОЛИЙ ВЛАДИМИРОВИЧ</t>
  </si>
  <si>
    <t>ИП Ильин Александр Николаевич</t>
  </si>
  <si>
    <t>ИП ГАЛИМОВ АРТУР НАИЛЕВИЧ</t>
  </si>
  <si>
    <t>ИП НАУМОВИЧ ИРИНА ВИТАЛЬЕВНА</t>
  </si>
  <si>
    <t>ИП СОКОЛОВСКАЯ ДАНИЯ ЮСУФОВНА</t>
  </si>
  <si>
    <t>ИП Отёкин Сергей Геннадьевич</t>
  </si>
  <si>
    <t>ИП Доронин Артем Владимирович</t>
  </si>
  <si>
    <t>ООО ЛАДА - СЕРВИС</t>
  </si>
  <si>
    <t>413092, САРАТОВСКАЯ ОБЛАСТЬ, Г МАРКС, ПР-КТ ЛЕНИНА, Д. 108</t>
  </si>
  <si>
    <t>ИП ГОРШЕНИНА ОЛЬГА СТАНИСЛАВОВНА</t>
  </si>
  <si>
    <t>ИП ТАРАНЕНКО АЛЕКСАНДР ЕВГЕНЬЕВИЧ</t>
  </si>
  <si>
    <t>ИП ПОЛЕВЩИКОВА НАТАЛЬЯ СЕРГЕЕВНА</t>
  </si>
  <si>
    <t>ИП АСТАХОВ АЛЕКСАНДР СЕРГЕЕВИЧ</t>
  </si>
  <si>
    <t>ИП ХАИТОВА ВАЛЕНТИНА МИХАЙЛОВНА</t>
  </si>
  <si>
    <t>ИП АРУТЮНЯН АЛЬБЕРТ АРМЕНАКОВИЧ</t>
  </si>
  <si>
    <t>ООО СТРОЙАВТОДОР</t>
  </si>
  <si>
    <t>413954, САРАТОВСКАЯ ОБЛАСТЬ, Р-Н ИВАНТЕЕВСКИЙ, П ЗНАМЕНСКИЙ, УЛ МОЛОДЕЖНАЯ, ЗД. 17, ОФИС 2</t>
  </si>
  <si>
    <t>ООО СЕРГИЕВСКОЕ</t>
  </si>
  <si>
    <t>412466, САРАТОВСКАЯ ОБЛАСТЬ, Р-Н КАЛИНИНСКИЙ, С СЕРГИЕВКА, УЛ ШКОЛЬНАЯ, Д.10</t>
  </si>
  <si>
    <t>ИП ГАЛУШКИН ВЛАДИМИР ВИКТОРОВИЧ</t>
  </si>
  <si>
    <t>ООО ТОРГСЕРВИС 64</t>
  </si>
  <si>
    <t>410080, САРАТОВСКАЯ ОБЛАСТЬ, Г САРАТОВ, ТЕР ВОЛЬСКИЙ ТРАКТ, ЗД. 2В, СТР. 1</t>
  </si>
  <si>
    <t>ООО СТРОЙ-ЛЕД</t>
  </si>
  <si>
    <t>410010, САРАТОВСКАЯ ОБЛАСТЬ, Г САРАТОВ, ПР-КТ ИМ 50 ЛЕТ ОКТЯБРЯ, ЗД. 108/2Б, -</t>
  </si>
  <si>
    <t>ИП Кириенко Алексей Геннадьевич</t>
  </si>
  <si>
    <t>ООО САРАТОВ ТРАК СЕРВИС</t>
  </si>
  <si>
    <t>412192, САРАТОВСКАЯ ОБЛАСТЬ, Г САРАТОВ, С СТОРОЖЕВКА, УЛ ЦВЕТОЧНАЯ, Д. 3А, -</t>
  </si>
  <si>
    <t>ИП КРЕПЫШЕВ АЛЕКСЕЙ ЕВГЕНЬЕВИЧ</t>
  </si>
  <si>
    <t>ИП КОСТОВИЧ ВЛАДИМИР ВАСИЛЬЕВИЧ</t>
  </si>
  <si>
    <t>ООО ТЕХОСНАСТКА</t>
  </si>
  <si>
    <t>413850, САРАТОВСКАЯ ОБЛАСТЬ, Г БАЛАКОВО, УЛ БРАТЬЕВ ЗАХАРОВЫХ, Д.144/1, -----, -----</t>
  </si>
  <si>
    <t>ООО КАМЕЛОТ</t>
  </si>
  <si>
    <t>413857, САРАТОВСКАЯ ОБЛАСТЬ, Г БАЛАКОВО, УЛ ФАКЕЛ СОЦИАЛИЗМА, Д.18, ------, 65</t>
  </si>
  <si>
    <t>ООО АВТОКАТ 64</t>
  </si>
  <si>
    <t>413859, РОССИЯ, САРАТОВСКАЯ ОБЛАСТЬ, М.Р-Н БАЛАКОВСКИЙ, Г БАЛАКОВО, Г.П. ГОРОД БАЛАКОВО, УЛ ШЕВЧЕНКО, Д. 5А, КВ. 21</t>
  </si>
  <si>
    <t>413841, РОССИЯ, САРАТОВСКАЯ ОБЛАСТЬ, М.Р-Н БАЛАКОВСКИЙ, Г БАЛАКОВО, Г.П. ГОРОД БАЛАКОВО, УЛ САРАТОВСКОЕ ШОССЕ, Д. 16/1, ОФИС 3</t>
  </si>
  <si>
    <t>ИП Блинова Людмила Николаевна</t>
  </si>
  <si>
    <t>ИП ГРИЩЕНКО СВЕТЛАНА ГЕННАДЬЕВНА</t>
  </si>
  <si>
    <t>ИП АСКЕРОВ ЯСИН КАХРАМАН ОГЛЫ</t>
  </si>
  <si>
    <t>ИП КОСТИКОВ ДМИТРИЙ АНДРЕЕВИЧ</t>
  </si>
  <si>
    <t>ИП Гудкова Лариса Николаевна</t>
  </si>
  <si>
    <t>ИП БУЛАВИН ВАЛЕРИЙ ВЛАДИМИРОВИЧ</t>
  </si>
  <si>
    <t>ИП БИКЕТОВ ВАСИЛИЙ АЛЕКСАНДРОВИЧ</t>
  </si>
  <si>
    <t>413865, РОССИЯ, САРАТОВСКАЯ ОБЛАСТЬ, М.Р-Н БАЛАКОВСКИЙ, Г БАЛАКОВО, Г.П. ГОРОД БАЛАКОВО, УЛ ПРОЛЕТАРСКАЯ, Д. 54, ПОМЕЩ. 9, 14</t>
  </si>
  <si>
    <t>ООО СКИТ</t>
  </si>
  <si>
    <t>413950, РОССИЯ, САРАТОВСКАЯ ОБЛАСТЬ, М.Р-Н ИВАНТЕЕВСКИЙ, С ИВАНТЕЕВКА, С.П. ИВАНТЕЕВСКОЕ, УЛ АШХАБАДСКАЯ, ЗД. 21В, ОФИС 6</t>
  </si>
  <si>
    <t>ООО АЛГОРИТМ</t>
  </si>
  <si>
    <t>413107, САРАТОВСКАЯ ОБЛАСТЬ, Г ЭНГЕЛЬС, УЛ ТРУДОВАЯ, Д. 12/1, КВ 52</t>
  </si>
  <si>
    <t>ООО ПОКРОВСКСПЕЦСЕРВИС</t>
  </si>
  <si>
    <t>413114, САРАТОВСКАЯ ОБЛАСТЬ, Р-Н ЭНГЕЛЬССКИЙ, П ПРИБРЕЖНЫЙ, УЛ МЕЛИОРАТИВНАЯ, Д. 14, ОФИС 3</t>
  </si>
  <si>
    <t>ИП ДОЦЕНКО АНТОН АЛЕКСАНДРОВИЧ</t>
  </si>
  <si>
    <t>ООО ЭНГЕЛЬС-АВТО-ТИМ</t>
  </si>
  <si>
    <t>413112, РОССИЯ, САРАТОВСКАЯ ОБЛАСТЬ, М.Р-Н ЭНГЕЛЬССКИЙ, Г ЭНГЕЛЬС, Г.П. ГОРОД ЭНГЕЛЬС, ПР-КТ ВОЛЖСКИЙ, ЗД. 75, ЛИТЕРА А, КОМ. 7</t>
  </si>
  <si>
    <t>ИП ЖУРЛОВ СЕРГЕЙ АЛЕКСЕЕВИЧ</t>
  </si>
  <si>
    <t>ИП АКТАУ МЕДЕС АНЕСОВИЧ</t>
  </si>
  <si>
    <t>ИП ТУРИН АЛЕКСЕЙ МИХАЙЛОВИЧ</t>
  </si>
  <si>
    <t>ООО ЭЛВИС-РС</t>
  </si>
  <si>
    <t>410002, РОССИЯ, САРАТОВСКАЯ ОБЛАСТЬ, Г.О. ГОРОД САРАТОВ, Г САРАТОВ, УЛ ИМ ЧЕРНЫШЕВСКОГО Н.Г., ЗД. 177/181, ПОМЕЩ. 7</t>
  </si>
  <si>
    <t>410100, САРАТОВСКАЯ ОБЛАСТЬ, Г САРАТОВ, Ш НОВО-АСТРАХАНСКОЕ, Д. 67, ЛИТЕР М, ОФИС 3</t>
  </si>
  <si>
    <t>ООО ЭЛВИС-АКОМ</t>
  </si>
  <si>
    <t>410086, РОССИЯ, САРАТОВСКАЯ ОБЛАСТЬ, Г.О. ГОРОД САРАТОВ, Г САРАТОВ, Ш МОСКОВСКОЕ, ЗД. 116, СТР. 1, ОФИС 1</t>
  </si>
  <si>
    <t>ИП Шатохина Лилия Николаевна</t>
  </si>
  <si>
    <t>410064, РОССИЯ, САРАТОВСКАЯ ОБЛАСТЬ, Г.О. ГОРОД САРАТОВ, Г САРАТОВ, УЛ ИМ ЛЕБЕДЕВА-КУМАЧА В.И., Д. 72Б, КВ. 15</t>
  </si>
  <si>
    <t>ИП КУЗНЕЦОВ НИКИТА СЕРГЕЕВИЧ</t>
  </si>
  <si>
    <t>ИП БУЛАНОВ ДЕНИС ВЛАДИМИРОВИЧ</t>
  </si>
  <si>
    <t>ИП БАРАНОВ СЕРГЕЙ ВЛАДИМИРОВИЧ</t>
  </si>
  <si>
    <t>ОГУ ЕРШОВСКАЯ РАЙСББЖ</t>
  </si>
  <si>
    <t>413503, САРАТОВСКАЯ ОБЛАСТЬ, Р-Н ЕРШОВСКИЙ, Г ЕРШОВ, УЛ ЛЕНИНА, Д.80 А</t>
  </si>
  <si>
    <t>ИП КУЗЬМИЧЁВА НАТАЛЬЯ СЕРГЕЕВНА</t>
  </si>
  <si>
    <t>ИП ПИТЧЕНКО ЕВГЕНИЙ АЛЕКСЕЕВИЧ</t>
  </si>
  <si>
    <t>ИП ХУБЕЕВА ЛЮДМИЛА ВЛАДИМИРОВНА</t>
  </si>
  <si>
    <t>ИП Зузуля Юрий Сергеевич</t>
  </si>
  <si>
    <t>ИП РЕЗИНКИН МАКСИМ АЛЕКСЕЕВИЧ</t>
  </si>
  <si>
    <t>ИП СЕДОВ АЛЕКСЕЙ ВЛАДИМИРОВИЧ</t>
  </si>
  <si>
    <t>ООО АСКАРТ</t>
  </si>
  <si>
    <t>410506, РОССИЯ, САРАТОВСКАЯ ОБЛАСТЬ, Г.О. ГОРОД САРАТОВ, Х БАРТОЛОМЕЕВСКИЙ, ТЕР БАЛТРАНС, ЗД. 6, ОФИС 2</t>
  </si>
  <si>
    <t>ООО ПРО-ОЙЛ</t>
  </si>
  <si>
    <t>410080, САРАТОВСКАЯ ОБЛАСТЬ, Г.О. ГОРОД САРАТОВ, ТЕР. СОКУРСКИЙ ТРАКТ, ЗД. 1А</t>
  </si>
  <si>
    <t>ИП КОСТОВИЧ ЕЛЕНА НИКОЛАЕВНА</t>
  </si>
  <si>
    <t>ООО БАЛРЕСУРС</t>
  </si>
  <si>
    <t>413841, САРАТОВСКАЯ ОБЛАСТЬ, М.Р-Н БАЛАКОВСКИЙ, Г БАЛАКОВО, Г.П. ГОРОД БАЛАКОВО, УЛ САРАТОВСКОЕ ШОССЕ, Д. 16/1</t>
  </si>
  <si>
    <t>ООО ПАНТУС</t>
  </si>
  <si>
    <t>413859, САРАТОВСКАЯ ОБЛАСТЬ, Г БАЛАКОВО, УЛ ТРАНСПОРТНАЯ, Д. 6</t>
  </si>
  <si>
    <t>ООО РУСИНВЕСТТОРГ</t>
  </si>
  <si>
    <t>413857, САРАТОВСКАЯ ОБЛАСТЬ, Г БАЛАКОВО, УЛ ФАКЕЛ СОЦИАЛИЗМА, Д.18, 20</t>
  </si>
  <si>
    <t>ООО ПРОМСТРОЙПЛАСТ</t>
  </si>
  <si>
    <t>413841, САРАТОВСКАЯ ОБЛАСТЬ, Г БАЛАКОВО, УЛ САРАТОВСКОЕ ШОССЕ, Д. 16/1, ОФИС 5</t>
  </si>
  <si>
    <t>ООО СПЕЦБЫТ</t>
  </si>
  <si>
    <t>413859, САРАТОВСКАЯ ОБЛАСТЬ, Г БАЛАКОВО, УЛ ШЕВЧЕНКО, Д. 44</t>
  </si>
  <si>
    <t>ООО НЕФТЕПРОДУКТ</t>
  </si>
  <si>
    <t>413840, САРАТОВСКАЯ ОБЛАСТЬ, Г БАЛАКОВО, УЛ АКАДЕМИКА ЖУК, Д. 40, КВ. 13</t>
  </si>
  <si>
    <t>413863, САРАТОВСКАЯ ОБЛАСТЬ, Г БАЛАКОВО, УЛ СТЕПНАЯ, Д. 86, КВ. 65</t>
  </si>
  <si>
    <t>ИП СИЛАНТЬЕВ АЛЕКСАНДР ВИКТОРОВИЧ</t>
  </si>
  <si>
    <t>ООО ЗАПЧАСТЬ</t>
  </si>
  <si>
    <t>413863, РОССИЯ, САРАТОВСКАЯ ОБЛАСТЬ, М.Р-Н БАЛАКОВСКИЙ, Г БАЛАКОВО, Г.П. ГОРОД БАЛАКОВО, УЛ СТЕПНАЯ, Д. 27/2, КВ. 93</t>
  </si>
  <si>
    <t>ИП КУКУШКИН ИЛЬЯ НИКОЛАЕВИЧ</t>
  </si>
  <si>
    <t>ИП КОШАТСКИХ НИКОЛАЙ МАКСИМОВИЧ</t>
  </si>
  <si>
    <t>ИП ВЛАСОВ МАКСИМ АЛЕКСАНДРОВИЧ</t>
  </si>
  <si>
    <t>ИП КОНЫШЕВ СЕРГЕЙ АЛЕКСАНДРОВИЧ</t>
  </si>
  <si>
    <t>ИП ВОРОБЬЕВ ДМИТРИЙ АЛЕКСАНДРОВИЧ</t>
  </si>
  <si>
    <t>ИП ТАРАН ГАЛИНА ВЛАДИМИРОВНА</t>
  </si>
  <si>
    <t>ИП ВЕШНЯКОВ ЕВГЕНИЙ АЛЕКСАНДРОВИЧ</t>
  </si>
  <si>
    <t>ООО ТОПОЛЕК</t>
  </si>
  <si>
    <t>413121, САРАТОВСКАЯ ОБЛАСТЬ, Г ЭНГЕЛЬС, УЛ МАРИНЫ РАСКОВОЙ, Д.12, -, -</t>
  </si>
  <si>
    <t>ИП ЛУДЦЕВ ВАЛЕРИЙ ВАСИЛЬЕВИЧ</t>
  </si>
  <si>
    <t>ООО ТНС</t>
  </si>
  <si>
    <t>413161, САРАТОВСКАЯ ОБЛАСТЬ, М.Р-Н ЭНГЕЛЬССКИЙ, С ШУМЕЙКА, С.П. КРАСНОЯРСКОЕ, УЛ ЗЕЛЕНАЯ, ЗД. 29</t>
  </si>
  <si>
    <t>ООО МЕКС-ПРАТС</t>
  </si>
  <si>
    <t>413124, САРАТОВСКАЯ ОБЛАСТЬ, Г ЭНГЕЛЬС, УЛ СЕРАФИМОВИЧА, Д. 145</t>
  </si>
  <si>
    <t>ООО АВТОШОП САРАТОВ</t>
  </si>
  <si>
    <t>413100, САРАТОВСКАЯ ОБЛАСТЬ, Г ЭНГЕЛЬС, УЛ ДУБОВСКАЯ, Д. 5, К. 1, КВ. 150</t>
  </si>
  <si>
    <t>413114, РОССИЯ, САРАТОВСКАЯ ОБЛАСТЬ, М.Р-Н ЭНГЕЛЬССКИЙ, П ПРИБРЕЖНЫЙ, Г.П. ГОРОД ЭНГЕЛЬС, УЛ МЕЛИОРАТИВНАЯ, ЗД. 14, ОФИС 4</t>
  </si>
  <si>
    <t>ООО ФАВОРИТ БИЗНЕС</t>
  </si>
  <si>
    <t>413116, РОССИЯ, САРАТОВСКАЯ ОБЛАСТЬ, М.Р-Н ЭНГЕЛЬССКИЙ, Г ЭНГЕЛЬС, Г.П. ГОРОД ЭНГЕЛЬС, ПР-КТ ХИМИКОВ, Д. 1, ОФИС 304</t>
  </si>
  <si>
    <t>ООО МИРТЕХ</t>
  </si>
  <si>
    <t>410017, САРАТОВСКАЯ ОБЛАСТЬ, Г САРАТОВ, УЛ НОВОУЗЕНСКАЯ, Д.8</t>
  </si>
  <si>
    <t>410038, САРАТОВСКАЯ ОБЛАСТЬ, Г САРАТОВ, УЛ СИМБИРСКАЯ, Д. 154А, ПОМЕЩ. 51</t>
  </si>
  <si>
    <t>ООО ТАТКАРДАН-ПОВОЛЖЬЕ</t>
  </si>
  <si>
    <t>413111, РОССИЯ, САРАТОВСКАЯ ОБЛАСТЬ, М.Р-Н ЭНГЕЛЬССКИЙ, Г ЭНГЕЛЬС, Г.П. ГОРОД ЭНГЕЛЬС, УЛ ПРОМЫШЛЕННАЯ, Д. 12</t>
  </si>
  <si>
    <t>ООО САРАТОВ-АВТО-ЛЮКС</t>
  </si>
  <si>
    <t>410000, САРАТОВСКАЯ ОБЛАСТЬ, Г САРАТОВ, ТЕР УСТЬ-КУРДЮМСКОГО ШОССЕ, ЗД. 23</t>
  </si>
  <si>
    <t>ИП АРЗАМАСЦЕВ РОМАН ВЛАДИМИРОВИЧ</t>
  </si>
  <si>
    <t>ООО КАНЦ ДРУГ</t>
  </si>
  <si>
    <t>410001, РОССИЯ, САРАТОВСКАЯ ОБЛАСТЬ, Г.О. ГОРОД САРАТОВ, Г САРАТОВ, УЛ ОГОРОДНАЯ, Д. 91Г, КВ. 15</t>
  </si>
  <si>
    <t>ИП ПРЯЖНИКОВ АЛЕКСАНДР СЕРГЕЕВИЧ</t>
  </si>
  <si>
    <t>ИП ПОДЪЯЧЕВ ПАВЕЛ СЕРГЕЕВИЧ</t>
  </si>
  <si>
    <t>ИП ЛЕГОТИНА НАТАЛИЯ ИЛЬИНИЧНА</t>
  </si>
  <si>
    <t>ООО БРАЙН</t>
  </si>
  <si>
    <t>410009, САРАТОВСКАЯ ОБЛАСТЬ, Г САРАТОВ, УЛ 2-Я ВЫСЕЛОЧНАЯ, ЗД. 20, ОФИС 1</t>
  </si>
  <si>
    <t>ООО КОМПАНИЯ ВИРАЖ</t>
  </si>
  <si>
    <t>410064, САРАТОВСКАЯ ОБЛАСТЬ, Г САРАТОВ, ПР-КТ СТРОИТЕЛЕЙ, Д. 60, ОФИС 209</t>
  </si>
  <si>
    <t>ООО ЗАПАСНАЯ ЧАСТЬ</t>
  </si>
  <si>
    <t>410010, САРАТОВСКАЯ ОБЛАСТЬ, Г САРАТОВ, УЛ ИМ ЖУКОВСКОГО Н.Е., Д. 24</t>
  </si>
  <si>
    <t>ООО СНК</t>
  </si>
  <si>
    <t>410012, САРАТОВСКАЯ ОБЛАСТЬ, Г САРАТОВ, УЛ ИМ ЗАРУБИНА В.С., Д. 100/120, КВ. 12</t>
  </si>
  <si>
    <t>ООО ЭКО-МАРКЕТ</t>
  </si>
  <si>
    <t>410009, РОССИЯ, САРАТОВСКАЯ ОБЛАСТЬ, Г.О. ГОРОД САРАТОВ, Г САРАТОВ, УЛ ЛУГОВАЯ, Д. 133</t>
  </si>
  <si>
    <t>ООО САРАТОВ-АВТО</t>
  </si>
  <si>
    <t>410037, САРАТОВСКАЯ ОБЛАСТЬ, Г САРАТОВ, УЛ УСТЬ-КУРДЮМСКАЯ, Д. 6</t>
  </si>
  <si>
    <t>ИП БЫКОВ ВЛАДИМИР АНАТОЛЬЕВИЧ</t>
  </si>
  <si>
    <t>ОООСАРАТОВСКИЙ АВТОЦЕНТР КАМАЗ</t>
  </si>
  <si>
    <t>410536, САРАТОВСКАЯ ОБЛАСТЬ, Г САРАТОВ, ПРОМЗОНА ПРОМУЗЕЛ ЗОРИНСКИЙ-2, ЗД. 2Н, СТР. 1</t>
  </si>
  <si>
    <t>ООО БАЛТРАНС</t>
  </si>
  <si>
    <t>410506, САРАТОВСКАЯ ОБЛАСТЬ, Г САРАТОВ, Х БАРТОЛОМЕЕВСКИЙ, ТЕР БАЛТРАНС, ЗД. 3</t>
  </si>
  <si>
    <t>ООО АССОЦИАЦИЯ ТОЛСАР</t>
  </si>
  <si>
    <t>410010, САРАТОВСКАЯ ОБЛАСТЬ, Г САРАТОВ, УЛ ИМ ШЕХУРДИНА А.П., Д.20А</t>
  </si>
  <si>
    <t>ООО АВТОГИД</t>
  </si>
  <si>
    <t>410086, САРАТОВСКАЯ ОБЛАСТЬ, Г САРАТОВ, УЛ ПЕСЧАНО-УМЕТСКАЯ, ЗД. 43, СТР. 1, ПОМЕЩ. 6</t>
  </si>
  <si>
    <t>ИП ИВАНОВ МАКСИМ НИКОЛАЕВИЧ</t>
  </si>
  <si>
    <t>410007, РОССИЯ, САРАТОВСКАЯ ОБЛАСТЬ, Г.О. ГОРОД САРАТОВ, Г САРАТОВ, УЛ ИМ БЛИНОВА Ф.А., Д. 52, КВ. 85</t>
  </si>
  <si>
    <t>ИП ИВАНОВ ВИТАЛИЙ АНАТОЛЬЕВИЧ</t>
  </si>
  <si>
    <t>ИП МЕЛЬНИКОВ АНТОН АЛЕКСАНДРОВИЧ</t>
  </si>
  <si>
    <t>ООО ЭНКОР</t>
  </si>
  <si>
    <t>412192, САРАТОВСКАЯ ОБЛАСТЬ, Г САРАТОВ, С СТОРОЖЕВКА, УЛ ЦВЕТОЧНАЯ, Д. 3А</t>
  </si>
  <si>
    <t>ИП ИВАНОВ ОЛЕГ АЛЕКСАНДРОВИЧ</t>
  </si>
  <si>
    <t>ИП ИШИН ИЛЬЯ ВЛАДИМИРОВИЧ</t>
  </si>
  <si>
    <t>ИП БАЛЮК ЕЛЕНА МИХАЙЛОВНА</t>
  </si>
  <si>
    <t>ИП ГУРЕНКО ВАЛЕРИЙ МИХАЙЛОВИЧ</t>
  </si>
  <si>
    <t>ИП ИГНАТОВСКИЙ ДМИТРИЙ ИВАНОВИЧ</t>
  </si>
  <si>
    <t>ИП УСАЧЕВА ОЛЬГА АЛЕКСАНДРОВНА</t>
  </si>
  <si>
    <t>ИП ПЕРЕГУДОВ МИХАИЛ СЕРГЕЕВИЧ</t>
  </si>
  <si>
    <t>ООО АГРОТЕХНИКА</t>
  </si>
  <si>
    <t>413116, САРАТОВСКАЯ ОБЛАСТЬ, Г ЭНГЕЛЬС, ПР-КТ СТРОИТЕЛЕЙ, Д. 58, -</t>
  </si>
  <si>
    <t>ООО БОНИТА - Е</t>
  </si>
  <si>
    <t>413100, РОССИЯ, САРАТОВСКАЯ ОБЛАСТЬ, М.Р-Н ЭНГЕЛЬССКИЙ, Г ЭНГЕЛЬС, Г.П. ГОРОД ЭНГЕЛЬС, УЛ ПЕТРОВСКАЯ, Д. 75, ПОМЕЩ. 87</t>
  </si>
  <si>
    <t>ИП АНДРЕЕВ АНДРЕЙ НИКОЛАЕВИЧ</t>
  </si>
  <si>
    <t>ООО ОЙЛ-ПРОФИ</t>
  </si>
  <si>
    <t>410009, САРАТОВСКАЯ ОБЛАСТЬ, Г САРАТОВ, УЛ 2-Я ВЫСЕЛОЧНАЯ, ЗД. 21, СТР. 1, ОФИС 4</t>
  </si>
  <si>
    <t>ООО АСАВТО-САРАТОВ</t>
  </si>
  <si>
    <t>410000, САРАТОВСКАЯ ОБЛАСТЬ, Г САРАТОВ, УЛ БОЛЬШАЯ СЕЧЕНСКАЯ, ЗД. 8, ОФИС 1</t>
  </si>
  <si>
    <t>ООО САРАТОВ-АВТО-ТИМ</t>
  </si>
  <si>
    <t>410037, РОССИЯ, САРАТОВСКАЯ ОБЛАСТЬ, Г.О. ГОРОД САРАТОВ, Г САРАТОВ, УЛ УСТЬ-КУРДЮМСКАЯ, Д. 6, КОМ. 10</t>
  </si>
  <si>
    <t>ИП КЛИМЕНЧЕНКО МАКСИМ АЛЕКСАНДРОВИЧ</t>
  </si>
  <si>
    <t>ООО ТОРЭКО СЕРВИС</t>
  </si>
  <si>
    <t>410031, САРАТОВСКАЯ ОБЛАСТЬ, Г САРАТОВ, УЛ БОЛЬШАЯ ЗАТОНСКАЯ, Д. 19/21, .</t>
  </si>
  <si>
    <t>ООО АВТО-ПЛЮС САРАТОВ</t>
  </si>
  <si>
    <t>410000, САРАТОВСКАЯ ОБЛАСТЬ, Г САРАТОВ, Ш НОВО-АСТРАХАНСКОЕ, ЗД. 109/4, ПОМЕЩ. 5</t>
  </si>
  <si>
    <t>ИП БОГАТОВ СЕРГЕЙ ВИКТОРОВИЧ</t>
  </si>
  <si>
    <t>ИП КУКЛИН АЛЕКСЕЙ ВАСИЛЬЕВИЧ</t>
  </si>
  <si>
    <t>ИП ДУЛИН АЛЕКСАНДР ВИКТОРОВИЧ</t>
  </si>
  <si>
    <t>ООО ТЕХНО АВТО ДЖИ ПИ</t>
  </si>
  <si>
    <t>410010, САРАТОВСКАЯ ОБЛАСТЬ, Г САРАТОВ, УЛ ТЕХНИЧЕСКАЯ, Д. 16А</t>
  </si>
  <si>
    <t>ООО ПРЕМЬЕКАР</t>
  </si>
  <si>
    <t>410076, САРАТОВСКАЯ ОБЛАСТЬ, Г САРАТОВ, УЛ ВЕРХНЯЯ, Д.17</t>
  </si>
  <si>
    <t>ООО ЭКОТЕХНИИХИТ</t>
  </si>
  <si>
    <t>410015, САРАТОВСКАЯ ОБЛАСТЬ, Г САРАТОВ, УЛ ИМ ОРДЖОНИКИДЗЕ Г.К., Д.11А</t>
  </si>
  <si>
    <t>ИП Рохмистров Анатолий Афанасьевич</t>
  </si>
  <si>
    <t>ПАО САРАТОВНЕФТЕПРОДУКТ</t>
  </si>
  <si>
    <t>410076, САРАТОВСКАЯ ОБЛАСТЬ, Г САРАТОВ, УЛ ИМ ЧЕРНЫШЕВСКОГО Н.Г., Д. 42</t>
  </si>
  <si>
    <t>ИП МЕЖОНОВ РОМАН ДМИТРИЕВИЧ</t>
  </si>
  <si>
    <t>ИП Спиридонов Андрей Владимирович</t>
  </si>
  <si>
    <t>ООО ФОРВАРД-ИНСТРУМЕНТ</t>
  </si>
  <si>
    <t>410012, САРАТОВСКАЯ ОБЛАСТЬ, Г САРАТОВ, УЛ БОЛЬШАЯ САДОВАЯ, Д.168/174</t>
  </si>
  <si>
    <t>ООО КАПИТАНСАРАТОВ</t>
  </si>
  <si>
    <t>410020, САРАТОВСКАЯ ОБЛАСТЬ, Г САРАТОВ, УЛ ИМ ШЕХУРДИНА А.П., Д. 2/4</t>
  </si>
  <si>
    <t>ООО АГРОСОЮЗ-МАРКЕТ</t>
  </si>
  <si>
    <t>410005, САРАТОВСКАЯ ОБЛАСТЬ, Г САРАТОВ, УЛ ИМ ПУГАЧЕВА Е.И., Д. 159, ОФИС 410</t>
  </si>
  <si>
    <t>ООО ГРИФФИТ</t>
  </si>
  <si>
    <t>410047, САРАТОВСКАЯ ОБЛАСТЬ, Г САРАТОВ, УЛ 4-Я ОКОЛЬНАЯ, Д. 15, СТРОЕНИЕ Б</t>
  </si>
  <si>
    <t>ООО ПАРИТЕТ</t>
  </si>
  <si>
    <t>410010, САРАТОВСКАЯ ОБЛАСТЬ, Г САРАТОВ, УЛ ТАНКИСТОВ, Д. 87, ЛИТЕР А1</t>
  </si>
  <si>
    <t>ООО АДМ-ВОЛГА</t>
  </si>
  <si>
    <t>410012, РОССИЯ, САРАТОВСКАЯ ОБЛАСТЬ, Г.О. ГОРОД САРАТОВ, Г САРАТОВ, УЛ ИМ РАЗИНА С.Т., Д. 50</t>
  </si>
  <si>
    <t>ООО ИКАР</t>
  </si>
  <si>
    <t>410038, САРАТОВСКАЯ ОБЛАСТЬ, Г САРАТОВ, УЛ АЭРОПОРТ, Д.20</t>
  </si>
  <si>
    <t>ИП КОСАРЕВ ДМИТРИЙ ВАЛЕРЬЕВИЧ</t>
  </si>
  <si>
    <t>ООО ЮНИВЕР САР</t>
  </si>
  <si>
    <t>410009, САРАТОВСКАЯ ОБЛАСТЬ, Г САРАТОВ, УЛ 2-Я ВЫСЕЛОЧНАЯ, ЗД. 21, СТР. 1, ОФИС 3</t>
  </si>
  <si>
    <t>ИП Борисов Владимир Александрович</t>
  </si>
  <si>
    <t>ИП Иванов Сергей Александрович</t>
  </si>
  <si>
    <t>ООО АВТО-СТИЛЬ</t>
  </si>
  <si>
    <t>410033, РОССИЯ, САРАТОВСКАЯ ОБЛАСТЬ, Г.О. ГОРОД САРАТОВ, Г САРАТОВ, УЛ СПАРТАКА, ЗД. 15А, ПОМЕЩ. 5</t>
  </si>
  <si>
    <t>ООО АВТОЦЕНТРГАЗ-ЛИДЕР</t>
  </si>
  <si>
    <t>410536, САРАТОВСКАЯ ОБЛАСТЬ, Г.О. ГОРОД САРАТОВ, ПРОМЗОНА ПРОМУЗЕЛ ЗОРИНСКИЙ-2, ЗД. 29, СТР. 1, ПОМЕЩ. 1</t>
  </si>
  <si>
    <t>ИП РОДИН СЕРГЕЙ НИКОЛАЕВИЧ</t>
  </si>
  <si>
    <t>ИП Иконников Александр Вячеславович</t>
  </si>
  <si>
    <t>ИП ХАРИНА НАТАЛЬЯ МИХАЙЛОВНА</t>
  </si>
  <si>
    <t>ООО ТК ВОЛГА</t>
  </si>
  <si>
    <t>410044, САРАТОВСКАЯ ОБЛАСТЬ, Г САРАТОВ, ПР-КТ СТРОИТЕЛЕЙ, Д.1</t>
  </si>
  <si>
    <t>МБУ ДОРСТРОЙ</t>
  </si>
  <si>
    <t>410069, САРАТОВСКАЯ ОБЛАСТЬ, Г САРАТОВ, УЛ ИППОДРОМНАЯ, Д.21А</t>
  </si>
  <si>
    <t>ООО ТЕССО</t>
  </si>
  <si>
    <t>410009, САРАТОВСКАЯ ОБЛАСТЬ, Г САРАТОВ, УЛ ЛУГОВАЯ, Д. 114, КВ. 57</t>
  </si>
  <si>
    <t>ООО ЗЕМЛЯК-ТС</t>
  </si>
  <si>
    <t>410062, САРАТОВСКАЯ ОБЛАСТЬ, Г САРАТОВ, Ш МОСКОВСКОЕ, Д. 23, К. А</t>
  </si>
  <si>
    <t>ООО ТК-ТРЕЙДИНГ</t>
  </si>
  <si>
    <t>410064, САРАТОВСКАЯ ОБЛАСТЬ, Г САРАТОВ, ПР-КТ СТРОИТЕЛЕЙ, Д. 60, ОФИС 404</t>
  </si>
  <si>
    <t>ООО РТО</t>
  </si>
  <si>
    <t>410033, САРАТОВСКАЯ ОБЛАСТЬ, Г САРАТОВ, УЛ 5-Я ДАЧНАЯ, Д. 9В, КВ. 29</t>
  </si>
  <si>
    <t>ООО СБ-ЗАП</t>
  </si>
  <si>
    <t>410086, РОССИЯ, САРАТОВСКАЯ ОБЛАСТЬ, Г.О. ГОРОД САРАТОВ, Г САРАТОВ, УЛ ИМ БЛАГОДАРОВА К.В., Д. 9, КВ. 64</t>
  </si>
  <si>
    <t>ИП ТИМОФЕЕВ СЕРГЕЙ ВЯЧЕСЛАВОВИЧ</t>
  </si>
  <si>
    <t>ИП ЧУРАДАЕВА ВИКТОРИЯ СЕРГЕЕВНА</t>
  </si>
  <si>
    <t>ИП ПЕНИКОВ ПАВЕЛ ВИКТОРОВИЧ</t>
  </si>
  <si>
    <t>ИП ШЕК ЕЛЕНА СЕРГЕЕВНА</t>
  </si>
  <si>
    <t>ИП БИРЮКОВ АНТОН РОМАНОВИЧ</t>
  </si>
  <si>
    <t>ООО ШИНСЕРВИС</t>
  </si>
  <si>
    <t>410056, РОССИЯ, САРАТОВСКАЯ ОБЛАСТЬ, Г.О. ГОРОД САРАТОВ, Г САРАТОВ, УЛ ИМ ЧЕРНЫШЕВСКОГО Н.Г., ЗД. 133</t>
  </si>
  <si>
    <t>ИП Дергунов Владимир Александрович</t>
  </si>
  <si>
    <t>САРАТОВСКАЯ ГОСУДАРСТВЕННАЯ КОНСЕРВАТОРИЯ ИМЕНИ Л.В. СОБИНОВА</t>
  </si>
  <si>
    <t>410012, САРАТОВСКАЯ ОБЛАСТЬ, Г САРАТОВ, ПР-КТ ИМ ПЕТРА СТОЛЫПИНА, ЗД. 1, СТР. 1</t>
  </si>
  <si>
    <t>ООО ОСНОВАСЕРВИС</t>
  </si>
  <si>
    <t>410004, САРАТОВСКАЯ ОБЛАСТЬ, Г САРАТОВ, УЛ ШЕЛКОВИЧНАЯ, Д.84/86</t>
  </si>
  <si>
    <t>ООО ТК АВАНГАРД</t>
  </si>
  <si>
    <t>410012, САРАТОВСКАЯ ОБЛАСТЬ, Г.О. ГОРОД САРАТОВ, Г САРАТОВ, УЛ АТКАРСКАЯ, Д. 66</t>
  </si>
  <si>
    <t>ИП ПИВОВАРОВ МАКСИМ АНАТОЛЬЕВИЧ</t>
  </si>
  <si>
    <t>ОООТЕХРЕЗЕРВ</t>
  </si>
  <si>
    <t>413726, САРАТОВСКАЯ ОБЛАСТЬ, Г ПУГАЧЕВ, УЛ ОРЕНБУРГСКАЯ, Д.158/1</t>
  </si>
  <si>
    <t>ИП КУЗНЕЦОВА ЮЛИЯ ВЛАДИМИРОВНА</t>
  </si>
  <si>
    <t>ИП ЯКОВЦЕВ АЛЕКСАНДР АЛЕКСАНДРОВИЧ</t>
  </si>
  <si>
    <t>ИП СКВОРЦОВ АЛЕКСЕЙ СЕРГЕЕВИЧ</t>
  </si>
  <si>
    <t>ЗАО АТП № 1</t>
  </si>
  <si>
    <t>410000, САРАТОВСКАЯ ОБЛАСТЬ, Г ЭНГЕЛЬС, ПР-Д ТЕХНОЛОГИЧЕСКИЙ, Д. 1</t>
  </si>
  <si>
    <t>ИП КОРЧАГИН ДЕНИС ВЛАДИМИРОВИЧ</t>
  </si>
  <si>
    <t>ИП ТОПОЛЬ ЕЛЕНА ВИКТОРОВНА</t>
  </si>
  <si>
    <t>ООО ГК ТНС</t>
  </si>
  <si>
    <t>413161, РОССИЯ, САРАТОВСКАЯ ОБЛАСТЬ, М.Р-Н ЭНГЕЛЬССКИЙ, С ШУМЕЙКА, С.П. КРАСНОЯРСКОЕ, УЛ ЗЕЛЕНАЯ, ЗД. 29</t>
  </si>
  <si>
    <t>ИП ЕНИН ПАВЕЛ СЕРГЕЕВИЧ</t>
  </si>
  <si>
    <t>ИП АРТЕМОВ АНТОН СЕРГЕЕВИЧ</t>
  </si>
  <si>
    <t>ИП ТОПОЛЬ ДЕНИС ОЛЕГОВИЧ</t>
  </si>
  <si>
    <t>ИП ФАУСТОВ ИВАН СЕРГЕЕВИЧ</t>
  </si>
  <si>
    <t>ИП ЧЕРНЫХ ДЕНИС ОЛЕГОВИЧ</t>
  </si>
  <si>
    <t>ООО ПТФ ЛАДА-МАРКЕТ</t>
  </si>
  <si>
    <t>410010, САРАТОВСКАЯ ОБЛАСТЬ, Г САРАТОВ, УЛ ИМ ШЕХУРДИНА А.П., Д.2/4</t>
  </si>
  <si>
    <t>ИП ВИНОКУРОВ ВЛАДИМИР ВЛАДИМИРОВИЧ</t>
  </si>
  <si>
    <t>ООО БОЛЬШАЯ ВОЛГА</t>
  </si>
  <si>
    <t>410003, РОССИЯ, САРАТОВСКАЯ ОБЛАСТЬ, Г.О. ГОРОД САРАТОВ, Г САРАТОВ, УЛ БОЛЬШАЯ ГОРНАЯ, ЗД. 117/83</t>
  </si>
  <si>
    <t>ИП КАШКИН ВЛАДИМИР АНАТОЛЬЕВИЧ</t>
  </si>
  <si>
    <t>ООО АВТО-ЭВЕРЕСТ</t>
  </si>
  <si>
    <t>410001, САРАТОВСКАЯ ОБЛАСТЬ, Г САРАТОВ, Ш НОВО-АСТРАХАНСКОЕ, Д. 65, ЛИТЕР В</t>
  </si>
  <si>
    <t>ИП РЫЖИХ ТАТЬЯНА ЮРЬЕВНА</t>
  </si>
  <si>
    <t>ИП АБРАМОВИЧ НАТАЛИЯ ВАЛЕНТИНОВНА</t>
  </si>
  <si>
    <t>ИП ВОЛОСТНОВ АЛЕКСЕЙ АНАТОЛЬЕВИЧ</t>
  </si>
  <si>
    <t>ИП ПАРФЕНОВ АНДРЕЙ ВАСИЛЬЕВИЧ</t>
  </si>
  <si>
    <t>ООО АВТО 64</t>
  </si>
  <si>
    <t>410039, САРАТОВСКАЯ ОБЛАСТЬ, Г САРАТОВ, Ш НОВО-АСТРАХАНСКОЕ, Д.62</t>
  </si>
  <si>
    <t>ООО КИЛАТИВ</t>
  </si>
  <si>
    <t>410076, САРАТОВСКАЯ ОБЛАСТЬ, Г САРАТОВ, УЛ ИМ ЧЕРНЫШЕВСКОГО Н.Г., Д.4, 88</t>
  </si>
  <si>
    <t>ИП КУРЫЛИН АНДРЕЙ АЛЕКСЕЕВИЧ</t>
  </si>
  <si>
    <t>ООО МАННОЛ-ПОВОЛЖЬЕ</t>
  </si>
  <si>
    <t>410009, САРАТОВСКАЯ ОБЛАСТЬ, Г САРАТОВ, УЛ 2-Я ВЫСЕЛОЧНАЯ, ЗД. 20, ОФИС 1А</t>
  </si>
  <si>
    <t>ООО МК-ПРОМЫШЛЕННОСТЬ</t>
  </si>
  <si>
    <t>410005, САРАТОВСКАЯ ОБЛАСТЬ, Г САРАТОВ, УЛ СОКОЛОВАЯ, Д.250</t>
  </si>
  <si>
    <t>ИП Леготин Федор Васильевич</t>
  </si>
  <si>
    <t>ООО СЕРВИСНЫЕ ТЕХНОЛОГИИ</t>
  </si>
  <si>
    <t>410009, САРАТОВСКАЯ ОБЛАСТЬ, Г САРАТОВ, УЛ АЛЕКСЕЕВСКАЯ, Д. 22/26, КВ. 41</t>
  </si>
  <si>
    <t>ОООТЕХНО-АГРО</t>
  </si>
  <si>
    <t>410010, САРАТОВСКАЯ ОБЛАСТЬ, Г.О. ГОРОД САРАТОВ, Г САРАТОВ, УЛ ИМ БИРЮЗОВА С.С., ЗД. 16А, СТР. 1</t>
  </si>
  <si>
    <t>ООО КАНЦПРОФ</t>
  </si>
  <si>
    <t>410010, САРАТОВСКАЯ ОБЛАСТЬ, Г САРАТОВ, УЛ ТЕХНИЧЕСКАЯ, Д. 3, КОРПУС ЛИТЕР А</t>
  </si>
  <si>
    <t>ООО ЭПАРТС</t>
  </si>
  <si>
    <t>410047, САРАТОВСКАЯ ОБЛАСТЬ, Г САРАТОВ, ТУП 6-Й ПЕСОЧНЫЙ, Д. 1</t>
  </si>
  <si>
    <t>ООО АГРОДРАЙВ</t>
  </si>
  <si>
    <t>410047, САРАТОВСКАЯ ОБЛАСТЬ, Г САРАТОВ, УЛ 3-Я ОКОЛЬНАЯ, Д. 11</t>
  </si>
  <si>
    <t>ООО БИЗНЕС РЕШЕНИЯ</t>
  </si>
  <si>
    <t>410005, РОССИЯ, САРАТОВСКАЯ ОБЛАСТЬ, Г.О. ГОРОД САРАТОВ, Г САРАТОВ, УЛ ИМ РАЗИНА С.Т., Д. 78</t>
  </si>
  <si>
    <t>ООО САРЗИП</t>
  </si>
  <si>
    <t>410010, РОССИЯ, САРАТОВСКАЯ ОБЛАСТЬ, Г.О. ГОРОД САРАТОВ, Г САРАТОВ, УЛ ИМ АКАДЕМИКА НАВАШИНА С.Г., Д. 1/13, ОФИС 1</t>
  </si>
  <si>
    <t>ООО БАЛЕВИК</t>
  </si>
  <si>
    <t>410019, РОССИЯ, САРАТОВСКАЯ ОБЛАСТЬ, Г.О. ГОРОД САРАТОВ, Г САРАТОВ, УЛ БОЛЬШАЯ САДОВАЯ, Д. 248, ОФИС 12</t>
  </si>
  <si>
    <t>ИП МЕЩЕРЯКОВ АЛЕКСАНДР ЕВГЕНЬЕВИЧ</t>
  </si>
  <si>
    <t>ИП АБРОСИМОВ СЕРГЕЙ ГРИГОРЬЕВИЧ</t>
  </si>
  <si>
    <t>410049, САРАТОВСКАЯ ОБЛАСТЬ, Г САРАТОВ, УЛ БАРНАУЛЬСКАЯ, Д. 32, ПОМ 216,217</t>
  </si>
  <si>
    <t>ООО МР-КАР</t>
  </si>
  <si>
    <t>410010, САРАТОВСКАЯ ОБЛАСТЬ, Г САРАТОВ, УЛ ИМ ОСИПОВА В.И., Д. 1, ОФИС 20/1</t>
  </si>
  <si>
    <t>ООО РЕСУРС АВТО</t>
  </si>
  <si>
    <t>410052, САРАТОВСКАЯ ОБЛАСТЬ, Г САРАТОВ, ПР-КТ ИМ 50 ЛЕТ ОКТЯБРЯ, ЗД. 132А</t>
  </si>
  <si>
    <t>ООО АВТОРАЙ</t>
  </si>
  <si>
    <t>410062, САРАТОВСКАЯ ОБЛАСТЬ, Г.О. ГОРОД САРАТОВ, Г САРАТОВ, Ш МОСКОВСКОЕ, Д. 13, ОФИС 1</t>
  </si>
  <si>
    <t>ИП ШАТОХИН МИХАИЛ ВИКТОРОВИЧ</t>
  </si>
  <si>
    <t>ООО ТК АЛЬЯНС ОЙЛ</t>
  </si>
  <si>
    <t>410007, РОССИЯ, САРАТОВСКАЯ ОБЛАСТЬ, Г.О. ГОРОД САРАТОВ, Г САРАТОВ, УЛ РОМАНТИКОВ, Д. 46Б, КВ. 19</t>
  </si>
  <si>
    <t>ИП БАЛАКИН АЛЕКСЕЙ ВЛАДИМИРОВИЧ</t>
  </si>
  <si>
    <t>ИП ЖУЛИДОВ ФЕДОР ФЕДОРОВИЧ</t>
  </si>
  <si>
    <t>ООО   ВОЛГОЙЛ</t>
  </si>
  <si>
    <t>410080, САРАТОВСКАЯ ОБЛАСТЬ, Г САРАТОВ, ПР-КТ СТРОИТЕЛЕЙ, Д.37</t>
  </si>
  <si>
    <t>410004, САРАТОВСКАЯ ОБЛАСТЬ, Г.О. ГОРОД САРАТОВ, Г САРАТОВ, УЛ АСТРАХАНСКАЯ, Д. 1, ЛИТЕРА Т</t>
  </si>
  <si>
    <t>ООО РЕВАНШ</t>
  </si>
  <si>
    <t>410506, САРАТОВСКАЯ ОБЛАСТЬ, Г САРАТОВ, ТЕР ВОЛЬСКИЙ ТРАКТ, СТР. 14</t>
  </si>
  <si>
    <t>410071, САРАТОВСКАЯ ОБЛАСТЬ, Г САРАТОВ, УЛ ШЕЛКОВИЧНАЯ, ЗД. 178А, СТР. 1, ОФИС 16</t>
  </si>
  <si>
    <t>ИП ВЯЗОВ КОНСТАНТИН СЕРГЕЕВИЧ</t>
  </si>
  <si>
    <t>ИП ХАЖМУЛЬДИНОВА СВЕТЛАНА ДМИТРИЕВНА</t>
  </si>
  <si>
    <t>ИП УЧАРОВ ЕВГЕНИЙ ИГОРЕВИЧ</t>
  </si>
  <si>
    <t>ИП АСТАХОВА АЛЁНА ВИКТОРОВНА</t>
  </si>
  <si>
    <t>Сахалинская область</t>
  </si>
  <si>
    <t>ИП ЩЕРБЕНКО АЛЕКСАНДР ИВАНОВИЧ</t>
  </si>
  <si>
    <t>ИП ПАНИХИДИН АЛЕКСЕЙ ВЛАДИМИРОВИЧ</t>
  </si>
  <si>
    <t>ООО РУС</t>
  </si>
  <si>
    <t>693020, САХАЛИНСКАЯ ОБЛАСТЬ, Г ЮЖНО-САХАЛИНСК, УЛ ИМЕНИ Ф.Э.ДЗЕРЖИНСКОГО, Д. 12, КВ. 25</t>
  </si>
  <si>
    <t>ООО ТЕХНОСАХАЛИН</t>
  </si>
  <si>
    <t>693014, САХАЛИНСКАЯ ОБЛАСТЬ, Г ЮЖНО-САХАЛИНСК, УЛ ЖУРАВЛИНАЯ, Д. 37</t>
  </si>
  <si>
    <t>ИП ДУЛЕНКО ДМИТРИЙ ВИТАЛЬЕВИЧ</t>
  </si>
  <si>
    <t>ООО СТРОЙБАЗА ПЛЮС</t>
  </si>
  <si>
    <t>694620, САХАЛИНСКАЯ ОБЛАСТЬ, Р-Н ХОЛМСКИЙ, Г ХОЛМСК, УЛ ПРИГОРОДНАЯ, Д. 2</t>
  </si>
  <si>
    <t>ИП ВЕПРИКОВ МИХАИЛ АНДРЕЕВИЧ</t>
  </si>
  <si>
    <t>ИП Ерофеева Элла Александровна</t>
  </si>
  <si>
    <t>ИП ПЕРЕХОЖЕВ ВЛАДИМИР ПЕТРОВИЧ</t>
  </si>
  <si>
    <t>ИП КИМ СУ ГИ</t>
  </si>
  <si>
    <t>ИП ЛЕБЕДЕВ РОМАН АЛЕКСАНДРОВИЧ</t>
  </si>
  <si>
    <t>ИП ЗЕЛЕНИН АРТЕМ ЕВГЕНЬЕВИЧ</t>
  </si>
  <si>
    <t>ООО САХАЛИН-ЗАПЧАСТЬСЕРВИС</t>
  </si>
  <si>
    <t>693012, САХАЛИНСКАЯ ОБЛАСТЬ, Г ЮЖНО-САХАЛИНСК, УЛ ШЛАКОБЛОЧНАЯ, Д. 37</t>
  </si>
  <si>
    <t>ООО САХАЛИН-ТРАНСОЙЛ</t>
  </si>
  <si>
    <t>693010, САХАЛИНСКАЯ ОБЛАСТЬ, Г ЮЖНО-САХАЛИНСК, ПР-КТ КОММУНИСТИЧЕСКИЙ, Д. 22, 1</t>
  </si>
  <si>
    <t>ООО  САХОЙЛ</t>
  </si>
  <si>
    <t>693004, САХАЛИНСКАЯ ОБЛАСТЬ, Г ЮЖНО-САХАЛИНСК, УЛ ВОЗДУШНАЯ, Д. 17, ОФИС 1</t>
  </si>
  <si>
    <t>ООО КОМПАНИЯ ДИАЛОГ</t>
  </si>
  <si>
    <t>693023, САХАЛИНСКАЯ ОБЛАСТЬ, Г ЮЖНО-САХАЛИНСК, УЛ КОМСОМОЛЬСКАЯ, Д. 265, ПОМЕЩ. 1</t>
  </si>
  <si>
    <t>ИП КАТКОВ ИГОРЬ ЕВГЕНЬЕВИЧ</t>
  </si>
  <si>
    <t>ИП ГОРБОВСКОЙ КОНСТАНТИН МИХАЙЛОВИЧ</t>
  </si>
  <si>
    <t>ИП ГУСАКОВ АЛЕКСАНДР ЛЕОНИДОВИЧ</t>
  </si>
  <si>
    <t>ИП БОБКОВА ВИКТОРИЯ СЕРГЕЕВНА</t>
  </si>
  <si>
    <t>ИП КОРЫТКО КОНСТАНТИН БОРИСОВИЧ</t>
  </si>
  <si>
    <t>ООО ФАКТОР</t>
  </si>
  <si>
    <t>693004, САХАЛИНСКАЯ ОБЛАСТЬ, Г ЮЖНО-САХАЛИНСК, УЛ ПУРКАЕВА М.А., Д. 61</t>
  </si>
  <si>
    <t>ИП ВЯЛЬШИНА ЕКАТЕРИНА ЮРЬЕВНА</t>
  </si>
  <si>
    <t>ИП УСТИНОВА НАТАЛЬЯ ГЕННАДЬЕВНА</t>
  </si>
  <si>
    <t>ООО ВСК</t>
  </si>
  <si>
    <t>693008, САХАЛИНСКАЯ ОБЛАСТЬ, Г ЮЖНО-САХАЛИНСК, УЛ КРЮКОВА Д.Н., Д. 168А, 4</t>
  </si>
  <si>
    <t>ООО ОПТАВТО 65</t>
  </si>
  <si>
    <t>693004, РОССИЯ, САХАЛИНСКАЯ ОБЛАСТЬ, Г.О. ГОРОД ЮЖНО-САХАЛИНСК, Г ЮЖНО-САХАЛИНСК, УЛ ПУРКАЕВА М.А., Д. 63, ОФИС 1</t>
  </si>
  <si>
    <t>ООО ВМС ИНЖИНИРИНГ</t>
  </si>
  <si>
    <t>693022, РОССИЯ, САХАЛИНСКАЯ ОБЛАСТЬ, Г.О. ГОРОД ЮЖНО-САХАЛИНСК, Г ЮЖНО-САХАЛИНСК, ТЕР. ОПЕРЕЖАЮЩЕГО РАЗВИТИЯ САХАЛИН, Д. 7</t>
  </si>
  <si>
    <t>ООО РОДОНИТ</t>
  </si>
  <si>
    <t>693006, РОССИЯ, САХАЛИНСКАЯ ОБЛАСТЬ, Г.О. ГОРОД ЮЖНО-САХАЛИНСК, Г ЮЖНО-САХАЛИНСК, УЛ ЕМЕЛЬЯНОВА А.О., Д. 36</t>
  </si>
  <si>
    <t>ИП МЫЛЬНИКОВ ВИКТОР АЛЕКСАНДРОВИЧ</t>
  </si>
  <si>
    <t>ИП ВЕДЬМАКОВ СЕРГЕЙ НИКОЛАЕВИЧ</t>
  </si>
  <si>
    <t>ИП КОЖЕВНИКОВ ОЛЕГ СЕРГЕЕВИЧ</t>
  </si>
  <si>
    <t>ИП КИЧИГИНА ЛЮБОВЬ АЛЕКСАНДРОВНА</t>
  </si>
  <si>
    <t>ИП И НАТАЛЬЯ ЖЕУНОВНА</t>
  </si>
  <si>
    <t>ИП КИМ КЫМ НИ</t>
  </si>
  <si>
    <t>ИП МОСКАЛЕНКО НАДЕЖДА ПАВЛОВНА</t>
  </si>
  <si>
    <t>ИП АЛЕКСАНДРОВА ЕЛЕНА ЮРЬЕВНА</t>
  </si>
  <si>
    <t>ООО ТД ЗОДЧИЙ</t>
  </si>
  <si>
    <t>693000, САХАЛИНСКАЯ ОБЛАСТЬ, Г ЮЖНО-САХАЛИНСК, УЛ ЖЕЛЕЗНОДОРОЖНАЯ, Д. 168/2</t>
  </si>
  <si>
    <t>ООО ЛУБРИКОМ</t>
  </si>
  <si>
    <t>693020, САХАЛИНСКАЯ ОБЛАСТЬ, Г ЮЖНО-САХАЛИНСК, ПР-КТ МИРА, Д. 58/2</t>
  </si>
  <si>
    <t>693012, САХАЛИНСКАЯ ОБЛАСТЬ, Г ЮЖНО-САХАЛИНСК, ПР-КТ МИРА, Д. 5/3</t>
  </si>
  <si>
    <t>ООО САХАВТО</t>
  </si>
  <si>
    <t>693012, РОССИЯ, САХАЛИНСКАЯ ОБЛАСТЬ, Г.О. ГОРОД ЮЖНО-САХАЛИНСК, Г ЮЖНО-САХАЛИНСК, ПР-КТ МИРА, Д. 5, ОФИС 14</t>
  </si>
  <si>
    <t>ИП САВОСТО МИХАИЛ НИКОЛАЕВИЧ</t>
  </si>
  <si>
    <t>ИП МАЛЬЦЕВ ИГОРЬ КОНСТАНТИНОВИЧ</t>
  </si>
  <si>
    <t>ИП И ДОН ГИР</t>
  </si>
  <si>
    <t>ИП МАРТЫНЕНКО ЕВГЕНИЙ ЮРЬЕВИЧ</t>
  </si>
  <si>
    <t>ИП ЛАТУН АЛЁНА НИКОЛАЕВНА</t>
  </si>
  <si>
    <t>ИП АЛИЕВ МУСТАФА КИЧИК ОГЛЫ</t>
  </si>
  <si>
    <t>ООО ТД КОНТИНЕНТ</t>
  </si>
  <si>
    <t>693004, РОССИЯ, САХАЛИНСКАЯ ОБЛАСТЬ, Г.О. ГОРОД ЮЖНО-САХАЛИНСК, Г ЮЖНО-САХАЛИНСК, УЛ ПУРКАЕВА М.А., Д. 61, ПОМЕЩ. 211А</t>
  </si>
  <si>
    <t>ИП ПАЦУК ЕКАТЕРИНА ДМИТРИЕВНА</t>
  </si>
  <si>
    <t>ООО ГЛОБАЛ ЛОГИСТИК</t>
  </si>
  <si>
    <t>693023, САХАЛИНСКАЯ ОБЛАСТЬ, Г ЮЖНО-САХАЛИНСК, УЛ АЛЕКСЕЯ МАКСИМОВИЧА ГОРЬКОГО, Д. 23, ОФИС 311</t>
  </si>
  <si>
    <t>693012, САХАЛИНСКАЯ ОБЛАСТЬ, Г.О. ГОРОД ЮЖНО-САХАЛИНСК, Г ЮЖНО-САХАЛИНСК, УЛ УКРАИНСКАЯ, Д. 7, КВ. 9</t>
  </si>
  <si>
    <t>ИП ЛИТВИНОВ ГЕННАДИЙ СЕРГЕЕВИЧ</t>
  </si>
  <si>
    <t>ООО ТРАНСВЛ</t>
  </si>
  <si>
    <t>693012, САХАЛИНСКАЯ ОБЛАСТЬ, Г ЮЖНО-САХАЛИНСК, ПР-КТ МИРА, Д. 5В</t>
  </si>
  <si>
    <t>ИП СУКМАНОВ ДМИТРИЙ ЕВГЕНЬЕВИЧ</t>
  </si>
  <si>
    <t>ИП МИГУНОВ ГЕРМАН АЛЕКСЕЕВИЧ</t>
  </si>
  <si>
    <t>ИП РЯЗАНОВ ПАВЕЛ АЛЕКСАНДРОВИЧ</t>
  </si>
  <si>
    <t>ИП КИМ СЕРГЕЙ ВЛАДИМИРОВИЧ</t>
  </si>
  <si>
    <t>ИП ГОРЮНОВ АЛЕКСАНДР ВИТАЛЬЕВИЧ</t>
  </si>
  <si>
    <t>ООО НЕФТЕГАЗСНАБ</t>
  </si>
  <si>
    <t>694620, САХАЛИНСКАЯ ОБЛАСТЬ, Р-Н ХОЛМСКИЙ, Г ХОЛМСК, УЛ ПРИГОРОДНАЯ, ЗД. 2В, ОФИС 3</t>
  </si>
  <si>
    <t>ИП ИБАДОВ БЕХРУЗ ФИРУЗ УГЛИ</t>
  </si>
  <si>
    <t>ИП РИДЕЛЬ МАРИЯ ВЛАДИМИРОВНА</t>
  </si>
  <si>
    <t>ООО МАЛТИ СМАРТ ПРОДАКТС</t>
  </si>
  <si>
    <t>693014, САХАЛИНСКАЯ ОБЛАСТЬ, Г.О. ГОРОД ЮЖНО-САХАЛИНСК, Г ЮЖНО-САХАЛИНСК, УЛ ЖУРАВЛИНАЯ, Д. 37</t>
  </si>
  <si>
    <t>ООО ЕВРООИЛ ДВ</t>
  </si>
  <si>
    <t>693012, САХАЛИНСКАЯ ОБЛАСТЬ, Г.О. ГОРОД ЮЖНО-САХАЛИНСК, Г ЮЖНО-САХАЛИНСК, ПЕР ЭНЕРГЕТИКОВ, Д. 2А, ПОМЕЩ. 2А</t>
  </si>
  <si>
    <t>ООО САХО-У</t>
  </si>
  <si>
    <t>693004, РОССИЯ, САХАЛИНСКАЯ ОБЛАСТЬ, Г.О. ГОРОД ЮЖНО-САХАЛИНСК, Г ЮЖНО-САХАЛИНСК, УЛ ЛЕНИНА, Д. 395, ОФИС 1</t>
  </si>
  <si>
    <t>ИП ПЕСКОВ ТИМУР ЮРЬЕВИЧ</t>
  </si>
  <si>
    <t>ИП АКУЛЕНКО ОЛЬГА ВЛАДИМИРОВНА</t>
  </si>
  <si>
    <t>694450, САХАЛИНСКАЯ ОБЛАСТЬ, Р-Н НОГЛИКСКИЙ, ПГТ НОГЛИКИ, УЛ НОВАЯ, Д. 17</t>
  </si>
  <si>
    <t>ИП КОРТУНОВ ВИКТОР ЕГОРОВИЧ</t>
  </si>
  <si>
    <t>ИП ЧЕРЕПАНОВ МИХАИЛ КОНСТАНТИНОВИЧ</t>
  </si>
  <si>
    <t>Свердловская область</t>
  </si>
  <si>
    <t>ИП ЯРМУХАМЕТОВА АЙГУЛЬ МУСЛИМОВНА</t>
  </si>
  <si>
    <t>ИП ЮЖАНИНОВ АЛЕКСАНДР НИКОЛАЕВИЧ</t>
  </si>
  <si>
    <t>ИП ТРЕТЬЯКОВА АЛЕКСАНДРА ОЛЕГОВНА</t>
  </si>
  <si>
    <t>ИП ТРЕТЬЯКОВ ОЛЕГ ВЛАДИМИРОВИЧ</t>
  </si>
  <si>
    <t>ИП КОТКОВ АЛЕКСАНДР АЛЕКСЕЕВИЧ</t>
  </si>
  <si>
    <t>ООО ОКАМИ КУРГАН</t>
  </si>
  <si>
    <t>620014, СВЕРДЛОВСКАЯ ОБЛАСТЬ, Г ЕКАТЕРИНБУРГ, УЛ РАДИЩЕВА, Д.10, 513</t>
  </si>
  <si>
    <t>ИП КУРАКИНА НАТАЛЬЯ ОЛЕГОВНА</t>
  </si>
  <si>
    <t>ИП ДВОРЕЦКИЙ ВИКТОР ВЯЧЕСЛАВОВИЧ</t>
  </si>
  <si>
    <t>ИП СУРКОВ ПАВЕЛ ВИКТОРОВИЧ</t>
  </si>
  <si>
    <t>ИП ДЕНИСОВ ЕВГЕНИЙ АЛЕКСАНДРОВИЧ</t>
  </si>
  <si>
    <t>ИП КОБЕЛЕВА МАРИЯ ДЕНИСОВНА</t>
  </si>
  <si>
    <t>ИП ПОРОШИН ДАНИЛ АНАТОЛЬЕВИЧ</t>
  </si>
  <si>
    <t>ИП ТЮКАНКИН ДМИТРИЙ ЮРЬЕВИЧ</t>
  </si>
  <si>
    <t>ИП КОСТЕНКОВ ДМИТРИЙ ИВАНОВИЧ</t>
  </si>
  <si>
    <t>ИП КАРАСЬ АЛЕКСЕЙ НИКОЛАЕВИЧ</t>
  </si>
  <si>
    <t>ИП САПРУНОВ ДМИТРИЙ МИХАЙЛОВИЧ</t>
  </si>
  <si>
    <t>ИП МОЗЕР ИВАН АЛЕКСАНДРОВИЧ</t>
  </si>
  <si>
    <t>ИП ПОЛУЯНОВ АЛЕКСЕЙ ВЛАДИМИРОВИЧ</t>
  </si>
  <si>
    <t>ИП ЩУПОВ ВЛАДИСЛАВ ПАВЛОВИЧ</t>
  </si>
  <si>
    <t>ИП ПИТАТЕЛЕВА ОКСАНА СТЕПАНОВНА</t>
  </si>
  <si>
    <t>ИП ЗАЛОГИНА АНАСТАСИЯ СЕРГЕЕВНА</t>
  </si>
  <si>
    <t>ООО НАШИ МАШИНЫ</t>
  </si>
  <si>
    <t>620043, РОССИЯ, СВЕРДЛОВСКАЯ ОБЛАСТЬ, Г.О. ГОРОД ЕКАТЕРИНБУРГ, Г ЕКАТЕРИНБУРГ, УЛ МЕТАЛЛУРГОВ, СТР. 65</t>
  </si>
  <si>
    <t>ИП Аристов Александр Борисович</t>
  </si>
  <si>
    <t>ИП МУСИХИН ЕВГЕНИЙ АНАТОЛЬЕВИЧ</t>
  </si>
  <si>
    <t>ГБУЗ СО АЛАПАЕВСКАЯ ССМП</t>
  </si>
  <si>
    <t>624600, СВЕРДЛОВСКАЯ ОБЛАСТЬ, Г АЛАПАЕВСК, УЛ ПУШКИНА, ЗД. 198</t>
  </si>
  <si>
    <t>ИП КОПАЧКОВ АНДРЕЙ ВЛАДИМИРОВИЧ</t>
  </si>
  <si>
    <t>ИП ЛАПШИН АЛЕКСЕЙ ВАЛЕРЬЕВИЧ</t>
  </si>
  <si>
    <t>ИП БАЛАКИН СЕРГЕЙ АЛЕКСАНДРОВИЧ</t>
  </si>
  <si>
    <t>ИП АТАГОЙ ГРИГОРИЙ НИКОЛАЕВИЧ</t>
  </si>
  <si>
    <t>ИП САМОРОДКИН АЛЕКСАНДР ОЛЕГОВИЧ</t>
  </si>
  <si>
    <t>ИП ВИТМЕР ПАВЕЛ ВАСИЛЬЕВИЧ</t>
  </si>
  <si>
    <t>ИП ВЛАСОВ АЛЕКСЕЙ ВАЛЕРЬЕВИЧ</t>
  </si>
  <si>
    <t>ИП Мезенин Игорь Петрович</t>
  </si>
  <si>
    <t>ИП АХМАДИЕВ РАШИД АГЛЯМОВИЧ</t>
  </si>
  <si>
    <t>ООО ЖД 1520</t>
  </si>
  <si>
    <t>622049, РОССИЯ, СВЕРДЛОВСКАЯ ОБЛАСТЬ, М.О. ГОРОД НИЖНИЙ ТАГИЛ, Г НИЖНИЙ ТАГИЛ, УЛ ДРУЖИНИНА, Д. 47, ОФИС 201</t>
  </si>
  <si>
    <t>ИП КИСЕЛЕВ ВЛАДИМИР АНАТОЛЬЕВИЧ</t>
  </si>
  <si>
    <t>ИП УВАРОВА ОЛЬГА ВЛАДИМИРОВНА</t>
  </si>
  <si>
    <t>ИП Солохин Валерий Альбертович</t>
  </si>
  <si>
    <t>ИП СОСНИН СЕРГЕЙ ПАВЛОВИЧ</t>
  </si>
  <si>
    <t>ИП АНТРОПОВСКАЯ ИРИНА НИКОЛАЕВНА</t>
  </si>
  <si>
    <t>ИП ГАЛКИН ВАЛЕРИЙ ВЛАДИМИРОВИЧ</t>
  </si>
  <si>
    <t>ИП ЦИГВИНЦЕВ ЛЕОНИД ВЯЧЕСЛАВОВИЧ</t>
  </si>
  <si>
    <t>ИП ГАЛКИН АЛЕКСЕЙ ВЛАДИМИРОВИЧ</t>
  </si>
  <si>
    <t>ИП Аврутина Людмила Михайловна</t>
  </si>
  <si>
    <t>ИП ВОЛГИНА НИНА СТАНИСЛАВОВНА</t>
  </si>
  <si>
    <t>ООО АВТОМОБИЛЬНЫЙ ДВОР</t>
  </si>
  <si>
    <t>624030, РОССИЯ, СВЕРДЛОВСКАЯ ОБЛАСТЬ, Г.О. БЕЛОЯРСКИЙ, ПГТ БЕЛОЯРСКИЙ, УЛ КЛЮЧЕВСКАЯ, Д. 37</t>
  </si>
  <si>
    <t>ИП ЕЛЬКИН СЕРГЕЙ ИЛЬИЧ</t>
  </si>
  <si>
    <t>ИП НЕФЁДОВ ВЛАДИМИР АЛЕКСЕЕВИЧ</t>
  </si>
  <si>
    <t>ИП ДУРНИЦЫН РОМАН ГЕОРГИЕВИЧ</t>
  </si>
  <si>
    <t>ИП КЛЮКИН ДМИТРИЙ СЕРГЕЕВИЧ</t>
  </si>
  <si>
    <t>ИП ГОРБУНОВ ВАДИМ ОЛЕГОВИЧ</t>
  </si>
  <si>
    <t>ИП ШАНГУРОВ ЮРИЙ АЛЕКСЕЕВИЧ</t>
  </si>
  <si>
    <t>ИП ПОПОВ ВЕНИАМИН ЭДГАРОВИЧ</t>
  </si>
  <si>
    <t>ООО ФИННОЙЛ</t>
  </si>
  <si>
    <t>620102, РОССИЯ, СВЕРДЛОВСКАЯ ОБЛАСТЬ, Г.О. ГОРОД ЕКАТЕРИНБУРГ, Г ЕКАТЕРИНБУРГ, УЛ ПОСАДСКАЯ, СТР. 21, ОФИС 325.1</t>
  </si>
  <si>
    <t>ООО ГСМ-АВТО</t>
  </si>
  <si>
    <t>620076, СВЕРДЛОВСКАЯ ОБЛАСТЬ, Г ЕКАТЕРИНБУРГ, УЛ ПОХОДНАЯ, СТР. 76, ОФИС 26</t>
  </si>
  <si>
    <t>ООО АСЦ</t>
  </si>
  <si>
    <t>620043, РОССИЯ, СВЕРДЛОВСКАЯ ОБЛАСТЬ, Г.О. ГОРОД ЕКАТЕРИНБУРГ, Г ЕКАТЕРИНБУРГ, УЛ. АРХАНГЕЛА МИХАИЛА, СТР. 34</t>
  </si>
  <si>
    <t>ООО ПРАВИЛЬНЫЙ ВЫБОР</t>
  </si>
  <si>
    <t>620102, СВЕРДЛОВСКАЯ ОБЛАСТЬ, Г ЕКАТЕРИНБУРГ, УЛ СЕРАФИМЫ ДЕРЯБИНОЙ, СТР. 24, ОФИС 704</t>
  </si>
  <si>
    <t>ООО ПВ-ВС</t>
  </si>
  <si>
    <t>620102, СВЕРДЛОВСКАЯ ОБЛАСТЬ, Г ЕКАТЕРИНБУРГ, УЛ СЕРАФИМЫ ДЕРЯБИНОЙ, СТР. 24, ОФИС 729</t>
  </si>
  <si>
    <t>ИП КОЧКИН АЛЕКСЕЙ СТАНИСЛАВОВИЧ</t>
  </si>
  <si>
    <t>ИП МАРТЫНЕНКО АЛЕКСАНДР ВАСИЛЬЕВИЧ</t>
  </si>
  <si>
    <t>ИП МАВРЫКИН ДЕНИС НИКОЛАЕВИЧ</t>
  </si>
  <si>
    <t>ИП СТАДНИКОВ АНДРЕЙ ГЕННАДЬЕВИЧ</t>
  </si>
  <si>
    <t>ИП БАБИНА ЕЛЕНА ЮРЬЕВНА</t>
  </si>
  <si>
    <t>ИП РЯБКОВ РОМАН АЛЕКСАНДРОВИЧ</t>
  </si>
  <si>
    <t>ИП ВЛАСКИНА ИРИНА АЛЕКСАНДРОВНА</t>
  </si>
  <si>
    <t>620062, СВЕРДЛОВСКАЯ ОБЛАСТЬ, Г ЕКАТЕРИНБУРГ, УЛ МАЛЫШЕВА, Д. 111Б, КВ. 12</t>
  </si>
  <si>
    <t>ООО ТК ОРИГИНАЛ</t>
  </si>
  <si>
    <t>620137, СВЕРДЛОВСКАЯ ОБЛАСТЬ, Г ЕКАТЕРИНБУРГ, УЛ СУЛИМОВА, Д.4, ЛИТЕР К1, ОФИС 10</t>
  </si>
  <si>
    <t>ООО СПД-ГРУПП</t>
  </si>
  <si>
    <t>620043, СВЕРДЛОВСКАЯ ОБЛАСТЬ, Г.О. ГОРОД ЕКАТЕРИНБУРГ, Г ЕКАТЕРИНБУРГ, УЛ ЗАВОДСКАЯ, СТР. 77, ПОМЕЩ. 1-3</t>
  </si>
  <si>
    <t>ИП КОРШУНОВ ЛЕОНИД АЛЕКСАНДРОВИЧ</t>
  </si>
  <si>
    <t>ООО ИК ЭФАМ</t>
  </si>
  <si>
    <t>620072, РОССИЯ, СВЕРДЛОВСКАЯ ОБЛАСТЬ, Г.О. ГОРОД ЕКАТЕРИНБУРГ, Г ЕКАТЕРИНБУРГ, УЛ КОНСТРУКТОРОВ, СТР. 5, ПОМЕЩ. 29</t>
  </si>
  <si>
    <t>ИП БОГДАНОВА НАТАЛЬЯ МИХАЙЛОВНА</t>
  </si>
  <si>
    <t>ИП ШУСТИКОВ ДАНИИЛ ВИКТОРОВИЧ</t>
  </si>
  <si>
    <t>ООО МТУ</t>
  </si>
  <si>
    <t>620146, РОССИЯ, СВЕРДЛОВСКАЯ ОБЛАСТЬ, Г.О. ГОРОД ЕКАТЕРИНБУРГ, Г ЕКАТЕРИНБУРГ, УЛ ШАУМЯНА/ЧКАЛОВА, СТР. 73/16, ЭТАЖ/ПОМЕЩ. 5/17</t>
  </si>
  <si>
    <t>620036, СВЕРДЛОВСКАЯ ОБЛАСТЬ, Г ЕКАТЕРИНБУРГ, УЛ ЕВГЕНИЯ САВКОВА, Д. 45, ОФИС 2</t>
  </si>
  <si>
    <t>ООО ВИК`ОЙЛ ПЛЮС</t>
  </si>
  <si>
    <t>620089, СВЕРДЛОВСКАЯ ОБЛАСТЬ, Г.О. ГОРОД ЕКАТЕРИНБУРГ, Г ЕКАТЕРИНБУРГ, УЛ БЕЛИНСКОГО, Д. 169А, ПОМЕЩ. 1</t>
  </si>
  <si>
    <t>ИП ШАФИКОВ ОЛЕГ ГАЛИМЖАНОВИЧ</t>
  </si>
  <si>
    <t>ИП Ожиганов Александр Вячеславович</t>
  </si>
  <si>
    <t>ИП УСАТОВ АНДРЕЙ НИКОЛАЕВИЧ</t>
  </si>
  <si>
    <t>ИП НУСРАТУЛЛИНА АЙГУЛЬ ФАИЛОВНА</t>
  </si>
  <si>
    <t>ИП МЕХАЕВА АЛЕСЯ МАКСИМОВНА</t>
  </si>
  <si>
    <t>ООО КОМПАНИЯ ИМПАРТ</t>
  </si>
  <si>
    <t>620034, СВЕРДЛОВСКАЯ ОБЛАСТЬ, Г ЕКАТЕРИНБУРГ, УЛ АГРИППИНЫ ПОЛЕЖАЕВОЙ, СТР. 10А, ОФИС 505</t>
  </si>
  <si>
    <t>ИП ЕФИМОВ АНДРЕЙ АНАТОЛЬЕВИЧ</t>
  </si>
  <si>
    <t>ООО ТУРА</t>
  </si>
  <si>
    <t>623943, СВЕРДЛОВСКАЯ ОБЛАСТЬ, Р-Н СЛОБОДО-ТУРИНСКИЙ, С УСТЬ-НИЦИНСКОЕ, УЛ ШАНАУРИНА, Д. 29</t>
  </si>
  <si>
    <t>624604, СВЕРДЛОВСКАЯ ОБЛАСТЬ, Г АЛАПАЕВСК, УЛ ЧЕХОВА, Д. 7, КВ. 3</t>
  </si>
  <si>
    <t>ИП СОБЯНИН ВИТАЛИЙ АНАТОЛЬЕВИЧ</t>
  </si>
  <si>
    <t>ООО КАМАЗ ЦЕНТР ЕКАТЕРИНБУРГ</t>
  </si>
  <si>
    <t>623704, СВЕРДЛОВСКАЯ ОБЛАСТЬ, Г БЕРЕЗОВСКИЙ, УЛ КОЛЬЦЕВАЯ, СТР. 4К</t>
  </si>
  <si>
    <t>ООО МАРКЕТ-ОЙЛ</t>
  </si>
  <si>
    <t>620134, СВЕРДЛОВСКАЯ ОБЛАСТЬ, Г ЕКАТЕРИНБУРГ, П ШУВАКИШ, УЛ ЗЕЛЕНАЯ, СТР. 50А, ОФИС 27</t>
  </si>
  <si>
    <t>ООО ЛИОРА</t>
  </si>
  <si>
    <t>620010, СВЕРДЛОВСКАЯ ОБЛАСТЬ, Г.О. ГОРОД ЕКАТЕРИНБУРГ, Г ЕКАТЕРИНБУРГ, УЛ ГРИБОЕДОВА, Д. 32, К. 20, ОФИС 1121</t>
  </si>
  <si>
    <t>ООО ЛЮКС</t>
  </si>
  <si>
    <t>620010, СВЕРДЛОВСКАЯ ОБЛАСТЬ, Г.О. ГОРОД ЕКАТЕРИНБУРГ, Г ЕКАТЕРИНБУРГ, УЛ ГРИБОЕДОВА, Д. 32, К. 20, ОФИС 921</t>
  </si>
  <si>
    <t>ООО РЯБИНА МАРКЕТ</t>
  </si>
  <si>
    <t>620010, СВЕРДЛОВСКАЯ ОБЛАСТЬ, Г.О. ГОРОД ЕКАТЕРИНБУРГ, Г ЕКАТЕРИНБУРГ, УЛ ЧЕРНЯХОВСКОГО, СТР. 86, ОФИС 186</t>
  </si>
  <si>
    <t>ООО СИМА-ЗАПАД</t>
  </si>
  <si>
    <t>620010, РОССИЯ, СВЕРДЛОВСКАЯ ОБЛАСТЬ, Г.О. ГОРОД ЕКАТЕРИНБУРГ, Г ЕКАТЕРИНБУРГ, УЛ ЧЕРНЯХОВСКОГО, СТР. 86, ОФИС 205</t>
  </si>
  <si>
    <t>ООО ФИА</t>
  </si>
  <si>
    <t>620085, СВЕРДЛОВСКАЯ ОБЛАСТЬ, Г.О. ГОРОД ЕКАТЕРИНБУРГ, Г ЕКАТЕРИНБУРГ, УЛ ЗЕНИТЧИКОВ, Д. 14А, КВ. 112</t>
  </si>
  <si>
    <t>ООО УССК</t>
  </si>
  <si>
    <t>623119, РОССИЯ, СВЕРДЛОВСКАЯ ОБЛАСТЬ, М.О. ПЕРВОУРАЛЬСК, Г ПЕРВОУРАЛЬСК, УЛ БЕРЕГОВАЯ, Д. 46, КВ. 34</t>
  </si>
  <si>
    <t>ООО САВАЛТ ИНДАСТРИАЛ</t>
  </si>
  <si>
    <t>620026, РОССИЯ, СВЕРДЛОВСКАЯ ОБЛАСТЬ, Г.О. ГОРОД ЕКАТЕРИНБУРГ, Г ЕКАТЕРИНБУРГ, УЛ ТВЕРИТИНА, Д. 46, ОФИС 201</t>
  </si>
  <si>
    <t>ООО ГЛАЗУРИТ-АВТО</t>
  </si>
  <si>
    <t>620091, СВЕРДЛОВСКАЯ ОБЛАСТЬ, Г ЕКАТЕРИНБУРГ, УЛ ФРОНТОВЫХ БРИГАД, Д. 27, ОФИС 7</t>
  </si>
  <si>
    <t>ООО ПЕТРОЛ С</t>
  </si>
  <si>
    <t>620042, РОССИЯ, СВЕРДЛОВСКАЯ ОБЛАСТЬ, Г.О. ГОРОД ЕКАТЕРИНБУРГ, Г ЕКАТЕРИНБУРГ, УЛ БАКИНСКИХ КОМИССАРОВ, Д. 101, КВ. 213</t>
  </si>
  <si>
    <t>ООО УРАЗ-ЕКАТ СЕРВИС</t>
  </si>
  <si>
    <t>620016, РОССИЯ, СВЕРДЛОВСКАЯ ОБЛАСТЬ, Г.О. ГОРОД ЕКАТЕРИНБУРГ, Г ЕКАТЕРИНБУРГ, УЛ ПРЕДЕЛЬНАЯ, СТР. 57/3, ПОМЕЩ. 1 ОФИС 3206</t>
  </si>
  <si>
    <t>ООО МЕГАЗАПЧАСТИ</t>
  </si>
  <si>
    <t>620143, РОССИЯ, СВЕРДЛОВСКАЯ ОБЛАСТЬ, Г.О. ГОРОД ЕКАТЕРИНБУРГ, Г ЕКАТЕРИНБУРГ, УЛ ИЛЬИЧА, Д. 28, ПОМЕЩ. 1</t>
  </si>
  <si>
    <t>ИП МОЛЧАНОВА ЛЮДМИЛА ИВАНОВНА</t>
  </si>
  <si>
    <t>ИП Турбин Иван Павлович</t>
  </si>
  <si>
    <t>ООО УРАЛАВТО</t>
  </si>
  <si>
    <t>624600, СВЕРДЛОВСКАЯ ОБЛАСТЬ, Г АЛАПАЕВСК, УЛ БРАТЬЕВ СМОЛЬНИКОВЫХ, СТР. 35</t>
  </si>
  <si>
    <t>ИП САВИНКОВА НАДЕЖДА АЛЕКСАНДРОВНА</t>
  </si>
  <si>
    <t>ИП ШАХОВ ЭДУАРД БОРИСОВИЧ</t>
  </si>
  <si>
    <t>ИП КАРПУХИНА ОКСАНА ВИКТОРОВНА</t>
  </si>
  <si>
    <t>ИП САБИРОВА МАРИЯ АЛЬБЕРТОВНА</t>
  </si>
  <si>
    <t>ИП СИВАЧЕВА МАРИНА ИГОРЕВНА</t>
  </si>
  <si>
    <t>ИП ЩЕКОЛДИН ЕВГЕНИЙ ВЛАДИМИРОВИЧ</t>
  </si>
  <si>
    <t>ИП СТРАХОВА НАТАЛЬЯ ВИКТОРОВНА</t>
  </si>
  <si>
    <t>ИП ПАТРИКЕЕВ ДМИТРИЙ СЕРГЕЕВИЧ</t>
  </si>
  <si>
    <t>ООО СПЕЦ-М</t>
  </si>
  <si>
    <t>624091, СВЕРДЛОВСКАЯ ОБЛАСТЬ, Г ВЕРХНЯЯ ПЫШМА, УЛ ПЕТРОВА, Д. 11</t>
  </si>
  <si>
    <t>ООО ТАГИЛ АВТО</t>
  </si>
  <si>
    <t>620063, СВЕРДЛОВСКАЯ ОБЛАСТЬ, Г ЕКАТЕРИНБУРГ, УЛ ЧАПАЕВА, Д.14, К.7, ОФИС 21</t>
  </si>
  <si>
    <t>ООО СЕВЕР  МОТОР</t>
  </si>
  <si>
    <t>620014, СВЕРДЛОВСКАЯ ОБЛАСТЬ, Г ЕКАТЕРИНБУРГ, УЛ МОСКОВСКАЯ, Д.195, ОФИС 705</t>
  </si>
  <si>
    <t>620102, СВЕРДЛОВСКАЯ ОБЛАСТЬ, Г ЕКАТЕРИНБУРГ, УЛ ШАУМЯНА, СТР. 83, ОФИС 219</t>
  </si>
  <si>
    <t>ИП ПАМШЕВА АЛЕНА АНАТОЛЬЕВНА</t>
  </si>
  <si>
    <t>ИП БРАГАР СЕРГЕЙ ВИКТОРОВИЧ</t>
  </si>
  <si>
    <t>ИП КОТОВА ОЛЬГА ВЯЧЕСЛАВОВНА</t>
  </si>
  <si>
    <t>ИП КАЗАКОВА ОЛЬГА ВАЛЕРЬЕВНА</t>
  </si>
  <si>
    <t>ИП БЕГЕН АЛЕКСЕЙ ЮРЬЕВИЧ</t>
  </si>
  <si>
    <t>ИП Бурлин Александр Валерьевич</t>
  </si>
  <si>
    <t>ИП ЗЯМБАХТИН ЕВГЕНИЙ ВАЛЕРЬЕВИЧ</t>
  </si>
  <si>
    <t>ИП Федосова Ольга Александровна</t>
  </si>
  <si>
    <t>ИП ЗАЛОЖУК ДЕНИС НИКОЛАЕВИЧ</t>
  </si>
  <si>
    <t>ИП НЕСТЕРОВА МАРИНА АНДРЕЕВНА</t>
  </si>
  <si>
    <t>ИП БОЛЬШЕДВОРОВ ВАЛЕРИЙ АНДРЕЕВИЧ</t>
  </si>
  <si>
    <t>ИП МАНЬКОВ АЛЕКСАНДР АНАТОЛЬЕВИЧ</t>
  </si>
  <si>
    <t>ИП ЖУРАВЛЕВ АЛЕКСЕЙ ВИКТОРОВИЧ</t>
  </si>
  <si>
    <t>ООО БЕНЕФИТ-М</t>
  </si>
  <si>
    <t>623426, РОССИЯ, СВЕРДЛОВСКАЯ ОБЛАСТЬ, Г.О. КАМЕНСК-УРАЛЬСКИЙ, Г КАМЕНСК-УРАЛЬСКИЙ, УЛ МЕХАНИЗАТОРОВ, Д. 78, КВ. 5</t>
  </si>
  <si>
    <t>ИП МАЛЬЦЕВ ДЕНИС АЛЕКСАНДРОВИЧ</t>
  </si>
  <si>
    <t>ИП ДУГИН АЛЕКСЕЙ СЕРГЕЕВИЧ</t>
  </si>
  <si>
    <t>ИП МУХАМАТОВ СЕРГЕЙ ВАГИЗОВИЧ</t>
  </si>
  <si>
    <t>ИП КАРМАЗИН СЕРГЕЙ ИГОРЕВИЧ</t>
  </si>
  <si>
    <t>ИП ШЕСТАКОВА АНАСТАСИЯ НИКОЛАЕВНА</t>
  </si>
  <si>
    <t>ИП ИВАНОВ АЛЕКСАНДР БОРИСОВИЧ</t>
  </si>
  <si>
    <t>ИП ЯВОРСКАЯ ОЛЬГА ВЛАДИМИРОВНА</t>
  </si>
  <si>
    <t>ИП Новакова Наталья Юрьевна</t>
  </si>
  <si>
    <t>ИП АТАГОЙ НИКОЛАЙ ГРИГОРОВИЧ</t>
  </si>
  <si>
    <t>ИП ЛОРЕНЦ КИРИЛЛ ИГОРЕВИЧ</t>
  </si>
  <si>
    <t>ИП СУЛТАНОВ РАМИЛЬ ФИРДАВИСОВИЧ</t>
  </si>
  <si>
    <t>ИП ЧУКИЧЕВ ДМИТРИЙ ГЕННАДЬЕВИЧ</t>
  </si>
  <si>
    <t>ИП ВАВИЛОВ ВЛАДИМИР АЛЕКСАНДРОВИЧ</t>
  </si>
  <si>
    <t>ИП КАРАНИНА ИРИНА НИКОЛАЕВНА</t>
  </si>
  <si>
    <t>ИП ЧЕМАКИН АЛЕКСЕЙ ВАЛЕРЬЕВИЧ</t>
  </si>
  <si>
    <t>ИП РОЖКОВ АЛЕКСАНДР ВИКТОРОВИЧ</t>
  </si>
  <si>
    <t>ИП МАЛЬЦЕВ СЕРГЕЙ ИГОРЕВИЧ</t>
  </si>
  <si>
    <t>ИП БИРЮКОВ СЕРГЕЙ ДМИТРИЕВИЧ</t>
  </si>
  <si>
    <t>ИП КОЛЕСНИКОВ ЕВГЕНИЙ РУВИМОВИЧ</t>
  </si>
  <si>
    <t>ИП АРХИПЦЕВ АЛЕКСАНДР ОЛЕГОВИЧ</t>
  </si>
  <si>
    <t>ИП Гудков Михаил Валерьевич</t>
  </si>
  <si>
    <t>ИП АЛИМОВ ДМИТРИЙ ВЛАДИМИРОВИЧ</t>
  </si>
  <si>
    <t>ИП РЮПИН ИГОРЬ ВЯЧЕСЛАВОВИЧ</t>
  </si>
  <si>
    <t>ИП КУПРИЯНОВА ЕЛЕНА ВИКТОРОВНА</t>
  </si>
  <si>
    <t>ИП КОЛЕДОВА ОКСАНА ВЛАДИМИРОВНА</t>
  </si>
  <si>
    <t>ИП КОВЕЛИН АНДРЕЙ ВЛАДИМИРОВИЧ</t>
  </si>
  <si>
    <t>ИП ПОНОМАРЕВ ВАДИМ ВИТАЛЬЕВИЧ</t>
  </si>
  <si>
    <t>ИП БРУСНИЦИН АНДРЕЙ ВИКТОРОВИЧ</t>
  </si>
  <si>
    <t>ИП ВИТОМСКИЙ БОРИС СТАНИСЛАВОВИЧ</t>
  </si>
  <si>
    <t>ИП Кислов Владимир Иванович</t>
  </si>
  <si>
    <t>ИП ЩЕКОЛДИН СЕРГЕЙ ВЛАДИМИРОВИЧ</t>
  </si>
  <si>
    <t>ИП СОКОЛОВ ИВАН ПЕТРОВИЧ</t>
  </si>
  <si>
    <t>ИП ИВАНОВА ЛЮДМИЛА ЛЕОНИДОВНА</t>
  </si>
  <si>
    <t>ИП СИДЕЛЬНИКОВА НАТАЛЬЯ ЕВГЕНЬЕВНА</t>
  </si>
  <si>
    <t>ИП КОКШАРОВ ИВАН ВЛАДИМИРОВИЧ</t>
  </si>
  <si>
    <t>ИП Дубровин Юрий Александрович</t>
  </si>
  <si>
    <t>ИП ФОКИН ЕГОР ВЛАДИМИРОВИЧ</t>
  </si>
  <si>
    <t>ИП Гуляева Ольга Евгеньевна</t>
  </si>
  <si>
    <t>ИП ЗЕНКОВА НАТАЛЬЯ НИКОЛАЕВНА</t>
  </si>
  <si>
    <t>ИП Шишкова Маргарита Азатовна</t>
  </si>
  <si>
    <t>АО ИРБИТСКИЙ ХИМФАРМЗАВОД</t>
  </si>
  <si>
    <t>623856, СВЕРДЛОВСКАЯ ОБЛАСТЬ, Г ИРБИТ, УЛ КИРОВА, Д.172, -, -</t>
  </si>
  <si>
    <t>ИП КАКУЛЯ ЛЮБОВЬ АНАТОЛЬЕВНА</t>
  </si>
  <si>
    <t>ИП ДАВЫДОВ МАРК ВИТАЛЬЕВИЧ</t>
  </si>
  <si>
    <t>ИП Толмачев Николай Александрович</t>
  </si>
  <si>
    <t>ИП КАГАРМАНОВ АЛЬТАИР АНГАРОВИЧ</t>
  </si>
  <si>
    <t>ИП РАЗУНЦОВА ЕЛИЗАВЕТА ОЛЕГОВНА</t>
  </si>
  <si>
    <t>ИП МАНЬКОВ АНАТОЛИЙ ПЕТРОВИЧ</t>
  </si>
  <si>
    <t>ИП БАЛАНДИН ВЛАДИМИР ПАВЛОВИЧ</t>
  </si>
  <si>
    <t>ИП МАНЬКОВ ЕВГЕНИЙ АНАТОЛЬЕВИЧ</t>
  </si>
  <si>
    <t>ИП ЯРУТИНА НАТАЛЬЯ НИКОЛАЕВНА</t>
  </si>
  <si>
    <t>ИП Ананичев Денис Александрович</t>
  </si>
  <si>
    <t>ИП КОСЯКОВ СЕРГЕЙ АЛЕКСАНДРОВИЧ</t>
  </si>
  <si>
    <t>ИП Ложкин Сергей Алексеевич</t>
  </si>
  <si>
    <t>ИП СКРЯБИН ОЛЕГ НИКОЛАЕВИЧ</t>
  </si>
  <si>
    <t>ИП СЕМЕНОВ МИХАИЛ АЛЕКСАНДРОВИЧ</t>
  </si>
  <si>
    <t>ИП ФАЛЬКО АЛЕКСАНДР АЛЕКСАНДРОВИЧ</t>
  </si>
  <si>
    <t>ИП ЛЫСЕНКО ИРИНА ВЛАДИМИРОВНА</t>
  </si>
  <si>
    <t>ИП СЕМКИН ЕВГЕНИЙ АЛЕКСАНДРОВИЧ</t>
  </si>
  <si>
    <t>РОССИЯ, СВЕРДЛОВСКАЯ ОБЛАСТЬ, Г.О. ГОРОД ЕКАТЕРИНБУРГ, Г ЕКАТЕРИНБУРГ, КМ ЕКАД 3, СТР. 8</t>
  </si>
  <si>
    <t>ИП САМОХВАЛОВА КСЕНИЯ ВАЛЕРЬЕВНА</t>
  </si>
  <si>
    <t>ООО ФИТ ВОСТОК</t>
  </si>
  <si>
    <t>РОССИЯ, СВЕРДЛОВСКАЯ ОБЛАСТЬ, Г.О. ГОРОД ЕКАТЕРИНБУРГ, Г ЕКАТЕРИНБУРГ, ПРОЕЗД ВОДИТЕЛЬСКИЙ, СТР. 22</t>
  </si>
  <si>
    <t>ИП ТРИФОНОВА ЕЛИЗАВЕТА МАКСИМОВНА</t>
  </si>
  <si>
    <t>ИП КОПЫЛОВА НАТАЛЬЯ ВАСИЛЬЕВНА</t>
  </si>
  <si>
    <t>ИП ПОГУДИН АНТОН НИКОЛАЕВИЧ</t>
  </si>
  <si>
    <t>ИП Дружинин Сергей Андреевич</t>
  </si>
  <si>
    <t>ИП ОХРЯМКИН АРТЕМ АЛЕКСАНДРОВИЧ</t>
  </si>
  <si>
    <t>ИП ОЛЬКОВ ГЕОРГИЙ ЮРЬЕВИЧ</t>
  </si>
  <si>
    <t>ИП ДРАЧУК ВИКТОР АЛЕКСЕЕВИЧ</t>
  </si>
  <si>
    <t>ИП ШАХОВА ЮЛИЯ ВЛАДИМИРОВНА</t>
  </si>
  <si>
    <t>ИП МИСКИЧЕВ ВИКТОР НИКОЛАЕВИЧ</t>
  </si>
  <si>
    <t>ИП КОРНИЛЬЦЕВА НАТАЛИЯ ОЛЕГОВНА</t>
  </si>
  <si>
    <t>ИП БАРАНОВА ЮЛИЯ ВАЛЕРЬЕВНА</t>
  </si>
  <si>
    <t>ООО УРАЛМАРКЕТ</t>
  </si>
  <si>
    <t>623700, СВЕРДЛОВСКАЯ ОБЛАСТЬ, М.О. БЕРЕЗОВСКИЙ, Г БЕРЕЗОВСКИЙ, УЛ ПРОЛЕТАРСКАЯ, Д. 3, КВ. 2</t>
  </si>
  <si>
    <t>ИП ЛИГИРДА ЕКАТЕРИНА СЕРГЕЕВНА</t>
  </si>
  <si>
    <t>ИП КОРОБИЦЫН МАКСИМ АЛЕКСАНДРОВИЧ</t>
  </si>
  <si>
    <t>ИП ШАРИФУЛЛИН МИНСУР ШОЕХОЛЕСЛАМОВИЧ</t>
  </si>
  <si>
    <t>ООО ВОСТОК МОТОРС</t>
  </si>
  <si>
    <t>620000, СВЕРДЛОВСКАЯ ОБЛАСТЬ, Г ЕКАТЕРИНБУРГ, УЛ ПУШКИНА, Д. 7, ОФИС 312</t>
  </si>
  <si>
    <t>ООО ОКАМИ УРАЛ</t>
  </si>
  <si>
    <t>620144, СВЕРДЛОВСКАЯ ОБЛАСТЬ, Г.О. ГОРОД ЕКАТЕРИНБУРГ, Г ЕКАТЕРИНБУРГ, УЛ ХОХРЯКОВА, СТР. 104, ОФИС 212</t>
  </si>
  <si>
    <t>ИП АФИРДИЕВА ОЛЬГА ЕВГЕНЬЕВНА</t>
  </si>
  <si>
    <t>ИП ЖЕНИХОВ КОНСТАНТИН АНДРЕЕВИЧ</t>
  </si>
  <si>
    <t>ИП МИНГАЗОВА ДАРЬЯ АЛЕКСАНДРОВНА</t>
  </si>
  <si>
    <t>ИП БЕЛОУС МАКСИМ ВЛАДИМИРОВИЧ</t>
  </si>
  <si>
    <t>ИП ПЕРЕВАЛОВ АЛЕКСАНДР НИКОЛАЕВИЧ</t>
  </si>
  <si>
    <t>ИП ШКРЕБЕНЬ ИВАН ОЛЕГОВИЧ</t>
  </si>
  <si>
    <t>ИП ШИЛЬДСКИЙ ЕВГЕНИЙ АЛЕКСАНДРОВИЧ</t>
  </si>
  <si>
    <t>ИП ТОКАРЕВА ТАТЬЯНА ВЯЧЕСЛАВОВНА</t>
  </si>
  <si>
    <t>ИП ГАППАСОВА АННА ВАДИМОВНА</t>
  </si>
  <si>
    <t>ИП ТРЕТЬЯКОВ РОМАН ВАЛЕРЬЕВИЧ</t>
  </si>
  <si>
    <t>ИП Желонкин Николай Юрьевич</t>
  </si>
  <si>
    <t>ИП КАНТЫШЕВА НАТАЛЬЯ ВАЛЕНТИНОВНА</t>
  </si>
  <si>
    <t>ИП БОТАЛОВ АЛЕКСАНДР ЮРЬЕВИЧ</t>
  </si>
  <si>
    <t>ИП Камышев Эдуард Борисович</t>
  </si>
  <si>
    <t>ИП ПУГАЕВ СЕРГЕЙ ВЛАДИМИРОВИЧ</t>
  </si>
  <si>
    <t>ИП Мельников Дмитрий Владимирович</t>
  </si>
  <si>
    <t>ИП КАМАЛОВ АНДРЕЙ РАВИЛЬЕВИЧ</t>
  </si>
  <si>
    <t>ИП ПОПОВ АЛЕКСАНДР АНДРЕЕВИЧ</t>
  </si>
  <si>
    <t>ИП МАКСИМОВА ЕКАТЕРИНА МАКСИМОВНА</t>
  </si>
  <si>
    <t>ИП МОРОЗОВ МАКСИМ АНДРЕЕВИЧ</t>
  </si>
  <si>
    <t>ИП ЕРЫКАЛОВ СЕРГЕЙ ВЛАДИМИРОВИЧ</t>
  </si>
  <si>
    <t>ИП ЕРШОВ ВЛАДИМИР ДМИТРИЕВИЧ</t>
  </si>
  <si>
    <t>ИП Кутовец Елена Леонидовна</t>
  </si>
  <si>
    <t>ИП ВОРОНИН АЛЕКСАНДР ВЛАДИМИРОВИЧ</t>
  </si>
  <si>
    <t>ИП ИПАТОВ СЕРГЕЙ НИКОЛАЕВИЧ</t>
  </si>
  <si>
    <t>ИП ПЕЧЕНАЯ ИРИНА ВИТАЛЬЕВНА</t>
  </si>
  <si>
    <t>ИП КОМАРОВ ДМИТРИЙ АНАТОЛЬЕВИЧ</t>
  </si>
  <si>
    <t>ИП АНТОЩЕНКО ИГОРЬ ВЛАДИМИРОВИЧ</t>
  </si>
  <si>
    <t>ИП Ступак Евгений Владимирович</t>
  </si>
  <si>
    <t>ООО ЯСА-УРАЛ</t>
  </si>
  <si>
    <t>624449, СВЕРДЛОВСКАЯ ОБЛАСТЬ, Г КРАСНОТУРЬИНСК, УЛ ЧАПАЕВА, Д. 47, ОФИС 303</t>
  </si>
  <si>
    <t>ООО УНИВЕРСАЛ-АВТО</t>
  </si>
  <si>
    <t>624930, СВЕРДЛОВСКАЯ ОБЛАСТЬ, Г КАРПИНСК, УЛ МИРА, Д. 62</t>
  </si>
  <si>
    <t>ИП ПАНЬКОВ МАКСИМ СЕРГЕЕВИЧ</t>
  </si>
  <si>
    <t>ИП ШАВКУНОВА НАТАЛЬЯ НИКОЛАЕВНА</t>
  </si>
  <si>
    <t>ИП МЕХАНИКОВА ЛЮДМИЛА АНАТОЛЬЕВНА</t>
  </si>
  <si>
    <t>ИП Кушников Сергей Алексеевич</t>
  </si>
  <si>
    <t>ООО СТРИТ</t>
  </si>
  <si>
    <t>624300, СВЕРДЛОВСКАЯ ОБЛАСТЬ, Г КУШВА, УЛ ПЕРВОМАЙСКАЯ, ЗД. 66</t>
  </si>
  <si>
    <t>ИП ТИТОВ АНТОН АЛЕКСАНДРОВИЧ</t>
  </si>
  <si>
    <t>ИП ДЕМКИНА ТАТЬЯНА МИХАЙЛОВНА</t>
  </si>
  <si>
    <t>ООО ГРИЕРСО-СЕРВИС</t>
  </si>
  <si>
    <t>624192, СВЕРДЛОВСКАЯ ОБЛАСТЬ, Р-Н НЕВЬЯНСКИЙ, Г НЕВЬЯНСК, УЛ СТРОИТЕЛЕЙ, Д. 16, -</t>
  </si>
  <si>
    <t>ООО ТАКСИ №1</t>
  </si>
  <si>
    <t>624192, СВЕРДЛОВСКАЯ ОБЛАСТЬ, Р-Н НЕВЬЯНСКИЙ, Г НЕВЬЯНСК, УЛ КАРЛА МАРКСА, Д. 60</t>
  </si>
  <si>
    <t>ИП ШИРОКОВ АНДРЕЙ СТЕПАНОВИЧ</t>
  </si>
  <si>
    <t>ИП КОНДАКОВА МАРИЯ ВИКТОРОВНА</t>
  </si>
  <si>
    <t>ИП МАЛЫШЕВ ВАЛЕРИЙ ВАЛЕНТИНОВИЧ</t>
  </si>
  <si>
    <t>ООО РУСАЛЬЯНС</t>
  </si>
  <si>
    <t>622013, СВЕРДЛОВСКАЯ ОБЛАСТЬ, Г НИЖНИЙ ТАГИЛ, УЛ ФЕСТИВАЛЬНАЯ, ЗД. 5Б, СТР. 5</t>
  </si>
  <si>
    <t>622018, СВЕРДЛОВСКАЯ ОБЛАСТЬ, М.О. ГОРОД НИЖНИЙ ТАГИЛ, Г НИЖНИЙ ТАГИЛ, УЛ ЮНОСТИ, Д. 5Г</t>
  </si>
  <si>
    <t>ООО УРАЛАВТОДЕТАЛЬ</t>
  </si>
  <si>
    <t>622022, СВЕРДЛОВСКАЯ ОБЛАСТЬ, Г НИЖНИЙ ТАГИЛ, УЛ ФРУНЗЕ, Д. 81</t>
  </si>
  <si>
    <t>ООО АС-АВТО</t>
  </si>
  <si>
    <t>622004, СВЕРДЛОВСКАЯ ОБЛАСТЬ, Г НИЖНИЙ ТАГИЛ, УЛ АЛТАЙСКАЯ, Д. 33, КВ. 288</t>
  </si>
  <si>
    <t>ООО ТЕХКОМ-НТ</t>
  </si>
  <si>
    <t>622002, СВЕРДЛОВСКАЯ ОБЛАСТЬ, Г НИЖНИЙ ТАГИЛ, УЛ КРАСНОАРМЕЙСКАЯ, Д. 74, КВ. 111</t>
  </si>
  <si>
    <t>ООО АБСОЛЮТТЕХНО</t>
  </si>
  <si>
    <t>622001, РОССИЯ, СВЕРДЛОВСКАЯ ОБЛАСТЬ, М.О. ГОРОД НИЖНИЙ ТАГИЛ, Г НИЖНИЙ ТАГИЛ, УЛ ЛОМОНОСОВА, Д. 1, КВ. 53</t>
  </si>
  <si>
    <t>ИП КРАВЦОВА ИРИНА ЮРЬЕВНА</t>
  </si>
  <si>
    <t>622030, РОССИЯ, СВЕРДЛОВСКАЯ ОБЛАСТЬ, М.О. ГОРОД НИЖНИЙ ТАГИЛ, Г НИЖНИЙ ТАГИЛ, Ш ЧЕРНОИСТОЧИНСКОЕ, СТР. 60А</t>
  </si>
  <si>
    <t>ИП ЛЕЩИНСКАЯ ОЛЕСЯ ВИКТОРОВНА</t>
  </si>
  <si>
    <t>ООО ПРОГРЕСС</t>
  </si>
  <si>
    <t>622049, РОССИЯ, СВЕРДЛОВСКАЯ ОБЛАСТЬ, М.О. ГОРОД НИЖНИЙ ТАГИЛ, Г НИЖНИЙ ТАГИЛ, Ш ЧЕРНОИСТОЧИНСКОЕ, СТР. 74</t>
  </si>
  <si>
    <t>ИП МУСИХИН СЕРГЕЙ ВЛАДИМИРОВИЧ</t>
  </si>
  <si>
    <t>ИП ЧЕРНОВ ИЛЬЯ АНАТОЛЬЕВИЧ</t>
  </si>
  <si>
    <t>ИП БУСЫГИН ДЕНИС АНДРЕЕВИЧ</t>
  </si>
  <si>
    <t>ИП БЕЗРОДНОВА СВЕТЛАНА ВЯЧЕСЛАВОВНА</t>
  </si>
  <si>
    <t>ИП ВИДМАН ВАЛЕРИЯ АЛЕКСЕЕВНА</t>
  </si>
  <si>
    <t>ИП Калинин Павел Александрович</t>
  </si>
  <si>
    <t>ИП САГДУТДИНОВА СЕРЕНА РАСИХОВНА</t>
  </si>
  <si>
    <t>ИП КУНТЕНКОВ НИКИТА ВЛАДИСЛАВОВИЧ</t>
  </si>
  <si>
    <t>ООО ЦТО АРТ-ШТРИХ</t>
  </si>
  <si>
    <t>623119, СВЕРДЛОВСКАЯ ОБЛАСТЬ, Г ПЕРВОУРАЛЬСК, УЛ ДАНИЛОВА, Д. 4, 24</t>
  </si>
  <si>
    <t>ИП КУНТЕНКОВ ВЛАДИСЛАВ ГЕРМАНОВИЧ</t>
  </si>
  <si>
    <t>ИП УТЕВ АНТОН АЛЕКСАНДРОВИЧ</t>
  </si>
  <si>
    <t>ИП МИРОНОВА ОЛЬГА ВИКТОРОВНА</t>
  </si>
  <si>
    <t>ИП БУДИН ИГОРЬ НИКОЛАЕВИЧ</t>
  </si>
  <si>
    <t>ИП ТОРОПЫНИН АНДРЕЙ ЕГОРОВИЧ</t>
  </si>
  <si>
    <t>ИП ФЕДЕНЕВ СЕРГЕЙ НИКОЛАЕВИЧ</t>
  </si>
  <si>
    <t>ИП БУГАЙ НАТАЛЬЯ ВЛАДИМИРОВНА</t>
  </si>
  <si>
    <t>ООО  ОК - ТРАНС</t>
  </si>
  <si>
    <t>620091, РОССИЯ, СВЕРДЛОВСКАЯ ОБЛАСТЬ, Г.О. ГОРОД ЕКАТЕРИНБУРГ, Г ЕКАТЕРИНБУРГ, УЛ ФРОНТОВЫХ БРИГАД, Д. 27</t>
  </si>
  <si>
    <t>ООО  НЕОДЕНТ</t>
  </si>
  <si>
    <t>623391, СВЕРДЛОВСКАЯ ОБЛАСТЬ, Г ПОЛЕВСКОЙ, УЛ ПОБЕДЫ, Д. 23</t>
  </si>
  <si>
    <t>ИП ОВЧИННИКОВ ОЛЕГ НИКОЛАЕВИЧ</t>
  </si>
  <si>
    <t>ИП ГОЛУБЯТНИКОВ КОНСТАНТИН АНАТОЛЬЕВИЧ</t>
  </si>
  <si>
    <t>ИП ФИРУЛЕВ КОНСТАНТИН СВЯТОСЛАВОВИЧ</t>
  </si>
  <si>
    <t>ИП Склюев Сергей Алексеевич</t>
  </si>
  <si>
    <t>ИП ЗЫКОВА НАТАЛЬЯ АНДРЕЕВНА</t>
  </si>
  <si>
    <t>ИП МАТВЕЕВА АЛЕНА АНАТОЛЬЕВНА</t>
  </si>
  <si>
    <t>ИП ШКОДА АЛЕКСЕЙ НИКОЛАЕВИЧ</t>
  </si>
  <si>
    <t>ИП ЛУШНИКОВА КСЕНИЯ СТАНИСЛАВОВНА</t>
  </si>
  <si>
    <t>ИП ДВОРНИКОВА ИРИНА ВИКТОРОВНА</t>
  </si>
  <si>
    <t>ИП КАШИРИН ЕВГЕНИЙ СЕРГЕЕВИЧ</t>
  </si>
  <si>
    <t>ИП ГУБИНА ТАТЬЯНА ВЛАДИМИРОВНА</t>
  </si>
  <si>
    <t>ИП КАЗАКОВ АЛЕКСАНДР ВЛАДИМИРОВИЧ</t>
  </si>
  <si>
    <t>ИП АЛЕКСАНДРОВ АЛЕКСАНДР АЛЕКСАНДРОВИЧ</t>
  </si>
  <si>
    <t>ИП КАЩЕЕВ АЛЕКСАНДР АНДРЕЕВИЧ</t>
  </si>
  <si>
    <t>ИП Тухватуллин Дамир Аркадьевич</t>
  </si>
  <si>
    <t>ИП ТАРАСОВ ОЛЕГ СЕРГЕЕВИЧ</t>
  </si>
  <si>
    <t>ИП ЕРМОЛАЕВ АРКАДИЙ ИВАНОВИЧ</t>
  </si>
  <si>
    <t>АО СУХОЛОЖСКИЙ ОГНЕУПОРНЫЙ ЗАВОД</t>
  </si>
  <si>
    <t>624800, СВЕРДЛОВСКАЯ ОБЛАСТЬ, Р-Н СУХОЛОЖСКИЙ, Г СУХОЙ ЛОГ, УЛ МИЛИЦЕЙСКАЯ, Д. 2</t>
  </si>
  <si>
    <t>ИП КОРЕШКОВ АНДРЕЙ АЛЕКСЕЕВИЧ</t>
  </si>
  <si>
    <t>ИП ВОЗНЕНКО СЕРГЕЙ АЛЕКСАНДРОВИЧ</t>
  </si>
  <si>
    <t>ИП ФИЛАТОВ ИГОРЬ ВЛАДИМИРОВИЧ</t>
  </si>
  <si>
    <t>623950, СВЕРДЛОВСКАЯ ОБЛАСТЬ, Р-Н ТАВДИНСКИЙ, Г ТАВДА, УЛ ЧЕКИСТОВ, Д. 2</t>
  </si>
  <si>
    <t>ИП МИШКИНА ВАЛЕНТИНА ДМИТРИЕВНА</t>
  </si>
  <si>
    <t>ИП БОДРОВ АЛЕКСЕЙ ВЛАДИМИРОВИЧ</t>
  </si>
  <si>
    <t>ИП ИВАНОВ АЛЕКСАНДР АНАТОЛЬЕВИЧ</t>
  </si>
  <si>
    <t>ИП ПАРАМОНОВА МАРИНА ЮРЬЕВНА</t>
  </si>
  <si>
    <t>ИП КОРАБЛЕВА ЕКАТЕРИНА КАЗИМАГОМЕДОВНА</t>
  </si>
  <si>
    <t>ИП ВАГУЩЕНКО АНДРЕЙ ИВАНОВИЧ</t>
  </si>
  <si>
    <t>ИП Шустерман Виктор Александрович</t>
  </si>
  <si>
    <t>ИП ПЕТРИЧЕНКО МАРИНА ВИКТОРОВНА</t>
  </si>
  <si>
    <t>ИП ГЕРТЕР ДМИТРИЙ ВЛАДИМИРОВИЧ</t>
  </si>
  <si>
    <t>ИП МОРОЗОВ АЛЕКСАНДР ПАВЛОВИЧ</t>
  </si>
  <si>
    <t>ИП НЕМЯТОВСКИХ СЕРГЕЙ ГЕННАДЬЕВИЧ</t>
  </si>
  <si>
    <t>ИП ЖДАНОВ ВАСИЛИЙ МИХАЙЛОВИЧ</t>
  </si>
  <si>
    <t>ИП ПРОКОПЬЕВ ДЕНИС АНАТОЛЬЕВИЧ</t>
  </si>
  <si>
    <t>ИП КОЛМОГОРОВ ДМИТРИЙ СЕРГЕЕВИЧ</t>
  </si>
  <si>
    <t>ИП ТРОФИМОВ ВЛАДИМИР АНАТОЛЬЕВИЧ</t>
  </si>
  <si>
    <t>ИП ЛУГОВЫХ ДИНА РАНИСОВНА</t>
  </si>
  <si>
    <t>ИП ЗИНИН КОНСТАНТИН АЛЕКСАНДРОВИЧ</t>
  </si>
  <si>
    <t>ИП ЧАЙНИКОВ ОЛЕГ ВИКТОРОВИЧ</t>
  </si>
  <si>
    <t>ИП МАТЕЮНС ЕЛЕНА АЛЕКСАНДРОВНА</t>
  </si>
  <si>
    <t>ИП НИХОНОШИН АРСЕНИЙ ЮРЬЕВИЧ</t>
  </si>
  <si>
    <t>ИП АЛЕКСАНДРОВ СТАНИСЛАВ ЮРЬЕВИЧ</t>
  </si>
  <si>
    <t>ИП РОЖКОВА ВАЛЕНТИНА ВИКТОРОВНА</t>
  </si>
  <si>
    <t>МКОУ САРСИНСКАЯ СОШ</t>
  </si>
  <si>
    <t>623325, СВЕРДЛОВСКАЯ ОБЛАСТЬ, Р-Н КРАСНОУФИМСКИЙ, С САРСЫ-ВТОРЫЕ, УЛ ЛЕНИНА, ЗД. 75</t>
  </si>
  <si>
    <t>ИП РОЖКОВ НИКОЛАЙ ВИКТОРОВИЧ</t>
  </si>
  <si>
    <t>ИП ОВЧИННИКОВ МАКСИМ ЮРЬЕВИЧ</t>
  </si>
  <si>
    <t>ИП РОЖКОВА АННА АЛЕКСЕЕВНА</t>
  </si>
  <si>
    <t>ИП ЛИХАНОВ ВАСИЛИЙ БОРИСОВИЧ</t>
  </si>
  <si>
    <t>ИП ПРЯДИЛЬЩИКОВ СТЕПАН ВЛАДИМИРОВИЧ</t>
  </si>
  <si>
    <t>ИП ГРИШИН АЛЕКСЕЙ ЮРЬЕВИЧ</t>
  </si>
  <si>
    <t>ИП КОБЕНИН ОЛЕГ ВАЛЕРЬЕВИЧ</t>
  </si>
  <si>
    <t>ИП СТОЛЯРОВА ДИНА БОРИСОВНА</t>
  </si>
  <si>
    <t>АО УБТ-УРАЛВАГОНЗАВОД</t>
  </si>
  <si>
    <t>622018, СВЕРДЛОВСКАЯ ОБЛАСТЬ, Г НИЖНИЙ ТАГИЛ, УЛ ЮНОСТИ, СТР. 10</t>
  </si>
  <si>
    <t>ИП КОБЛОВ ДЕНИС ГРИГОРЬЕВИЧ</t>
  </si>
  <si>
    <t>ИП ДВОРЕЦКИЙ АНДРЕЙ АЛЕКСАНДРОВИЧ</t>
  </si>
  <si>
    <t>ООО  УРАЛОПТТОРГ</t>
  </si>
  <si>
    <t>622940, СВЕРДЛОВСКАЯ ОБЛАСТЬ, Р-Н ПРИГОРОДНЫЙ, П ЧЕРНОИСТОЧИНСК, УЛ СВЕРДЛОВА, Д. 38</t>
  </si>
  <si>
    <t>ИП КОВАЛЬЧУК МАРИЯ АЛЕКСЕЕВНА</t>
  </si>
  <si>
    <t>ООО АСМОТО ТАГИЛ</t>
  </si>
  <si>
    <t>622015, СВЕРДЛОВСКАЯ ОБЛАСТЬ, Г НИЖНИЙ ТАГИЛ, Ш СВЕРДЛОВСКОЕ, ЗД. 43</t>
  </si>
  <si>
    <t>ООО ТЕХНИКА ДВИЖЕНИЯ</t>
  </si>
  <si>
    <t>622030, СВЕРДЛОВСКАЯ ОБЛАСТЬ, Г НИЖНИЙ ТАГИЛ, Ш ЧЕРНОИСТОЧИНСКОЕ, СТР. 64А</t>
  </si>
  <si>
    <t>ИП БАБИН РОМАН АНДРЕЕВИЧ</t>
  </si>
  <si>
    <t>ООО УНИВЕРСАЛЬНЫЙ ПОСТАВЩИК</t>
  </si>
  <si>
    <t>622016, СВЕРДЛОВСКАЯ ОБЛАСТЬ, Г НИЖНИЙ ТАГИЛ, УЛ КРАСНОАРМЕЙСКАЯ, Д. 198, ОФИС 11</t>
  </si>
  <si>
    <t>ИП ЗАПЕВИНА ЕКАТЕРИНА АНТОНОВНА</t>
  </si>
  <si>
    <t>ООО МАЖОР</t>
  </si>
  <si>
    <t>622002, СВЕРДЛОВСКАЯ ОБЛАСТЬ, Г НИЖНИЙ ТАГИЛ, УЛ МАКСИМА ГОРЬКОГО, СТР. 45, ОФИС 2</t>
  </si>
  <si>
    <t>ООО АВТО-ЛАЙТ</t>
  </si>
  <si>
    <t>622002, РОССИЯ, СВЕРДЛОВСКАЯ ОБЛАСТЬ, М.О. ГОРОД НИЖНИЙ ТАГИЛ, Г НИЖНИЙ ТАГИЛ, УЛ БЫКОВА, Д. 29, КВ. 61</t>
  </si>
  <si>
    <t>ИП МАЗЕЕВ АНТОН АЛЕКСАНДРОВИЧ</t>
  </si>
  <si>
    <t>ИП ПАРАМОНОВ ОЛЕГ ИГОРЕВИЧ</t>
  </si>
  <si>
    <t>ИП РОЖКОВ ПАВЕЛ АЛЕКСАНДРОВИЧ</t>
  </si>
  <si>
    <t>ИП БУЛАВИЦКИЙ ВИТАЛИЙ ВИКТОРОВИЧ</t>
  </si>
  <si>
    <t>ИП ПАПУЛОВ РОМАН ЮРЬЕВИЧ</t>
  </si>
  <si>
    <t>ИП ДЕРГУНОВА ОЛЬГА НИКОЛАЕВНА</t>
  </si>
  <si>
    <t>ИП БАГДАСАРЯН ЭРМИНЕ СУРЕНОВНА</t>
  </si>
  <si>
    <t>ИП НЕИЗВИДСКАЯ ТАТЬЯНА ВИТАЛЬЕВНА</t>
  </si>
  <si>
    <t>ООО ВЕЛЕС-БЫТ-СЕРВИС</t>
  </si>
  <si>
    <t>624221, СВЕРДЛОВСКАЯ ОБЛАСТЬ, Г НИЖНЯЯ ТУРА, УЛ СКОРЫНИНА, Д. 6, 1</t>
  </si>
  <si>
    <t>ООО ТЕМИР-ТЕКС</t>
  </si>
  <si>
    <t>623280, СВЕРДЛОВСКАЯ ОБЛАСТЬ, Г РЕВДА, УЛ КЛУБНАЯ, ЗД. 8/1, ПОМЕЩ. 3</t>
  </si>
  <si>
    <t>ИП САЛИХОВ АРТЕМ МАРАТОВИЧ</t>
  </si>
  <si>
    <t>ИП ХУПКО АЛЕКСАНДР СЕРГЕЕВИЧ</t>
  </si>
  <si>
    <t>ИП ЕСАЕВА ОЛЕСЯ СЕРГЕЕВНА</t>
  </si>
  <si>
    <t>ООО ЦЕНТР - ОЙЛ</t>
  </si>
  <si>
    <t>623376, СВЕРДЛОВСКАЯ ОБЛАСТЬ, Г ПОЛЕВСКОЙ, С КУРГАНОВО, Р-Н ЧКАЛОВСКИЙ</t>
  </si>
  <si>
    <t>ИП ЕРЕМИН ДМИТРИЙ ЮРЬЕВИЧ</t>
  </si>
  <si>
    <t>ИП СОШНИКОВ ДМИТРИЙ ВИКТОРОВИЧ</t>
  </si>
  <si>
    <t>ИП ЛИПИНА ЕКАТЕРИНА НИКОЛАЕВНА</t>
  </si>
  <si>
    <t>ИП БОТАНИН АНДРЕЙ АНДРЕЕВИЧ</t>
  </si>
  <si>
    <t>ИП ГРЕХОВ НИКОЛАЙ ВИКТОРОВИЧ</t>
  </si>
  <si>
    <t>ИП ЩЕРБИНИН АНДРЕЙ АЛЕКСЕЕВИЧ</t>
  </si>
  <si>
    <t>ИП КУНТЕНКОВА ОЛЬГА ЛЕОНИДОВНА</t>
  </si>
  <si>
    <t>ИП НЕГРОБОВ АЛЕКСАНДР ВЛАДИМИРОВИЧ</t>
  </si>
  <si>
    <t>ИП ГРУЗДЕВ АНТОН НИКОЛАЕВИЧ</t>
  </si>
  <si>
    <t>ИП ЕРМАКОВ ПАВЕЛ АЛЕКСАНДРОВИЧ</t>
  </si>
  <si>
    <t>ИП БАРХАТОВ ДЕНИС СЕРГЕЕВИЧ</t>
  </si>
  <si>
    <t>ИП Яковлева Нурия Ахнефомна</t>
  </si>
  <si>
    <t>ИП ЗУЕВА МАРИНА ЕВГЕНЬЕВНА</t>
  </si>
  <si>
    <t>ИП Рябухин Александр Валерьевич</t>
  </si>
  <si>
    <t>ИП ЮСУПОВ МАРАТ МИННАКИПОВИЧ</t>
  </si>
  <si>
    <t>ИП Хромов Иван Владимирович</t>
  </si>
  <si>
    <t>ИП РОДЫГИН СЕРГЕЙ ЮРЬЕВИЧ</t>
  </si>
  <si>
    <t>ИП МУШКЕТОВ СЕМЁН ВЯЧЕСЛАВОВИЧ</t>
  </si>
  <si>
    <t>ИП ВОЗЖЕНИКОВ ВЛАДИМИР ВЯЧЕСЛАВОВИЧ</t>
  </si>
  <si>
    <t>624800, СВЕРДЛОВСКАЯ ОБЛАСТЬ, Р-Н СУХОЛОЖСКИЙ, Г СУХОЙ ЛОГ, УЛ ЮБИЛЕЙНАЯ, Д. 12А, 42</t>
  </si>
  <si>
    <t>ИП Есипович Николай Анатольевич</t>
  </si>
  <si>
    <t>ООО АВТО-МИР</t>
  </si>
  <si>
    <t>623950, СВЕРДЛОВСКАЯ ОБЛАСТЬ, Г ТАВДА, УЛ СРЕДНЯЯ, Д.4</t>
  </si>
  <si>
    <t>ИП БАЧИНИН СЕРГЕЙ ВАЛЕРЬЕВИЧ</t>
  </si>
  <si>
    <t>ИП МАРЕНИН ЮРИЙ АЛЕКСЕЕВИЧ</t>
  </si>
  <si>
    <t>ИП КАРИМОВА ЕЛЕНА ГЕННАДЬЕВНА</t>
  </si>
  <si>
    <t>ООО АМЕТИСТ</t>
  </si>
  <si>
    <t>624910, СВЕРДЛОВСКАЯ ОБЛАСТЬ, Р-Н ГАРИНСКИЙ, ПГТ ГАРИ, УЛ ОКТЯБРЬСКАЯ, Д. 34, 0</t>
  </si>
  <si>
    <t>КЛЮЧЕВСКОЕ ПОТРЕБОБЩЕСТВО</t>
  </si>
  <si>
    <t>623832, СВЕРДЛОВСКАЯ ОБЛАСТЬ, Р-Н ИРБИТСКИЙ, С КЛЮЧИ, УЛ УРИЦКОГО, Д. 3А</t>
  </si>
  <si>
    <t>ИП ИВАНОВ СЕРГЕЙ ДМИТРИЕВИЧ</t>
  </si>
  <si>
    <t>ИП Южакова Римма Раифовна</t>
  </si>
  <si>
    <t>ИП ХАЖИПОВ АЛИК ГАФУРЬЯНОВИЧ</t>
  </si>
  <si>
    <t>ИП ЧЕРНЫХ МАКАР АНДРЕЕВИЧ</t>
  </si>
  <si>
    <t>ИП ИВАНОВА ЕЛИЗАВЕТА СЕРГЕЕВНА</t>
  </si>
  <si>
    <t>ИП ХАБАЛКИНА НАДЕЖДА АЛЕКСАНДРОВНА</t>
  </si>
  <si>
    <t>ИП ИБРАГИМОВА ЕЛЕНА МОХЛИСУЛЛОВНА</t>
  </si>
  <si>
    <t>ИП ЧЕМАКИНА АННА НИКОЛАЕВНА</t>
  </si>
  <si>
    <t>ИП ГАМАЛИЕВ РУСТАМ РАИСОВИЧ</t>
  </si>
  <si>
    <t>ИП ШОЛОМЕЙ МАРИНА ВЛАДИМИРОВНА</t>
  </si>
  <si>
    <t>ИП МОВЧАНЮК ВЛАДИМИР АЛЕКСАНДРОВИЧ</t>
  </si>
  <si>
    <t>ООО КОНЦЕПТ КАР ТАГИЛ</t>
  </si>
  <si>
    <t>622049, СВЕРДЛОВСКАЯ ОБЛАСТЬ, Г НИЖНИЙ ТАГИЛ, Ш ЧЕРНОИСТОЧИНСКОЕ, Д.68, СТРОЕНИЕ 1</t>
  </si>
  <si>
    <t>ООО ТРЕЙДКОМ</t>
  </si>
  <si>
    <t>622001, СВЕРДЛОВСКАЯ ОБЛАСТЬ, Г НИЖНИЙ ТАГИЛ, УЛ ГАЗЕТНАЯ, Д.28</t>
  </si>
  <si>
    <t>ООО  СБМ ГРУП ЕВРАЗИЯ</t>
  </si>
  <si>
    <t>622022, СВЕРДЛОВСКАЯ ОБЛАСТЬ, Г НИЖНИЙ ТАГИЛ, УЛ ВЕРХНЯЯ ЧЕРЕПАНОВА, Д. 13А, КВ. 39</t>
  </si>
  <si>
    <t>ИП ПУДОВА ОКСАНА НИКОЛАЕВНА</t>
  </si>
  <si>
    <t>ИП Лаптев Сергей Павлович</t>
  </si>
  <si>
    <t>622051, РОССИЯ, СВЕРДЛОВСКАЯ ОБЛАСТЬ, М.О. ГОРОД НИЖНИЙ ТАГИЛ, Г НИЖНИЙ ТАГИЛ, УЛ ИЛЬИЧА, Д. 39, ПОМЕЩ. 1001</t>
  </si>
  <si>
    <t>ИП ПОНОМАРЕВА ЛЮДМИЛА ВАЛЕРЬЕВНА</t>
  </si>
  <si>
    <t>ИП ГУКОВА ЮЛИЯ АНАТОЛЬЕВНА</t>
  </si>
  <si>
    <t>ИП РОЖКОВА ДАРЬЯ СЕРГЕЕВНА</t>
  </si>
  <si>
    <t>ИП ЧЕРМАШЕНЦЕВ АЛЕКСЕЙ БОРИСОВИЧ</t>
  </si>
  <si>
    <t>ИП ХАРИТОНОВ МАКСИМ ИГОРЕВИЧ</t>
  </si>
  <si>
    <t>ИП МАНАЕВА НАТАЛЬЯ ГЕННАДЬЕВНА</t>
  </si>
  <si>
    <t>ИП СТРАТУ АНДРЕЙ ИВАНОВИЧ</t>
  </si>
  <si>
    <t>ИП ГОРНОВ ЮРИЙ ВИКТОРОВИЧ</t>
  </si>
  <si>
    <t>ИП КРАШЕНИННИКОВ АНДРЕЙ АЛЕКСАНДРОВИЧ</t>
  </si>
  <si>
    <t>ИП БОЛОТОВ АЛЕКСАНДР АЛЕКСАНДРОВИЧ</t>
  </si>
  <si>
    <t>ИП Афонин Сергей Алексеевич</t>
  </si>
  <si>
    <t>ИП Кусин Станислав Викторович</t>
  </si>
  <si>
    <t>ИП ИЗОТОВ АЛЕКСЕЙ НИКОЛАЕВИЧ</t>
  </si>
  <si>
    <t>ИП ИСЛАМОВ ДМИТРИЙ РУСЛАНОВИЧ</t>
  </si>
  <si>
    <t>ИП МЕЩЕРСКИХ АЛЕКСАНДР ЛЕОНИДОВИЧ</t>
  </si>
  <si>
    <t>ИП КОМЛЕВА СВЕТЛАНА ВИТАЛЬЕВНА</t>
  </si>
  <si>
    <t>ИП ПРОКОФЬЕВ СЕРГЕЙ ВЯЧЕСЛАВОВИЧ</t>
  </si>
  <si>
    <t>ИП КОРЕНЕВСКАЯ ЕЛЕНА ВЕНИАМИНОВНА</t>
  </si>
  <si>
    <t>ИП ЦАПУРИНА ОЛЬГА ЮРЬЕВНА</t>
  </si>
  <si>
    <t>ИП ШИРОКОВ ЕВГЕНИЙ ВЛАДИСЛАВОВИЧ</t>
  </si>
  <si>
    <t>ИП НИКОЛАЕВА МАРИЯ ЕВГЕНЬЕВНА</t>
  </si>
  <si>
    <t>ИП Юсупов Мансур Миллизянович</t>
  </si>
  <si>
    <t>ИП БОРОДИНСКИЙ АНАТОЛИЙ АНДРЕЕВИЧ</t>
  </si>
  <si>
    <t>ИП Гонтаренко Марина Борисовна</t>
  </si>
  <si>
    <t>ООО ПРОМИНВЕСТ</t>
  </si>
  <si>
    <t>620000, СВЕРДЛОВСКАЯ ОБЛАСТЬ, М.О. СЕРОВСКИЙ, Г СЕРОВ, УЛ КАКВИНСКАЯ, СТР. 30А</t>
  </si>
  <si>
    <t>ИП Аманаев Александр Вениаминович</t>
  </si>
  <si>
    <t>ИП РАГОЗИН АНАТОЛИЙ ИЛЬИЧ</t>
  </si>
  <si>
    <t>ИП ПАХОМОВ ДМИТРИЙ ОЛЕГОВИЧ</t>
  </si>
  <si>
    <t>ООО Т-ПАРТС</t>
  </si>
  <si>
    <t>623950, СВЕРДЛОВСКАЯ ОБЛАСТЬ, Р-Н ТАВДИНСКИЙ, Г ТАВДА, УЛ ЛЕНИНА, Д. 67, 66</t>
  </si>
  <si>
    <t>ИП Липецкая Галина Ивановна</t>
  </si>
  <si>
    <t>ИП ЯДРЫШНИКОВ КОНСТАНТИН АЛЕКСАНДРОВИЧ</t>
  </si>
  <si>
    <t>ИП ШАНАУРОВ АНДРЕЙ ВИКТОРОВИЧ</t>
  </si>
  <si>
    <t>ООО АВТОДОР-ТРАНС</t>
  </si>
  <si>
    <t>620137, СВЕРДЛОВСКАЯ ОБЛАСТЬ, Г ЕКАТЕРИНБУРГ, УЛ УЧИТЕЛЕЙ, СТР. 38А</t>
  </si>
  <si>
    <t>ИП ПАРАМОНОВА ТАТЬЯНА АНАТОЛЬЕВНА</t>
  </si>
  <si>
    <t>ИП Елькин Илья Владимирович</t>
  </si>
  <si>
    <t>ИП Лапин Владимир Александрович</t>
  </si>
  <si>
    <t>ИП КРОПАЧЕВ ДМИТРИЙ ВИКТОРОВИЧ</t>
  </si>
  <si>
    <t>АО Б-ИСТОКСКОЕ РТПС</t>
  </si>
  <si>
    <t>624006, СВЕРДЛОВСКАЯ ОБЛАСТЬ, Р-Н СЫСЕРТСКИЙ, П БОЛЬШОЙ ИСТОК, УЛ СВЕРДЛОВА, ЗД. 42</t>
  </si>
  <si>
    <t>ИП Белов Владислав Павлович</t>
  </si>
  <si>
    <t>ИП ШЕСТАКОВ ДМИТРИЙ ОЛЕГОВИЧ</t>
  </si>
  <si>
    <t>ИП БЫКОВ ДЕНИС АЛЕКСАНДРОВИЧ</t>
  </si>
  <si>
    <t>ИП ГОРОНОВИЧ НИКОЛАЙ АНДРЕЕВИЧ</t>
  </si>
  <si>
    <t>ИП КУЗНЕЦОВА МАРИЯ ИВАНОВНА</t>
  </si>
  <si>
    <t>ООО ТЕРМО КИНГ СТИКС</t>
  </si>
  <si>
    <t>РОССИЯ, СВЕРДЛОВСКАЯ ОБЛАСТЬ, Г.О. ГОРОД ЕКАТЕРИНБУРГ, Г ЕКАТЕРИНБУРГ, УЛ СУХОДОЛЬСКАЯ, СТР. 44</t>
  </si>
  <si>
    <t>ИП ГОТМАН ДЕНИС ВИКТОРОВИЧ</t>
  </si>
  <si>
    <t>ИП Король Артем Сергеевич</t>
  </si>
  <si>
    <t>ООО ПЕРСПЕКТИВА - АВТО</t>
  </si>
  <si>
    <t>620010, СВЕРДЛОВСКАЯ ОБЛАСТЬ, Г ЕКАТЕРИНБУРГ, УЛ АЛЬПИНИСТОВ, Д. 69, ОФИС 201</t>
  </si>
  <si>
    <t>620076, СВЕРДЛОВСКАЯ ОБЛАСТЬ, Г.О. ГОРОД ЕКАТЕРИНБУРГ, Г ЕКАТЕРИНБУРГ, УЛ ВОДОЕМНАЯ, Д. 78, КВ. 84</t>
  </si>
  <si>
    <t>ООО ЭНИ МОТОРС</t>
  </si>
  <si>
    <t>622049, СВЕРДЛОВСКАЯ ОБЛАСТЬ, Г НИЖНИЙ ТАГИЛ, Ш ЧЕРНОИСТОЧИНСКОЕ, Д.74, К.3, -</t>
  </si>
  <si>
    <t>ООО ТД ЯРКО</t>
  </si>
  <si>
    <t>620014, СВЕРДЛОВСКАЯ ОБЛАСТЬ, Г ЕКАТЕРИНБУРГ, УЛ ХОМЯКОВА, Д.23, КВ.18</t>
  </si>
  <si>
    <t>ООО АВТОБАН-ЗАПАД-ПЛЮС</t>
  </si>
  <si>
    <t>620076, СВЕРДЛОВСКАЯ ОБЛАСТЬ, Г ЕКАТЕРИНБУРГ, УЛ ЩЕРБАКОВА, Д.144</t>
  </si>
  <si>
    <t>ООО СГ</t>
  </si>
  <si>
    <t>620026, СВЕРДЛОВСКАЯ ОБЛАСТЬ, Г.О. ГОРОД ЕКАТЕРИНБУРГ, Г ЕКАТЕРИНБУРГ, УЛ ТВЕРИТИНА, Д. 46, ОФИС 201</t>
  </si>
  <si>
    <t>ООО ТДР</t>
  </si>
  <si>
    <t>620131, СВЕРДЛОВСКАЯ ОБЛАСТЬ, Г ЕКАТЕРИНБУРГ, УЛ КРАУЛЯ, Д. 8, ОФ. 1</t>
  </si>
  <si>
    <t>ООО ЗАНОТТИ УРАЛ</t>
  </si>
  <si>
    <t>620043, СВЕРДЛОВСКАЯ ОБЛАСТЬ, Г ЕКАТЕРИНБУРГ, ТРАКТ ЧУСОВСКОЙ, СТР. 5Б</t>
  </si>
  <si>
    <t>ООО ФУДЛОГИСТИК</t>
  </si>
  <si>
    <t>620149, СВЕРДЛОВСКАЯ ОБЛАСТЬ, Г ЕКАТЕРИНБУРГ, УЛ СЕРАФИМЫ ДЕРЯБИНОЙ, Д. 24, ОФИС 723</t>
  </si>
  <si>
    <t>ООО ПВ СЕВЕРО-ЗАПАД</t>
  </si>
  <si>
    <t>620149, СВЕРДЛОВСКАЯ ОБЛАСТЬ, Г ЕКАТЕРИНБУРГ, УЛ СЕРАФИМЫ ДЕРЯБИНОЙ, Д. 24, ОФИС 713</t>
  </si>
  <si>
    <t>ООО ПАРТНЕР АВТО</t>
  </si>
  <si>
    <t>620131, СВЕРДЛОВСКАЯ ОБЛАСТЬ, Г ЕКАТЕРИНБУРГ, УЛ КРАУЛЯ, Д. 8</t>
  </si>
  <si>
    <t>ООО ПВ-ЦЕНТР 2</t>
  </si>
  <si>
    <t>620102, СВЕРДЛОВСКАЯ ОБЛАСТЬ, Г ЕКАТЕРИНБУРГ, УЛ СЕРАФИМЫ ДЕРЯБИНОЙ, СТР 24, ОФИС 713</t>
  </si>
  <si>
    <t>ООО ПВ-ЦЕНТР 3</t>
  </si>
  <si>
    <t>ООО ПВ-ДВ</t>
  </si>
  <si>
    <t>620149, РОССИЯ, СВЕРДЛОВСКАЯ ОБЛАСТЬ, Г.О. ГОРОД ЕКАТЕРИНБУРГ, Г ЕКАТЕРИНБУРГ, УЛ СЕРАФИМЫ ДЕРЯБИНОЙ, СТР. 24, ОФИС 715</t>
  </si>
  <si>
    <t>ООО ПРЕЗИДЕНТ</t>
  </si>
  <si>
    <t>620010, РОССИЯ, СВЕРДЛОВСКАЯ ОБЛАСТЬ, Г.О. ГОРОД ЕКАТЕРИНБУРГ, Г ЕКАТЕРИНБУРГ, УЛ ЧЕРНЯХОВСКОГО, СТР. 86, ОФИС 206</t>
  </si>
  <si>
    <t>ООО МАСЛОМАРТ-ЕКБ</t>
  </si>
  <si>
    <t>620034, РОССИЯ, СВЕРДЛОВСКАЯ ОБЛАСТЬ, Г.О. ГОРОД ЕКАТЕРИНБУРГ, Г ЕКАТЕРИНБУРГ, УЛ БЕБЕЛЯ, СТР. 29А, ЭТАЖ 2</t>
  </si>
  <si>
    <t>ООО ОИЛ-ЛАБ</t>
  </si>
  <si>
    <t>620043, РОССИЯ, СВЕРДЛОВСКАЯ ОБЛАСТЬ, Г.О. ГОРОД ЕКАТЕРИНБУРГ, Г ЕКАТЕРИНБУРГ, УЛ. АРХАНГЕЛА МИХАИЛА, СТР. 20</t>
  </si>
  <si>
    <t>ООО ТСККОМПЛЕКСНЫЕ РЕШЕНИЯ</t>
  </si>
  <si>
    <t>620036, РОССИЯ, СВЕРДЛОВСКАЯ ОБЛАСТЬ, Г.О. ГОРОД ЕКАТЕРИНБУРГ, Г ЕКАТЕРИНБУРГ, УЛ ЕВГЕНИЯ САВКОВА, Д. 44Б, КВ. 364</t>
  </si>
  <si>
    <t>ИП ВИНОКУРОВ ВЛАДИМИР МИХАЙЛОВИЧ</t>
  </si>
  <si>
    <t>ИП ЛАДЕЙЩИКОВ АНТОН АЛЕКСАНДРОВИЧ</t>
  </si>
  <si>
    <t>ООО УРЦ ТЕРМЕЗ</t>
  </si>
  <si>
    <t>620090, СВЕРДЛОВСКАЯ ОБЛАСТЬ, Г ЕКАТЕРИНБУРГ, УЛ МОНТАЖНИКОВ, СТР. 4, 9</t>
  </si>
  <si>
    <t>ООО АСМОТО СЛАВИЯ</t>
  </si>
  <si>
    <t>620090, СВЕРДЛОВСКАЯ ОБЛАСТЬ, Г ЕКАТЕРИНБУРГ, УЛ БИЛИМБАЕВСКАЯ, СТР. 8</t>
  </si>
  <si>
    <t>ООО КАРБУРГЕР</t>
  </si>
  <si>
    <t>620146, СВЕРДЛОВСКАЯ ОБЛАСТЬ, Г ЕКАТЕРИНБУРГ, УЛ НАЧДИВА ОНУФРИЕВА, Д.57, К.А</t>
  </si>
  <si>
    <t>ООО УНИКУМ ПЛЮС</t>
  </si>
  <si>
    <t>620090, СВЕРДЛОВСКАЯ ОБЛАСТЬ, Г ЕКАТЕРИНБУРГ, УЛ РАСТОЧНАЯ, СТР. 38, ОФИС 1</t>
  </si>
  <si>
    <t>ИП ЛОПАЕВ АЛЕКСАНДР ВАЛЕРЬЕВИЧ</t>
  </si>
  <si>
    <t>ИП БАХАРЕВ АНАТОЛИЙ ВАЛЕНТИНОВИЧ</t>
  </si>
  <si>
    <t>ИП СОКОЛОВА НАДЕЖДА АЛЕКСАНДРОВНА</t>
  </si>
  <si>
    <t>ИП БОВТ НИКОЛАЙ ВЛАДИМИРОВИЧ</t>
  </si>
  <si>
    <t>ИП БОЛОТОВ ДМИТРИЙ АЛЕКСЕЕВИЧ</t>
  </si>
  <si>
    <t>ЗАО АКРОНД</t>
  </si>
  <si>
    <t>620089, СВЕРДЛОВСКАЯ ОБЛАСТЬ, Г ЕКАТЕРИНБУРГ, УЛ БЕЛИНСКОГО, Д.171</t>
  </si>
  <si>
    <t>ИП МИЛЛЕР КОНСТАНТИН АЛЕКСАНДРОВИЧ</t>
  </si>
  <si>
    <t>ИП Баканова Зифа Минзагировна</t>
  </si>
  <si>
    <t>ИП КОЖНЕВА НАТАЛЬЯ ВИКТОРОВНА</t>
  </si>
  <si>
    <t>ИП ЛЕБЕДЕВА НИНА ПЕТРОВНА</t>
  </si>
  <si>
    <t>ООО ЛАНДЫШ ЛТД</t>
  </si>
  <si>
    <t>620000, СВЕРДЛОВСКАЯ ОБЛАСТЬ, Р-Н БЕЛОЯРСКИЙ, Д КЛЮЧИ, УЛ УРАЛЬСКАЯ, Д. 9-А</t>
  </si>
  <si>
    <t>ИП ЖУРАВЛЕВ АНДРЕЙ НИКОЛАЕВИЧ</t>
  </si>
  <si>
    <t>ИП МАСТЮГИН НИКОЛАЙ АЛЕКСЕЕВИЧ</t>
  </si>
  <si>
    <t>ИП БОГОМОЛОВА ОЛЬГА ВИКТОРОВНА</t>
  </si>
  <si>
    <t>ИП КОРОТКОВА ЕЛЕНА ЮРЬЕВНА</t>
  </si>
  <si>
    <t>ИП МЕЗЕНИНА НАДЕЖДА ВЯЧЕСЛАВОВНА</t>
  </si>
  <si>
    <t>ИП КОНОВАЛОВ АНДРЕЙ НИКОЛАЕВИЧ</t>
  </si>
  <si>
    <t>ИП ЛУЗИНА ОЛЬГА СЕРГЕЕВНА</t>
  </si>
  <si>
    <t>ИП АЙДУШЕВ АНДРЕЙ ИВАНОВИЧ</t>
  </si>
  <si>
    <t>ИП КОКОВИН МАКСИМ ПЕТРОВИЧ</t>
  </si>
  <si>
    <t>ИП ИЧИТОВКИН АЛЕКСАНДР АЛЕКСАНДРОВИЧ</t>
  </si>
  <si>
    <t>ИП ПЛОТНИКОВ ЮРИЙ АЛЕКСЕЕВИЧ</t>
  </si>
  <si>
    <t>ООО ЦПТК</t>
  </si>
  <si>
    <t>620075, СВЕРДЛОВСКАЯ ОБЛАСТЬ, Г ЕКАТЕРИНБУРГ, УЛ МАМИНА-СИБИРЯКА, СТР 101, ОФИС 4.27</t>
  </si>
  <si>
    <t>ООО ЦПТК ГРУПП</t>
  </si>
  <si>
    <t>620075, СВЕРДЛОВСКАЯ ОБЛАСТЬ, Г ЕКАТЕРИНБУРГ, УЛ МАМИНА-СИБИРЯКА, СТР 101, ОФИС 4.24</t>
  </si>
  <si>
    <t>ООО КОРТРЕЙД</t>
  </si>
  <si>
    <t>620014, СВЕРДЛОВСКАЯ ОБЛАСТЬ, Г ЕКАТЕРИНБУРГ, УЛ 8 МАРТА, Д.8Д, ПОМЕЩЕНИЕ 17</t>
  </si>
  <si>
    <t>ООО СПЕЦИАЛИЗИРОВАННЫЙ АВТОСЕРВИС ФРАНС-ЕКБ</t>
  </si>
  <si>
    <t>620078, СВЕРДЛОВСКАЯ ОБЛАСТЬ, Г ЕКАТЕРИНБУРГ, ПЕР АВТОМАТИКИ, СООР. 2, ОФИС 102</t>
  </si>
  <si>
    <t>ООО ТД НЕФТЕСИНТЕЗ</t>
  </si>
  <si>
    <t>620135, СВЕРДЛОВСКАЯ ОБЛАСТЬ, Г ЕКАТЕРИНБУРГ, ПР-КТ КОСМОНАВТОВ, СТР 98, ЛИТЕРА А, ПОМЕЩЕНИЕ 204</t>
  </si>
  <si>
    <t>620137, СВЕРДЛОВСКАЯ ОБЛАСТЬ, Г ЕКАТЕРИНБУРГ, УЛ БАРХОТСКАЯ, Д. 2, ПОМЕЩ. 2</t>
  </si>
  <si>
    <t>ООО  ТРЕЙДСИТИ</t>
  </si>
  <si>
    <t>620072, СВЕРДЛОВСКАЯ ОБЛАСТЬ, Г ЕКАТЕРИНБУРГ, УЛ ВЛАДИМИРА ВЫСОЦКОГО, СТР. 58, ПОМЕЩ. 36</t>
  </si>
  <si>
    <t>ООО СФЕРА ДИЗЕЛЬ</t>
  </si>
  <si>
    <t>620133, РОССИЯ, СВЕРДЛОВСКАЯ ОБЛАСТЬ, Г.О. ГОРОД ЕКАТЕРИНБУРГ, Г ЕКАТЕРИНБУРГ, УЛ БАЖОВА, Д. 53, ПОМЕЩ. 54</t>
  </si>
  <si>
    <t>620075, СВЕРДЛОВСКАЯ ОБЛАСТЬ, Г.О. ГОРОД ЕКАТЕРИНБУРГ, Г ЕКАТЕРИНБУРГ, УЛ ПЕРВОМАЙСКАЯ, Д. 56, ОФИС 709Б</t>
  </si>
  <si>
    <t>ООО РЕГИОН-ДИЗЕЛЬ</t>
  </si>
  <si>
    <t>623641, СВЕРДЛОВСКАЯ ОБЛАСТЬ, Р-Н ТАЛИЦКИЙ, П ТРОИЦКИЙ, УЛ ДЕКАБРИСТОВ, Д. 1</t>
  </si>
  <si>
    <t>ООО ТД НЕМОРОЗОВ</t>
  </si>
  <si>
    <t>620000, СВЕРДЛОВСКАЯ ОБЛАСТЬ, Г ЕКАТЕРИНБУРГ, УЛ РОЗЫ ЛЮКСЕМБУРГ, СТР. 22, ПОМЕЩ. 133</t>
  </si>
  <si>
    <t>ООО АЛЬДЕРА</t>
  </si>
  <si>
    <t>620102, СВЕРДЛОВСКАЯ ОБЛАСТЬ, Г ЕКАТЕРИНБУРГ, УЛ ПОСАДСКАЯ, СТР. 23, ОФИС 406</t>
  </si>
  <si>
    <t>ИП СМИРНОВ АЛЕКСАНДР АЛЕКСАНДРОВИЧ</t>
  </si>
  <si>
    <t>ИП ЛЕЩЕВ АЛЕКСАНДР ГРИГОРЬЕВИЧ</t>
  </si>
  <si>
    <t>ИП СУМИН АЛЕКСАНДР АНАТОЛЬЕВИЧ</t>
  </si>
  <si>
    <t>620142, РОССИЯ, СВЕРДЛОВСКАЯ ОБЛАСТЬ, Г.О. ГОРОД ЕКАТЕРИНБУРГ, Г ЕКАТЕРИНБУРГ, УЛ ЩОРСА, Д. 32, ПОМЕЩ. 7</t>
  </si>
  <si>
    <t>ИП ПАВЛЮЧЕНКО ВИТАЛИЙ ГЕННАДЬЕВИЧ</t>
  </si>
  <si>
    <t>620000, РОССИЯ, СВЕРДЛОВСКАЯ ОБЛАСТЬ, Г.О. ГОРОД ЕКАТЕРИНБУРГ, Г ЕКАТЕРИНБУРГ, ПР-КТ ЛЕНИНА, СТР. 38А, ОФИС 324</t>
  </si>
  <si>
    <t>ООО ПРОФИ-ТАЙМ</t>
  </si>
  <si>
    <t>620014, СВЕРДЛОВСКАЯ ОБЛАСТЬ, Г ЕКАТЕРИНБУРГ, УЛ МОСКОВСКАЯ, Д.77, 116</t>
  </si>
  <si>
    <t>ООО ТРИЕРА</t>
  </si>
  <si>
    <t>620105, РОССИЯ, СВЕРДЛОВСКАЯ ОБЛАСТЬ, Г.О. ГОРОД ЕКАТЕРИНБУРГ, Г ЕКАТЕРИНБУРГ, УЛ ПАВЛА ШАМАНОВА, Д. 5/2, КВ. 191</t>
  </si>
  <si>
    <t>ООО ФАМА</t>
  </si>
  <si>
    <t>620000, СВЕРДЛОВСКАЯ ОБЛАСТЬ, Г.О. ГОРОД ЕКАТЕРИНБУРГ, Г ЕКАТЕРИНБУРГ, ПР-КТ ЛЕНИНА, СТР. 38А, ОФИС 234/3</t>
  </si>
  <si>
    <t>ООО НЕРТА</t>
  </si>
  <si>
    <t>620000, СВЕРДЛОВСКАЯ ОБЛАСТЬ, Г.О. ГОРОД ЕКАТЕРИНБУРГ, Г ЕКАТЕРИНБУРГ, ПР-КТ ЛЕНИНА, СТР. 38А, ОФИС 25</t>
  </si>
  <si>
    <t>ООО ТД АВТОСНАБ</t>
  </si>
  <si>
    <t>620014, СВЕРДЛОВСКАЯ ОБЛАСТЬ, Г ЕКАТЕРИНБУРГ, УЛ РАДИЩЕВА, Д. 33, КВ. 565</t>
  </si>
  <si>
    <t>ИП ЧЕНДЕВА ЕЛЕНА ИВАНОВНА</t>
  </si>
  <si>
    <t>ИП ПАВЛОВ АЛЕКСАНДР АНДРЕЕВИЧ</t>
  </si>
  <si>
    <t>ИП КУЗНЕЦОВА ЕВГЕНИЯ ВЯЧЕСЛАВОВНА</t>
  </si>
  <si>
    <t>ИП КАЗАНЦЕВ ДЕНИС НИКОЛАЕВИЧ</t>
  </si>
  <si>
    <t>ИП ПАПУЛОВА ИРИНА ВИКТОРОВНА</t>
  </si>
  <si>
    <t>ИП ЧЕРНЫШОВА АЛЕВТИНА ВАСИЛЬЕВНА</t>
  </si>
  <si>
    <t>ИП ИВАНОВ ДМИТРИЙ СЕРГЕЕВИЧ</t>
  </si>
  <si>
    <t>ИП ГОРОДИЛОВА ОЛЕСЯ СЕРГЕЕВНА</t>
  </si>
  <si>
    <t>ИП МАКАРОВ РОМАН КОНСТАНТИНОВИЧ</t>
  </si>
  <si>
    <t>ИП АБДУЛАЕВ ИСМАИЛ ЗЕЛИМХАНОВИЧ</t>
  </si>
  <si>
    <t>ИП СИДЯКОВ АНДРЕЙ ВЛАДИМИРОВИЧ</t>
  </si>
  <si>
    <t>ИП КОПЫЛОВ ЕВГЕНИЙ СЕРГЕЕВИЧ</t>
  </si>
  <si>
    <t>ИП САМСОНОВ ГРИГОРИЙ ГЕННАДЬЕВИЧ</t>
  </si>
  <si>
    <t>ИП Маров Матвей Евгеньевич</t>
  </si>
  <si>
    <t>ИП ИВАНОВА ЮЛИЯ БОРИСОВНА</t>
  </si>
  <si>
    <t>ИП ЛЕОНТЬЕВ КОНСТАНТИН ОЛЕГОВИЧ</t>
  </si>
  <si>
    <t>ООО СИСТЕМСТРОЙ</t>
  </si>
  <si>
    <t>620085, СВЕРДЛОВСКАЯ ОБЛАСТЬ, Г.О. ГОРОД ЕКАТЕРИНБУРГ, Г ЕКАТЕРИНБУРГ, УЛ ТИТОВА, Д. 23, КВ. 60</t>
  </si>
  <si>
    <t>620073, СВЕРДЛОВСКАЯ ОБЛАСТЬ, Г ЕКАТЕРИНБУРГ, УЛ КРЕСТИНСКОГО, Д. 44, ПОМЕЩ. 409</t>
  </si>
  <si>
    <t>ООО ШТЕРН</t>
  </si>
  <si>
    <t>620014, СВЕРДЛОВСКАЯ ОБЛАСТЬ, Г ЕКАТЕРИНБУРГ, УЛ ЧЕЛЮСКИНЦЕВ, Д.10</t>
  </si>
  <si>
    <t>ООО АВТОБАН-ЗАПАД</t>
  </si>
  <si>
    <t>ООО АРТЕМОВСК-ГАЗСЕРВИС</t>
  </si>
  <si>
    <t>620027, СВЕРДЛОВСКАЯ ОБЛАСТЬ, Г ЕКАТЕРИНБУРГ, УЛ МЕЛЬКОВСКАЯ, Д. 12, КОМ. 202</t>
  </si>
  <si>
    <t>ООО СП ЭНЕРГОСЕРВИС</t>
  </si>
  <si>
    <t>620092, СВЕРДЛОВСКАЯ ОБЛАСТЬ, Г ЕКАТЕРИНБУРГ, УЛ ЧИСТОПОЛЬСКАЯ, СТР. 13, ПОМЕЩ. 306</t>
  </si>
  <si>
    <t>ООО РСУ - ЕКАТЕРИНБУРГ</t>
  </si>
  <si>
    <t>620131, СВЕРДЛОВСКАЯ ОБЛАСТЬ, Г.О. ГОРОД ЕКАТЕРИНБУРГ, Г ЕКАТЕРИНБУРГ, УЛ МЕТАЛЛУРГОВ, Д. 52, КВ. 24</t>
  </si>
  <si>
    <t>620036, СВЕРДЛОВСКАЯ ОБЛАСТЬ, Г ЕКАТЕРИНБУРГ, УЛ АНАТОЛИЯ МУРАНОВА, Д. 10, КВ. 60</t>
  </si>
  <si>
    <t>ООО БЕНТЛИ-ЕКАТЕРИНБУРГ</t>
  </si>
  <si>
    <t>ООО ОЛИМП</t>
  </si>
  <si>
    <t>620062, СВЕРДЛОВСКАЯ ОБЛАСТЬ, Г ЕКАТЕРИНБУРГ, ПР-КТ ЛЕНИНА, Д. 70, ОФИС 27</t>
  </si>
  <si>
    <t>ООО УДК</t>
  </si>
  <si>
    <t>624092, СВЕРДЛОВСКАЯ ОБЛАСТЬ, Г ВЕРХНЯЯ ПЫШМА, П ЗАЛЕСЬЕ, УЛ УЮТНАЯ, Д. 13</t>
  </si>
  <si>
    <t>ООО АШДМ СЕРВИС</t>
  </si>
  <si>
    <t>620014, СВЕРДЛОВСКАЯ ОБЛАСТЬ, Г ЕКАТЕРИНБУРГ, УЛ ЧЕЛЮСКИНЦЕВ, Д. 44</t>
  </si>
  <si>
    <t>ООО ЛУБРИ ТЕХ</t>
  </si>
  <si>
    <t>620028, СВЕРДЛОВСКАЯ ОБЛАСТЬ, Г ЕКАТЕРИНБУРГ, УЛ ФРОЛОВА, Д. 31, ОФИС 26</t>
  </si>
  <si>
    <t>ООО ПВ-СРЕДНИЙ УРАЛ</t>
  </si>
  <si>
    <t>620149, РОССИЯ, СВЕРДЛОВСКАЯ ОБЛАСТЬ, Г.О. ГОРОД ЕКАТЕРИНБУРГ, Г ЕКАТЕРИНБУРГ, УЛ СЕРАФИМЫ ДЕРЯБИНОЙ, СТР. 24, ОФИС 713</t>
  </si>
  <si>
    <t>ООО ПВ-СИБИРЬ 2</t>
  </si>
  <si>
    <t>620149, РОССИЯ, СВЕРДЛОВСКАЯ ОБЛАСТЬ, Г.О. ГОРОД ЕКАТЕРИНБУРГ, Г ЕКАТЕРИНБУРГ, УЛ СЕРАФИМЫ ДЕРЯБИНОЙ, СТР. 24, ОФИС 802</t>
  </si>
  <si>
    <t>ООО АВТООПТИКА</t>
  </si>
  <si>
    <t>620034, РОССИЯ, СВЕРДЛОВСКАЯ ОБЛАСТЬ, Г.О. ГОРОД ЕКАТЕРИНБУРГ, Г ЕКАТЕРИНБУРГ, УЛ ЧЕРЕПАНОВА, СООР. 23, ПОМЕЩ. 253</t>
  </si>
  <si>
    <t>ООО ИМСОЛЕКС</t>
  </si>
  <si>
    <t>620149, РОССИЯ, СВЕРДЛОВСКАЯ ОБЛАСТЬ, Г.О. ГОРОД ЕКАТЕРИНБУРГ, Г ЕКАТЕРИНБУРГ, УЛ СЕРАФИМЫ ДЕРЯБИНОЙ, СТР. 24, ОФИС 417</t>
  </si>
  <si>
    <t>ООО ПРОМАСЛО66</t>
  </si>
  <si>
    <t>620131, РОССИЯ, СВЕРДЛОВСКАЯ ОБЛАСТЬ, Г.О. ГОРОД ЕКАТЕРИНБУРГ, Г ЕКАТЕРИНБУРГ, УЛ КРАУЛЯ, Д. 44, ПОМЕЩ. 19</t>
  </si>
  <si>
    <t>ИП ПОПОВ СЕРГЕЙ ЛЕОНИДОВИЧ</t>
  </si>
  <si>
    <t>ИП ФРОЛОВ ИВАН ВАДИМОВИЧ</t>
  </si>
  <si>
    <t>ИП БЕШЕНОВ ВАСИЛИЙ ГРИГОРЬЕВИЧ</t>
  </si>
  <si>
    <t>ИП СИНДЯКОВ АЛЕКСАНДР ВЛАДИМИРОВИЧ</t>
  </si>
  <si>
    <t>ООО КОМПАНИЯ АВТО ПЛЮС</t>
  </si>
  <si>
    <t>620131, СВЕРДЛОВСКАЯ ОБЛАСТЬ, Г ЕКАТЕРИНБУРГ, УЛ МЕТАЛЛУРГОВ, СТР 60</t>
  </si>
  <si>
    <t>ООО ТРАНСОЙЛ-ГРУПП</t>
  </si>
  <si>
    <t>620134, СВЕРДЛОВСКАЯ ОБЛАСТЬ, Г ЕКАТЕРИНБУРГ, П ШУВАКИШ, УЛ ЗЕЛЕНАЯ, СТР. 50А</t>
  </si>
  <si>
    <t>ООО АЦМ</t>
  </si>
  <si>
    <t>620090, СВЕРДЛОВСКАЯ ОБЛАСТЬ, Г ЕКАТЕРИНБУРГ, УЛ МАНЕВРОВАЯ, СТР. 43</t>
  </si>
  <si>
    <t>ООО УРАЛ-БАЛТ К</t>
  </si>
  <si>
    <t>620137, СВЕРДЛОВСКАЯ ОБЛАСТЬ, Г ЕКАТЕРИНБУРГ, УЛ СУЛИМОВА, Д.27, -, 100</t>
  </si>
  <si>
    <t>ООО ИНИГС</t>
  </si>
  <si>
    <t>620062, СВЕРДЛОВСКАЯ ОБЛАСТЬ, Г ЕКАТЕРИНБУРГ, УЛ ПЕРВОМАЙСКАЯ, Д.76, 96</t>
  </si>
  <si>
    <t>ООО ЭССМО</t>
  </si>
  <si>
    <t>620043, СВЕРДЛОВСКАЯ ОБЛАСТЬ, Г.О. ГОРОД ЕКАТЕРИНБУРГ, Г ЕКАТЕРИНБУРГ, УЛ ЗАВОДСКАЯ, СТР. 77, ПОМЕЩ. 6</t>
  </si>
  <si>
    <t>ОООПЛАСТПОЛИМЕР</t>
  </si>
  <si>
    <t>620026, СВЕРДЛОВСКАЯ ОБЛАСТЬ, Г ЕКАТЕРИНБУРГ, УЛ ВОСТОЧНАЯ, Д. 84В, КВ. 120</t>
  </si>
  <si>
    <t>ООО КОМПАНИЯ АВТОДИЛЕР</t>
  </si>
  <si>
    <t>620144, СВЕРДЛОВСКАЯ ОБЛАСТЬ, Г ЕКАТЕРИНБУРГ, УЛ 8 МАРТА, Д. 194, ОФИС 301</t>
  </si>
  <si>
    <t>ИП СУЛИМОВ АНДРЕЙ АЛЕКСАНДРОВИЧ</t>
  </si>
  <si>
    <t>ИП Чиглинцев Андрей Викторович</t>
  </si>
  <si>
    <t>ИП Касымова Татьяна Алексеевна</t>
  </si>
  <si>
    <t>ИП КОЗЕЕВ СЕРГЕЙ ВЛАДИМИРОВИЧ</t>
  </si>
  <si>
    <t>ИП РУСАКОВ СЕРГЕЙ ВАЛЕРЬЕВИЧ</t>
  </si>
  <si>
    <t>ИП Белай Татьяна Васильевна</t>
  </si>
  <si>
    <t>ИП Шарова Нина Михайловна</t>
  </si>
  <si>
    <t>ИП КАЗАНЦЕВА ТАТЬЯНА АЛЕКСЕЕВНА</t>
  </si>
  <si>
    <t>ИП ЗВОРЫГИН АЛЕКСАНДР ВЛАДИМИРОВИЧ</t>
  </si>
  <si>
    <t>ИП КОУРОВ АЛЕКСАНДР АНДРЕЕВИЧ</t>
  </si>
  <si>
    <t>ЗАО ЛАКИ МОТОРС</t>
  </si>
  <si>
    <t>620103, СВЕРДЛОВСКАЯ ОБЛАСТЬ, Г ЕКАТЕРИНБУРГ, УЛ СЕЛЬКОРОВСКАЯ, Д.22, 96</t>
  </si>
  <si>
    <t>ИП ЛИПОВЕНКО НИКОЛАЙ ГРИГОРЬЕВИЧ</t>
  </si>
  <si>
    <t>ИП ДРОКОВ ДМИТРИЙ ЮРЬЕВИЧ</t>
  </si>
  <si>
    <t>ИП Неизвидский Сергей Викторович</t>
  </si>
  <si>
    <t>ИП ГАБЗОВСКИЙ АЛЕКСАНДР СЕРГЕЕВИЧ</t>
  </si>
  <si>
    <t>ООО ПНЕВМОТЕХНИКА</t>
  </si>
  <si>
    <t>620078, СВЕРДЛОВСКАЯ ОБЛАСТЬ, Г ЕКАТЕРИНБУРГ, ПЕР АВТОМАТИКИ, СТР. 1, 224</t>
  </si>
  <si>
    <t>ИП ЧЕРНЯВСКИХ АННА ВАЛЕНТИНОВНА</t>
  </si>
  <si>
    <t>ООО УКДС ГРУПП</t>
  </si>
  <si>
    <t>ООО НПП ТОР</t>
  </si>
  <si>
    <t>620110, СВЕРДЛОВСКАЯ ОБЛАСТЬ, Г.О. ГОРОД ЕКАТЕРИНБУРГ, Г ЕКАТЕРИНБУРГ, УЛ КОЛОКОЛЬНАЯ, Д. 24</t>
  </si>
  <si>
    <t>ИП БАХАРЕВА ВАЛЕНТИНА НИКОЛАЕВНА</t>
  </si>
  <si>
    <t>ИП ЧЕРНИКИН НИКОЛАЙ АЛЕКСАНДРОВИЧ</t>
  </si>
  <si>
    <t>ИП АРЕФЬЕВА ОЛЬГА СЕРГЕЕВНА</t>
  </si>
  <si>
    <t>ООО ЦПТК СЕРВИС</t>
  </si>
  <si>
    <t>ООО МОТОРНЫЕ КОМПОНЕНТЫ</t>
  </si>
  <si>
    <t>ООО УРАЛ-КУБ</t>
  </si>
  <si>
    <t>620000, СВЕРДЛОВСКАЯ ОБЛАСТЬ, Г.О. ГОРОД ЕКАТЕРИНБУРГ, Г ЕКАТЕРИНБУРГ, ТЕР НОВО-СВЕРДЛОВСКАЯ ТЭЦ, СТР. 15</t>
  </si>
  <si>
    <t>ООО ЮМИТОЙ</t>
  </si>
  <si>
    <t>620078, СВЕРДЛОВСКАЯ ОБЛАСТЬ, Г ЕКАТЕРИНБУРГ, УЛ КОМСОМОЛЬСКАЯ, Д. 78, КВ. 624</t>
  </si>
  <si>
    <t>ООО ТД МИР АВТОРЕМОНТА</t>
  </si>
  <si>
    <t>620137, СВЕРДЛОВСКАЯ ОБЛАСТЬ, Г ЕКАТЕРИНБУРГ, УЛ БЛЮХЕРА, Д. 63А, КВ. 197</t>
  </si>
  <si>
    <t>ООО ОРИГИНАЛАВТО-ЕКАТЕРИНБУРГ</t>
  </si>
  <si>
    <t>620091, СВЕРДЛОВСКАЯ ОБЛАСТЬ, Г ЕКАТЕРИНБУРГ, УЛ ФРОНТОВЫХ БРИГАД, Д. 14, ОФИС 5 ЭТАЖ 1</t>
  </si>
  <si>
    <t>ООО АХБ</t>
  </si>
  <si>
    <t>620072, СВЕРДЛОВСКАЯ ОБЛАСТЬ, Г ЕКАТЕРИНБУРГ, Б-Р СИРЕНЕВЫЙ, СТР. 5-Б</t>
  </si>
  <si>
    <t>ООО МИР-ДИСТРИБЬЮТОР</t>
  </si>
  <si>
    <t>620014, РОССИЯ, СВЕРДЛОВСКАЯ ОБЛАСТЬ, Г.О. ГОРОД ЕКАТЕРИНБУРГ, Г ЕКАТЕРИНБУРГ, УЛ ЧЕРНЫШЕВСКОГО, СТР. 7, ПОМЕЩ. 610</t>
  </si>
  <si>
    <t>ООО ДИЛЕКС</t>
  </si>
  <si>
    <t>620033, СВЕРДЛОВСКАЯ ОБЛАСТЬ, Г ЕКАТЕРИНБУРГ, УЛ ПРОЕЗЖАЯ, ДВЛЖ 37</t>
  </si>
  <si>
    <t>ООО В8</t>
  </si>
  <si>
    <t>620072, СВЕРДЛОВСКАЯ ОБЛАСТЬ, Г ЕКАТЕРИНБУРГ, УЛ ВЛАДИМИРА ВЫСОЦКОГО, Д. 2, КВ. 179</t>
  </si>
  <si>
    <t>ООО ВОЗДУХ КМ</t>
  </si>
  <si>
    <t>620075, СВЕРДЛОВСКАЯ ОБЛАСТЬ, Г ЕКАТЕРИНБУРГ, УЛ ПЕРВОМАЙСКАЯ, Д. 56, ПОМЕЩ. 14</t>
  </si>
  <si>
    <t>ООО АВТОПРОФИТ</t>
  </si>
  <si>
    <t>620012, СВЕРДЛОВСКАЯ ОБЛАСТЬ, Г.О. ГОРОД ЕКАТЕРИНБУРГ, Г ЕКАТЕРИНБУРГ, УЛ СТАХАНОВСКАЯ, Д. 1</t>
  </si>
  <si>
    <t>ООО ЮМАРКЕТ</t>
  </si>
  <si>
    <t>620000, СВЕРДЛОВСКАЯ ОБЛАСТЬ, Г.О. ГОРОД ЕКАТЕРИНБУРГ, Г ЕКАТЕРИНБУРГ, УЛ КАРЛА ЛИБКНЕХТА, СТР. 22, ОФИС 201</t>
  </si>
  <si>
    <t>ООО ЦЕНТРТЕХМАШ</t>
  </si>
  <si>
    <t>620066, РОССИЯ, СВЕРДЛОВСКАЯ ОБЛАСТЬ, Г.О. ГОРОД ЕКАТЕРИНБУРГ, Г ЕКАТЕРИНБУРГ, УЛ БЛЮХЕРА, Д. 42, КВ. 112</t>
  </si>
  <si>
    <t>ООО ТОЧКА СБОРКИ</t>
  </si>
  <si>
    <t>620062, РОССИЯ, СВЕРДЛОВСКАЯ ОБЛАСТЬ, Г.О. ГОРОД ЕКАТЕРИНБУРГ, Г ЕКАТЕРИНБУРГ, УЛ ПЕРВОМАЙСКАЯ, СТР. 77, ОФИС 211</t>
  </si>
  <si>
    <t>ООО ТК ЕСП</t>
  </si>
  <si>
    <t>620066, РОССИЯ, СВЕРДЛОВСКАЯ ОБЛАСТЬ, Г.О. ГОРОД ЕКАТЕРИНБУРГ, Г ЕКАТЕРИНБУРГ, УЛ КОМСОМОЛЬСКАЯ, Д. 6-Б, КВ. 48</t>
  </si>
  <si>
    <t>620078, РОССИЯ, СВЕРДЛОВСКАЯ ОБЛАСТЬ, Г.О. ГОРОД ЕКАТЕРИНБУРГ, Г ЕКАТЕРИНБУРГ, УЛ КОМИНТЕРНА, СТР. 16, ПОМЕЩ. 808</t>
  </si>
  <si>
    <t>ООО НОВЫЙ РЕГИОН</t>
  </si>
  <si>
    <t>620110, СВЕРДЛОВСКАЯ ОБЛАСТЬ, Г.О. ГОРОД ЕКАТЕРИНБУРГ, Г ЕКАТЕРИНБУРГ, УЛ БАРВИНКА, Д. 14, ПОМЕЩ. 4</t>
  </si>
  <si>
    <t>ИП КРУПИН АНАТОЛИЙ ЮРЬЕВИЧ</t>
  </si>
  <si>
    <t>ИП АФОНИН ВАСИЛИЙ ВЛАДИМИРОВИЧ</t>
  </si>
  <si>
    <t>620144, РОССИЯ, СВЕРДЛОВСКАЯ ОБЛАСТЬ, Г.О. ГОРОД ЕКАТЕРИНБУРГ, Г ЕКАТЕРИНБУРГ, УЛ ХОХРЯКОВА, СТР. 98, ОФИС 212</t>
  </si>
  <si>
    <t>ИП ПЛЕШКОВА ИРИНА АЛЕКСАНДРОВНА</t>
  </si>
  <si>
    <t>ООО СОЗВЕЗДИЕ КОЛЕСА</t>
  </si>
  <si>
    <t>620014, РОССИЯ, СВЕРДЛОВСКАЯ ОБЛАСТЬ, Г.О. ГОРОД ЕКАТЕРИНБУРГ, Г ЕКАТЕРИНБУРГ, УЛ РАДИЩЕВА, Д. 33, КВ. 549</t>
  </si>
  <si>
    <t>ООО ДИРЕКТ ЛОГИСТИКА</t>
  </si>
  <si>
    <t>620146, РОССИЯ, СВЕРДЛОВСКАЯ ОБЛАСТЬ, Г.О. ГОРОД ЕКАТЕРИНБУРГ, Г ЕКАТЕРИНБУРГ, УЛ МОСКОВСКАЯ, СТР. 214А, ОФИС 201</t>
  </si>
  <si>
    <t>ИП КНЯЗЕВА ИРИНА ВЛАДИМИРОВНА</t>
  </si>
  <si>
    <t>ИП Семьянинова Екатерина Владимировна</t>
  </si>
  <si>
    <t>ООО КОНДА-ГАЗ</t>
  </si>
  <si>
    <t>624400, СВЕРДЛОВСКАЯ ОБЛАСТЬ, Р-Н НОВОЛЯЛИНСКИЙ, Г НОВАЯ ЛЯЛЯ, УЛ РОЗЫ ЛЮКСЕМБУРГ, СООР. 1</t>
  </si>
  <si>
    <t>ИП БРЫЗГАЛОВ АЛЕКСАНДР АЛЕКСАНДРОВИЧ</t>
  </si>
  <si>
    <t>ИП СЕМЬЯНИНОВ ДЕНИС ГЕННАДЬЕВИЧ</t>
  </si>
  <si>
    <t>ИП ПАНОВ МИХАИЛ ВЛАДИМИРОВИЧ</t>
  </si>
  <si>
    <t>ИП ГАВРИЛОВА ЕЛЕНА НИКОЛАЕВНА</t>
  </si>
  <si>
    <t>ИП ЩИПЦОВА СВЕТЛАНА ГЕННАДЬЕВНА</t>
  </si>
  <si>
    <t>ИП ШАЛАМОВ ПЕТР АЛЕКСАНДРОВИЧ</t>
  </si>
  <si>
    <t>ИП ГРИНЬ ВИТАЛИЙ ОЛЕГОВИЧ</t>
  </si>
  <si>
    <t>ШАЛИНСКОЕ РАЙПО</t>
  </si>
  <si>
    <t>623030, СВЕРДЛОВСКАЯ ОБЛАСТЬ, Р-Н ШАЛИНСКИЙ, ПГТ ШАЛЯ, УЛ ОРДЖОНИКИДЗЕ, ЗД. 8</t>
  </si>
  <si>
    <t>ИП Попов Эдгар Веньяминович</t>
  </si>
  <si>
    <t>ИП ГОТМАН ВИКТОР ДЕНИСОВИЧ</t>
  </si>
  <si>
    <t>ООО ВВЦ</t>
  </si>
  <si>
    <t>620090, РОССИЯ, СВЕРДЛОВСКАЯ ОБЛАСТЬ, Г.О. ГОРОД ЕКАТЕРИНБУРГ, Г ЕКАТЕРИНБУРГ, УЛ МАНЕВРОВАЯ, СТР. 40</t>
  </si>
  <si>
    <t>ООО ТЕПАРК</t>
  </si>
  <si>
    <t>620034, СВЕРДЛОВСКАЯ ОБЛАСТЬ, Г ЕКАТЕРИНБУРГ, УЛ ТРУДА, Д.10, ОФ.8</t>
  </si>
  <si>
    <t>ООО ФЛУСС ОЙЛ</t>
  </si>
  <si>
    <t>ООО СДМК</t>
  </si>
  <si>
    <t>620028, СВЕРДЛОВСКАЯ ОБЛАСТЬ, Г ЕКАТЕРИНБУРГ, УЛ ФРОЛОВА, Д. 31, ОФИС 20</t>
  </si>
  <si>
    <t>ООО ТОРГОВЫЙ ДОМ ЭНЕРГИЯ</t>
  </si>
  <si>
    <t>620014, РОССИЯ, СВЕРДЛОВСКАЯ ОБЛАСТЬ, Г.О. ГОРОД ЕКАТЕРИНБУРГ, Г ЕКАТЕРИНБУРГ, УЛ ХОХРЯКОВА, Д. 74, ОФИС 506</t>
  </si>
  <si>
    <t>ООО АК ЭНЕРГИЯ</t>
  </si>
  <si>
    <t>620057, СВЕРДЛОВСКАЯ ОБЛАСТЬ, Г ЕКАТЕРИНБУРГ, УЛ ШЕФСКАЯ, Д. 20</t>
  </si>
  <si>
    <t>ООО ПВ-БАЛТ</t>
  </si>
  <si>
    <t>620102, СВЕРДЛОВСКАЯ ОБЛАСТЬ, Г ЕКАТЕРИНБУРГ, УЛ СЕРАФИМЫ ДЕРЯБИНОЙ, СТР. 24, ОФИС 723</t>
  </si>
  <si>
    <t>ООО ПВ-ВОЛГА</t>
  </si>
  <si>
    <t>620102, СВЕРДЛОВСКАЯ ОБЛАСТЬ, Г ЕКАТЕРИНБУРГ, УЛ СЕРАФИМЫ ДЕРЯБИНОЙ, СТР 24, ОФИС 723</t>
  </si>
  <si>
    <t>ООО РАКЕТА ЛУБРИКАНТС</t>
  </si>
  <si>
    <t>620000, СВЕРДЛОВСКАЯ ОБЛАСТЬ, Г ЕКАТЕРИНБУРГ, УЛ РОЗЫ ЛЮКСЕМБУРГ, СТР. 22, ОФИС 406</t>
  </si>
  <si>
    <t>ООО ПВ-СИБИРЬ</t>
  </si>
  <si>
    <t>ООО ДИОЙЛ</t>
  </si>
  <si>
    <t>620105, РОССИЯ, СВЕРДЛОВСКАЯ ОБЛАСТЬ, Г.О. ГОРОД ЕКАТЕРИНБУРГ, Г ЕКАТЕРИНБУРГ, УЛ КРАСНОЛЕСЬЯ, Д. 157, КВ. 106</t>
  </si>
  <si>
    <t>ООО ПВ-НОВЫЙ УРАЛ</t>
  </si>
  <si>
    <t>ООО РЕГИОНСНАБ</t>
  </si>
  <si>
    <t>620043, РОССИЯ, СВЕРДЛОВСКАЯ ОБЛАСТЬ, Г.О. ГОРОД ЕКАТЕРИНБУРГ, Г ЕКАТЕРИНБУРГ, УЛ ЧЕРКАССКАЯ, СТР. 10, ОФИС 31</t>
  </si>
  <si>
    <t>ИП СОЛОНИН АЛЕКСЕЙ РОСТИСЛАВОВИЧ</t>
  </si>
  <si>
    <t>ИП ФЕДОТОВ ЕВГЕНИЙ ГРИГОРЬЕВИЧ</t>
  </si>
  <si>
    <t>ИП КАРЕЛИН АЛЕКСАНДР АНДРЕЕВИЧ</t>
  </si>
  <si>
    <t>ООО ЕКАТЕРИНБУРГСКАЯ ПРОЦЕССИНГОВАЯ КОМПАНИЯ</t>
  </si>
  <si>
    <t>620091, СВЕРДЛОВСКАЯ ОБЛАСТЬ, Г ЕКАТЕРИНБУРГ, УЛ АРТИНСКАЯ, Д.12, К.Б, -</t>
  </si>
  <si>
    <t>ООО КОМПАНИЯ АВТО ПЛЮС СЕВЕР</t>
  </si>
  <si>
    <t>620091, СВЕРДЛОВСКАЯ ОБЛАСТЬ, Г ЕКАТЕРИНБУРГ, ПР-КТ КОСМОНАВТОВ, СТР. 6</t>
  </si>
  <si>
    <t>ИП ЗАКАМЕННЫХ АЛЕКСЕЙ ЮРЬЕВИЧ</t>
  </si>
  <si>
    <t>ИП ГЛЕБСКИЙ АНДРЕЙ ЛЕОНИДОВИЧ</t>
  </si>
  <si>
    <t>ИП МЕЛЬМАН АЛЕКСЕЙ БОРИСОВИЧ</t>
  </si>
  <si>
    <t>ИП ЗЛОБИН АНАТОЛИЙ ФЕДОРОВИЧ</t>
  </si>
  <si>
    <t>ООО ВИК` ОЙЛ</t>
  </si>
  <si>
    <t>ООО ТРАСТ-ОЙЛ</t>
  </si>
  <si>
    <t>620062, СВЕРДЛОВСКАЯ ОБЛАСТЬ, Г.О. ГОРОД ЕКАТЕРИНБУРГ, Г ЕКАТЕРИНБУРГ, УЛ ЧЕБЫШЕВА, СТР. 6, ОФИС 417</t>
  </si>
  <si>
    <t>ИП Темиргалиев Фарид Зуфарович</t>
  </si>
  <si>
    <t>ИП АБЗАЛОВ НАИЛЬ ВАЗИХОВИЧ</t>
  </si>
  <si>
    <t>ИП МАКАРОВ ВЯЧЕСЛАВ НИКОЛАЕВИЧ</t>
  </si>
  <si>
    <t>АО УРАЛ-НЕФТЬ-СЕРВИС</t>
  </si>
  <si>
    <t>620091, СВЕРДЛОВСКАЯ ОБЛАСТЬ, Г ЕКАТЕРИНБУРГ, УЛ ТУРБИННАЯ, Д.40, 502</t>
  </si>
  <si>
    <t>ООО ФИРМА АВТОСТРОЙ</t>
  </si>
  <si>
    <t>620076, СВЕРДЛОВСКАЯ ОБЛАСТЬ, Г ЕКАТЕРИНБУРГ, УЛ ПОХОДНАЯ, СТР. 79</t>
  </si>
  <si>
    <t>ИП Келасьев Валерий Викторович</t>
  </si>
  <si>
    <t>ИП МУСИХИН ВЛАДИМИР КАРЛОВИЧ</t>
  </si>
  <si>
    <t>ИП РОМАНЕНКО ЮРИЙ ПЕТРОВИЧ</t>
  </si>
  <si>
    <t>ИП ВАСИЛЬЕВ СЕРГЕЙ АРКАДЬЕВИЧ</t>
  </si>
  <si>
    <t>ИП Есин Михаил Михайлович</t>
  </si>
  <si>
    <t>ООО МАСЛОН</t>
  </si>
  <si>
    <t>620100, СВЕРДЛОВСКАЯ ОБЛАСТЬ, Г.О. ГОРОД ЕКАТЕРИНБУРГ, Г ЕКАТЕРИНБУРГ, ТРАКТ СИБИРСКИЙ, СТР. 12, ОФИС 301</t>
  </si>
  <si>
    <t>ИП КОПЫЛОВ АЛЕКСАНДР ВАСИЛЬЕВИЧ</t>
  </si>
  <si>
    <t>ИП КАНАВЧЕНКО ЕЛЕНА СЕРГЕЕВНА</t>
  </si>
  <si>
    <t>ООО ЭЛЕКТРИЧЕСКИЕ ТЕХНОЛОГИИ</t>
  </si>
  <si>
    <t>620078, СВЕРДЛОВСКАЯ ОБЛАСТЬ, Г ЕКАТЕРИНБУРГ, УЛ МАЛЫШЕВА, СТР. 164, ОФИС 2</t>
  </si>
  <si>
    <t>ООО УКДС</t>
  </si>
  <si>
    <t>620075, СВЕРДЛОВСКАЯ ОБЛАСТЬ, Г ЕКАТЕРИНБУРГ, УЛ МАМИНА-СИБИРЯКА, СТР. 101, ОФИС 4.27</t>
  </si>
  <si>
    <t>ООО  ОПТИМА</t>
  </si>
  <si>
    <t>620030, СВЕРДЛОВСКАЯ ОБЛАСТЬ, Г ЕКАТЕРИНБУРГ, УЛ КАРЬЕРНАЯ, Д. 2, ПОМЕЩ. 1</t>
  </si>
  <si>
    <t>ООО СОУ</t>
  </si>
  <si>
    <t>ООО ОМ ПАРТС</t>
  </si>
  <si>
    <t>620137, СВЕРДЛОВСКАЯ ОБЛАСТЬ, Г ЕКАТЕРИНБУРГ, УЛ БЕХТЕРЕВА, Д. 3, ОФИС 4</t>
  </si>
  <si>
    <t>ООО  АЛВИС ИНЖИНИРИНГ</t>
  </si>
  <si>
    <t>620133, СВЕРДЛОВСКАЯ ОБЛАСТЬ, Г.О. ГОРОД ЕКАТЕРИНБУРГ, Г ЕКАТЕРИНБУРГ, УЛ ШЕВЧЕНКО, Д. 18, ОФИС 420</t>
  </si>
  <si>
    <t>ООО АТУМ</t>
  </si>
  <si>
    <t>620014, СВЕРДЛОВСКАЯ ОБЛАСТЬ, Г ЕКАТЕРИНБУРГ, УЛ ВАЙНЕРА, СТР. 55А, ОФИС 113</t>
  </si>
  <si>
    <t>620000, СВЕРДЛОВСКАЯ ОБЛАСТЬ, Г.О. ГОРОД ЕКАТЕРИНБУРГ, Г ЕКАТЕРИНБУРГ, УЛ ЧЕЛЮСКИНЦЕВ, СТР. 10, ПОМЕЩ. 2</t>
  </si>
  <si>
    <t>ООО ВРУМ-ШОП</t>
  </si>
  <si>
    <t>620027, СВЕРДЛОВСКАЯ ОБЛАСТЬ, Г.О. ГОРОД ЕКАТЕРИНБУРГ, Г ЕКАТЕРИНБУРГ, УЛ АЗИНА, Д. 22/2, ОФИС 7</t>
  </si>
  <si>
    <t>620103, СВЕРДЛОВСКАЯ ОБЛАСТЬ, Г.О. ГОРОД ЕКАТЕРИНБУРГ, Г ЕКАТЕРИНБУРГ, УЛ СЕЛЬКОРОВСКАЯ, Д. 104, ПОМЕЩ. 3</t>
  </si>
  <si>
    <t>ООО ПКФ СТС</t>
  </si>
  <si>
    <t>620078, РОССИЯ, СВЕРДЛОВСКАЯ ОБЛАСТЬ, Г.О. ГОРОД ЕКАТЕРИНБУРГ, Г ЕКАТЕРИНБУРГ, УЛ МИРА, Д. 47/3, КВ. 74</t>
  </si>
  <si>
    <t>ООО УРАЛПОСТАВКА</t>
  </si>
  <si>
    <t>620078, СВЕРДЛОВСКАЯ ОБЛАСТЬ, Г.О. ГОРОД ЕКАТЕРИНБУРГ, Г ЕКАТЕРИНБУРГ, УЛ КОМСОМОЛЬСКАЯ, Д. 78, КВ. 396</t>
  </si>
  <si>
    <t>ООО АВТОДОК ПЛЮС</t>
  </si>
  <si>
    <t>620062, СВЕРДЛОВСКАЯ ОБЛАСТЬ, Г.О. ГОРОД ЕКАТЕРИНБУРГ, Г ЕКАТЕРИНБУРГ, УЛ ПЕРВОМАЙСКАЯ, СТР. 77, КОМ. 31</t>
  </si>
  <si>
    <t>ООО КАПИТАЛАВТО</t>
  </si>
  <si>
    <t>620078, СВЕРДЛОВСКАЯ ОБЛАСТЬ, Г.О. ГОРОД ЕКАТЕРИНБУРГ, Г ЕКАТЕРИНБУРГ, УЛ КОМИНТЕРНА, СТР. 16, ОФИС 322</t>
  </si>
  <si>
    <t>ООО ПРИМА ХИМ</t>
  </si>
  <si>
    <t>620016, СВЕРДЛОВСКАЯ ОБЛАСТЬ, Г ЕКАТЕРИНБУРГ, УЛ АМУНДСЕНА, Д. 120, ОФИС 16</t>
  </si>
  <si>
    <t>ИП БОЙЦОВ АЛЕКСЕЙ БОРИСОВИЧ</t>
  </si>
  <si>
    <t>ИП МАКСИМОВ АЛЕКСЕЙ ВИКТОРОВИЧ</t>
  </si>
  <si>
    <t>ИП КОРОБОВ АНДРЕЙ ВАЛЕРЬЕВИЧ</t>
  </si>
  <si>
    <t>ООО КОМПАНИЯ АРС</t>
  </si>
  <si>
    <t>620091, РОССИЯ, СВЕРДЛОВСКАЯ ОБЛАСТЬ, Г.О. ГОРОД ЕКАТЕРИНБУРГ, Г ЕКАТЕРИНБУРГ, УЛ ФРОНТОВЫХ БРИГАД, СТР. 18/3А, ОФИС 242</t>
  </si>
  <si>
    <t>ИП РОДИНА ВАЛЕНТИНА ВЛАДИМИРОВНА</t>
  </si>
  <si>
    <t>ИП ВЕРЕМЕЕНКО АННА ВЛАДИМИРОВНА</t>
  </si>
  <si>
    <t>ИП РЕШЕТНЮК ИВАН ПЕТРОВИЧ</t>
  </si>
  <si>
    <t>ИП БОРМОТОВ АЛЕКСЕЙ ВЛАДИМИРОВИЧ</t>
  </si>
  <si>
    <t>ООО КАРМИНА</t>
  </si>
  <si>
    <t>620016, РОССИЯ, СВЕРДЛОВСКАЯ ОБЛАСТЬ, Г.О. ГОРОД ЕКАТЕРИНБУРГ, Г ЕКАТЕРИНБУРГ, УЛ АМУНДСЕНА, Д. 120, ОФИС 6</t>
  </si>
  <si>
    <t>ООО КУБГЕЙМ</t>
  </si>
  <si>
    <t>620000, СВЕРДЛОВСКАЯ ОБЛАСТЬ, Г.О. ГОРОД ЕКАТЕРИНБУРГ, Г ЕКАТЕРИНБУРГ, ПР-КТ ЛЕНИНА, СТР. 38А, ОФИС 228</t>
  </si>
  <si>
    <t>ООО ПРОМТЕХ</t>
  </si>
  <si>
    <t>620142, РОССИЯ, СВЕРДЛОВСКАЯ ОБЛАСТЬ, Г.О. ГОРОД ЕКАТЕРИНБУРГ, Г ЕКАТЕРИНБУРГ, УЛ ФРУНЗЕ, СООР. 35А, ОФИС 85</t>
  </si>
  <si>
    <t>ООО СТО-№1</t>
  </si>
  <si>
    <t>620147, СВЕРДЛОВСКАЯ ОБЛАСТЬ, Г.О. ГОРОД ЕКАТЕРИНБУРГ, Г ЕКАТЕРИНБУРГ, УЛ НАЧДИВА ОНУФРИЕВА, СТР. 47</t>
  </si>
  <si>
    <t>ООО ГАГАРКА</t>
  </si>
  <si>
    <t>620014, РОССИЯ, СВЕРДЛОВСКАЯ ОБЛАСТЬ, Г.О. ГОРОД ЕКАТЕРИНБУРГ, Г ЕКАТЕРИНБУРГ, УЛ РАДИЩЕВА, СТР. 6А, ПОМЕЩ. 2904Г</t>
  </si>
  <si>
    <t>ООО КОМПЛЕКТ-ТЕХНИКА</t>
  </si>
  <si>
    <t>620012, СВЕРДЛОВСКАЯ ОБЛАСТЬ, Г ЕКАТЕРИНБУРГ, УЛ КУЗНЕЦОВА, СТР. 2Б, ОФИС 1201</t>
  </si>
  <si>
    <t>ИП АВЕРКОВ ПАВЕЛ АЛЕКСЕЕВИЧ</t>
  </si>
  <si>
    <t>ООО ОЙЛ-КОМ</t>
  </si>
  <si>
    <t>620058, СВЕРДЛОВСКАЯ ОБЛАСТЬ, Г ЕКАТЕРИНБУРГ, ПР-КТ КОСМОНАВТОВ, СТР. 107</t>
  </si>
  <si>
    <t>620143, СВЕРДЛОВСКАЯ ОБЛАСТЬ, Г ЕКАТЕРИНБУРГ, УЛ ПОБЕДЫ, Д.37, 334</t>
  </si>
  <si>
    <t>ИП КАРОЧКИН АНДРЕЙ ВИКТОРОВИЧ</t>
  </si>
  <si>
    <t>ИП МЕХОНОШИН РУСЛАН РОМАНОВИЧ</t>
  </si>
  <si>
    <t>ИП БОНДАРЕВ ЮРИЙ АЛЕКСАНДРОВИЧ</t>
  </si>
  <si>
    <t>ИП ТЕЛЕГИНА НАТАЛЬЯ ВЛАДИМИРОВНА</t>
  </si>
  <si>
    <t>ИП ПЛЕТНЕВА НАТАЛЬЯ ИВАНОВНА</t>
  </si>
  <si>
    <t>ИП ПУХАРЕВ АРТЁМ ВАЛЕРЬЕВИЧ</t>
  </si>
  <si>
    <t>ИП МОЛОДЕЦКИЙ ЮРИЙ ГЕННАДЬЕВИЧ</t>
  </si>
  <si>
    <t>ИП РЕПНИН ВЛАДИСЛАВ АНДРЕЕВИЧ</t>
  </si>
  <si>
    <t>ИП КАБАННИКОВ ИГОРЬ НИКОЛАЕВИЧ</t>
  </si>
  <si>
    <t>ИП Беликов Сергей Юрьевич</t>
  </si>
  <si>
    <t>ООО КОНЦЕПТ КАР</t>
  </si>
  <si>
    <t>620034, СВЕРДЛОВСКАЯ ОБЛАСТЬ, Г ЕКАТЕРИНБУРГ, УЛ БЕБЕЛЯ, СТР 57</t>
  </si>
  <si>
    <t>ООО АВТО ПЕРЕКРЕСТОК</t>
  </si>
  <si>
    <t>620142, СВЕРДЛОВСКАЯ ОБЛАСТЬ, Г ЕКАТЕРИНБУРГ, УЛ ЦВИЛЛИНГА, Д.6, КОМНАТА 97</t>
  </si>
  <si>
    <t>ИП Фадеева Елена Валерьевна</t>
  </si>
  <si>
    <t>ООО  СТРОЙТЕХКОМПЛЕКТ</t>
  </si>
  <si>
    <t>620085, СВЕРДЛОВСКАЯ ОБЛАСТЬ, Г.О. ГОРОД ЕКАТЕРИНБУРГ, Г ЕКАТЕРИНБУРГ, УЛ 8 МАРТА, СТР. 207, ОФИС 26</t>
  </si>
  <si>
    <t>620073, СВЕРДЛОВСКАЯ ОБЛАСТЬ, Г ЕКАТЕРИНБУРГ, УЛ КРЕСТИНСКОГО, Д.59, К.1, 228</t>
  </si>
  <si>
    <t>ООО АВА-МОТОРС</t>
  </si>
  <si>
    <t>620026, СВЕРДЛОВСКАЯ ОБЛАСТЬ, Г ЕКАТЕРИНБУРГ, УЛ КАРЛА МАРКСА, СТР. 8, 508</t>
  </si>
  <si>
    <t>ООО АВТОХАУС УРАЛ</t>
  </si>
  <si>
    <t>620146, СВЕРДЛОВСКАЯ ОБЛАСТЬ, Г.О. ГОРОД ЕКАТЕРИНБУРГ, Г ЕКАТЕРИНБУРГ, УЛ ШАУМЯНА/ЧКАЛОВА, СТР. 73/16, ОФИС 510</t>
  </si>
  <si>
    <t>ЗАО АВТОМОБИЛИ МИРА</t>
  </si>
  <si>
    <t>620103, СВЕРДЛОВСКАЯ ОБЛАСТЬ, Г ЕКАТЕРИНБУРГ, УЛ СЕЛЬКОРОВСКАЯ, Д.82, К.Б, ОФИС 16</t>
  </si>
  <si>
    <t>620146, РОССИЯ, СВЕРДЛОВСКАЯ ОБЛАСТЬ, Г.О. ГОРОД ЕКАТЕРИНБУРГ, Г ЕКАТЕРИНБУРГ, УЛ ШАУМЯНА/ЧКАЛОВА, СТР. 73/16, ОФИС 401</t>
  </si>
  <si>
    <t>620073, СВЕРДЛОВСКАЯ ОБЛАСТЬ, Г ЕКАТЕРИНБУРГ, УЛ РОДОНИТОВАЯ, Д.18, 129</t>
  </si>
  <si>
    <t>ИП ШИРОН ОЛЬГА ДМИТРИЕВНА</t>
  </si>
  <si>
    <t>ИП КОСТАРЕВ АЛЕКСЕЙ АНДРЕЕВИЧ</t>
  </si>
  <si>
    <t>ИП ЛУКИН ИЛЬЯ СЕРГЕЕВИЧ</t>
  </si>
  <si>
    <t>ООО АВТОБАН-БЕРЕЗОВСКИЙ-ПЛЮС</t>
  </si>
  <si>
    <t>623700, СВЕРДЛОВСКАЯ ОБЛАСТЬ, Г БЕРЕЗОВСКИЙ, УЛ БЕРЕЗОВСКИЙ ТРАКТ, СТР. 11А</t>
  </si>
  <si>
    <t>ООО АВТО-ТРАСТ</t>
  </si>
  <si>
    <t>623700, СВЕРДЛОВСКАЯ ОБЛАСТЬ, Г БЕРЕЗОВСКИЙ, УЛ УРАЛЬСКАЯ, Д. 140В, ПОМЕЩ. 58</t>
  </si>
  <si>
    <t>ООО СЕВЕР-ИНВЕСТ</t>
  </si>
  <si>
    <t>620090, СВЕРДЛОВСКАЯ ОБЛАСТЬ, Г ЕКАТЕРИНБУРГ, УЛ МАНЕВРОВАЯ, СТР. 45</t>
  </si>
  <si>
    <t>ООО МБ АВТОКОММ</t>
  </si>
  <si>
    <t>ИП КРУПЕНИНА АНАСТАСИЯ АЛЕКСАНДРОВНА</t>
  </si>
  <si>
    <t>ИП ДУБРОВИН ПАВЕЛ АНДРЕЕВИЧ</t>
  </si>
  <si>
    <t>ООО ПРОДИЗЕЛЬВОСТОК</t>
  </si>
  <si>
    <t>623700, СВЕРДЛОВСКАЯ ОБЛАСТЬ, М.О. БЕРЕЗОВСКИЙ, Г БЕРЕЗОВСКИЙ, УЛ ВОРОТНИКОВА, К. 1, СТР. 82А, ОФИС 3</t>
  </si>
  <si>
    <t>ИП ПАНОВА НАДЕЖДА СЕРГЕЕВНА</t>
  </si>
  <si>
    <t>ООО ТИТАН-АВТО</t>
  </si>
  <si>
    <t>620141, СВЕРДЛОВСКАЯ ОБЛАСТЬ, Г ЕКАТЕРИНБУРГ, УЛ ЕРЕВАНСКАЯ, Д. 20, ПОМЕЩ. 5</t>
  </si>
  <si>
    <t>ООО УНИКУМ ИМПОРТ</t>
  </si>
  <si>
    <t>620090, СВЕРДЛОВСКАЯ ОБЛАСТЬ, Г ЕКАТЕРИНБУРГ, УЛ РАСТОЧНАЯ, СТР. 38, ОФИС 4</t>
  </si>
  <si>
    <t>ООО ТД ФАБРИКА УСПЕХА</t>
  </si>
  <si>
    <t>620010, СВЕРДЛОВСКАЯ ОБЛАСТЬ, Г.О. ГОРОД ЕКАТЕРИНБУРГ, Г ЕКАТЕРИНБУРГ, УЛ АЛЬПИНИСТОВ, СТР. 77, ОФИС 304В</t>
  </si>
  <si>
    <t>ООО МАГНА</t>
  </si>
  <si>
    <t>623704, СВЕРДЛОВСКАЯ ОБЛАСТЬ, Г БЕРЕЗОВСКИЙ, УЛ ЧАПАЕВА, СТР. 43, ОФИС 309</t>
  </si>
  <si>
    <t>ООО РИТЕЙЛ</t>
  </si>
  <si>
    <t>623704, СВЕРДЛОВСКАЯ ОБЛАСТЬ, Г БЕРЕЗОВСКИЙ, ТЕР П.ПЕРВОМАЙСКИЙ, СТР. 24, ПОМЕЩ. 65</t>
  </si>
  <si>
    <t>ООО БМГ-УРАЛ</t>
  </si>
  <si>
    <t>623704, СВЕРДЛОВСКАЯ ОБЛАСТЬ, Г БЕРЕЗОВСКИЙ, УЛ КЛАРЫ ЦЕТКИН, СТР. 65А</t>
  </si>
  <si>
    <t>ООО АВТОЦЕНТР УНИКУМ</t>
  </si>
  <si>
    <t>620090, СВЕРДЛОВСКАЯ ОБЛАСТЬ, Г ЕКАТЕРИНБУРГ, УЛ РАСТОЧНАЯ, СТР. 38, ОФИС 5</t>
  </si>
  <si>
    <t>ООО МТЛ</t>
  </si>
  <si>
    <t>620141, РОССИЯ, СВЕРДЛОВСКАЯ ОБЛАСТЬ, Г.О. ГОРОД ЕКАТЕРИНБУРГ, Г ЕКАТЕРИНБУРГ, УЛ БЕБЕЛЯ, Д. 148, КВ. 207</t>
  </si>
  <si>
    <t>ООО ПРИОРИТЕТ М</t>
  </si>
  <si>
    <t>620030, СВЕРДЛОВСКАЯ ОБЛАСТЬ, Г.О. ГОРОД ЕКАТЕРИНБУРГ, Г ЕКАТЕРИНБУРГ, УЛ КАРЬЕРНАЯ, СТР. 2, ОФИС 703</t>
  </si>
  <si>
    <t>623706, СВЕРДЛОВСКАЯ ОБЛАСТЬ, М.О. БЕРЕЗОВСКИЙ, ТЕР. СНТ ШИШКИНО, Д. У/5</t>
  </si>
  <si>
    <t>ООО РЕГИОН-СВ</t>
  </si>
  <si>
    <t>620043, СВЕРДЛОВСКАЯ ОБЛАСТЬ, Г ЕКАТЕРИНБУРГ, ТЕР ЗЕЛЕНОБОРСКИЙ-3, Д. 10, КВ. 17</t>
  </si>
  <si>
    <t>ООО ТРЭЙД К</t>
  </si>
  <si>
    <t>620073, СВЕРДЛОВСКАЯ ОБЛАСТЬ, Г.О. ГОРОД ЕКАТЕРИНБУРГ, Г ЕКАТЕРИНБУРГ, УЛ АКАДЕМИКА ШВАРЦА, Д. 8, К. 3, ОФИС 513</t>
  </si>
  <si>
    <t>ООО СИМАГЛОБАЛ</t>
  </si>
  <si>
    <t>620010, СВЕРДЛОВСКАЯ ОБЛАСТЬ, Г ЕКАТЕРИНБУРГ, УЛ ЧЕРНЯХОВСКОГО, Д. 86, ОФИС 21</t>
  </si>
  <si>
    <t>ООО АВТОБАН ЦЕНТР</t>
  </si>
  <si>
    <t>620076, СВЕРДЛОВСКАЯ ОБЛАСТЬ, Г ЕКАТЕРИНБУРГ, УЛ ЩЕРБАКОВА, Д. 144</t>
  </si>
  <si>
    <t>ООО ТД СИМА-ЛЕНД</t>
  </si>
  <si>
    <t>620010, СВЕРДЛОВСКАЯ ОБЛАСТЬ, Г ЕКАТЕРИНБУРГ, УЛ ЧЕРНЯХОВСКОГО, СТР. 86, ОФИС 44</t>
  </si>
  <si>
    <t>ООО АВТОБАН-УРАЛ</t>
  </si>
  <si>
    <t>620076, СВЕРДЛОВСКАЯ ОБЛАСТЬ, Г ЕКАТЕРИНБУРГ, УЛ ЩЕРБАКОВА, Д. 144, ОФИС 28</t>
  </si>
  <si>
    <t>620085, СВЕРДЛОВСКАЯ ОБЛАСТЬ, Г ЕКАТЕРИНБУРГ, УЛ СЕЛЬКОРОВСКАЯ, Д. 12, КВ. 15</t>
  </si>
  <si>
    <t>620103, СВЕРДЛОВСКАЯ ОБЛАСТЬ, Г ЕКАТЕРИНБУРГ, УЛ ЗЕНИТЧИКОВ, Д. 124</t>
  </si>
  <si>
    <t>ООО СИМАЦЕНТР</t>
  </si>
  <si>
    <t>620010, СВЕРДЛОВСКАЯ ОБЛАСТЬ, Г.О. ГОРОД ЕКАТЕРИНБУРГ, Г ЕКАТЕРИНБУРГ, УЛ ЧЕРНЯХОВСКОГО, СТР. 86, ОФИС 9</t>
  </si>
  <si>
    <t>ООО СИМА-ЭКСПРЕСС</t>
  </si>
  <si>
    <t>620010, СВЕРДЛОВСКАЯ ОБЛАСТЬ, Г.О. ГОРОД ЕКАТЕРИНБУРГ, Г ЕКАТЕРИНБУРГ, УЛ ЧЕРНЯХОВСКОГО, СТР. 86, ОФИС 14</t>
  </si>
  <si>
    <t>ООО МЕХАНКА</t>
  </si>
  <si>
    <t>620026, СВЕРДЛОВСКАЯ ОБЛАСТЬ, Г.О. ГОРОД ЕКАТЕРИНБУРГ, Г ЕКАТЕРИНБУРГ, УЛ БЕЛИНСКОГО, СТР. 56, ПОМЕЩ. 35</t>
  </si>
  <si>
    <t>ООО СИМА ЭКСПОРТ</t>
  </si>
  <si>
    <t>620010, РОССИЯ, СВЕРДЛОВСКАЯ ОБЛАСТЬ, Г.О. ГОРОД ЕКАТЕРИНБУРГ, Г ЕКАТЕРИНБУРГ, УЛ ЧЕРНЯХОВСКОГО, СТР. 86, ОФИС 197</t>
  </si>
  <si>
    <t>ООО ФАБРИКА МЕЧТЫ</t>
  </si>
  <si>
    <t>620010, СВЕРДЛОВСКАЯ ОБЛАСТЬ, Г.О. ГОРОД ЕКАТЕРИНБУРГ, Г ЕКАТЕРИНБУРГ, УЛ ЧЕРНЯХОВСКОГО, СТР. 86, ОФИС 37</t>
  </si>
  <si>
    <t>ООО СИМА УЮТ</t>
  </si>
  <si>
    <t>620010, СВЕРДЛОВСКАЯ ОБЛАСТЬ, Г.О. ГОРОД ЕКАТЕРИНБУРГ, Г ЕКАТЕРИНБУРГ, УЛ ЧЕРНЯХОВСКОГО, СТР. 86, ОФИС 200</t>
  </si>
  <si>
    <t>ИП ЖУРАВИН ВЛАДИСЛАВ СЕРГЕЕВИЧ</t>
  </si>
  <si>
    <t>ООО ДЛК-МАШИНЕРИ</t>
  </si>
  <si>
    <t>620137, СВЕРДЛОВСКАЯ ОБЛАСТЬ, Г ЕКАТЕРИНБУРГ, УЛ ШЕФСКАЯ, СТР. 3А, ПОМЕЩ. 201</t>
  </si>
  <si>
    <t>ООО ТРАКТОР</t>
  </si>
  <si>
    <t>623119, СВЕРДЛОВСКАЯ ОБЛАСТЬ, Г ПЕРВОУРАЛЬСК, УЛ ВАЙНЕРА, СТР. 20</t>
  </si>
  <si>
    <t>ООО РЕМАН-СЕРВИС</t>
  </si>
  <si>
    <t>624006, СВЕРДЛОВСКАЯ ОБЛАСТЬ, Р-Н СЫСЕРТСКИЙ, П БОЛЬШОЙ ИСТОК, УЛ СВЕРДЛОВА, Д. 39А</t>
  </si>
  <si>
    <t>ООО РМК-СНАБЖЕНИЕ</t>
  </si>
  <si>
    <t>620000, СВЕРДЛОВСКАЯ ОБЛАСТЬ, Г.О. ГОРОД ЕКАТЕРИНБУРГ, Г ЕКАТЕРИНБУРГ, УЛ ГОРЬКОГО, СТР. 57, ОФИС 12.19</t>
  </si>
  <si>
    <t>ООО ПРОМПРИБОР-СЕРВИС</t>
  </si>
  <si>
    <t>620075, СВЕРДЛОВСКАЯ ОБЛАСТЬ, Г ЕКАТЕРИНБУРГ, УЛ ЭНГЕЛЬСА, Д.38, ЛИТЕР А</t>
  </si>
  <si>
    <t>ООО ЭН ЭФ ЛУБРИКАНТС</t>
  </si>
  <si>
    <t>624006, СВЕРДЛОВСКАЯ ОБЛАСТЬ, Р-Н СЫСЕРТСКИЙ, П БОЛЬШОЙ ИСТОК, УЛ СВЕРДЛОВА, ЗД. 42А</t>
  </si>
  <si>
    <t>ООО  ЕВРОХИМГРУПП</t>
  </si>
  <si>
    <t>620030, РОССИЯ, СВЕРДЛОВСКАЯ ОБЛАСТЬ, Г.О. ГОРОД ЕКАТЕРИНБУРГ, Г ЕКАТЕРИНБУРГ, УЛ ХЛЕБНАЯ, СТР. 17, КОМ. 30</t>
  </si>
  <si>
    <t>ООО АКВАМОТОШОП</t>
  </si>
  <si>
    <t>620026, СВЕРДЛОВСКАЯ ОБЛАСТЬ, Г ЕКАТЕРИНБУРГ, УЛ КУЙБЫШЕВА, СТР. 167</t>
  </si>
  <si>
    <t>ООО СКЛАДИНТЕХ</t>
  </si>
  <si>
    <t>620137, СВЕРДЛОВСКАЯ ОБЛАСТЬ, Г.О. ГОРОД ЕКАТЕРИНБУРГ, Г ЕКАТЕРИНБУРГ, УЛ ВИЛОНОВА, СТР. 45Л, ОФИС 400</t>
  </si>
  <si>
    <t>АО ПРОМЫШЛЕННАЯ ЛАБОРАТОРИЯ</t>
  </si>
  <si>
    <t>620105, СВЕРДЛОВСКАЯ ОБЛАСТЬ, Г.О. ГОРОД ЕКАТЕРИНБУРГ, Г ЕКАТЕРИНБУРГ, УЛ ОЧЕРЕТИНА, Д. 6, КВ. 64</t>
  </si>
  <si>
    <t>ООО НОВАТОР-ЕК</t>
  </si>
  <si>
    <t>620100, РОССИЯ, СВЕРДЛОВСКАЯ ОБЛАСТЬ, Г.О. ГОРОД ЕКАТЕРИНБУРГ, Г ЕКАТЕРИНБУРГ, ТРАКТ СИБИРСКИЙ, СТР. 57, ПОМЕЩ. 521-6</t>
  </si>
  <si>
    <t>ООО АВТОБАН-СЕВЕР-ПЛЮС</t>
  </si>
  <si>
    <t>620091, СВЕРДЛОВСКАЯ ОБЛАСТЬ, Г ЕКАТЕРИНБУРГ, УЛ БАБУШКИНА, СООР. 9</t>
  </si>
  <si>
    <t>ООО УРАЛЛЕКИГРУПП</t>
  </si>
  <si>
    <t>624096, СВЕРДЛОВСКАЯ ОБЛАСТЬ, Г ВЕРХНЯЯ ПЫШМА, УЛ УРАЛЬСКИХ РАБОЧИХ, Д.46, 61</t>
  </si>
  <si>
    <t>ООО УРАЛ-ТРАНС-НЕФТЬ</t>
  </si>
  <si>
    <t>624090, СВЕРДЛОВСКАЯ ОБЛАСТЬ, Г ВЕРХНЯЯ ПЫШМА, ПР-Д ПРОМЫШЛЕННЫЙ, ДВЛД 1, ОФИС 105В</t>
  </si>
  <si>
    <t>ООО АВТОМАГАЗИН АМУЛЕТ</t>
  </si>
  <si>
    <t>624082, СВЕРДЛОВСКАЯ ОБЛАСТЬ, Г ВЕРХНЯЯ ПЫШМА, П ЗАЛЕСЬЕ, УЛ ГЛАВНАЯ, Д. 15, КВ. 8</t>
  </si>
  <si>
    <t>620017, СВЕРДЛОВСКАЯ ОБЛАСТЬ, Г ЕКАТЕРИНБУРГ, УЛ СТАРЫХ БОЛЬШЕВИКОВ, Д. 3, КВ. 176</t>
  </si>
  <si>
    <t>620135, СВЕРДЛОВСКАЯ ОБЛАСТЬ, Г ЕКАТЕРИНБУРГ, УЛ СТАЧЕК, Д. 55, КВ. 411</t>
  </si>
  <si>
    <t>ООО ГАС</t>
  </si>
  <si>
    <t>620137, СВЕРДЛОВСКАЯ ОБЛАСТЬ, Г ЕКАТЕРИНБУРГ, ПР-Д ПРОМЫШЛЕННЫЙ, Д. 3, ОФИС 101</t>
  </si>
  <si>
    <t>ООО ТЕХНИК</t>
  </si>
  <si>
    <t>620017, СВЕРДЛОВСКАЯ ОБЛАСТЬ, Г ЕКАТЕРИНБУРГ, УЛ ШЕФСКАЯ, Д. 2А-7, ПОМЕЩ. М1</t>
  </si>
  <si>
    <t>ООО ИНСТРУМ ГРУПП</t>
  </si>
  <si>
    <t>620091, СВЕРДЛОВСКАЯ ОБЛАСТЬ, Г.О. ГОРОД ЕКАТЕРИНБУРГ, Г ЕКАТЕРИНБУРГ, УЛ БАБУШКИНА, СТР. 1-Б, ОФИС 1/5</t>
  </si>
  <si>
    <t>ООО ПАРТЭС</t>
  </si>
  <si>
    <t>620091, РОССИЯ, СВЕРДЛОВСКАЯ ОБЛАСТЬ, Г.О. ГОРОД ЕКАТЕРИНБУРГ, Г ЕКАТЕРИНБУРГ, ПР-КТ КОСМОНАВТОВ, Д. 46А, ПОМЕЩ. 06</t>
  </si>
  <si>
    <t>ООО РДН</t>
  </si>
  <si>
    <t>620000, РОССИЯ, СВЕРДЛОВСКАЯ ОБЛАСТЬ, Г.О. ГОРОД ЕКАТЕРИНБУРГ, Г ЕКАТЕРИНБУРГ, ПР-КТ ЛЕНИНА, СТР. 38А, ОФИС 30</t>
  </si>
  <si>
    <t>ООО МАРКЕТ ПРОДУКТ</t>
  </si>
  <si>
    <t>620000, РОССИЯ, СВЕРДЛОВСКАЯ ОБЛАСТЬ, Г.О. ГОРОД ЕКАТЕРИНБУРГ, Г ЕКАТЕРИНБУРГ, ПР-КТ ЛЕНИНА, СТР. 38А, ОФИС 226/1</t>
  </si>
  <si>
    <t>620063, РОССИЯ, СВЕРДЛОВСКАЯ ОБЛАСТЬ, Г.О. ГОРОД ЕКАТЕРИНБУРГ, Г ЕКАТЕРИНБУРГ, УЛ БЕЛИНСКОГО, СТР. 108, ПОМЕЩ. 82, ОФИС 2</t>
  </si>
  <si>
    <t>ООО СИЭНСИ ПЛЮС</t>
  </si>
  <si>
    <t>620100, РОССИЯ, СВЕРДЛОВСКАЯ ОБЛАСТЬ, Г.О. ГОРОД ЕКАТЕРИНБУРГ, Г ЕКАТЕРИНБУРГ, ТРАКТ СИБИРСКИЙ, СТР. 12, ОФИС 109</t>
  </si>
  <si>
    <t>620146, РОССИЯ, СВЕРДЛОВСКАЯ ОБЛАСТЬ, Г.О. ГОРОД ЕКАТЕРИНБУРГ, Г ЕКАТЕРИНБУРГ, УЛ МОСКОВСКАЯ, Д. 190, КВ. 163</t>
  </si>
  <si>
    <t>620014, РОССИЯ, СВЕРДЛОВСКАЯ ОБЛАСТЬ, Г.О. ГОРОД ЕКАТЕРИНБУРГ, Г ЕКАТЕРИНБУРГ, УЛ ХОХРЯКОВА, Д. 66, КВ. 118</t>
  </si>
  <si>
    <t>ООО ФЕСТ</t>
  </si>
  <si>
    <t>620144, СВЕРДЛОВСКАЯ ОБЛАСТЬ, Г ЕКАТЕРИНБУРГ, УЛ ФУРМАНОВА, Д.116, КВАРТИРА 49</t>
  </si>
  <si>
    <t>ООО СЕРВИС-ВТО</t>
  </si>
  <si>
    <t>620014, СВЕРДЛОВСКАЯ ОБЛАСТЬ, Г ЕКАТЕРИНБУРГ, УЛ ВАЙНЕРА, Д.15, КВАРТИРА 57</t>
  </si>
  <si>
    <t>ООО  АТА-ПРОМГРУПП</t>
  </si>
  <si>
    <t>620146, СВЕРДЛОВСКАЯ ОБЛАСТЬ, Г ЕКАТЕРИНБУРГ, УЛ ЧКАЛОВА, Д.124, 392</t>
  </si>
  <si>
    <t>ИП ФЕДОТОВ АНТОН ВЛАДИМИРОВИЧ</t>
  </si>
  <si>
    <t>ИП ПОГИБА АЛЕКСАНДР ИВАНОВИЧ</t>
  </si>
  <si>
    <t>ООО АМК-ЕКАТЕРИНБУРГ</t>
  </si>
  <si>
    <t>620100, РОССИЯ, СВЕРДЛОВСКАЯ ОБЛАСТЬ, Г.О. ГОРОД ЕКАТЕРИНБУРГ, Г ЕКАТЕРИНБУРГ, ТРАКТ СИБИРСКИЙ, Д. 24Д, ПОМЕЩ. 5</t>
  </si>
  <si>
    <t>ИП ТАЛАНОВ АНТОН ИВАНОВИЧ</t>
  </si>
  <si>
    <t>ИП МИХЕЕВА ЮЛИЯ ВЛАДИМИРОВНА</t>
  </si>
  <si>
    <t>ИП ЖДАНОВ ПАВЕЛ ВИТАЛЬЕВИЧ</t>
  </si>
  <si>
    <t>ИП СЛЮТА МИХАИЛ СЕРГЕЕВИЧ</t>
  </si>
  <si>
    <t>620100, СВЕРДЛОВСКАЯ ОБЛАСТЬ, Г.О. ГОРОД ЕКАТЕРИНБУРГ, Г ЕКАТЕРИНБУРГ, УЛ ТКАЧЕЙ, СТР. 23, ОФИС 316</t>
  </si>
  <si>
    <t>ООО АВТОМОБИЛЬНЫЙ АЛЬЯНС ЛТД</t>
  </si>
  <si>
    <t>620000, СВЕРДЛОВСКАЯ ОБЛАСТЬ, Г ЕКАТЕРИНБУРГ, КМ СИБИРСКИЙ ТРАКТ 14, 1</t>
  </si>
  <si>
    <t>ООО ОТС - ТЕХНОЛОГИИ</t>
  </si>
  <si>
    <t>620100, СВЕРДЛОВСКАЯ ОБЛАСТЬ, Г ЕКАТЕРИНБУРГ, ТРАКТ СИБИРСКИЙ, Д.12, СТРОЕНИЕ 8, ВХОД 6</t>
  </si>
  <si>
    <t>ООО ТРАНСЛАЙН</t>
  </si>
  <si>
    <t>620078, СВЕРДЛОВСКАЯ ОБЛАСТЬ, Г ЕКАТЕРИНБУРГ, УЛ БИБЛИОТЕЧНАЯ, Д.45, ПОМЕЩЕНИЕ 109-118</t>
  </si>
  <si>
    <t>ООО АТЦ 2010</t>
  </si>
  <si>
    <t>620007, СВЕРДЛОВСКАЯ ОБЛАСТЬ, Г ЕКАТЕРИНБУРГ, УЛ КАРЕЛЬСКАЯ, Д.52</t>
  </si>
  <si>
    <t>ООО КОМПАНИЯ УРАЛПРОМСЕРВИС</t>
  </si>
  <si>
    <t>623700, СВЕРДЛОВСКАЯ ОБЛАСТЬ, Г БЕРЕЗОВСКИЙ, УЛ РЕЖЕВСКОЙ ТРАКТ 15 КМ, ЗД. 12, ПОМЕЩ. 3</t>
  </si>
  <si>
    <t>ООО СИТИ СТРОЙ</t>
  </si>
  <si>
    <t>620014, СВЕРДЛОВСКАЯ ОБЛАСТЬ, Г ЕКАТЕРИНБУРГ, УЛ 8 МАРТА, Д. 8Д, ПОМЕЩ. 17</t>
  </si>
  <si>
    <t>ИП ГАЛКИН АЛЕКСАНДР ИВАНОВИЧ</t>
  </si>
  <si>
    <t>ИП РАЗУНЦОВ СЕРГЕЙ ПЕТРОВИЧ</t>
  </si>
  <si>
    <t>ИП СУЗДАЛОВ ЕВГЕНИЙ АЛЕКСАНДРОВИЧ</t>
  </si>
  <si>
    <t>ИП ШАФИКОВ ВИНЕР ХАРИСЯНОВИЧ</t>
  </si>
  <si>
    <t>ИП СЕМУХИНА КАРИНА ЕВГЕНЬЕВНА</t>
  </si>
  <si>
    <t>ИП НАСЕДКИН АЛЕКСЕЙ СЕРГЕЕВИЧ</t>
  </si>
  <si>
    <t>ООО КОМЕК МАШИНЕРИ</t>
  </si>
  <si>
    <t>620024, СВЕРДЛОВСКАЯ ОБЛАСТЬ, Г ЕКАТЕРИНБУРГ, Ш ЕЛИЗАВЕТИНСКОЕ, СТР 42</t>
  </si>
  <si>
    <t>ИП УТТЕ НИКОЛАЙ АНДРЕЕВИЧ</t>
  </si>
  <si>
    <t>ИП СЕМЕНОВА НАДЕЖДА АЛЕКСЕЕВНА</t>
  </si>
  <si>
    <t>ООО ОНИКО</t>
  </si>
  <si>
    <t>620100, СВЕРДЛОВСКАЯ ОБЛАСТЬ, Г ЕКАТЕРИНБУРГ, ТРАКТ СИБИРСКИЙ, Д. 8Д, ОФИС 100/1</t>
  </si>
  <si>
    <t>ООО ГТС ЕКАТЕРИНБУРГ</t>
  </si>
  <si>
    <t>620010, РОССИЯ, СВЕРДЛОВСКАЯ ОБЛАСТЬ, Г.О. ГОРОД ЕКАТЕРИНБУРГ, Г ЕКАТЕРИНБУРГ, КМ ЕКАД 1, СТР. 5</t>
  </si>
  <si>
    <t>ООО ТРАНСБИЗНЕС-ЕК</t>
  </si>
  <si>
    <t>620130, СВЕРДЛОВСКАЯ ОБЛАСТЬ, Г ЕКАТЕРИНБУРГ, УЛ ЧАЙКОВСКОГО, Д.86, К.4, 14</t>
  </si>
  <si>
    <t>ООО АЦ НА КОЛЕСАХ</t>
  </si>
  <si>
    <t>623850, СВЕРДЛОВСКАЯ ОБЛАСТЬ, Г ИРБИТ, УЛ ЛЕНИНА, ЗД. 12Б</t>
  </si>
  <si>
    <t>ООО КОМПАНИЯ МАСЛА И СМАЗКИ</t>
  </si>
  <si>
    <t>620050, СВЕРДЛОВСКАЯ ОБЛАСТЬ, Г ЕКАТЕРИНБУРГ, УЛ КОММУНАЛЬНАЯ, Д.33, КВАРТИРА 44</t>
  </si>
  <si>
    <t>623702, СВЕРДЛОВСКАЯ ОБЛАСТЬ, М.О. БЕРЕЗОВСКИЙ, Г БЕРЕЗОВСКИЙ, УЛ СТРОИТЕЛЕЙ, СООР. 37</t>
  </si>
  <si>
    <t>ООО БИЗНЕС МАШИНЕРИ ГРУПП</t>
  </si>
  <si>
    <t>620141, СВЕРДЛОВСКАЯ ОБЛАСТЬ, Г ЕКАТЕРИНБУРГ, УЛ АРТИНСКАЯ, Д. 12В</t>
  </si>
  <si>
    <t>ООО УНИКУМ ПРОГРЕСС</t>
  </si>
  <si>
    <t>620090, СВЕРДЛОВСКАЯ ОБЛАСТЬ, Г ЕКАТЕРИНБУРГ, УЛ РАСТОЧНАЯ, СТР. 38, ОФИС 3</t>
  </si>
  <si>
    <t>ООО БЕРЕЗА АВТО</t>
  </si>
  <si>
    <t>623700, СВЕРДЛОВСКАЯ ОБЛАСТЬ, Г БЕРЕЗОВСКИЙ, УЛ БЕРЕЗОВСКИЙ ТРАКТ, СТР. 8, ОФИС 10</t>
  </si>
  <si>
    <t>ООО ВСТ-ПАРТС</t>
  </si>
  <si>
    <t>620026, СВЕРДЛОВСКАЯ ОБЛАСТЬ, Г ЕКАТЕРИНБУРГ, УЛ РОЗЫ ЛЮКСЕМБУРГ, СТР. 64, ОФИС 503</t>
  </si>
  <si>
    <t>ООО САНРАЙЗ</t>
  </si>
  <si>
    <t>623700, РОССИЯ, СВЕРДЛОВСКАЯ ОБЛАСТЬ, М.О. БЕРЕЗОВСКИЙ, Г БЕРЕЗОВСКИЙ, УЛ БЕРЕЗОВСКИЙ ТРАКТ, К. 1, СТР. 1А, ОФИС 201</t>
  </si>
  <si>
    <t>ООО СТ-СЕРВИС ГРУПП</t>
  </si>
  <si>
    <t>623702, РОССИЯ, СВЕРДЛОВСКАЯ ОБЛАСТЬ, М.О. БЕРЕЗОВСКИЙ, Г БЕРЕЗОВСКИЙ, УЛ ШИЛОВСКАЯ, Д. 6, КВ. 3</t>
  </si>
  <si>
    <t>ООО КРОСС</t>
  </si>
  <si>
    <t>620141, РОССИЯ, СВЕРДЛОВСКАЯ ОБЛАСТЬ, Г.О. ГОРОД ЕКАТЕРИНБУРГ, Г ЕКАТЕРИНБУРГ, УЛ КРУПНОСОРТЩИКОВ, СТР. 14, ОФИС 425/1</t>
  </si>
  <si>
    <t>ООО АЛЬТОРГ ФУД</t>
  </si>
  <si>
    <t>623700, РОССИЯ, СВЕРДЛОВСКАЯ ОБЛАСТЬ, М.О. БЕРЕЗОВСКИЙ, Г БЕРЕЗОВСКИЙ, УЛ ЛЕНИНА, СООР. 79Д</t>
  </si>
  <si>
    <t>ООО СИМАОПТ</t>
  </si>
  <si>
    <t>620010, СВЕРДЛОВСКАЯ ОБЛАСТЬ, Г ЕКАТЕРИНБУРГ, УЛ ЧЕРНЯХОВСКОГО, Д. 86, ОФИС 16</t>
  </si>
  <si>
    <t>ООО УРАЛСПРИНТ</t>
  </si>
  <si>
    <t>620144, СВЕРДЛОВСКАЯ ОБЛАСТЬ, Г ЕКАТЕРИНБУРГ, УЛ НИКОЛАЯ ОСТРОВСКОГО, СТР. 4А</t>
  </si>
  <si>
    <t>ООО АЛ-ДРАЙВ</t>
  </si>
  <si>
    <t>620085, СВЕРДЛОВСКАЯ ОБЛАСТЬ, Г ЕКАТЕРИНБУРГ, ПР-Д ВОДИТЕЛЬСКИЙ, Д. 20</t>
  </si>
  <si>
    <t>ООО БИГ МОТОРС</t>
  </si>
  <si>
    <t>620103, СВЕРДЛОВСКАЯ ОБЛАСТЬ, Г ЕКАТЕРИНБУРГ, УЛ ОКРУЖНАЯ, Д. 88, ПОМЕЩ. 13</t>
  </si>
  <si>
    <t>ООО ГРУЗОВИК 66</t>
  </si>
  <si>
    <t>620076, СВЕРДЛОВСКАЯ ОБЛАСТЬ, Г.О. ГОРОД ЕКАТЕРИНБУРГ, Г ЕКАТЕРИНБУРГ, УЛ ШИШИМСКАЯ, Д. 12, КВ. 52</t>
  </si>
  <si>
    <t>ООО СЕРВИС ЛОГИСТИКА ПЛЮС</t>
  </si>
  <si>
    <t>620010, СВЕРДЛОВСКАЯ ОБЛАСТЬ, Г ЕКАТЕРИНБУРГ, УЛ ЧЕРНЯХОВСКОГО, Д. 70, ОФИС 1</t>
  </si>
  <si>
    <t>ООО ВИРТА</t>
  </si>
  <si>
    <t>620010, СВЕРДЛОВСКАЯ ОБЛАСТЬ, Г ЕКАТЕРИНБУРГ, УЛ ГРИБОЕДОВА, Д. 32К20, ОФИС 617</t>
  </si>
  <si>
    <t>ООО ЯРА</t>
  </si>
  <si>
    <t>620010, СВЕРДЛОВСКАЯ ОБЛАСТЬ, Г.О. ГОРОД ЕКАТЕРИНБУРГ, Г ЕКАТЕРИНБУРГ, УЛ АЛЬПИНИСТОВ, СТР. 77, ОФИС 204</t>
  </si>
  <si>
    <t>ООО СИМАЮГ</t>
  </si>
  <si>
    <t>620010, СВЕРДЛОВСКАЯ ОБЛАСТЬ, Г.О. ГОРОД ЕКАТЕРИНБУРГ, Г ЕКАТЕРИНБУРГ, УЛ ЧЕРНЯХОВСКОГО, СТР. 86, ОФИС 8</t>
  </si>
  <si>
    <t>ООО СИМАВОСТОК</t>
  </si>
  <si>
    <t>620010, СВЕРДЛОВСКАЯ ОБЛАСТЬ, Г.О. ГОРОД ЕКАТЕРИНБУРГ, Г ЕКАТЕРИНБУРГ, УЛ ЧЕРНЯХОВСКОГО, СТР. 86, ОФИС 2</t>
  </si>
  <si>
    <t>ООО ЗАБИЯКА</t>
  </si>
  <si>
    <t>620010, СВЕРДЛОВСКАЯ ОБЛАСТЬ, Г.О. ГОРОД ЕКАТЕРИНБУРГ, Г ЕКАТЕРИНБУРГ, УЛ ЧЕРНЯХОВСКОГО, СТР. 86, ОФИС 3</t>
  </si>
  <si>
    <t>620010, РОССИЯ, СВЕРДЛОВСКАЯ ОБЛАСТЬ, Г.О. ГОРОД ЕКАТЕРИНБУРГ, Г ЕКАТЕРИНБУРГ, УЛ ЧЕРНЯХОВСКОГО, СТР. 86, ОФИС 24</t>
  </si>
  <si>
    <t>ООО ГАРАНТ-КТ</t>
  </si>
  <si>
    <t>620010, РОССИЯ, СВЕРДЛОВСКАЯ ОБЛАСТЬ, Г.О. ГОРОД ЕКАТЕРИНБУРГ, Г ЕКАТЕРИНБУРГ, УЛ ИНЖЕНЕРНАЯ, Д. 23, КВ. 6</t>
  </si>
  <si>
    <t>ООО ЗООБАЗАР</t>
  </si>
  <si>
    <t>620010, СВЕРДЛОВСКАЯ ОБЛАСТЬ, Г.О. ГОРОД ЕКАТЕРИНБУРГ, Г ЕКАТЕРИНБУРГ, УЛ АЛЬПИНИСТОВ, СТР. 77, ОФИС 208А</t>
  </si>
  <si>
    <t>ООО ИМПАРО</t>
  </si>
  <si>
    <t>620023, РОССИЯ, СВЕРДЛОВСКАЯ ОБЛАСТЬ, Г.О. ГОРОД ЕКАТЕРИНБУРГ, Г ЕКАТЕРИНБУРГ, МКР СВЕТЛЫЙ, Д. 6, КВ. 242</t>
  </si>
  <si>
    <t>ООО СИМАХОУМ</t>
  </si>
  <si>
    <t>620010, СВЕРДЛОВСКАЯ ОБЛАСТЬ, Г.О. ГОРОД ЕКАТЕРИНБУРГ, Г ЕКАТЕРИНБУРГ, УЛ ЧЕРНЯХОВСКОГО, СТР. 86, ОФИС 52</t>
  </si>
  <si>
    <t>ООО ГБХ</t>
  </si>
  <si>
    <t>620010, РОССИЯ, СВЕРДЛОВСКАЯ ОБЛАСТЬ, Г.О. ГОРОД ЕКАТЕРИНБУРГ, Г ЕКАТЕРИНБУРГ, УЛ ЧЕРНЯХОВСКОГО, СТР. 86, ОФИС 192</t>
  </si>
  <si>
    <t>ООО СИМА-МАРКЕТ</t>
  </si>
  <si>
    <t>620010, СВЕРДЛОВСКАЯ ОБЛАСТЬ, Г.О. ГОРОД ЕКАТЕРИНБУРГ, Г ЕКАТЕРИНБУРГ, УЛ ЧЕРНЯХОВСКОГО, СТР. 86, ОФИС 17</t>
  </si>
  <si>
    <t>ООО ЛУБРО</t>
  </si>
  <si>
    <t>620073, РОССИЯ, СВЕРДЛОВСКАЯ ОБЛАСТЬ, Г.О. ГОРОД ЕКАТЕРИНБУРГ, Г ЕКАТЕРИНБУРГ, УЛ АКАДЕМИКА ШВАРЦА, Д. 8, К. 3, ОФИС 510</t>
  </si>
  <si>
    <t>ООО АГРА</t>
  </si>
  <si>
    <t>624221, РОССИЯ, СВЕРДЛОВСКАЯ ОБЛАСТЬ, М.О. НИЖНЕТУРИНСКИЙ, Г НИЖНЯЯ ТУРА, УЛ СКОРЫНИНА, Д. 8, КВ. 120</t>
  </si>
  <si>
    <t>ООО ПВ-УРАЛ</t>
  </si>
  <si>
    <t>624132, СВЕРДЛОВСКАЯ ОБЛАСТЬ, Г НОВОУРАЛЬСК, УЛ АВТОЗАВОДСКАЯ, Д. 48, СТР. 16А, КАБИНЕТ 12</t>
  </si>
  <si>
    <t>ООО МЕТСПЕЦТРАНС</t>
  </si>
  <si>
    <t>624194, РОССИЯ, СВЕРДЛОВСКАЯ ОБЛАСТЬ, М.О. НЕВЬЯНСКИЙ, Г НЕВЬЯНСК, ПЕР КАРЕТНЫЙ, Д. 1</t>
  </si>
  <si>
    <t>ООО ТЕСТ</t>
  </si>
  <si>
    <t>623030, СВЕРДЛОВСКАЯ ОБЛАСТЬ, Р-Н ШАЛИНСКИЙ, ПГТ ШАЛЯ, УЛ ОРДЖОНИКИДЗЕ, СТР. 55А</t>
  </si>
  <si>
    <t>620100, СВЕРДЛОВСКАЯ ОБЛАСТЬ, Г ЕКАТЕРИНБУРГ, УЛ ВОСТОЧНАЯ, Д.51, ОФИС 3</t>
  </si>
  <si>
    <t>ООО АККОРА</t>
  </si>
  <si>
    <t>620026, СВЕРДЛОВСКАЯ ОБЛАСТЬ, Г ЕКАТЕРИНБУРГ, УЛ КУЙБЫШЕВА, СТР. 38, ОФИС 233</t>
  </si>
  <si>
    <t>620000, СВЕРДЛОВСКАЯ ОБЛАСТЬ, Г ЕКАТЕРИНБУРГ, УЛ МАЛЫШЕВА, СТР. 51, ОФИС 2106</t>
  </si>
  <si>
    <t>ООО ДВУРЕЧЕНСКИЙ ШИНОМОНТАЖ</t>
  </si>
  <si>
    <t>624013, СВЕРДЛОВСКАЯ ОБЛАСТЬ, Р-Н СЫСЕРТСКИЙ, П ДВУРЕЧЕНСК, УЛ ЛЕНИНА, Д. 4</t>
  </si>
  <si>
    <t>ООО ДИ-ТРЕЙД</t>
  </si>
  <si>
    <t>620000, СВЕРДЛОВСКАЯ ОБЛАСТЬ, Г ЕКАТЕРИНБУРГ, КМ СИБИРСКИЙ ТРАКТ 14</t>
  </si>
  <si>
    <t>620000, СВЕРДЛОВСКАЯ ОБЛАСТЬ, Г.О. ГОРОД ЕКАТЕРИНБУРГ, Г ЕКАТЕРИНБУРГ, УЛ МАЛЫШЕВА, СТР. 51, ОФИС 3139</t>
  </si>
  <si>
    <t>ООО РЕДОКС</t>
  </si>
  <si>
    <t>620000, РОССИЯ, СВЕРДЛОВСКАЯ ОБЛАСТЬ, Г.О. ГОРОД ЕКАТЕРИНБУРГ, Г ЕКАТЕРИНБУРГ, УЛ МАЛЫШЕВА, СТР. 51, ОФИС 12/08</t>
  </si>
  <si>
    <t>ООО ТУЛС ТРЕЙДИНГ</t>
  </si>
  <si>
    <t>620100, РОССИЯ, СВЕРДЛОВСКАЯ ОБЛАСТЬ, Г.О. ГОРОД ЕКАТЕРИНБУРГ, Г ЕКАТЕРИНБУРГ, УЛ ТКАЧЕЙ, СТР. 23, ОФИС 1010</t>
  </si>
  <si>
    <t>ООО АМЕРТЕНД</t>
  </si>
  <si>
    <t>620042, СВЕРДЛОВСКАЯ ОБЛАСТЬ, Г.О. ГОРОД ЕКАТЕРИНБУРГ, Г ЕКАТЕРИНБУРГ, ПЕР СИМБИРСКИЙ, Д. 2, ОФИС 1</t>
  </si>
  <si>
    <t>ООО АВТОБАН-СЕВЕР-МБ</t>
  </si>
  <si>
    <t>ООО СЕРВЕТА</t>
  </si>
  <si>
    <t>620135, СВЕРДЛОВСКАЯ ОБЛАСТЬ, Г ЕКАТЕРИНБУРГ, УЛ ФРЕЗЕРОВЩИКОВ, Д. 34, ПОМЕЩ. 8</t>
  </si>
  <si>
    <t>ООО  СНАБЗАПЧАСТЬ</t>
  </si>
  <si>
    <t>620137, СВЕРДЛОВСКАЯ ОБЛАСТЬ, Г ЕКАТЕРИНБУРГ, УЛ ВИЛОНОВА, Д. 33А, ОФИС 309</t>
  </si>
  <si>
    <t>ООО ГЛАЗУРИТ</t>
  </si>
  <si>
    <t>ООО СМ.МАРКЕТ</t>
  </si>
  <si>
    <t>624090, РОССИЯ, СВЕРДЛОВСКАЯ ОБЛАСТЬ, Г.О. ВЕРХНЯЯ ПЫШМА, Г ВЕРХНЯЯ ПЫШМА, УЛ АЛЕКСАНДРА КОЗИЦЫНА, Д. 8, КВ. 64</t>
  </si>
  <si>
    <t>ООО МСМ</t>
  </si>
  <si>
    <t>620091, РОССИЯ, СВЕРДЛОВСКАЯ ОБЛАСТЬ, Г.О. ГОРОД ЕКАТЕРИНБУРГ, Г ЕКАТЕРИНБУРГ, УЛ ЭЛЕКТРИКОВ, СООР. 16Б, ОФИС 19</t>
  </si>
  <si>
    <t>ИП ЯДОХИН ИЛЬЯ ИГОРЕВИЧ</t>
  </si>
  <si>
    <t>ИП КУЗЬМИНА ЛИЛИЯ ИВАНОВНА</t>
  </si>
  <si>
    <t>ООО ТРЕЙДСИСТЕМГРУПП</t>
  </si>
  <si>
    <t>620144, СВЕРДЛОВСКАЯ ОБЛАСТЬ, Г ЕКАТЕРИНБУРГ, УЛ ФУРМАНОВА, Д.110, КВАРТИРА 21</t>
  </si>
  <si>
    <t>620043, СВЕРДЛОВСКАЯ ОБЛАСТЬ, Г.О. ГОРОД ЕКАТЕРИНБУРГ, Г ЕКАТЕРИНБУРГ, УЛ. АРХАНГЕЛА МИХАИЛА, СТР. 34</t>
  </si>
  <si>
    <t>ООО УЛЬСАН АВТО</t>
  </si>
  <si>
    <t>620014, СВЕРДЛОВСКАЯ ОБЛАСТЬ, Г ЕКАТЕРИНБУРГ, УЛ РАДИЩЕВА, Д.6А, ОФИС 2913</t>
  </si>
  <si>
    <t>ИП ИСХАКОВ РАШИД АЙРАТОВИЧ</t>
  </si>
  <si>
    <t>ООО КОМПАНИЯ РЕГИОНТЕХКОМПЛЕКТ</t>
  </si>
  <si>
    <t>620100, СВЕРДЛОВСКАЯ ОБЛАСТЬ, Г ЕКАТЕРИНБУРГ, УЛ ВОСТОЧНАЯ, Д. 184, ЛИТЕРА А</t>
  </si>
  <si>
    <t>ИП ТРЕТЬЯКОВ МИХАИЛ ОЛЕГОВИЧ</t>
  </si>
  <si>
    <t>ООО ЛИДЕР-ИНДУСТРИЯ</t>
  </si>
  <si>
    <t>ИП ТЕМИРГАЛИЕВ КОНСТАНТИН ФАРИДОВИЧ</t>
  </si>
  <si>
    <t>ИП ТЕМИРГАЛИЕВА ЕКАТЕРИНА ФАРИДОВНА</t>
  </si>
  <si>
    <t>ИП КОЧКИН МИХАИЛ АЛЕКСЕЕВИЧ</t>
  </si>
  <si>
    <t>ООО АВТОБАН-СЕВЕР</t>
  </si>
  <si>
    <t>ООО РАНАДА</t>
  </si>
  <si>
    <t>620016, СВЕРДЛОВСКАЯ ОБЛАСТЬ, Г.О. ГОРОД ЕКАТЕРИНБУРГ, Г ЕКАТЕРИНБУРГ, УЛ АМУНДСЕНА, Д. 107, ЭТАЖ 1</t>
  </si>
  <si>
    <t>ООО  ОК -ТРАНС -СЕРВИС</t>
  </si>
  <si>
    <t>620017, СВЕРДЛОВСКАЯ ОБЛАСТЬ, Г ЕКАТЕРИНБУРГ, УЛ ФРОНТОВЫХ БРИГАД, Д.27, 1</t>
  </si>
  <si>
    <t>ИП КОЖЕМЯКИНА ГАЛИНА ИВАНОВНА</t>
  </si>
  <si>
    <t>ООО УЭСТ</t>
  </si>
  <si>
    <t>620137, СВЕРДЛОВСКАЯ ОБЛАСТЬ, Г ЕКАТЕРИНБУРГ, УЛ ШЕФСКАЯ, СТР. 3А</t>
  </si>
  <si>
    <t>ООО МАСТЕРПРОМОЙЛ</t>
  </si>
  <si>
    <t>620012, СВЕРДЛОВСКАЯ ОБЛАСТЬ, Г ЕКАТЕРИНБУРГ, УЛ КУЗНЕЦОВА, СТР. 2Б, ОФИС 913</t>
  </si>
  <si>
    <t>ИП ПАЛИХОВ АЛЕКСАНДР СЕРГЕЕВИЧ</t>
  </si>
  <si>
    <t>ИП НОРДЭН ЛЕСЛИ РОМАНОВНА</t>
  </si>
  <si>
    <t>ООО ЭКСПЕДИЦИЯ</t>
  </si>
  <si>
    <t>620076, СВЕРДЛОВСКАЯ ОБЛАСТЬ, Г ЕКАТЕРИНБУРГ, УЛ НОВОСТРОЯ, СТР. 1А</t>
  </si>
  <si>
    <t>ИП БАРЫШЕВ СЕРГЕЙ СЕРГЕЕВИЧ</t>
  </si>
  <si>
    <t>ИП РЫЖКОВ МАКСИМ ЕВГЕНЬЕВИЧ</t>
  </si>
  <si>
    <t>ООО УРАЛ - НЕФТЬ</t>
  </si>
  <si>
    <t>623930, СВЕРДЛОВСКАЯ ОБЛАСТЬ, Р-Н СЛОБОДО-ТУРИНСКИЙ, С ТУРИНСКАЯ СЛОБОДА, УЛ ПЕРВОМАЙСКАЯ, Д.49</t>
  </si>
  <si>
    <t>ООО АСМОТО МБ</t>
  </si>
  <si>
    <t>620090, СВЕРДЛОВСКАЯ ОБЛАСТЬ, Г ЕКАТЕРИНБУРГ, УЛ БИЛИМБАЕВСКАЯ, СТР. 8, ОФИС 31</t>
  </si>
  <si>
    <t>ИП ЖЕНИХОВ НИКИТА КОНСТАНТИНОВИЧ</t>
  </si>
  <si>
    <t>ООО АВТОПЕРЕВОЗКИ</t>
  </si>
  <si>
    <t>620050, СВЕРДЛОВСКАЯ ОБЛАСТЬ, Г ЕКАТЕРИНБУРГ, УЛ СТРОИТЕЛЕЙ, Д. 2А, ОФИС 3</t>
  </si>
  <si>
    <t>ООО ВТК ФАСТЕНХАУС</t>
  </si>
  <si>
    <t>620141, СВЕРДЛОВСКАЯ ОБЛАСТЬ, Г ЕКАТЕРИНБУРГ, УЛ АРТИНСКАЯ, Д.14, ОФИС 1</t>
  </si>
  <si>
    <t>ООО БМГ</t>
  </si>
  <si>
    <t>ООО ЕКБ-ДИЗЕЛЬ</t>
  </si>
  <si>
    <t>623700, СВЕРДЛОВСКАЯ ОБЛАСТЬ, М.О. БЕРЕЗОВСКИЙ, Г БЕРЕЗОВСКИЙ, УЛ ОРДЖОНИКИДЗЕ, К. 1, СТР. 17А, ПОМЕЩ. 11</t>
  </si>
  <si>
    <t>ООО АВТО ДЖАПАН</t>
  </si>
  <si>
    <t>620134, СВЕРДЛОВСКАЯ ОБЛАСТЬ, Г ЕКАТЕРИНБУРГ, УЛ КУНАРСКАЯ, Д. 18А, ПОМЕЩЕНИЕ 38</t>
  </si>
  <si>
    <t>ООО УНИКУМ ТАГИЛ</t>
  </si>
  <si>
    <t>620090, СВЕРДЛОВСКАЯ ОБЛАСТЬ, Г ЕКАТЕРИНБУРГ, УЛ РАСТОЧНАЯ, СТР. 38, ОФИС 2</t>
  </si>
  <si>
    <t>ООО ЛОМА</t>
  </si>
  <si>
    <t>620050, СВЕРДЛОВСКАЯ ОБЛАСТЬ, Г ЕКАТЕРИНБУРГ, ПР-КТ СЕДОВА, Д. 45, КВ. 42</t>
  </si>
  <si>
    <t>ООО РИФЕРО. УПРАВЛЕНИЕ ПРОЕКТАМИ</t>
  </si>
  <si>
    <t>623704, СВЕРДЛОВСКАЯ ОБЛАСТЬ, Г БЕРЕЗОВСКИЙ, УЛ РЕЖЕВСКОЙ ТРАКТ 15 КМ, СООР. 6, ПОМЕЩ. 80</t>
  </si>
  <si>
    <t>ООО АВТОТРЕЙД-ЕКБ</t>
  </si>
  <si>
    <t>620039, СВЕРДЛОВСКАЯ ОБЛАСТЬ, Г.О. ГОРОД ЕКАТЕРИНБУРГ, Г ЕКАТЕРИНБУРГ, УЛ ЛУКИНЫХ, СТР. 1Б/56, ОФИС 1</t>
  </si>
  <si>
    <t>ООО АВТО-Е</t>
  </si>
  <si>
    <t>620134, СВЕРДЛОВСКАЯ ОБЛАСТЬ, Г ЕКАТЕРИНБУРГ, УЛ РАСТОЧНАЯ, Д. 47, КВ. 22</t>
  </si>
  <si>
    <t>ООО АДВАНТ</t>
  </si>
  <si>
    <t>620034, РОССИЯ, СВЕРДЛОВСКАЯ ОБЛАСТЬ, Г.О. ГОРОД ЕКАТЕРИНБУРГ, Г ЕКАТЕРИНБУРГ, УЛ КОЛМОГОРОВА, СТР. 3, ОФИС 702/4</t>
  </si>
  <si>
    <t>ООО ПЛАНЕТА АВТО МАРКЕТ</t>
  </si>
  <si>
    <t>623704, РОССИЯ, СВЕРДЛОВСКАЯ ОБЛАСТЬ, М.О. БЕРЕЗОВСКИЙ, Г БЕРЕЗОВСКИЙ, УЛ УРАЛЬСКАЯ, СТР. 146, ПОМЕЩ. 10</t>
  </si>
  <si>
    <t>ООО ТОРГСЕРВИС 66</t>
  </si>
  <si>
    <t>620085, СВЕРДЛОВСКАЯ ОБЛАСТЬ, Г ЕКАТЕРИНБУРГ, УЛ 8 МАРТА, СТР. 212, ОФИС 331</t>
  </si>
  <si>
    <t>ООО АВТОБАН-ЮГ</t>
  </si>
  <si>
    <t>620100, СВЕРДЛОВСКАЯ ОБЛАСТЬ, Г ЕКАТЕРИНБУРГ, УЛ СЕЛЬКОРОВСКАЯ, Д. 23</t>
  </si>
  <si>
    <t>ООО ТК ГСМ-МАРКЕТ</t>
  </si>
  <si>
    <t>620076, СВЕРДЛОВСКАЯ ОБЛАСТЬ, Г ЕКАТЕРИНБУРГ, УЛ ПОХОДНАЯ, СТР. 76, ОФИС 21</t>
  </si>
  <si>
    <t>ООО СИМАМАРТ</t>
  </si>
  <si>
    <t>620010, СВЕРДЛОВСКАЯ ОБЛАСТЬ, Г ЕКАТЕРИНБУРГ, УЛ ЧЕРНЯХОВСКОГО, СТР 86, КОРПУС 8</t>
  </si>
  <si>
    <t>ООО ПЛАНТ ИНВЕСТ</t>
  </si>
  <si>
    <t>620023, СВЕРДЛОВСКАЯ ОБЛАСТЬ, Г ЕКАТЕРИНБУРГ, УЛ РОЩИНСКАЯ, Д. 27, КВ. 597</t>
  </si>
  <si>
    <t>ООО АВТОБАН-ВЕСТ</t>
  </si>
  <si>
    <t>ООО ФАВОРИТ ЭНЕРГО</t>
  </si>
  <si>
    <t>620010, СВЕРДЛОВСКАЯ ОБЛАСТЬ, Г ЕКАТЕРИНБУРГ, УЛ ПРОФСОЮЗНАЯ, Д. 83, КВ. 126</t>
  </si>
  <si>
    <t>ООО УРАЛСПЕЦТОРГ</t>
  </si>
  <si>
    <t>620142, СВЕРДЛОВСКАЯ ОБЛАСТЬ, Г ЕКАТЕРИНБУРГ, УЛ ЩОРСА, Д. 35, КВ. 34</t>
  </si>
  <si>
    <t>ООО СИМА ТЕНДЕР</t>
  </si>
  <si>
    <t>620010, СВЕРДЛОВСКАЯ ОБЛАСТЬ, Г ЕКАТЕРИНБУРГ, УЛ ЧЕРНЯХОВСКОГО, СТР. 86, ОФИС 30</t>
  </si>
  <si>
    <t>ООО КОМПАНИЯ СТАРЫЙ МОСТ</t>
  </si>
  <si>
    <t>620010, СВЕРДЛОВСКАЯ ОБЛАСТЬ, Г.О. ГОРОД ЕКАТЕРИНБУРГ, Г ЕКАТЕРИНБУРГ, УЛ ЧЕРНЯХОВСКОГО, СТР. 86, ОФИС 43</t>
  </si>
  <si>
    <t>ООО СПЕЦАВТОИМПЕРИЯ</t>
  </si>
  <si>
    <t>620091, СВЕРДЛОВСКАЯ ОБЛАСТЬ, Г.О. ГОРОД ЕКАТЕРИНБУРГ, Г ЕКАТЕРИНБУРГ, УЛ ШЕФСКАЯ, СТР. 3Г, ОФИС 17</t>
  </si>
  <si>
    <t>ООО СИМА-УРАЛ</t>
  </si>
  <si>
    <t>620010, СВЕРДЛОВСКАЯ ОБЛАСТЬ, Г.О. ГОРОД ЕКАТЕРИНБУРГ, Г ЕКАТЕРИНБУРГ, УЛ ЧЕРНЯХОВСКОГО, СТР. 86, ОФИС 1</t>
  </si>
  <si>
    <t>ООО АВТОБАН ЧЕРИ</t>
  </si>
  <si>
    <t>620076, РОССИЯ, СВЕРДЛОВСКАЯ ОБЛАСТЬ, Г.О. ГОРОД ЕКАТЕРИНБУРГ, Г ЕКАТЕРИНБУРГ, УЛ ЩЕРБАКОВА, СТР. 144, ОФИС 26</t>
  </si>
  <si>
    <t>ООО САН</t>
  </si>
  <si>
    <t>620010, РОССИЯ, СВЕРДЛОВСКАЯ ОБЛАСТЬ, Г.О. ГОРОД ЕКАТЕРИНБУРГ, Г ЕКАТЕРИНБУРГ, УЛ ЧЕРНЯХОВСКОГО, СТР. 86, ОФИС 45</t>
  </si>
  <si>
    <t>ООО АЛЬПСТОР</t>
  </si>
  <si>
    <t>620010, СВЕРДЛОВСКАЯ ОБЛАСТЬ, Г.О. ГОРОД ЕКАТЕРИНБУРГ, Г ЕКАТЕРИНБУРГ, УЛ ЧЕРНЯХОВСКОГО, СТР. 86, ОФИС 189</t>
  </si>
  <si>
    <t>ООО СТООИЛ</t>
  </si>
  <si>
    <t>620010, РОССИЯ, СВЕРДЛОВСКАЯ ОБЛАСТЬ, Г.О. ГОРОД ЕКАТЕРИНБУРГ, Г ЕКАТЕРИНБУРГ, УЛ ЧЕРНЯХОВСКОГО, СТР. 68, ОФИС 119</t>
  </si>
  <si>
    <t>ОООАВТОБАН-ЗАПАД-ПРЕМИУМ</t>
  </si>
  <si>
    <t>620076, РОССИЯ, СВЕРДЛОВСКАЯ ОБЛАСТЬ, Г.О. ГОРОД ЕКАТЕРИНБУРГ, Г ЕКАТЕРИНБУРГ, УЛ ЩЕРБАКОВА, СТР. 144, ОФИС 28</t>
  </si>
  <si>
    <t>ООО РИМУС</t>
  </si>
  <si>
    <t>620010, СВЕРДЛОВСКАЯ ОБЛАСТЬ, Г.О. ГОРОД ЕКАТЕРИНБУРГ, Г ЕКАТЕРИНБУРГ, УЛ АЛЬПИНИСТОВ, СТР. 77, ОФИС 302</t>
  </si>
  <si>
    <t>ИП СИВКО ВЛАДИМИР СЕРГЕЕВИЧ</t>
  </si>
  <si>
    <t>ООО АС</t>
  </si>
  <si>
    <t>624992, СВЕРДЛОВСКАЯ ОБЛАСТЬ, Г СЕРОВ, УЛ КАКВИНСКАЯ, СТР. 30, 8</t>
  </si>
  <si>
    <t>624300, РОССИЯ, СВЕРДЛОВСКАЯ ОБЛАСТЬ, М.О. КУШВИНСКИЙ, Г КУШВА, УЛ ФАДЕЕВЫХ, Д. 31А</t>
  </si>
  <si>
    <t>ООО УРАЛПРОММОНТАЖ</t>
  </si>
  <si>
    <t>620061, СВЕРДЛОВСКАЯ ОБЛАСТЬ, Г ЕКАТЕРИНБУРГ, П ИСТОК, УЛ ГЛАВНАЯ, Д. 30, КВАРТИРА 50</t>
  </si>
  <si>
    <t>ООО ТК НЕФТЕТОРГ</t>
  </si>
  <si>
    <t>620010, СВЕРДЛОВСКАЯ ОБЛАСТЬ, Г ЕКАТЕРИНБУРГ, УЛ КОСАРЕВА, Д. 93, ОФИС 34</t>
  </si>
  <si>
    <t>ООО АВТОВЕКТОР</t>
  </si>
  <si>
    <t>620007, СВЕРДЛОВСКАЯ ОБЛАСТЬ, Г.О. ГОРОД ЕКАТЕРИНБУРГ, Г ЕКАТЕРИНБУРГ, КМ СИБИРСКИЙ ТРАКТ 10, СТР. 7, ЭТАЖ 2, ПОМЕЩ. 9</t>
  </si>
  <si>
    <t>ООО ХАЙ-КАР</t>
  </si>
  <si>
    <t>620078, СВЕРДЛОВСКАЯ ОБЛАСТЬ, Г.О. ГОРОД ЕКАТЕРИНБУРГ, Г ЕКАТЕРИНБУРГ, ПЕР ЛОБАЧЕВСКОГО, Д. 1</t>
  </si>
  <si>
    <t>ОБЩЕСТВО С ОГРАНИЧЕННОЙ ОТВЕТСТВЕННОСТЬЮ ФОРТУНА</t>
  </si>
  <si>
    <t>620100, СВЕРДЛОВСКАЯ ОБЛАСТЬ, Г ЕКАТЕРИНБУРГ, УЛ ВОСТОЧНАЯ, СТР. 160А, ПОМЕЩ. 17/23</t>
  </si>
  <si>
    <t>ООО АВТОТЕХСНАБ ЛТД</t>
  </si>
  <si>
    <t>624021, СВЕРДЛОВСКАЯ ОБЛАСТЬ, Р-Н СЫСЕРТСКИЙ, С КАШИНО, УЛ ПЕРВОМАЙСКАЯ, Д. 50</t>
  </si>
  <si>
    <t>ООО СЛ-ГРУПП</t>
  </si>
  <si>
    <t>624005, РОССИЯ, СВЕРДЛОВСКАЯ ОБЛАСТЬ, М.О. СЫСЕРТСКИЙ, П ОКТЯБРЬСКИЙ, УЛ УРАЛЬСКАЯ, Д. 1</t>
  </si>
  <si>
    <t>ООО СВОЙМАГ</t>
  </si>
  <si>
    <t>620060, РОССИЯ, СВЕРДЛОВСКАЯ ОБЛАСТЬ, Г.О. ГОРОД ЕКАТЕРИНБУРГ, Г ЕКАТЕРИНБУРГ, ПРОЕЗД ГОРНИСТОВ, СТР. 1Г, ПОМЕЩ. 4</t>
  </si>
  <si>
    <t>ООО НПФ КАВИАНТ</t>
  </si>
  <si>
    <t>620054, СВЕРДЛОВСКАЯ ОБЛАСТЬ, Г.О. ГОРОД ЕКАТЕРИНБУРГ, Г ЕКАТЕРИНБУРГ, УЛ АДМИРАЛА УШАКОВА, СТР. 35, ПОМЕЩ. 1</t>
  </si>
  <si>
    <t>ООО РУССКИЙ ХМЕЛЬ</t>
  </si>
  <si>
    <t>620042, СВЕРДЛОВСКАЯ ОБЛАСТЬ, Г ЕКАТЕРИНБУРГ, ПЕР КРАСНОПОЛЯНСКИЙ, Д. 14</t>
  </si>
  <si>
    <t>ООО ТД ИМПОРТ-ЗАПЧАCТЬ</t>
  </si>
  <si>
    <t>620017, СВЕРДЛОВСКАЯ ОБЛАСТЬ, Г ЕКАТЕРИНБУРГ, УЛ ФРОНТОВЫХ БРИГАД, Д. 13, ПОМЕЩ. 15</t>
  </si>
  <si>
    <t>ООО КРЕС</t>
  </si>
  <si>
    <t>620010, СВЕРДЛОВСКАЯ ОБЛАСТЬ, Г.О. ГОРОД ЕКАТЕРИНБУРГ, Г ЕКАТЕРИНБУРГ, УЛ ГРИБОЕДОВА, Д. 9, ОФИС 15</t>
  </si>
  <si>
    <t>ООО СПЕЦАВТОРЕММАШ</t>
  </si>
  <si>
    <t>624092, СВЕРДЛОВСКАЯ ОБЛАСТЬ, Г ВЕРХНЯЯ ПЫШМА, ПР-Д ПРОМЫШЛЕННЫЙ, ЗД. 5, ПОМЕЩ. 1</t>
  </si>
  <si>
    <t>ООО ПАРТС СОЛЮШН</t>
  </si>
  <si>
    <t>620091, СВЕРДЛОВСКАЯ ОБЛАСТЬ, Г.О. ГОРОД ЕКАТЕРИНБУРГ, Г ЕКАТЕРИНБУРГ, УЛ ФРОНТОВЫХ БРИГАД, СТР. 18/2, ОФИС 301</t>
  </si>
  <si>
    <t>ООО ГЛОБАЛ АЛЬЯНС</t>
  </si>
  <si>
    <t>620041, РОССИЯ, СВЕРДЛОВСКАЯ ОБЛАСТЬ, Г.О. ГОРОД ЕКАТЕРИНБУРГ, Г ЕКАТЕРИНБУРГ, УЛ УРАЛЬСКАЯ, Д. 5, КВ. 101</t>
  </si>
  <si>
    <t>ООО РЕВЕРС</t>
  </si>
  <si>
    <t>Смоленская область</t>
  </si>
  <si>
    <t>216790, СМОЛЕНСКАЯ ОБЛАСТЬ, Р-Н РУДНЯНСКИЙ, Г РУДНЯ, УЛ КИРЕЕВА, Д. 117А, КАБИНЕТ 14, ОФ.12, ЭТ. 2</t>
  </si>
  <si>
    <t>ИП ПОТЕХИНА ЕЛЕНА ГЕННАДИЕВНА</t>
  </si>
  <si>
    <t>ООО СПАТСЕРВИС</t>
  </si>
  <si>
    <t>214022, СМОЛЕНСКАЯ ОБЛАСТЬ, Г СМОЛЕНСК, П СЕРЕБРЯНКА, Д. 100В, СТР. 1, ОФИС 08.1</t>
  </si>
  <si>
    <t>ИП ШВЕЦ АЛЕКСАНДРА СЕРГЕЕВНА</t>
  </si>
  <si>
    <t>ООО БЭСТ</t>
  </si>
  <si>
    <t>216100, СМОЛЕНСКАЯ ОБЛАСТЬ, М.Р-Н КРАСНИНСКИЙ, С.П. ГУСИНСКОЕ, ТЕР. ТРАССА, СООР. 34</t>
  </si>
  <si>
    <t>ИП ДАНИЛОВ АЛЕКСЕЙ ВИКТОРОВИЧ</t>
  </si>
  <si>
    <t>ИП ДРЕЙМАН АЛЕКСАНДР ЮРЬЕВИЧ</t>
  </si>
  <si>
    <t>ИП АЛЕКСЕЕВА ЕЛЕНА АЛЕКСЕЕВНА</t>
  </si>
  <si>
    <t>ИП ТИХОМИРОВ АНДРЕЙ ИГОРЕВИЧ</t>
  </si>
  <si>
    <t>ООО ЛЕГЕНДА-ФЕНИКС</t>
  </si>
  <si>
    <t>214009, СМОЛЕНСКАЯ ОБЛАСТЬ, Г СМОЛЕНСК, МКР ЮЖНЫЙ, Д. 4, СТР. 3</t>
  </si>
  <si>
    <t>ООО ТОЧНЫЕ ПОСТАВКИ</t>
  </si>
  <si>
    <t>214014, РОССИЯ, СМОЛЕНСКАЯ ОБЛАСТЬ, Г.О. ГОРОД СМОЛЕНСК, Г СМОЛЕНСК, УЛ ТЕНИШЕВОЙ, Д. 15, ЭТАЖ 5, ПОМЕЩ. 5</t>
  </si>
  <si>
    <t>ООО БЕЛСЕРВИСГРУПП</t>
  </si>
  <si>
    <t>214030, СМОЛЕНСКАЯ ОБЛАСТЬ, Г СМОЛЕНСК, Ш КРАСНИНСКОЕ, Д. 25, ОФИС 307А</t>
  </si>
  <si>
    <t>214533, РОССИЯ, СМОЛЕНСКАЯ ОБЛАСТЬ, М.О. СМОЛЕНСКИЙ, ТЕР. СЕРВИСНО-ЛОГИСТИЧЕСКИЙ ЦЕНТР, ЗД. 1</t>
  </si>
  <si>
    <t>ИП ЭПП ИЛОНА ИВАНОВНА</t>
  </si>
  <si>
    <t>ООО ФИНОКС</t>
  </si>
  <si>
    <t>214012, СМОЛЕНСКАЯ ОБЛАСТЬ, Г СМОЛЕНСК, УЛ КАШЕНА, Д. 1, КОМ. 224</t>
  </si>
  <si>
    <t>214031, РОССИЯ, СМОЛЕНСКАЯ ОБЛАСТЬ, Г.О. ГОРОД СМОЛЕНСК, Г СМОЛЕНСК, УЛ СМОЛЬЯНИНОВА, Д. 10Б, КОМ. 1</t>
  </si>
  <si>
    <t>ООО СВ ГРУПП</t>
  </si>
  <si>
    <t>216790, РОССИЯ, СМОЛЕНСКАЯ ОБЛАСТЬ, М.О. РУДНЯНСКИЙ, Г РУДНЯ, УЛ КОЛХОЗНАЯ, Д. 41Д, ПОМЕЩ. 17</t>
  </si>
  <si>
    <t>ООО ТО-ПАРТС</t>
  </si>
  <si>
    <t>214012, РОССИЯ, СМОЛЕНСКАЯ ОБЛАСТЬ, Г.О. ГОРОД СМОЛЕНСК, Г СМОЛЕНСК, УЛ НОВО-МОСКОВСКАЯ, Д. 2/8, ОФИС 218/3</t>
  </si>
  <si>
    <t>ИП ВОЛОВЯШКО СЕРГЕЙ ВИКТОРОВИЧ</t>
  </si>
  <si>
    <t>ИП ДЖУМАБАЕВ МАТМУРАД АТАБАЕВИЧ</t>
  </si>
  <si>
    <t>ИП Василенкова Ирина Викторовна</t>
  </si>
  <si>
    <t>ИП КАШЕВСКИЙ ГЕННАДИЙ СЕРГЕЕВИЧ</t>
  </si>
  <si>
    <t>СОГБУ ЖУКОВСКИЙ ПСИХОНЕВРОЛОГИЧЕСКИЙ ИНТЕРНАТ С ОБОСОБЛЕННЫМ СПЕЦОТДЕЛЕНИЕМ</t>
  </si>
  <si>
    <t>214558, СМОЛЕНСКАЯ ОБЛАСТЬ, Р-Н СМОЛЕНСКИЙ, Д МОЩИНКИ, УЛ ЛЕСНАЯ, Д. 9</t>
  </si>
  <si>
    <t>ИП ПРОКОПЬЕВ АЛЕКСАНДР АЛЕКСАНДРОВИЧ</t>
  </si>
  <si>
    <t>ООО АВТОПОЛЮС</t>
  </si>
  <si>
    <t>214031, СМОЛЕНСКАЯ ОБЛАСТЬ, М.О. СМОЛЕНСКИЙ, Д ТЕПЛИЧНЫЙ КОМБИНАТ N1, ЗД. 6А</t>
  </si>
  <si>
    <t>ИП КОЗЕРУК ВЛАДИСЛАВ РОМАНОВИЧ</t>
  </si>
  <si>
    <t>ООО ДИСТРИБЬЮТЕР.ПРО</t>
  </si>
  <si>
    <t>214518, СМОЛЕНСКАЯ ОБЛАСТЬ, Р-Н СМОЛЕНСКИЙ, Д НАГАТЬ, УЛ ПОЛЕВАЯ, Д. 4</t>
  </si>
  <si>
    <t>ИП КАЗАРЯН ЗАВЕН ВАРУЖАНОВИЧ</t>
  </si>
  <si>
    <t>ИП КАЮМОВА СВЕТЛАНА АЛЕКСАНДРОВНА</t>
  </si>
  <si>
    <t>ИП ВАСИН ВЛАДИМИР АЛЕКСАНДРОВИЧ</t>
  </si>
  <si>
    <t>ИП МИЦУРОВ СЕРГЕЙ АЛЕКСАНДРОВИЧ</t>
  </si>
  <si>
    <t>СОГБУ СПЕЦИАЛЬНЫЙ ДОМ-ИНТЕРНАТ ДЛЯ ПРЕСТАРЕЛЫХ И ИНВАЛИДОВ МОЛЬГИНО-ГОРОДНЯ</t>
  </si>
  <si>
    <t>215225, СМОЛЕНСКАЯ ОБЛАСТЬ, Р-Н НОВОДУГИНСКИЙ, Д МОЛЬГИНО, Д. 31</t>
  </si>
  <si>
    <t>ООО ТИМ</t>
  </si>
  <si>
    <t>214018, РОССИЯ, СМОЛЕНСКАЯ ОБЛАСТЬ, Г.О. ГОРОД СМОЛЕНСК, Г СМОЛЕНСК, УЛ ПАМФИЛОВА, Д. 5, ОФИС 3</t>
  </si>
  <si>
    <t>ИП ГОЛОВИНА КСЕНИЯ АЛЕКСАНДРОВНА</t>
  </si>
  <si>
    <t>ИП ПОЛЯКОВ СЕРГЕЙ НИКОЛАЕВИЧ</t>
  </si>
  <si>
    <t>ИП МЕНЬШИКОВ ВАЛЕРИЙ ВЛАДИМИРОВИЧ</t>
  </si>
  <si>
    <t>ИП НОВИКОВ АЛЕКСЕЙ АЛЕКСАНДРОВИЧ</t>
  </si>
  <si>
    <t>СОГБУ САМОЛЮБОВСКИЙ ПНИ</t>
  </si>
  <si>
    <t>214580, СМОЛЕНСКАЯ ОБЛАСТЬ, Р-Н СМОЛЕНСКИЙ, Д САМОЛЮБОВО, УЛ ПОЛЕВАЯ, Д. 27</t>
  </si>
  <si>
    <t>ООО ДАФ СЕРВИС СМОЛЕНСК</t>
  </si>
  <si>
    <t>214530, СМОЛЕНСКАЯ ОБЛАСТЬ, Р-Н СМОЛЕНСКИЙ, С ПЕЧЕРСК, УЛ АВТОДОРОЖНАЯ, Д. 5</t>
  </si>
  <si>
    <t>ООО БЕЛХИМТРЕЙД</t>
  </si>
  <si>
    <t>214525, РОССИЯ, СМОЛЕНСКАЯ ОБЛАСТЬ, Г.О. ГОРОД СМОЛЕНСК, Г СМОЛЕНСК, УЛ СОСНОВАЯ, Д. 5</t>
  </si>
  <si>
    <t>ООО АС-ТРЕЙДИНГ</t>
  </si>
  <si>
    <t>214031, РОССИЯ, СМОЛЕНСКАЯ ОБЛАСТЬ, Г.О. ГОРОД СМОЛЕНСК, Г СМОЛЕНСК, ПР-КТ СТРОИТЕЛЕЙ, Д. 23</t>
  </si>
  <si>
    <t>ООО БМТРАНС</t>
  </si>
  <si>
    <t>214530, РОССИЯ, СМОЛЕНСКАЯ ОБЛАСТЬ, М.О. СМОЛЕНСКИЙ, С ПЕЧЕРСК, УЛ МИНСКАЯ, Д. 16А</t>
  </si>
  <si>
    <t>ИП САВУШКИНА ГАЛИНА ВАСИЛЬЕВНА</t>
  </si>
  <si>
    <t>СОГБУ СЕЛЕЗНЕВСКИЙ ДИПИ</t>
  </si>
  <si>
    <t>216280, СМОЛЕНСКАЯ ОБЛАСТЬ, Р-Н ВЕЛИЖСКИЙ, Д СЕЛЕЗНИ, УЛ БОЛЬНИЧНАЯ, Д. 2</t>
  </si>
  <si>
    <t>ИП ЕГОРЬЕВ ИВАН ИВАНОВИЧ</t>
  </si>
  <si>
    <t>ИП Очеретнюк Сергей Павлович</t>
  </si>
  <si>
    <t>ИП МАРЫШЕВА ТАТЬЯНА ВЛАДИМИРОВНА</t>
  </si>
  <si>
    <t>СОГБУ ДНЕПРОВСКИЙ ДИПИ</t>
  </si>
  <si>
    <t>215235, СМОЛЕНСКАЯ ОБЛАСТЬ, Р-Н НОВОДУГИНСКИЙ, С ДНЕПРОВСКОЕ, УЛ Б.СОВЕТСКАЯ, Д. 31</t>
  </si>
  <si>
    <t>ИП НОВИКОВА МАЛЬВИНА ВИКТОРОВНА</t>
  </si>
  <si>
    <t>ООООБУВЬ-КОМПЛЕКТ</t>
  </si>
  <si>
    <t>216764, СМОЛЕНСКАЯ ОБЛАСТЬ, Р-Н РУДНЯНСКИЙ, Д ЧИСТИК, УЛ КОМСОМОЛЬСКАЯ, Д. 11, ОФИС 2</t>
  </si>
  <si>
    <t>ИП САЗОНОВА КСЕНИЯ АЛЕКСАНДРОВНА</t>
  </si>
  <si>
    <t>СОГБУ ДРЮЦКИЙ ПНИ</t>
  </si>
  <si>
    <t>214023, СМОЛЕНСКАЯ ОБЛАСТЬ, Р-Н СМОЛЕНСКИЙ, Д ДРЮЦК, УЛ АДМИНИСТРАТИВНАЯ, Д. 20</t>
  </si>
  <si>
    <t>ИП Гришаев Сергей Анатольевич</t>
  </si>
  <si>
    <t>ООО РЕГИОН-1</t>
  </si>
  <si>
    <t>214032, РОССИЯ, СМОЛЕНСКАЯ ОБЛАСТЬ, Г.О. ГОРОД СМОЛЕНСК, Г СМОЛЕНСК, УЛ МАРШАЛА ЕРЕМЕНКО, Д. 36А</t>
  </si>
  <si>
    <t>ООО АМТЭЛ</t>
  </si>
  <si>
    <t>214018, СМОЛЕНСКАЯ ОБЛАСТЬ, Г СМОЛЕНСК, ПР-Д ИППОДРОМНЫЙ, Д. 30, КВ. 267</t>
  </si>
  <si>
    <t>ООО ВС-ТРЕЙД</t>
  </si>
  <si>
    <t>ИП КРАСИКОВ РОМАН ВАСИЛЬЕВИЧ</t>
  </si>
  <si>
    <t>ИП Лукьянова Валентина Викторовна</t>
  </si>
  <si>
    <t>ИП ЖАГУРИН АРТЕМ ЯРОСЛАВОВИЧ</t>
  </si>
  <si>
    <t>ИП САЛЬНИКОВ ВИТАЛИЙ ВИКТОРОВИЧ</t>
  </si>
  <si>
    <t>ИП СМОЛЯКОВ ВИТАЛИЙ ВИТАЛЬЕВИЧ</t>
  </si>
  <si>
    <t>ИП МОРГУНОВ АРТЁМ ВАЛЕРЬЕВИЧ</t>
  </si>
  <si>
    <t>ИП ЦУРЦУМИЯ ТИМУР АМИРАНОВИЧ</t>
  </si>
  <si>
    <t>ИП РЯБОВ ИВАН ВИКТОРОВИЧ</t>
  </si>
  <si>
    <t>ИП СЕНИН РУСЛАН ВАЛЕРЬЕВИЧ</t>
  </si>
  <si>
    <t>ООО КВФ</t>
  </si>
  <si>
    <t>215800, СМОЛЕНСКАЯ ОБЛАСТЬ, Р-Н ЯРЦЕВСКИЙ, Г ЯРЦЕВО, УЛ СОВЕТСКАЯ, Д. 24</t>
  </si>
  <si>
    <t>ИП ПАВЛИКОВА ТАТЬЯНА НИКОЛАЕВНА</t>
  </si>
  <si>
    <t>ИП АБЛЯЗОВ ТИМУР ХАСАНОВИЧ</t>
  </si>
  <si>
    <t>ИП БОЛЬШАГИНА ВИКТОРИЯ БОРИСОВНА</t>
  </si>
  <si>
    <t>ИП НИКИТИН ЮРИЙ НИКОЛАЕВИЧ</t>
  </si>
  <si>
    <t>ИП ПОЖИЛОВ СЕРГЕЙ НИКОЛАЕВИЧ</t>
  </si>
  <si>
    <t>ИП БЕЛОВ СЕРГЕЙ НИКОЛАЕВИЧ</t>
  </si>
  <si>
    <t>ИП ДОРМЕНЕВ АЛЕКСАНДР ВИКТОРОВИЧ</t>
  </si>
  <si>
    <t>ИП МИХАЛЕВА КСЕНИЯ ЮРЬЕВНА</t>
  </si>
  <si>
    <t>ИП КОМАРОВСКИЙ ВИКТОР ВИТАЛЬЕВИЧ</t>
  </si>
  <si>
    <t>ИП МАТВИЕНКО АЛЕКСАНДР СЕРГЕЕВИЧ</t>
  </si>
  <si>
    <t>ИП ДОЗОРЦЕВ АНТОН АНАТОЛЬЕВИЧ</t>
  </si>
  <si>
    <t>ООО ЭКСПРЕСС-РЕМОНТ</t>
  </si>
  <si>
    <t>214530, СМОЛЕНСКАЯ ОБЛАСТЬ, Р-Н СМОЛЕНСКИЙ, С ПЕЧЕРСК, УЛ МИНСКАЯ, Д. 1А</t>
  </si>
  <si>
    <t>ООО СТЕП-ОЙЛ</t>
  </si>
  <si>
    <t>214025, СМОЛЕНСКАЯ ОБЛАСТЬ, Г СМОЛЕНСК, УЛ БАГРАТИОНА, Д. 57, К. Б, КВ. 55</t>
  </si>
  <si>
    <t>ИП МИХАЛКИНА ВИКТОРИЯ ВЯЧЕСЛАВОВНА</t>
  </si>
  <si>
    <t>ИП ГЛАДЧУК СЕРГЕЙ ВАЛЕНТИНОВИЧ</t>
  </si>
  <si>
    <t>ИП ЛАВРЕНОВ ЮРИЙ ЯКОВЛЕВИЧ</t>
  </si>
  <si>
    <t>ИП СТЕПЫКИН ВЛАДИМИР АНДРЕЕВИЧ</t>
  </si>
  <si>
    <t>ООО ПРЕМИУМ ШИНА</t>
  </si>
  <si>
    <t>214018, РОССИЯ, СМОЛЕНСКАЯ ОБЛАСТЬ, Г.О. ГОРОД СМОЛЕНСК, Г СМОЛЕНСК, УЛ ТЕНИШЕВОЙ, Д. 22, ОФИС 518</t>
  </si>
  <si>
    <t>ООО ТРАКБЕЛЛ</t>
  </si>
  <si>
    <t>214530, РОССИЯ, СМОЛЕНСКАЯ ОБЛАСТЬ, М.О. СМОЛЕНСКИЙ, С ПЕЧЕРСК, УЛ СМОЛЕНСКАЯ, Д. 16, ПОМЕЩ. 1</t>
  </si>
  <si>
    <t>ООО АВ ТРАСТ</t>
  </si>
  <si>
    <t>214013, СМОЛЕНСКАЯ ОБЛАСТЬ, Г СМОЛЕНСК, УЛ МАТРОСОВА, Д. 9, ОФИС D1</t>
  </si>
  <si>
    <t>АНО САНАТОРИЙ КРАСНЫЙ БОР</t>
  </si>
  <si>
    <t>214022, СМОЛЕНСКАЯ ОБЛАСТЬ, Г СМОЛЕНСК, П КРАСНЫЙ БОР</t>
  </si>
  <si>
    <t>ООО БАЙПАРТ.ПРО</t>
  </si>
  <si>
    <t>214030, СМОЛЕНСКАЯ ОБЛАСТЬ, Г СМОЛЕНСК, Ш КРАСНИНСКОЕ, Д. 37, ОФИС 2</t>
  </si>
  <si>
    <t>214018, СМОЛЕНСКАЯ ОБЛАСТЬ, Г СМОЛЕНСК, УЛ НОВО-КИЕВСКАЯ, Д. 9, ОФИС 2</t>
  </si>
  <si>
    <t>ООО БОНИКС</t>
  </si>
  <si>
    <t>214031, СМОЛЕНСКАЯ ОБЛАСТЬ, Г СМОЛЕНСК, УЛ 25 СЕНТЯБРЯ, Д. 64, ОФИС 13</t>
  </si>
  <si>
    <t>ООО СТБ-АЛЬЯНС</t>
  </si>
  <si>
    <t>214000, СМОЛЕНСКАЯ ОБЛАСТЬ, Г СМОЛЕНСК, Ш ДОСУГОВСКОЕ, Д. 2Б, КАБИНЕТ 4</t>
  </si>
  <si>
    <t>ООО УЛЬТРА СМ</t>
  </si>
  <si>
    <t>214015, СМОЛЕНСКАЯ ОБЛАСТЬ, Г СМОЛЕНСК, УЛ МАЛО-КРАСНОФЛОТСКАЯ, Д. 16А, ОФИС 2</t>
  </si>
  <si>
    <t>ООО УРЕМПЛЮС</t>
  </si>
  <si>
    <t>214013, РОССИЯ, СМОЛЕНСКАЯ ОБЛАСТЬ, Г.О. ГОРОД СМОЛЕНСК, Г СМОЛЕНСК, УЛ ВОРОБЬЕВА, Д. 11/9, ПОМЕЩ. 5, ОФИС 20</t>
  </si>
  <si>
    <t>ООО АВТРАК-ГРУП</t>
  </si>
  <si>
    <t>214031, РОССИЯ, СМОЛЕНСКАЯ ОБЛАСТЬ, Г.О. ГОРОД СМОЛЕНСК, Г СМОЛЕНСК, УЛ БАБУШКИНА, Д. 1, ПОМЕЩ. 1</t>
  </si>
  <si>
    <t>ИП Казарян Карен Завенович</t>
  </si>
  <si>
    <t>ИП СЕДАКОВ СЕРГЕЙ СТЕПАНОВИЧ</t>
  </si>
  <si>
    <t>ИП МАМИЧЕВА ОЛЬГА ВИТАЛЬЕВНА</t>
  </si>
  <si>
    <t>ИП КОШКИН АРТЕМ АРКАДЬЕВИЧ</t>
  </si>
  <si>
    <t>ИП КРАСИКОВ ИГОРЬ РОМАНОВИЧ</t>
  </si>
  <si>
    <t>ИП ПРЯНИЧНИКОВА СВЕТЛАНА ПЕТРОВНА</t>
  </si>
  <si>
    <t>ИП ВОРОБЬЁВА ОЛЬГА АЛЕКСАНДРОВНА</t>
  </si>
  <si>
    <t>ИП СМИРНОВ СЕРГЕЙ СЕРГЕЕВИЧ</t>
  </si>
  <si>
    <t>ИП ПОНОМАРЁВ ЕВГЕНИЙ АЛЕКСЕЕВИЧ</t>
  </si>
  <si>
    <t>ИП ШИРКЕВИЧ ЮЛИЯ ВАСИЛЬЕВНА</t>
  </si>
  <si>
    <t>ИП БУЛАНОВ ПАВЕЛ АЛЕКСАНДРОВИЧ</t>
  </si>
  <si>
    <t>ООО  УРАЛОЧКА</t>
  </si>
  <si>
    <t>215806, СМОЛЕНСКАЯ ОБЛАСТЬ, М.О. ЯРЦЕВСКИЙ, Г ЯРЦЕВО, УЛ МАКСИМА ГОРЬКОГО, Д. 40А, ПОМЕЩ. 7</t>
  </si>
  <si>
    <t>ИП ФОМЕНКО ЕВГЕНИЙ БОРИСОВИЧ</t>
  </si>
  <si>
    <t>ИП Коростиль Николай Степанович</t>
  </si>
  <si>
    <t>ООО СКС ПЛЮС А</t>
  </si>
  <si>
    <t>214031, СМОЛЕНСКАЯ ОБЛАСТЬ, Г СМОЛЕНСК, П МАРКАТУШИНО, Д. 9</t>
  </si>
  <si>
    <t>ООО АРТМОТОРС</t>
  </si>
  <si>
    <t>214032, СМОЛЕНСКАЯ ОБЛАСТЬ, Г СМОЛЕНСК, УЛ ЛАВОЧКИНА, Д.102</t>
  </si>
  <si>
    <t>ИП СЕМУТНИК ВАЛЕРИЙ ЭДУАРДОВИЧ</t>
  </si>
  <si>
    <t>ИП НИКОЛАЕВСКИЙ БОРИС ПАВЛОВИЧ</t>
  </si>
  <si>
    <t>АО РЕГИОН</t>
  </si>
  <si>
    <t>214000, СМОЛЕНСКАЯ ОБЛАСТЬ, Г СМОЛЕНСК, УЛ ОКТЯБРЬСКОЙ РЕВОЛЮЦИИ, Д. 9, К. 2, ОФИС 401,402</t>
  </si>
  <si>
    <t>СОГБУ ГЕРОНТОЛОГИЧЕСКИЙ ЦЕНТР ВИШЕНКИ.</t>
  </si>
  <si>
    <t>214000, СМОЛЕНСКАЯ ОБЛАСТЬ, Г СМОЛЕНСК, П ВИШЕНКИ</t>
  </si>
  <si>
    <t>ООО ДИЛИЖАНС</t>
  </si>
  <si>
    <t>214012, СМОЛЕНСКАЯ ОБЛАСТЬ, Г СМОЛЕНСК, ПЕР КАРАЧЕВСКИЙ, Д. 6А</t>
  </si>
  <si>
    <t>ООО МОТЕХС-РУС</t>
  </si>
  <si>
    <t>214031, СМОЛЕНСКАЯ ОБЛАСТЬ, Г СМОЛЕНСК, УЛ СМОЛЬЯНИНОВА, Д. 3</t>
  </si>
  <si>
    <t>СОГБУ ЦЕНТР ВИШЕНКИ</t>
  </si>
  <si>
    <t>214000, СМОЛЕНСКАЯ ОБЛАСТЬ, Г СМОЛЕНСК, П ВИШЕНКИ, Д. 5А</t>
  </si>
  <si>
    <t>ИП ШЕВЦОВ ВАДИМ НИКОЛАЕВИЧ</t>
  </si>
  <si>
    <t>ООО АНГАР-67</t>
  </si>
  <si>
    <t>214006, СМОЛЕНСКАЯ ОБЛАСТЬ, Г СМОЛЕНСК, Ш КРАСНИНСКОЕ, Д. 27, ОФИС 306</t>
  </si>
  <si>
    <t>ИП КАРПЕЧЕНКОВ СЕРГЕЙ АНДРЕЕВИЧ</t>
  </si>
  <si>
    <t>ИП ЛЕОНЕНКО НАДЕЖДА ВИКТОРОВНА</t>
  </si>
  <si>
    <t>ЗАО ДИФФУЗИОН ИНСТРУМЕНТ</t>
  </si>
  <si>
    <t>214031, СМОЛЕНСКАЯ ОБЛАСТЬ, Г СМОЛЕНСК, УЛ ИНДУСТРИАЛЬНАЯ, Д. 2</t>
  </si>
  <si>
    <t>ИП ЕРЕМЕЕВ ВАСИЛИЙ ВИТАЛЬЕВИЧ</t>
  </si>
  <si>
    <t>ООО ФИРМА СТРИМ</t>
  </si>
  <si>
    <t>214031, СМОЛЕНСКАЯ ОБЛАСТЬ, Г.О. ГОРОД СМОЛЕНСК, Г СМОЛЕНСК, УЛ 25 СЕНТЯБРЯ, Д. 61, ОФИС 1-8</t>
  </si>
  <si>
    <t>ИП КОЗЛОВ НИКИТА ЮРЬЕВИЧ</t>
  </si>
  <si>
    <t>ИП УТЕНКОВ ВАЛЕРИЙ АЛЕКСАНДРОВИЧ</t>
  </si>
  <si>
    <t>ООО ЭКФАМОТОРС</t>
  </si>
  <si>
    <t>214019, СМОЛЕНСКАЯ ОБЛАСТЬ, Г СМОЛЕНСК, УЛ КРУПСКОЙ, Д. 30-Б, КОМ. 25</t>
  </si>
  <si>
    <t>214004, РОССИЯ, СМОЛЕНСКАЯ ОБЛАСТЬ, Г.О. ГОРОД СМОЛЕНСК, Г СМОЛЕНСК, УЛ НОВО-КИЕВСКАЯ, Д. 2, КВ. 227</t>
  </si>
  <si>
    <t>ООО ВРТИ</t>
  </si>
  <si>
    <t>214012, СМОЛЕНСКАЯ ОБЛАСТЬ, Г СМОЛЕНСК, УЛ КАШЕНА, Д.23, КАБИНЕТ 212</t>
  </si>
  <si>
    <t>ООО МУЛЬТИ ГРУПП</t>
  </si>
  <si>
    <t>214012, СМОЛЕНСКАЯ ОБЛАСТЬ, Г СМОЛЕНСК, УЛ НОВО-ЛЕНИНГРАДСКАЯ, Д. 16</t>
  </si>
  <si>
    <t>214012, СМОЛЕНСКАЯ ОБЛАСТЬ, Г СМОЛЕНСК, УЛ КАШЕНА, Д. 1, ПОМЕЩ. 717</t>
  </si>
  <si>
    <t>ООО АРГО-ЛОГИСТИК</t>
  </si>
  <si>
    <t>214019, СМОЛЕНСКАЯ ОБЛАСТЬ, Г СМОЛЕНСК, УЛ КРУПСКОЙ, Д. 64 А, ОФИС 7</t>
  </si>
  <si>
    <t>ООО АГРОВИТА</t>
  </si>
  <si>
    <t>214031, СМОЛЕНСКАЯ ОБЛАСТЬ, Г СМОЛЕНСК, УЛ СМОЛЬЯНИНОВА, Д. 15, ОФИС 23,24</t>
  </si>
  <si>
    <t>ООО АВТО-ДОМ</t>
  </si>
  <si>
    <t>214019, СМОЛЕНСКАЯ ОБЛАСТЬ, Г СМОЛЕНСК, УЛ БРЯНСКАЯ 2-Я, Д. 2А, ОФИС 2</t>
  </si>
  <si>
    <t>214031, СМОЛЕНСКАЯ ОБЛАСТЬ, Г.О. ГОРОД СМОЛЕНСК, Г СМОЛЕНСК, УЛ СМОЛЬЯНИНОВА, Д. 15, ОФИС 57</t>
  </si>
  <si>
    <t>ООО СМАРТ ГРУПП</t>
  </si>
  <si>
    <t>214005, РОССИЯ, СМОЛЕНСКАЯ ОБЛАСТЬ, Г.О. ГОРОД СМОЛЕНСК, Г СМОЛЕНСК, УЛ СВЕРДЛОВА, Д. 24, КОМ. 18</t>
  </si>
  <si>
    <t>ООО СИТНЯ</t>
  </si>
  <si>
    <t>214006, РОССИЯ, СМОЛЕНСКАЯ ОБЛАСТЬ, Г.О. ГОРОД СМОЛЕНСК, Г СМОЛЕНСК, УЛ ГУБЕНКО, Д. 18А, ОФИС 2</t>
  </si>
  <si>
    <t>ООО СТ ТЕХНО</t>
  </si>
  <si>
    <t>214009, РОССИЯ, СМОЛЕНСКАЯ ОБЛАСТЬ, Г.О. ГОРОД СМОЛЕНСК, Г СМОЛЕНСК, Ш РОСЛАВЛЬСКОЕ, Д. 5КМ, ОФИС 6</t>
  </si>
  <si>
    <t>ООО БЕСТ ТРАНС СЕРВИС</t>
  </si>
  <si>
    <t>214015, РОССИЯ, СМОЛЕНСКАЯ ОБЛАСТЬ, Г.О. ГОРОД СМОЛЕНСК, Г СМОЛЕНСК, УЛ МАЛО-КРАСНОФЛОТСКАЯ, Д. 31, КВ. 9</t>
  </si>
  <si>
    <t>ИП СУХАЧЕВ ВЛАДИМИР ПЕТРОВИЧ</t>
  </si>
  <si>
    <t>ООО АЭРОСТАР КОНТРАКТ</t>
  </si>
  <si>
    <t>215113, СМОЛЕНСКАЯ ОБЛАСТЬ, Р-Н ВЯЗЕМСКИЙ, Г ВЯЗЬМА, УЛ НОВАЯ БОЗНЯ, Д. 3</t>
  </si>
  <si>
    <t>ИП КАДЕРМЯТОВ РИНАТ НУРАЛИЕВИЧ</t>
  </si>
  <si>
    <t>ИП ПЕТРЯХИН СЕРГЕЙ ОЛЕГОВИЧ</t>
  </si>
  <si>
    <t>ИП ФИЛИППОВ АЛЕКСЕЙ ИВАНОВИЧ</t>
  </si>
  <si>
    <t>ИП ФУНТИКОВА СВЕТЛАНА ВИКТОРОВНА</t>
  </si>
  <si>
    <t>ИП ФУНТИКОВ ГЛЕБ РУСЛАНОВИЧ</t>
  </si>
  <si>
    <t>ИП СДЕЛЬНИКОВА ЕЛЕНА АНАТОЛЬЕВНА</t>
  </si>
  <si>
    <t>ИП ФРОЛАГИН ДМИТРИЙ ВЯЧЕСЛАВОВИЧ</t>
  </si>
  <si>
    <t>ИП АЛЕЙНИКОВА ТАТЬЯНА ВАЛЕРЬЕВНА</t>
  </si>
  <si>
    <t>ИП РАСУЛОВ НИКОЛАЙ АНДРЕЕВИЧ</t>
  </si>
  <si>
    <t>ИП ЗАЙЦЕВА НАТАЛЬЯ ВЛАДИМИРОВНА</t>
  </si>
  <si>
    <t>ИП СНОПОВА ОКСАНА</t>
  </si>
  <si>
    <t>ИП Федорова Светлана Алексеевна</t>
  </si>
  <si>
    <t>ИП ЛЬВОВА ЕЛЕНА ВИКТОРОВНА</t>
  </si>
  <si>
    <t>ООО ТРАНЗИТ-В</t>
  </si>
  <si>
    <t>214032, СМОЛЕНСКАЯ ОБЛАСТЬ, Г СМОЛЕНСК, УЛ ЛАВОЧКИНА, Д.105</t>
  </si>
  <si>
    <t>ИП Пономарев Александр Павлович</t>
  </si>
  <si>
    <t>ПАО НК РОСНЕФТЬ - СМОЛЕНСКНЕФТЕПРОДУКТ</t>
  </si>
  <si>
    <t>214014, СМОЛЕНСКАЯ ОБЛАСТЬ, Г СМОЛЕНСК, УЛ ВОЛОДАРСКОГО, Д.3</t>
  </si>
  <si>
    <t>АО НИИ СТТ</t>
  </si>
  <si>
    <t>214012, СМОЛЕНСКАЯ ОБЛАСТЬ, Г СМОЛЕНСК, УЛ НОВО-ЛЕНИНГРАДСКАЯ, Д.10</t>
  </si>
  <si>
    <t>ИП СЕМИОНЕНКОВ ДАНИИЛ АЛЕКСЕЕВИЧ</t>
  </si>
  <si>
    <t>ИП ПАРШИКОВ ВЛАДИМИР НИКОЛАЕВИЧ</t>
  </si>
  <si>
    <t>ООО Ф-АВТО</t>
  </si>
  <si>
    <t>214030, СМОЛЕНСКАЯ ОБЛАСТЬ, Г СМОЛЕНСК, УЛ НИКОЛАЕВА, Д. 74, ОФИС 17</t>
  </si>
  <si>
    <t>ООО Д-АВТО</t>
  </si>
  <si>
    <t>214030, СМОЛЕНСКАЯ ОБЛАСТЬ, Г СМОЛЕНСК, УЛ НИКОЛАЕВА, Д. 74, ОФИС 46</t>
  </si>
  <si>
    <t>ИП БАЛАБИН ЮРИЙ НИКОЛАЕВИЧ</t>
  </si>
  <si>
    <t>ИП ЕПИФАНЦЕВ АЛЕКСАНДР СЕРГЕЕВИЧ</t>
  </si>
  <si>
    <t>ИП ЖЕМКОВА ВАЛЕНТИНА ГРИГОРЬЕВНА</t>
  </si>
  <si>
    <t>ИП РОЛИЧ ДМИТРИЙ АЛЕКСАНДРОВИЧ</t>
  </si>
  <si>
    <t>ООО РТК БИЗНЕС</t>
  </si>
  <si>
    <t>214036, СМОЛЕНСКАЯ ОБЛАСТЬ, Г СМОЛЕНСК, УЛ ПОПОВА, Д.17, К.1, 204</t>
  </si>
  <si>
    <t>ИП ПРОКОПЬЕВА ЮЛИЯ ВИКТОРОВНА</t>
  </si>
  <si>
    <t>ООО СМОЛНЕФТЕОРГСИНТЕЗ</t>
  </si>
  <si>
    <t>214012, СМОЛЕНСКАЯ ОБЛАСТЬ, Г СМОЛЕНСК, УЛ САДОВАЯ 2-Я, Д. 25А, ОФИС КФ 1</t>
  </si>
  <si>
    <t>ИП ШИРОКОВА МАРГАРИТА ВЯЧЕСЛАВНА</t>
  </si>
  <si>
    <t>ООО ХОРТ</t>
  </si>
  <si>
    <t>214036, СМОЛЕНСКАЯ ОБЛАСТЬ, Г СМОЛЕНСК, УЛ ПОПОВА, Д.121, 131</t>
  </si>
  <si>
    <t>ИП БОРИСОВ ИЛЬЯ МИХАЙЛОВИЧ</t>
  </si>
  <si>
    <t>ООО ДИАСАВТОРУС</t>
  </si>
  <si>
    <t>214025, СМОЛЕНСКАЯ ОБЛАСТЬ, Г.О. ГОРОД СМОЛЕНСК, Г СМОЛЕНСК, УЛ НОРМАНДИЯ-НЕМАН, Д. 35Б, ОФИС 4</t>
  </si>
  <si>
    <t>214012, СМОЛЕНСКАЯ ОБЛАСТЬ, Г СМОЛЕНСК, УЛ НОВО-МОСКОВСКАЯ, Д. 2/8, ОФИС 218/1</t>
  </si>
  <si>
    <t>ООО ТРЕЙДОЙЛ</t>
  </si>
  <si>
    <t>214030, СМОЛЕНСКАЯ ОБЛАСТЬ, Г СМОЛЕНСК, Ш КРАСНИНСКОЕ, Д. 37, ОФИС 21</t>
  </si>
  <si>
    <t>ООО АВТО1-СМОЛЕНСК</t>
  </si>
  <si>
    <t>214013, СМОЛЕНСКАЯ ОБЛАСТЬ, Г СМОЛЕНСК, УЛ МАТРОСОВА, Д. 9, ОФИС D5</t>
  </si>
  <si>
    <t>214019, СМОЛЕНСКАЯ ОБЛАСТЬ, Г.О. ГОРОД СМОЛЕНСК, Г СМОЛЕНСК, П ТИХВИНКА, Д. 59В, ПОМЕЩ. 3</t>
  </si>
  <si>
    <t>ООО СМОЛСЕЛЬМАШ</t>
  </si>
  <si>
    <t>214032, СМОЛЕНСКАЯ ОБЛАСТЬ, Г СМОЛЕНСК, УЛ ЛАВОЧКИНА, Д. 104, ПОМЕЩ. 7</t>
  </si>
  <si>
    <t>ООО СТРЕТЕН ОКМЕН</t>
  </si>
  <si>
    <t>214000, СМОЛЕНСКАЯ ОБЛАСТЬ, Г СМОЛЕНСК, ПР-КТ ГАГАРИНА, Д. 10/2, ПОМ. 65</t>
  </si>
  <si>
    <t>ООО АВТОДЕЛО-СМОЛЕНСК</t>
  </si>
  <si>
    <t>214019, СМОЛЕНСКАЯ ОБЛАСТЬ, Г СМОЛЕНСК, ПЕР ХЛЕБОЗАВОДСКОЙ, Д. 7, ЗД. АСК, ОФИС 1</t>
  </si>
  <si>
    <t>ООО КОНОВАЛ-СВ</t>
  </si>
  <si>
    <t>214019, СМОЛЕНСКАЯ ОБЛАСТЬ, Г СМОЛЕНСК, УЛ КРУПСКОЙ, Д. 30 Б, ПОМЕЩ. 1</t>
  </si>
  <si>
    <t>ООО НСЛ РУСЛАНД</t>
  </si>
  <si>
    <t>214014, СМОЛЕНСКАЯ ОБЛАСТЬ, Г СМОЛЕНСК, УЛ ЧАПЛИНА, Д. 12, ПОМЕЩ. 19</t>
  </si>
  <si>
    <t>ООО И-АВТО</t>
  </si>
  <si>
    <t>214030, РОССИЯ, СМОЛЕНСКАЯ ОБЛАСТЬ, Г.О. ГОРОД СМОЛЕНСК, Г СМОЛЕНСК, УЛ НИКОЛАЕВА, Д. 74, ОФИС 13</t>
  </si>
  <si>
    <t>ООО ЛУЧШИЕ ЦЕНЫ</t>
  </si>
  <si>
    <t>214036, РОССИЯ, СМОЛЕНСКАЯ ОБЛАСТЬ, Г.О. ГОРОД СМОЛЕНСК, Г СМОЛЕНСК, УЛ ПОПОВА, Д. 17, ОФИС 305</t>
  </si>
  <si>
    <t>214013, РОССИЯ, СМОЛЕНСКАЯ ОБЛАСТЬ, Г.О. ГОРОД СМОЛЕНСК, Г СМОЛЕНСК, УЛ НИКОЛАЕВА, Д. 85, ПОМЕЩ. 3, ОФИС 7</t>
  </si>
  <si>
    <t>ООО АВТОТРЕЙДИНВЕСТ</t>
  </si>
  <si>
    <t>214006, РОССИЯ, СМОЛЕНСКАЯ ОБЛАСТЬ, Г.О. ГОРОД СМОЛЕНСК, Г СМОЛЕНСК, УЛ ФРУНЗЕ, Д. 44, КОМ. 105</t>
  </si>
  <si>
    <t>ИП ГОРОЧКИН МАКСИМ СЕРГЕЕВИЧ</t>
  </si>
  <si>
    <t>Тамбовская область</t>
  </si>
  <si>
    <t>392029, ТАМБОВСКАЯ ОБЛАСТЬ, Г ТАМБОВ, УЛ БАСТИОННАЯ, Д. 29Ж</t>
  </si>
  <si>
    <t>ООО АЗИМУТ-ГАРАНТИЯ</t>
  </si>
  <si>
    <t>392000, ТАМБОВСКАЯ ОБЛАСТЬ, Г ТАМБОВ, Ш МОРШАНСКОЕ, Д. 24  Б, ПОМЕЩ. 2</t>
  </si>
  <si>
    <t>ООО АВТОТЕХЦЕНТР</t>
  </si>
  <si>
    <t>392028, ТАМБОВСКАЯ ОБЛАСТЬ, Г ТАМБОВ, УЛ АВИАЦИОННАЯ, Д. 143А</t>
  </si>
  <si>
    <t>ООО ДВД</t>
  </si>
  <si>
    <t>392029, ТАМБОВСКАЯ ОБЛАСТЬ, Г.О. ГОРОД ТАМБОВ, Г ТАМБОВ, УЛ БАСТИОННАЯ, Д. 25С</t>
  </si>
  <si>
    <t>ИП ПЕНКИНА ЕКАТЕРИНА АНДРЕЕВНА</t>
  </si>
  <si>
    <t>ИП ЗАЛЕЩИКОВА АНЖЕЛА ЛЕОНИДОВНА</t>
  </si>
  <si>
    <t>ИП МАКЕЕВ АЛЕКСАНДР НИКОЛАЕВИЧ</t>
  </si>
  <si>
    <t>ИП РОМАНЧИКОВ ИГОРЬ АРКАДЬЕВИЧ</t>
  </si>
  <si>
    <t>АО ТАМБОВНЕФТЕПРОДУКТ</t>
  </si>
  <si>
    <t>392012, ТАМБОВСКАЯ ОБЛАСТЬ, Г ТАМБОВ, УЛ ПИОНЕРСКАЯ, Д.9А</t>
  </si>
  <si>
    <t>ИП ТАРУРАЕВА ОКСАНА ВЛАДИМИРОВНА</t>
  </si>
  <si>
    <t>ИП Объектов Сергей Михайлович</t>
  </si>
  <si>
    <t>АО АТМ</t>
  </si>
  <si>
    <t>392000, ТАМБОВСКАЯ ОБЛАСТЬ, Г.О. ГОРОД ТАМБОВ, Г ТАМБОВ, УЛ МОСКОВСКАЯ, Д. 1Б, СТР. 2</t>
  </si>
  <si>
    <t>ИП ГЛУШКОВ РОМАН ИВАНОВИЧ</t>
  </si>
  <si>
    <t>ИП ТАФИНЦЕВА НАТАЛИЯ НИКОЛАЕВНА</t>
  </si>
  <si>
    <t>ИП КЛИШИН АНДРЕЙ ВЛАДИМИРОВИЧ</t>
  </si>
  <si>
    <t>ИП МЯКИШЕВА НАТАЛИЯ АЛЕКСАНДРОВНА</t>
  </si>
  <si>
    <t>ООО ТАМБОВ-АВТО-СИТИ</t>
  </si>
  <si>
    <t>392014, ТАМБОВСКАЯ ОБЛАСТЬ, Г ТАМБОВ, УЛ КИКВИДЗЕ, Д.85</t>
  </si>
  <si>
    <t>ИП ЕРЕТИН АРТЁМ ЮРЬЕВИЧ</t>
  </si>
  <si>
    <t>ИП СМЫКОВ АРТЕМ ГЕННАДЬЕВИЧ</t>
  </si>
  <si>
    <t>ИП Муратов Михаил Иванович</t>
  </si>
  <si>
    <t>ИП ВОРОПАЕВА ЕКАТЕРИНА АЛЕКСАНДРОВНА</t>
  </si>
  <si>
    <t>ИП ТАРУРАЕВ ВАДИМ АНАТОЛЬЕВИЧ</t>
  </si>
  <si>
    <t>ООО ВОЛГА</t>
  </si>
  <si>
    <t>392037, ТАМБОВСКАЯ ОБЛАСТЬ, Г ТАМБОВ, УЛ КАВАЛЕРИЙСКАЯ, Д.20, 5</t>
  </si>
  <si>
    <t>ИП БУЛГАКОВА НАТАЛЬЯ АЛЕКСЕЕВНА</t>
  </si>
  <si>
    <t>ИП КУЗНЕЦОВ РОМАН СЕРГЕЕВИЧ</t>
  </si>
  <si>
    <t>ООО Р-АВТО</t>
  </si>
  <si>
    <t>392000, ТАМБОВСКАЯ ОБЛАСТЬ, Г.О. ГОРОД ТАМБОВ, Г ТАМБОВ, ПЛ УСПЕНСКАЯ, Д. 1А</t>
  </si>
  <si>
    <t>392029, ТАМБОВСКАЯ ОБЛАСТЬ, Г ТАМБОВ, УЛ БАСТИОННАЯ, Д. 8 Т</t>
  </si>
  <si>
    <t>ООО АЗИМУТ-СЕРВИС</t>
  </si>
  <si>
    <t>392000, ТАМБОВСКАЯ ОБЛАСТЬ, Г ТАМБОВ, Ш МОРШАНСКОЕ, Д. 24  Б, ПОМЕЩ. 3</t>
  </si>
  <si>
    <t>392000, ТАМБОВСКАЯ ОБЛАСТЬ, Г ТАМБОВ, УЛ МОСКОВСКАЯ, Д. 1Б</t>
  </si>
  <si>
    <t>ООО МИРАВТО</t>
  </si>
  <si>
    <t>392029, РОССИЯ, ТАМБОВСКАЯ ОБЛАСТЬ, Г.О. ГОРОД ТАМБОВ, Г ТАМБОВ, УЛ БАСТИОННАЯ, Д. 23А</t>
  </si>
  <si>
    <t>ИП ТАРУРАЕВ АЛЕКСЕЙ АНАТОЛЬЕВИЧ</t>
  </si>
  <si>
    <t>ИП КОНЬШИНА АНАСТАСИЯ ОЛЕГОВНА</t>
  </si>
  <si>
    <t>ИП ВОЛЬЩАК ИГОРЬ ЛЕОНИДОВИЧ</t>
  </si>
  <si>
    <t>ИП ВЕЙС ИВАН ИВАНОВИЧ</t>
  </si>
  <si>
    <t>ИП АФАНАСЬЕВ АНДРЕЙ АЛЕКСАНДРОВИЧ</t>
  </si>
  <si>
    <t>ИП ВОЛЬЩАК ЛЕОНИД ИЛЬИЧ</t>
  </si>
  <si>
    <t>ИП Глушков Никита Романович</t>
  </si>
  <si>
    <t>ООО Э.П.Ф.</t>
  </si>
  <si>
    <t>392028, ТАМБОВСКАЯ ОБЛАСТЬ, Г ТАМБОВ, УЛ ИППОДРОМНАЯ, Д. 25, К. Г</t>
  </si>
  <si>
    <t>ИП ПОПОВ НИКОЛАЙ АЛЕКСАНДРОВИЧ</t>
  </si>
  <si>
    <t>ИП ЧЕПЕЛЕВА МАРИНА ВАЛЕНТИНОВНА</t>
  </si>
  <si>
    <t>ИП ХЛЕБНИКОВА ОКСАНА ЕВГЕНЬЕВНА</t>
  </si>
  <si>
    <t>ИП БОКАРЕВА ТАТЬЯНА СЕРГЕЕВНА</t>
  </si>
  <si>
    <t>ИП КАЛУГИН ДМИТРИЙ ЭДУАРДОВИЧ</t>
  </si>
  <si>
    <t>ИП РЫЖКОВ ОЛЕГ ЕВГЕНЬЕВИЧ</t>
  </si>
  <si>
    <t>ИП ТОЧИЛИН АЛЕКСЕЙ АЛЕКСАНДРОВИЧ</t>
  </si>
  <si>
    <t>ООО ЕВРОТРАК 68</t>
  </si>
  <si>
    <t>392540, ТАМБОВСКАЯ ОБЛАСТЬ, Р-Н ТАМБОВСКИЙ, С СТРЕЛЬЦЫ, УЛ КОМПЛЕКС МОТЕЛЬ, СТР. 2А</t>
  </si>
  <si>
    <t>ООО БЕЛЫЙ МЕДВЕДЬ</t>
  </si>
  <si>
    <t>392000, ТАМБОВСКАЯ ОБЛАСТЬ, Г ТАМБОВ, УЛ РАБОЧАЯ, Д. 138</t>
  </si>
  <si>
    <t>ИП КОРОБОВ МИХАИЛ АЛЕКСАНДРОВИЧ</t>
  </si>
  <si>
    <t>ЗАО КОРПОРАЦИЯ МАЛКОМ</t>
  </si>
  <si>
    <t>392024, РОССИЯ, ТАМБОВСКАЯ ОБЛАСТЬ, М.О. ТАМБОВСКИЙ, Д КРУТЫЕ ВЫСЕЛКИ, УЛ ПРОМЫШЛЕННАЯ, СТР. 28</t>
  </si>
  <si>
    <t>ИП ШАХОВЦЕВ АНДРЕЙ ВИКТОРОВИЧ</t>
  </si>
  <si>
    <t>ОАО ОРБИТА</t>
  </si>
  <si>
    <t>392037, ТАМБОВСКАЯ ОБЛАСТЬ, Г ТАМБОВ, УЛ КАВАЛЕРИЙСКАЯ, Д.13</t>
  </si>
  <si>
    <t>ИП КОЛМАКОВ ГЕННАДИЙ НИКОЛАЕВИЧ</t>
  </si>
  <si>
    <t>ИП СВЕЧНИКОВ АЛЕКСАНДР МИХАЙЛОВИЧ</t>
  </si>
  <si>
    <t>ИП ЧУКАНОВ ВЛАДИМИР АНАТОЛЬЕВИЧ</t>
  </si>
  <si>
    <t>ВИШНЕВСКОЕ СЕЛЬПО</t>
  </si>
  <si>
    <t>393800, ТАМБОВСКАЯ ОБЛАСТЬ, Р-Н СТАРОЮРЬЕВСКИЙ, С СТАРОЮРЬЕВО, УЛ КОММУНАЛЬНАЯ, ОФИС 10.2</t>
  </si>
  <si>
    <t>ИП КАДЕНКОВ ПАВЕЛ ЕВГЕНЬЕВИЧ</t>
  </si>
  <si>
    <t>ИП Саликова Вера Юрьевна</t>
  </si>
  <si>
    <t>СТАРОЮРЬЕВСКОЕ СЕЛЬПО</t>
  </si>
  <si>
    <t>393800, ТАМБОВСКАЯ ОБЛАСТЬ, М.О. СТАРОЮРЬЕВСКИЙ, С СТАРОЮРЬЕВО, УЛ СОВЕТСКАЯ, СТР. 82</t>
  </si>
  <si>
    <t>ИП ЛАНТАЕВА АЛЬФИЯ УСМАНОВНА</t>
  </si>
  <si>
    <t>ИП КАЗЬМИН АЛЕКСЕЙ БОРИСОВИЧ</t>
  </si>
  <si>
    <t>ИП ШЛЫКОВ ВИТАЛИЙ ВИКТОРОВИЧ</t>
  </si>
  <si>
    <t>ИП КУДРЯВЦЕВ ОЛЕГ НИКОЛАЕВИЧ</t>
  </si>
  <si>
    <t>ИП ИВАНОВА СВЕТЛАНА НИКОЛАЕВНА</t>
  </si>
  <si>
    <t>ИП ДУТОВ МАКСИМ НИКОЛАЕВИЧ</t>
  </si>
  <si>
    <t>ИП ШАМШУРИН СЕРГЕЙ ЕВГЕНЬЕВИЧ</t>
  </si>
  <si>
    <t>ИП НОВОТОРЦЕВ МИХАИЛ АЛЕКСЕЕВИЧ</t>
  </si>
  <si>
    <t>ИП ПОЛЯНСКИЙ НИКОЛАЙ СЕРГЕЕВИЧ</t>
  </si>
  <si>
    <t>ИП ЕЛОВКОВА ДАРЬЯ ВАДИМОВНА</t>
  </si>
  <si>
    <t>ИП КОНЬКОВА ТАТЬЯНА НИКОЛАЕВНА</t>
  </si>
  <si>
    <t>ООО ГЛОБУС-МОТОРС</t>
  </si>
  <si>
    <t>392029, ТАМБОВСКАЯ ОБЛАСТЬ, Г ТАМБОВ, УЛ БАСТИОННАЯ, Д.29</t>
  </si>
  <si>
    <t>ООО АВТОТЕХ-СЕРВИС</t>
  </si>
  <si>
    <t>392000, ТАМБОВСКАЯ ОБЛАСТЬ, Г ТАМБОВ, УЛ МОСКОВСКАЯ, Д. 10В, ПОМЕЩЕНИЕ 3Б</t>
  </si>
  <si>
    <t>ООО АВТОЦЕНТР ГЛОБУС</t>
  </si>
  <si>
    <t>ООО ГЛОБУС ПРОБЕГ</t>
  </si>
  <si>
    <t>392028, ТАМБОВСКАЯ ОБЛАСТЬ, Г ТАМБОВ, УЛ БАСТИОННАЯ, Д. 28Н, КОМ. 24</t>
  </si>
  <si>
    <t>ООО УЛЕЙ АВТО ЗАПАД</t>
  </si>
  <si>
    <t>392014, ТАМБОВСКАЯ ОБЛАСТЬ, Г ТАМБОВ, УЛ КИКВИДЗЕ, Д. 69</t>
  </si>
  <si>
    <t>ООО ШИНА-СЕРВИС</t>
  </si>
  <si>
    <t>392027, ТАМБОВСКАЯ ОБЛАСТЬ, Г.О. ГОРОД ТАМБОВ, Г ТАМБОВ, УЛ МИЧУРИНСКАЯ, Д. 243</t>
  </si>
  <si>
    <t>392014, ТАМБОВСКАЯ ОБЛАСТЬ, Г ТАМБОВ, УЛ КИКВИДЗЕ, Д. 69, ЛИТЕР А, КОМ. 1</t>
  </si>
  <si>
    <t>ООО  АВТОСФЕРА</t>
  </si>
  <si>
    <t>392014, ТАМБОВСКАЯ ОБЛАСТЬ, Г ТАМБОВ, УЛ КИКВИДЗЕ, Д. 85А</t>
  </si>
  <si>
    <t>ООО АВТОДЕТАЛИ</t>
  </si>
  <si>
    <t>392027, ТАМБОВСКАЯ ОБЛАСТЬ, Г ТАМБОВ, УЛ РЫЛЕЕВА, Д.79Д</t>
  </si>
  <si>
    <t>ООО ШИННИК</t>
  </si>
  <si>
    <t>392000, РОССИЯ, ТАМБОВСКАЯ ОБЛАСТЬ, Г.О. ГОРОД ТАМБОВ, Г ТАМБОВ, УЛ КАВАЛЕРИЙСКАЯ, Д. 15</t>
  </si>
  <si>
    <t>ООО КРОНА</t>
  </si>
  <si>
    <t>393550, РОССИЯ, ТАМБОВСКАЯ ОБЛАСТЬ, М.О. ТОКАРЁВСКИЙ, РП ТОКАРЁВКА, УЛ Н.ОСТРОВСКОГО, Д. 38, КВ. 20</t>
  </si>
  <si>
    <t>ИП Харитонов Сергей Евгеньевич</t>
  </si>
  <si>
    <t>ИП ПЕРЕПЕЧИН АЛЕКСАНДР ВЛАДИМИРОВИЧ</t>
  </si>
  <si>
    <t>ИП КАДЕНКОВ ЕВГЕНИЙ НИКОЛАЕВИЧ</t>
  </si>
  <si>
    <t>ИП ЛУКИН АНДРЕЙ АНАТОЛЬЕВИЧ</t>
  </si>
  <si>
    <t>АО ОКТЯБРЬСКОЕ</t>
  </si>
  <si>
    <t>392550, ТАМБОВСКАЯ ОБЛАСТЬ, М.О. ТАМБОВСКИЙ, П СОВХОЗА СЕЛЕЗНЕВСКИЙ, УЛ МАГИСТРАЛЬНАЯ, Д. 13</t>
  </si>
  <si>
    <t>ИП АЛОЯН ГОЗО БАДРОВИЧ</t>
  </si>
  <si>
    <t>ИП ДОЛГОВ АРТЁМ ЮРЬЕВИЧ</t>
  </si>
  <si>
    <t>ИП ЭКТОВ ЮРИЙ ЮРЬЕВИЧ</t>
  </si>
  <si>
    <t>ООО ТОП-СЕРВИС</t>
  </si>
  <si>
    <t>393190, ТАМБОВСКАЯ ОБЛАСТЬ, Г КОТОВСК, УЛ НАБЕРЕЖНАЯ, Д. 5/2</t>
  </si>
  <si>
    <t>ИП ЗАСКРЯБИН АЛЕКСАНДР АНАТОЛЬЕВИЧ</t>
  </si>
  <si>
    <t>ИП РЕШЕТНИКОВ ДМИТРИЙ ВЛАДИМИРОВИЧ</t>
  </si>
  <si>
    <t>ИП ИГНАТОВ АНДРЕЙ ПЕТРОВИЧ</t>
  </si>
  <si>
    <t>ИП ЛИСИЦЫН АЛЕКСАНДР ВИКТОРОВИЧ</t>
  </si>
  <si>
    <t>ИП АБРАМОВ АЛЕКСЕЙ ВАЛЕРЬЕВИЧ</t>
  </si>
  <si>
    <t>ИП РАХМАНИН АЛЕКСЕЙ ИВАНОВИЧ</t>
  </si>
  <si>
    <t>ИП СИМАКОВ ПАВЕЛ ЮРЬЕВИЧ</t>
  </si>
  <si>
    <t>ИП КУЛИКОВА ЮЛИЯ ИВАНОВНА</t>
  </si>
  <si>
    <t>ИП НЕФЁДОВ АЛЕКСЕЙ ПЕТРОВИЧ</t>
  </si>
  <si>
    <t>ИП КВАРДАКОВ СЕРГЕЙ АНАТОЛЬЕВИЧ</t>
  </si>
  <si>
    <t>ООО СТО ДОКА</t>
  </si>
  <si>
    <t>392526, ТАМБОВСКАЯ ОБЛАСТЬ, Г.О. ГОРОД ТАМБОВ, ЗОНА ПРОМЫШЛЕННАЯ, ЗД. 46, КОМ. 2</t>
  </si>
  <si>
    <t>ИП БЕЛЯЕВ СЕРГЕЙ ВЛАДИМИРОВИЧ</t>
  </si>
  <si>
    <t>ИП МУРАТОВ АЛЕКСАНДР МИХАЙЛОВИЧ</t>
  </si>
  <si>
    <t>ИП Грицай Марина Юрьевна</t>
  </si>
  <si>
    <t>ИП МИТИН ОЛЕГ ВИКТОРОВИЧ</t>
  </si>
  <si>
    <t>ИП ПУСТОВАЛОВ СЕРГЕЙ АЛЕКСАНДРОВИЧ</t>
  </si>
  <si>
    <t>ИП ТРУХИН СЕРГЕЙ ИГОРЕВИЧ</t>
  </si>
  <si>
    <t>ИП КУЗЬМИН РОМАН АЛЕКСАНДРОВИЧ</t>
  </si>
  <si>
    <t>ИП КУЗНЕЦОВА ИРИНА АНДРЕЕВНА</t>
  </si>
  <si>
    <t>ИП ЛАЗЫКИНА АЛЛА СТАНИСЛАВОВНА</t>
  </si>
  <si>
    <t>ООО ШИНА СЕРВИС</t>
  </si>
  <si>
    <t>393255, ТАМБОВСКАЯ ОБЛАСТЬ, Г РАССКАЗОВО, УЛ СОВЕТСКАЯ, Д. 108А</t>
  </si>
  <si>
    <t>ИП ПАНОВ ВИКТОР АНАТОЛЬЕВИЧ</t>
  </si>
  <si>
    <t>ИП СКОЧИПЕЦ ДМИТРИЙ ИГОРЕВИЧ</t>
  </si>
  <si>
    <t>Тверская область</t>
  </si>
  <si>
    <t>ООО ПАРТНЕР-ЛОГИСТИКА</t>
  </si>
  <si>
    <t>170015, РОССИЯ, ТВЕРСКАЯ ОБЛАСТЬ, Г.О. ГОРОД ТВЕРЬ, Г ТВЕРЬ, УЛ ГЕОРГИЯ ДИМИТРОВА, Д. 55, ПОМЕЩ. 10</t>
  </si>
  <si>
    <t>ООО СТТ</t>
  </si>
  <si>
    <t>170017, РОССИЯ, ТВЕРСКАЯ ОБЛАСТЬ, Г.О. ГОРОД ТВЕРЬ, Г ТВЕРЬ, УЛ СВЕТОГОРОВСКАЯ, Д. 7, ОФИС 1</t>
  </si>
  <si>
    <t>ИП СВЕТИКОВА МАРИНА ВЛАДИМИРОВНА</t>
  </si>
  <si>
    <t>ООО БОШ-ЦЕНТР-ТВЕРЬ</t>
  </si>
  <si>
    <t>170100, ТВЕРСКАЯ ОБЛАСТЬ, Г ТВЕРЬ, ПЛ ГАГАРИНА, Д. 2</t>
  </si>
  <si>
    <t>170017, ТВЕРСКАЯ ОБЛАСТЬ, Г ТВЕРЬ, Д БОЛЬШИЕ ПЕРЕМЕРКИ, Д. 86А</t>
  </si>
  <si>
    <t>ИП КОЧНЕВА ЕЛЕНА НИКОЛАЕВНА</t>
  </si>
  <si>
    <t>ИП Деменкова Ирина Владимировна</t>
  </si>
  <si>
    <t>ИП ТЯТЮШКИН АЛЕКСАНДР СЕРГЕЕВИЧ</t>
  </si>
  <si>
    <t>ИП Орлова Елена Александровна</t>
  </si>
  <si>
    <t>171161, ТВЕРСКАЯ ОБЛАСТЬ, Г ВЫШНИЙ ВОЛОЧЕК, Ш МОСКОВСКОЕ, Д. 72</t>
  </si>
  <si>
    <t>ИП ВОРОНОВ ВЛАДИМИР ВИКТОРОВИЧ</t>
  </si>
  <si>
    <t>ИП НИКОЛАЕВ АРТЕМ ВАЛЕРЬЕВИЧ</t>
  </si>
  <si>
    <t>ИП ОРЛОВА АДЕЛЬ АНДРЕЕВНА</t>
  </si>
  <si>
    <t>ИП ТИТОВА ВИКТОРИЯ ВИТАЛЬЕВНА</t>
  </si>
  <si>
    <t>ИП ФОМИН АЛЕКСАНДР ПЕТРОВИЧ</t>
  </si>
  <si>
    <t>ООО РУМЕЛКО - АГРО</t>
  </si>
  <si>
    <t>171640, ТВЕРСКАЯ ОБЛАСТЬ, Г КАШИН, Д МАСЛЯТКА, Д. 30А</t>
  </si>
  <si>
    <t>ИП ДОЛГАЧЕВА ОЛЬГА СЛАВОВНА</t>
  </si>
  <si>
    <t>ИП КОМИССАРОВ АЛЕКСЕЙ АНАТОЛЬЕВИЧ</t>
  </si>
  <si>
    <t>ИП ОХЛОПКОВ АЛЕКСАНДР СЕРГЕЕВИЧ</t>
  </si>
  <si>
    <t>ИП Александров Сергей Сергеевич</t>
  </si>
  <si>
    <t>ИП СТОРОЖЕНКО ДМИТРИЙ ВЛАДИМИРОВИЧ</t>
  </si>
  <si>
    <t>ИП КОПЕНКИНА ОЛЬГА НИКОЛАЕВНА</t>
  </si>
  <si>
    <t>ООО ЭЛКОН</t>
  </si>
  <si>
    <t>171252, ТВЕРСКАЯ ОБЛАСТЬ, Р-Н КОНАКОВСКИЙ, Г КОНАКОВО, ПЛ ПРИВОКЗАЛЬНАЯ, Д. 1А</t>
  </si>
  <si>
    <t>ИП КУЗЬМИН АЛЕКСАНДР ВЛАДИМИРОВИЧ</t>
  </si>
  <si>
    <t>ИП КОНДРАТЬЕВ АЛЕКСАНДР МИХАЙЛОВИЧ</t>
  </si>
  <si>
    <t>ИП СЕРГЕЕВА ОЛЬГА ЮРЬЕВНА</t>
  </si>
  <si>
    <t>ИП АРСЕНЬЕВА НАТАЛЬЯ НИКОЛАЕВНА</t>
  </si>
  <si>
    <t>ИП КАБАНОВ МИХАИЛ АНАТОЛЬЕВИЧ</t>
  </si>
  <si>
    <t>ИП Беляев Владимир Алексеевич</t>
  </si>
  <si>
    <t>ООО РОМАШКА</t>
  </si>
  <si>
    <t>172310, ТВЕРСКАЯ ОБЛАСТЬ, Г ЗУБЦОВ, С ПОГОРЕЛОЕ ГОРОДИЩЕ, УЛ ПИОНЕРСКАЯ ПЛОЩАДЬ, Д. 8</t>
  </si>
  <si>
    <t>ИП АШУРОВ ФАРХОД ТАЛИБОВИЧ</t>
  </si>
  <si>
    <t>ИП МАЛАКИ ДМИТРИЙ ИВАНОВИЧ</t>
  </si>
  <si>
    <t>171506, РОССИЯ, ТВЕРСКАЯ ОБЛАСТЬ, М.О. КИМРСКИЙ, Г КИМРЫ, УЛ ВОЛОДАРСКОГО, Д. 35, ПОМЕЩ. 6</t>
  </si>
  <si>
    <t>ООО МАРМЕЛАДНАЯ СКАЗКА</t>
  </si>
  <si>
    <t>171210, ТВЕРСКАЯ ОБЛАСТЬ, М.О. ЛИХОСЛАВЛЬСКИЙ, Г ЛИХОСЛАВЛЬ, П ЛОЧКИНО, ЗД. 2</t>
  </si>
  <si>
    <t>ООО МАКСАТИХА КЭМП</t>
  </si>
  <si>
    <t>171917, РОССИЯ, ТВЕРСКАЯ ОБЛАСТЬ, М.О. МАКСАТИХИНСКИЙ, П ВОЛОДАРКА, УЛ СОЛНЕЧНАЯ, Д. 1, СТР. 1</t>
  </si>
  <si>
    <t>ИП КОТОВ СЕРГЕЙ ЕВГЕНЬЕВИЧ</t>
  </si>
  <si>
    <t>ИП СОСНИН ВИТАЛИЙ АНАТОЛЬЕВИЧ</t>
  </si>
  <si>
    <t>ИП Александров Сергей Николаевич</t>
  </si>
  <si>
    <t>ООО СТ МОТОРС</t>
  </si>
  <si>
    <t>170016, ТВЕРСКАЯ ОБЛАСТЬ, Г.О. ГОРОД ТВЕРЬ, Г ТВЕРЬ, УЛ ТРУДОВАЯ, Д. 105</t>
  </si>
  <si>
    <t>ИП Дроздов Игорь Юрьевич</t>
  </si>
  <si>
    <t>ООО ТКЦ</t>
  </si>
  <si>
    <t>170039, ТВЕРСКАЯ ОБЛАСТЬ, Г ТВЕРЬ, УЛ ПАШИ САВЕЛЬЕВОЙ, Д.41</t>
  </si>
  <si>
    <t>ООО ВАЖНАЯ ПЕРСОНА-АВТО</t>
  </si>
  <si>
    <t>170100, ТВЕРСКАЯ ОБЛАСТЬ, Г ТВЕРЬ, Ш МОСКОВСКОЕ, Д.1, К.1</t>
  </si>
  <si>
    <t>ИП САБЛИН ТИМОФЕЙ АЛЕКСАНДРОВИЧ</t>
  </si>
  <si>
    <t>ИП ШИЛЬЦЕВА АЛЛА ВЛАДИМИРОВНА</t>
  </si>
  <si>
    <t>ИП СИЛЕНОК ТАТЬЯНА ВИКТОРОВНА</t>
  </si>
  <si>
    <t>ИП ЛЕУРДА РУСЛАН АЛЕКСАНДРОВИЧ</t>
  </si>
  <si>
    <t>ИП МАНТРОВ ИЛЬЯ СЕРГЕЕВИЧ</t>
  </si>
  <si>
    <t>ИП КРАПИВИН ДМИТРИЙ ВЛАДИМИРОВИЧ</t>
  </si>
  <si>
    <t>ИП МОЖЖУХИНА ОЛЬГА ВАСИЛЬЕВНА</t>
  </si>
  <si>
    <t>ИП ХАТАЛЕВА МАРИНА ЮРЬЕВНА</t>
  </si>
  <si>
    <t>ИП ЛАНЦОВА ЕЛЕНА НИКОЛАЕВНА</t>
  </si>
  <si>
    <t>ИП НЕХАМКИН АНДРЕЙ ДМИТРИЕВИЧ</t>
  </si>
  <si>
    <t>АО ФИРМА ОРТ УНИВЕРСАЛ</t>
  </si>
  <si>
    <t>170040, ТВЕРСКАЯ ОБЛАСТЬ, Г ТВЕРЬ, ПР-КТ НИКОЛАЯ КОРЫТКОВА, Д. 15 Б</t>
  </si>
  <si>
    <t>ГБУЗ КДБ №2</t>
  </si>
  <si>
    <t>170023, ТВЕРСКАЯ ОБЛАСТЬ, Г ТВЕРЬ, УЛ РЖЕВСКАЯ, Д.4</t>
  </si>
  <si>
    <t>ИП СЕМЕНОВА МАРИЯ ВАЛЕРЬЕВНА</t>
  </si>
  <si>
    <t>ИП ДЫМОВ ДМИТРИЙ ИГОРЕВИЧ</t>
  </si>
  <si>
    <t>ООО ПЛЁС</t>
  </si>
  <si>
    <t>170007, ТВЕРСКАЯ ОБЛАСТЬ, Г ТВЕРЬ, УЛ ШИШКОВА, Д.84, К.Г</t>
  </si>
  <si>
    <t>ООО КОМПАНИЯ ВСЕВОЛОД</t>
  </si>
  <si>
    <t>170028, ТВЕРСКАЯ ОБЛАСТЬ, Г ТВЕРЬ, ПР-КТ ПОБЕДЫ, Д. 74</t>
  </si>
  <si>
    <t>171988, ТВЕРСКАЯ ОБЛАСТЬ, Р-Н БЕЖЕЦКИЙ, Г БЕЖЕЦК, УЛ НЕЧАЕВА, Д. 35/34</t>
  </si>
  <si>
    <t>ИП АЛИХАНЯН ИРИНА ВАЛЕРЬЕВНА</t>
  </si>
  <si>
    <t>ИП СМИРНОВ ИВАН ВЛАДИМИРОВИЧ</t>
  </si>
  <si>
    <t>171842, РОССИЯ, ТВЕРСКАЯ ОБЛАСТЬ, М.О. УДОМЕЛЬСКИЙ, Г УДОМЛЯ, УЛ ЮЖНАЯ, Д. 11</t>
  </si>
  <si>
    <t>ИП КЫЛАСОВ ИГОРЬ ЮРЬЕВИЧ</t>
  </si>
  <si>
    <t>ИП ГУСЕВ ДМИТРИЙ ИГОРЕВИЧ</t>
  </si>
  <si>
    <t>ИП Козлов Андрей Алексеевич</t>
  </si>
  <si>
    <t>ИП СТРЕЛКОВА ОЛЬГА ЮРЬЕВНА</t>
  </si>
  <si>
    <t>171640, ТВЕРСКАЯ ОБЛАСТЬ, Г КАШИН, УЛ КАРЛА МАРКСА, Д. 68</t>
  </si>
  <si>
    <t>ИП Михаленко Олег Николаевич</t>
  </si>
  <si>
    <t>ИП ТИТОВ ДМИТРИЙ АЛЕКСАНДРОВИЧ</t>
  </si>
  <si>
    <t>ООО АВВ-ОЙЛ</t>
  </si>
  <si>
    <t>171507, ТВЕРСКАЯ ОБЛАСТЬ, Г КИМРЫ, УЛ УРИЦКОГО, Д. 81/8</t>
  </si>
  <si>
    <t>ИП РУМЯНЦЕВ СЕРГЕЙ АЛЕКСАНДРОВИЧ</t>
  </si>
  <si>
    <t>ИП ВОЙТЕНОК АНДРЕЙ ВИКТОРОВИЧ</t>
  </si>
  <si>
    <t>ИП ЖИВОВ АНАТОЛИЙ ВЯЧЕСЛАВОВИЧ</t>
  </si>
  <si>
    <t>ИП БУШУЕВ АЛЕКСЕЙ ВИТАЛЬЕВИЧ</t>
  </si>
  <si>
    <t>ИП Балашов Игорь Викторович</t>
  </si>
  <si>
    <t>ИП Иванов Александр Владимирович</t>
  </si>
  <si>
    <t>ИП АРТАМОНОВ АЛЕКСАНДР ЮРЬЕВИЧ</t>
  </si>
  <si>
    <t>ИП ВЕЛИКИЙ ВЛАДИСЛАВ ЮРЬЕВИЧ</t>
  </si>
  <si>
    <t>ИП Максименкова Татьяна Алексеевна</t>
  </si>
  <si>
    <t>ИП ИВАНОВА НАТАЛЬЯ ГЕННАДЬЕВНА</t>
  </si>
  <si>
    <t>ИП ФЕДОРОВА ОЛЬГА ИГОРЕВНА</t>
  </si>
  <si>
    <t>ИП ШИЛОВА ЛЮБОВЬ ВИКТОРОВНА</t>
  </si>
  <si>
    <t>ООО АВТОМАНИЯ</t>
  </si>
  <si>
    <t>170042, ТВЕРСКАЯ ОБЛАСТЬ, Г ТВЕРЬ, УЛ СКВОРЦОВА-СТЕПАНОВА, Д.38, ПОМЕЩЕНИЕ 13</t>
  </si>
  <si>
    <t>ГБУ ТРОЯНОВСКИЙ СЕЛЬСКИЙ ПСИХОНЕВРОЛОГИЧЕСКИЙ ИНТЕРНАТ</t>
  </si>
  <si>
    <t>170555, РОССИЯ, ТВЕРСКАЯ ОБЛАСТЬ, М.О. КАЛИНИНСКИЙ, Д ТРОЯНОВО, Д. 1А</t>
  </si>
  <si>
    <t>ИП ЛЕБЕДЕВА СВЕТЛАНА МИХАЙЛОВНА</t>
  </si>
  <si>
    <t>ИП БЕЛАЯ ЮЛИЯ НИКОЛАЕВНА</t>
  </si>
  <si>
    <t>ИП БУШУЕВ НИКОЛАЙ НИКОЛАЕВИЧ</t>
  </si>
  <si>
    <t>ИП СУСЛОВ ДМИТРИЙ ВЛАДИМИРОВИЧ</t>
  </si>
  <si>
    <t>ИП КАЛИНИН ОЛЕГ АЛЕКСАНДРОВИЧ</t>
  </si>
  <si>
    <t>ИП ЛЫКОШЕВА ИРИНА ПАВЛОВНА</t>
  </si>
  <si>
    <t>ООО ФИРМА АГРОСНАБ</t>
  </si>
  <si>
    <t>171400, ТВЕРСКАЯ ОБЛАСТЬ, ПГТ РАМЕШКИ, УЛ СОВЕТСКАЯ, Д. 72А</t>
  </si>
  <si>
    <t>ИП ПЕГОВ ПЕТР АЛЕКСАНДРОВИЧ</t>
  </si>
  <si>
    <t>171400, ТВЕРСКАЯ ОБЛАСТЬ, ПГТ РАМЕШКИ, Д КУЗНЕЦОВО, ТЕР 59 КМ АВТОДОРОГИ ТВЕРЬ-БЕЖЕЦК</t>
  </si>
  <si>
    <t>ООО УРЕНЬНЕФТЕПРОДУКТ</t>
  </si>
  <si>
    <t>170100, ТВЕРСКАЯ ОБЛАСТЬ, Г ТВЕРЬ, УЛ МОСКОВСКАЯ, Д. 1, ПОМЕЩ. LXXIII</t>
  </si>
  <si>
    <t>ООО ТОТАЧИ ДГТ КОРПОРЭЙШН</t>
  </si>
  <si>
    <t>171260, ТВЕРСКАЯ ОБЛАСТЬ, Р-Н КОНАКОВСКИЙ, ПГТ РЕДКИНО, УЛ ПРОМЫШЛЕННАЯ, Д. 8</t>
  </si>
  <si>
    <t>ООО РЕГИОН-ТРЕЙД</t>
  </si>
  <si>
    <t>171296, ТВЕРСКАЯ ОБЛАСТЬ, Р-Н КОНАКОВСКИЙ, С ГОРОДНЯ, УЛ ЛЕНИНГРАДСКАЯ, Д. 195, ПАВ. 2</t>
  </si>
  <si>
    <t>ООО 99 ВЕРК</t>
  </si>
  <si>
    <t>171256, РОССИЯ, ТВЕРСКАЯ ОБЛАСТЬ, М.О. КОНАКОВСКИЙ, Г КОНАКОВО, УЛ ВОСТОЧНО-ПРОМЫШЛЕННЫЙ РАЙОН, Д. 7А</t>
  </si>
  <si>
    <t>ООО ДЖЕНЕРАЛ ПАУЭР</t>
  </si>
  <si>
    <t>171287, РОССИЯ, ТВЕРСКАЯ ОБЛАСТЬ, М.О. КОНАКОВСКИЙ, П 1-Е МАЯ, УЛ 3-Я ЛЕСНАЯ, Д. 34, ПОМЕЩ. 1</t>
  </si>
  <si>
    <t>ООО СОЮЗ-Т</t>
  </si>
  <si>
    <t>170546, ТВЕРСКАЯ ОБЛАСТЬ, Р-Н КАЛИНИНСКИЙ, С/ПОС БУРАШЕВСКОЕ, ПРОМЗОНА БОРОВЛЕВО-1, КОМПЛЕКС 1, СТРОЕНИЕ 1</t>
  </si>
  <si>
    <t>ООО РУМОС-КОМТРАНС</t>
  </si>
  <si>
    <t>170540, ТВЕРСКАЯ ОБЛАСТЬ, М.О. КАЛИНИНСКИЙ, ТЕР. АВТОДОРОГА МОСКВА - САНКТ-ПЕТЕРБУРГ, УЛ 165-Й КИЛОМЕТР, ЗД. 1, ЭТАЖ 2, ПОМЕЩ. 26</t>
  </si>
  <si>
    <t>ООО СПЕЦТЕХНИК</t>
  </si>
  <si>
    <t>170024, ТВЕРСКАЯ ОБЛАСТЬ, Г ТВЕРЬ, Ш СТАРИЦКОЕ, Д. 6, ПОМЕЩ. 13, ЭТАЖ 2</t>
  </si>
  <si>
    <t>ООО ОФИСНЫЙ КВАРТАЛ</t>
  </si>
  <si>
    <t>170033, ТВЕРСКАЯ ОБЛАСТЬ, Г ТВЕРЬ, ПЕР УНИВЕРСИТЕТСКИЙ, Д. 2А, КОМ. 22</t>
  </si>
  <si>
    <t>ООО А-РЕГИОН</t>
  </si>
  <si>
    <t>170100, ТВЕРСКАЯ ОБЛАСТЬ, Г ТВЕРЬ, УЛ КРАСНЫЕ ГОРКИ, Д. 12, ПОМЕЩ. 27 ЭТАЖ 2</t>
  </si>
  <si>
    <t>ООО ТД ЦСК</t>
  </si>
  <si>
    <t>170040, ТВЕРСКАЯ ОБЛАСТЬ, Г ТВЕРЬ, УЛ БОРИХИНО ПОЛЕ, Д. 3, ОФИС 9</t>
  </si>
  <si>
    <t>ООО ФОРВАРД-Т</t>
  </si>
  <si>
    <t>170025, ТВЕРСКАЯ ОБЛАСТЬ, Г ТВЕРЬ, УЛ БОЧКИНА, Д. 14</t>
  </si>
  <si>
    <t>ООО СИТИАВТО</t>
  </si>
  <si>
    <t>170001, ТВЕРСКАЯ ОБЛАСТЬ, Г.О. ГОРОД ТВЕРЬ, Г ТВЕРЬ, УЛ СПАРТАКА, Д. 40, ПОМЕЩ. IX</t>
  </si>
  <si>
    <t>ООО КОМПАНИЯ НАВИГАТОР</t>
  </si>
  <si>
    <t>170040, ТВЕРСКАЯ ОБЛАСТЬ, Г.О. ГОРОД ТВЕРЬ, Г ТВЕРЬ, Ш СТАРИЦКОЕ, Д. 15, ОФИС 212</t>
  </si>
  <si>
    <t>ООО  ОПТИМ-ТВЕРЬ</t>
  </si>
  <si>
    <t>170027, ТВЕРСКАЯ ОБЛАСТЬ, Г ТВЕРЬ, Ш ВОЛОКОЛАМСКОЕ, Д. 51А, КАБИНЕТ 3</t>
  </si>
  <si>
    <t>ООО  ЕВРО-ИНВЕСТ</t>
  </si>
  <si>
    <t>170041, ТВЕРСКАЯ ОБЛАСТЬ, Г ТВЕРЬ, УЛ ЗИНАИДЫ КОНОПЛЯННИКОВОЙ, Д. 89, К. 1, ПОМЕЩ. XX</t>
  </si>
  <si>
    <t>ООО ТД РУБАНОК</t>
  </si>
  <si>
    <t>170042, ТВЕРСКАЯ ОБЛАСТЬ, Г ТВЕРЬ, НАБ АФАНАСИЯ НИКИТИНА, Д. 142, ПОМЕЩ. II</t>
  </si>
  <si>
    <t>ООО ТСГ АВТОПЛЮС</t>
  </si>
  <si>
    <t>170026, ТВЕРСКАЯ ОБЛАСТЬ, Г.О. ГОРОД ТВЕРЬ, Г ТВЕРЬ, УЛ МИХАИЛА РУМЯНЦЕВА, Д. 5, ПОМЕЩ. 6 ПЕРВОГО ЭТАЖА</t>
  </si>
  <si>
    <t>ООО ГРАДИЕНТ АВТО</t>
  </si>
  <si>
    <t>ТВЕРСКАЯ ОБЛАСТЬ, М.О. КАЛИНИНСКИЙ, ТЕР. ТОРГОВАЯ, ЗД. 29</t>
  </si>
  <si>
    <t>ООО ТК ТВЕРЬГАЗСЕРВИС</t>
  </si>
  <si>
    <t>170021, РОССИЯ, ТВЕРСКАЯ ОБЛАСТЬ, Г.О. ГОРОД ТВЕРЬ, Г ТВЕРЬ, УЛ ГЕОРГИЯ ДИМИТРОВА, Д. 48, ПОМЕЩ. 1</t>
  </si>
  <si>
    <t>ИП Андрианов Владимир Петрович</t>
  </si>
  <si>
    <t>ИП Исаков Эльчин Исак-Оглы</t>
  </si>
  <si>
    <t>ИП ФЕДОРОВ НИКИТА РОМАНОВИЧ</t>
  </si>
  <si>
    <t>ООО  ПРОМАВТОКОМПЛЕКТ</t>
  </si>
  <si>
    <t>170100, ТВЕРСКАЯ ОБЛАСТЬ, Г ТВЕРЬ, УЛ ИНДУСТРИАЛЬНАЯ, Д.3</t>
  </si>
  <si>
    <t>ООО ТТР-ТВЕРЬ</t>
  </si>
  <si>
    <t>170017, ТВЕРСКАЯ ОБЛАСТЬ, Г ТВЕРЬ, Ш МОСКОВСКОЕ, Д. 22</t>
  </si>
  <si>
    <t>ИП ВАНИН АЛЕКСАНДР АЛЕКСАНДРОВИЧ</t>
  </si>
  <si>
    <t>ООО ГРАНД-А</t>
  </si>
  <si>
    <t>170033, ТВЕРСКАЯ ОБЛАСТЬ, Г ТВЕРЬ, УЛ КОМИНТЕРНА, Д. 77Б</t>
  </si>
  <si>
    <t>ИП ДУБИНКИН ЕВГЕНИЙ АНАТОЛЬЕВИЧ</t>
  </si>
  <si>
    <t>170040, РОССИЯ, ТВЕРСКАЯ ОБЛАСТЬ, Г.О. ГОРОД ТВЕРЬ, Г ТВЕРЬ, ПР-КТ НИКОЛАЯ КОРЫТКОВА, Д. 15Е, СТР. 1, КАБИНЕТ 113</t>
  </si>
  <si>
    <t>ООО РУМОС-ВОСТОК</t>
  </si>
  <si>
    <t>170540, ТВЕРСКАЯ ОБЛАСТЬ, М.О. КАЛИНИНСКИЙ, ТЕР. АВТОДОРОГА МОСКВА - САНКТ-ПЕТЕРБУРГ, УЛ 165-Й КИЛОМЕТР, ЗД. 3, ЭТАЖ 2, ПОМЕЩ. 22</t>
  </si>
  <si>
    <t>ИП КИШМАН ВИКТОР СЕРГЕЕВИЧ</t>
  </si>
  <si>
    <t>ООО МБ-ТВЕРЬ</t>
  </si>
  <si>
    <t>170017, ТВЕРСКАЯ ОБЛАСТЬ, Г ТВЕРЬ, УЛ МАЛЫЕ ПЕРЕМЕРКИ, Д.42</t>
  </si>
  <si>
    <t>ООО КООРДИНАТОР</t>
  </si>
  <si>
    <t>170024, ТВЕРСКАЯ ОБЛАСТЬ, Г ТВЕРЬ, Ш СТАРИЦКОЕ, Д. 6, СКЛ. 5</t>
  </si>
  <si>
    <t>170002, ТВЕРСКАЯ ОБЛАСТЬ, Г ТВЕРЬ, УЛ КОМИНТЕРНА, Д. 8Б, ПОМЕЩ. 1, 2, ЭТАЖ 1</t>
  </si>
  <si>
    <t>ООО СК ВОСТОК</t>
  </si>
  <si>
    <t>170008, ТВЕРСКАЯ ОБЛАСТЬ, Г ТВЕРЬ, УЛ 15 ЛЕТ ОКТЯБРЯ, Д. 10, ПОМЕЩ. IV</t>
  </si>
  <si>
    <t>ООО АВТОКОМПЛЕКТОПТ</t>
  </si>
  <si>
    <t>170100, ТВЕРСКАЯ ОБЛАСТЬ, Г ТВЕРЬ, УЛ ИНДУСТРИАЛЬНАЯ, Д. 3, ПОМЕЩ. 3</t>
  </si>
  <si>
    <t>170024, ТВЕРСКАЯ ОБЛАСТЬ, Г ТВЕРЬ, Ш СТАРИЦКОЕ, Д. 5А, ОФИС 3</t>
  </si>
  <si>
    <t>ООО РЕГИОН Т</t>
  </si>
  <si>
    <t>170025, ТВЕРСКАЯ ОБЛАСТЬ, Г ТВЕРЬ, УЛ БОЧКИНА, Д. 14, КАБИНЕТ 1</t>
  </si>
  <si>
    <t>ООО АВТОФИЛЬТР</t>
  </si>
  <si>
    <t>170008, РОССИЯ, ТВЕРСКАЯ ОБЛАСТЬ, Г.О. ГОРОД ТВЕРЬ, Г ТВЕРЬ, УЛ ТАМАРЫ ИЛЬИНОЙ, Д. 1, ПОМЕЩ. 27</t>
  </si>
  <si>
    <t>170040, РОССИЯ, ТВЕРСКАЯ ОБЛАСТЬ, Г.О. ГОРОД ТВЕРЬ, Г ТВЕРЬ, П. ДРСУ-2, Д. 15, ПОМЕЩ. 11</t>
  </si>
  <si>
    <t>ООО ВОЛЖСКИЙ ЛЕС</t>
  </si>
  <si>
    <t>170034, РОССИЯ, ТВЕРСКАЯ ОБЛАСТЬ, Г.О. ГОРОД ТВЕРЬ, Г ТВЕРЬ, ПР-КТ ЧАЙКОВСКОГО, Д. 19А, К. 1, ОФИС 321, РАБОЧЕЕ МЕСТО 3</t>
  </si>
  <si>
    <t>170039, РОССИЯ, ТВЕРСКАЯ ОБЛАСТЬ, Г.О. ГОРОД ТВЕРЬ, Г ТВЕРЬ, УЛ ФРУНЗЕ, Д. 1Б, ПОМЕЩ. 28</t>
  </si>
  <si>
    <t>ООО ИМИДЖ ПАРТС</t>
  </si>
  <si>
    <t>170006, РОССИЯ, ТВЕРСКАЯ ОБЛАСТЬ, Г.О. ГОРОД ТВЕРЬ, Г ТВЕРЬ, ПЕР БЕЛЯКОВСКИЙ, Д. 46, ОФИС 11</t>
  </si>
  <si>
    <t>ИП ЖИРНОВА РОЗА АЛМАЗОВНА</t>
  </si>
  <si>
    <t>ООО РИФ</t>
  </si>
  <si>
    <t>170043, ТВЕРСКАЯ ОБЛАСТЬ, Г ТВЕРЬ, УЛ МОЖАЙСКОГО, Д.54</t>
  </si>
  <si>
    <t>170040, ТВЕРСКАЯ ОБЛАСТЬ, Г.О. ГОРОД ТВЕРЬ, Г ТВЕРЬ, ПР-КТ НИКОЛАЯ КОРЫТКОВА, Д. 15Е, СТР. 1, КАБИНЕТ 114</t>
  </si>
  <si>
    <t>ООО ТВЕРЬ-ТРАК</t>
  </si>
  <si>
    <t>170040, ТВЕРСКАЯ ОБЛАСТЬ, Г ТВЕРЬ, Ш СТАРИЦКОЕ, Д.27</t>
  </si>
  <si>
    <t>ИП МАЛЫГИН АЛЕКСАНДР СЕРГЕЕВИЧ</t>
  </si>
  <si>
    <t>ИП СВЕТЛОВА НАТАЛЬЯ АЛЕКСАНДРОВНА</t>
  </si>
  <si>
    <t>ИП АБРОСИМОВ БОГДАН ВАЛЕРЬЕВИЧ</t>
  </si>
  <si>
    <t>ИП РОГОЗИН ВАДИМ ВЛАДИМИРОВИЧ</t>
  </si>
  <si>
    <t>ИП БУДЯКИН АЛЕКСАНДР ПЕТРОВИЧ</t>
  </si>
  <si>
    <t>ООО МАКОН</t>
  </si>
  <si>
    <t>АО РН-ТВЕРЬ</t>
  </si>
  <si>
    <t>170028, ТВЕРСКАЯ ОБЛАСТЬ, Г ТВЕРЬ, НАБ РЕКИ ЛАЗУРИ, Д.13, К.А</t>
  </si>
  <si>
    <t>ИП БЕЛОВА ЛИЛИЯ НИКОЛАЕВНА</t>
  </si>
  <si>
    <t>ООО МТК</t>
  </si>
  <si>
    <t>170007, ТВЕРСКАЯ ОБЛАСТЬ, Г.О. ГОРОД ТВЕРЬ, Г ТВЕРЬ, УЛ ШИШКОВА, Д. 88А, ОФИС 1</t>
  </si>
  <si>
    <t>ООО ЭКОНОМ</t>
  </si>
  <si>
    <t>ИП ВОРОНЦОВА НАТАЛЬЯ НИКОЛАЕВНА</t>
  </si>
  <si>
    <t>ИП ТИТОВ ВИТАЛИЙ ВИКТОРОВИЧ</t>
  </si>
  <si>
    <t>ООО КРОНШТАДТ</t>
  </si>
  <si>
    <t>171161, ТВЕРСКАЯ ОБЛАСТЬ, М.О. ВЫШНЕВОЛОЦКИЙ, Г ВЫШНИЙ ВОЛОЧЕК, Ш МОСКОВСКОЕ, Д. 70А</t>
  </si>
  <si>
    <t>ИП ГАГАРИН МИХАИЛ ЮРЬЕВИЧ</t>
  </si>
  <si>
    <t>ИП ЗАЙМОГОВ МАКСИМ ОЛЕГОВИЧ</t>
  </si>
  <si>
    <t>ИП АКАФЬЕВ ИГОРЬ АЛЕКСАНДРОВИЧ</t>
  </si>
  <si>
    <t>ИП МОСТОВОЙ ВЛАДИМИР ВЯЧЕСЛАВОВИЧ</t>
  </si>
  <si>
    <t>ИП КОЖУНОВА ЕЛЕНА ГЕОРГИЕВНА</t>
  </si>
  <si>
    <t>ИП ПЕТРОВ ДЕНИС ЕВГЕНЬЕВИЧ</t>
  </si>
  <si>
    <t>ИП Сергеев Сергей Валентинович</t>
  </si>
  <si>
    <t>ИП МИРОНОВ СЕРГЕЙ ИВАНОВИЧ</t>
  </si>
  <si>
    <t>ИП Дмитриева Ирина Викторовна</t>
  </si>
  <si>
    <t>ООО СТРОЙМИР</t>
  </si>
  <si>
    <t>172003, ТВЕРСКАЯ ОБЛАСТЬ, Г ТОРЖОК, Ш ЛЕНИНГРАДСКОЕ, Д.8</t>
  </si>
  <si>
    <t>ООО ТНП ПЛЮС</t>
  </si>
  <si>
    <t>172011, ТВЕРСКАЯ ОБЛАСТЬ, Г ТОРЖОК, УЛ СТАРИЦКАЯ, Д. 75</t>
  </si>
  <si>
    <t>ИП ГРУШКО АРТЁМ ВЛАДИСЛАВОВИЧ</t>
  </si>
  <si>
    <t>ИП ЮРЬЕВ АЛЕКСЕЙ АЛЕКСАНДРОВИЧ</t>
  </si>
  <si>
    <t>ИП ДМИТРИЕВА ТАТЬЯНА ВЯЧЕСЛАВНА</t>
  </si>
  <si>
    <t>ИП САДИКУЛОВ ВИКТОР КОНСТАНТИНОВИЧ</t>
  </si>
  <si>
    <t>ИП КОВАЛЬ АРТЕМ АЛЕКСАНДРОВИЧ</t>
  </si>
  <si>
    <t>ИП ДЕМЕНТЬЕВ АЛЕКСАНДР ВЯЧЕСЛАВОВИЧ</t>
  </si>
  <si>
    <t>ИП ОРЛОВ ВЛАДИМИР АНАТОЛЬЕВИЧ</t>
  </si>
  <si>
    <t>ИП САВИНОВ ВАЛЕРИЙ ГЕННАДЬЕВИЧ</t>
  </si>
  <si>
    <t>ИП ЧЕРНЫЙ ДМИТРИЙ АЛЕКСАНДРОВИЧ</t>
  </si>
  <si>
    <t>ИП ЯКОВЛЕВА ДАРЬЯ АЛЕКСАНДРОВНА</t>
  </si>
  <si>
    <t>ООО ГРАНТ</t>
  </si>
  <si>
    <t>172840, ТВЕРСКАЯ ОБЛАСТЬ, Р-Н ТОРОПЕЦКИЙ, Г ТОРОПЕЦ, УЛ РЯБИНОВАЯ, Д. 19, -</t>
  </si>
  <si>
    <t>ООО ГРАНД АВТО</t>
  </si>
  <si>
    <t>ТВЕРСКАЯ ОБЛАСТЬ, М.О. КАЛИНИНСКИЙ, ПРОМЗОНА БОРОВЛЕВО-1, СТР. 4</t>
  </si>
  <si>
    <t>ИП ШИШЕНКОВ ДМИТРИЙ ГЕННАДЬЕВИЧ</t>
  </si>
  <si>
    <t>ООО ИКСИМ</t>
  </si>
  <si>
    <t>171265, РОССИЯ, ТВЕРСКАЯ ОБЛАСТЬ, М.О. КОНАКОВСКИЙ, Д СТАРОЕ МЕЛКОВО, УЛ ЦЕНТРАЛЬНАЯ, Д. 6, ПОМЕЩ. 1</t>
  </si>
  <si>
    <t>ООО  КОМАНДА ЛИДЕРОВ</t>
  </si>
  <si>
    <t>170033, ТВЕРСКАЯ ОБЛАСТЬ, Г ТВЕРЬ, ПЕР УНИВЕРСИТЕТСКИЙ, Д. 2А</t>
  </si>
  <si>
    <t>170004, ТВЕРСКАЯ ОБЛАСТЬ, Г ТВЕРЬ, УЛ БОРИСА ПОЛЕВОГО, Д. 15А</t>
  </si>
  <si>
    <t>ООО  ЕВРОСЕРВИС</t>
  </si>
  <si>
    <t>170043, РОССИЯ, ТВЕРСКАЯ ОБЛАСТЬ, Г.О. ГОРОД ТВЕРЬ, Г ТВЕРЬ, УЛ ОСНАБРЮКСКАЯ, Д. 49, ОФИС 1</t>
  </si>
  <si>
    <t>ИП ЛОПАТКИН АЛЕКСЕЙ АЛЕКСАНДРОВИЧ</t>
  </si>
  <si>
    <t>ИП КУЗНЕЦОВА НАТАЛЬЯ ПАВЛОВНА</t>
  </si>
  <si>
    <t>ИП ЛЬВОВ АЛЕКСАНДР ВЛАДИМИРОВИЧ</t>
  </si>
  <si>
    <t>ООО ТТК КООРДИНАТОР</t>
  </si>
  <si>
    <t>170043, ТВЕРСКАЯ ОБЛАСТЬ, Г ТВЕРЬ, Ш ВОЛОКОЛАМСКОЕ, Д. 49</t>
  </si>
  <si>
    <t>ООО ХКМ ЕВРАЗИЯ</t>
  </si>
  <si>
    <t>170518, ТВЕРСКАЯ ОБЛАСТЬ, М.О. КАЛИНИНСКИЙ, ТЕР. ЛЕБЕДЕВО, УЛ МАРШАЛА ВАСИЛЕВСКОГО, Д. 1</t>
  </si>
  <si>
    <t>ООО НОРД-АВТО ЛАДА</t>
  </si>
  <si>
    <t>170002, ТВЕРСКАЯ ОБЛАСТЬ, Г ТВЕРЬ, УЛ КОРОБКОВА, Д. 5</t>
  </si>
  <si>
    <t>ООО ТК СЕМЬ</t>
  </si>
  <si>
    <t>170001, ТВЕРСКАЯ ОБЛАСТЬ, Г ТВЕРЬ, ПР-КТ КАЛИНИНА, Д. 17, ПОМЕЩ. 13</t>
  </si>
  <si>
    <t>ООО АВТОТРАНСМАРКЕТ</t>
  </si>
  <si>
    <t>172003, РОССИЯ, ТВЕРСКАЯ ОБЛАСТЬ, Г.О. ГОРОД ТОРЖОК, Г ТОРЖОК, Ш ЛЕНИНГРАДСКОЕ, Д. 27А</t>
  </si>
  <si>
    <t>ОООАГ</t>
  </si>
  <si>
    <t>170040, РОССИЯ, ТВЕРСКАЯ ОБЛАСТЬ, Г.О. ГОРОД ТВЕРЬ, Г ТВЕРЬ, УЛ БОРИХИНО ПОЛЕ, Д. 9, ОФИС 1</t>
  </si>
  <si>
    <t>ООО АНАКС</t>
  </si>
  <si>
    <t>170002, РОССИЯ, ТВЕРСКАЯ ОБЛАСТЬ, Г.О. ГОРОД ТВЕРЬ, Г ТВЕРЬ, ПЕР АЛЕКСАНДРОВСКИЙ, Д. 3, ПОМЕЩ. 3</t>
  </si>
  <si>
    <t>ООО ТЕХНОАЛЬЯНС</t>
  </si>
  <si>
    <t>170025, РОССИЯ, ТВЕРСКАЯ ОБЛАСТЬ, Г.О. ГОРОД ТВЕРЬ, Г ТВЕРЬ, УЛ БОЧКИНА, Д. 14, ОФИС 3</t>
  </si>
  <si>
    <t>ООО ЭЛЕКТРО ТО</t>
  </si>
  <si>
    <t>170006, РОССИЯ, ТВЕРСКАЯ ОБЛАСТЬ, Г.О. ГОРОД ТВЕРЬ, Г ТВЕРЬ, ПЕР ТРУДОЛЮБИЯ, Д. 36, ОФИС 39</t>
  </si>
  <si>
    <t>ООО ЮКАН</t>
  </si>
  <si>
    <t>170028, РОССИЯ, ТВЕРСКАЯ ОБЛАСТЬ, Г.О. ГОРОД ТВЕРЬ, Г ТВЕРЬ, УЛ КОМИНТЕРНА, Д. 81, ЭТАЖ 1, ПОМЕЩ. 10</t>
  </si>
  <si>
    <t>ООО ТОРГСЕРВИС 69</t>
  </si>
  <si>
    <t>171158, ТВЕРСКАЯ ОБЛАСТЬ, Г ВЫШНИЙ ВОЛОЧЕК, ПР-КТ КАЗАНСКИЙ, Д. 155, КАБИНЕТ 7</t>
  </si>
  <si>
    <t>ИП СОЛОВЬЕВ СЕМЕН ВИКТОРОВИЧ</t>
  </si>
  <si>
    <t>ООО ДОРФФ</t>
  </si>
  <si>
    <t>170039, РОССИЯ, ТВЕРСКАЯ ОБЛАСТЬ, Г.О. ГОРОД ТВЕРЬ, Г ТВЕРЬ, ПРОЕЗД СТЕКЛОПЛАСТИК, Д. 10, ОФИС 16</t>
  </si>
  <si>
    <t>ООО  ТКС</t>
  </si>
  <si>
    <t>170039, РОССИЯ, ТВЕРСКАЯ ОБЛАСТЬ, Г.О. ГОРОД ТВЕРЬ, Г ТВЕРЬ, УЛ ПАШИ САВЕЛЬЕВОЙ, Д. 41, ОФИС 5</t>
  </si>
  <si>
    <t>170542, ТВЕРСКАЯ ОБЛАСТЬ, М.О. КАЛИНИНСКИЙ, ТЕР. ТОРГОВАЯ, ЗД. 20</t>
  </si>
  <si>
    <t>ИП ГАРАХАНОВ ДЖАВАНШИР САМЕД ОГЛЫ</t>
  </si>
  <si>
    <t>ИП ТЕПЛОВ АЛЕКСЕЙ ПЕТРОВИЧ</t>
  </si>
  <si>
    <t>ИП ЗИМИН ЕВГЕНИЙ АЛЕКСАНДРОВИЧ</t>
  </si>
  <si>
    <t>ИП СУЛТАНОВ ИВАН ВАСИЛЬЕВИЧ</t>
  </si>
  <si>
    <t>ИП ШИЛИМЕНТЬЕВ АЛЕКСЕЙ АЛЕКСЕЕВИЧ</t>
  </si>
  <si>
    <t>ИП СОКОЛОВА ЮЛИЯ ВЛАДИМИРОВНА</t>
  </si>
  <si>
    <t>ИП ОХОТНИКОВ АЛЕКСАНДР ЮРЬЕВИЧ</t>
  </si>
  <si>
    <t>ИП КОРЯКА НИКИТА ИГОРЕВИЧ</t>
  </si>
  <si>
    <t>АО ТК АЛЬФА</t>
  </si>
  <si>
    <t>170008, ТВЕРСКАЯ ОБЛАСТЬ, Г ТВЕРЬ, УЛ ОЗЕРНАЯ, Д. 14, К. 1</t>
  </si>
  <si>
    <t>ООО ДЛЯ ДОМА И ДАЧИ</t>
  </si>
  <si>
    <t>170003, ТВЕРСКАЯ ОБЛАСТЬ, Г.О. ГОРОД ТВЕРЬ, Г ТВЕРЬ, УЛ ЛУНАЧАРСКОГО, Д. 4, ПОМЕЩ. 1, ЭТАЖ 1</t>
  </si>
  <si>
    <t>ООО ТЕК-КОМ ПРОИЗВОДСТВО</t>
  </si>
  <si>
    <t>170540, ТВЕРСКАЯ ОБЛАСТЬ, М.О. КАЛИНИНСКИЙ, ПРОМЗОНА БОРОВЛЕВО-2, СТР. 1В, ПОМ. 2.11</t>
  </si>
  <si>
    <t>ИП ЛАЩЕНКОВ ДМИТРИЙ ИВАНОВИЧ</t>
  </si>
  <si>
    <t>ИП КОПАЧ ГЕЛЬНУР КАБИРОВНА</t>
  </si>
  <si>
    <t>Томская область</t>
  </si>
  <si>
    <t>ИП ЩЕГОРЦОВ РОМАН ЭДУАРДОВИЧ</t>
  </si>
  <si>
    <t>ООО АДАМАНТ</t>
  </si>
  <si>
    <t>634024, РОССИЯ, ТОМСКАЯ ОБЛАСТЬ, Г.О. ГОРОД ТОМСК, Г ТОМСК, УЛ УСТЬ-КЕРЕПЕТЬ, Д. 123</t>
  </si>
  <si>
    <t>634049, ТОМСКАЯ ОБЛАСТЬ, Г.О. ГОРОД ТОМСК, Г ТОМСК, УЛ РАБОЧАЯ, Д. 2, ОФИС 208</t>
  </si>
  <si>
    <t>ИП ПОЛИКАРПОВ ВЯЧЕСЛАВ АЛЕКСАНДРОВИЧ</t>
  </si>
  <si>
    <t>ИП ЩЕДРИНА ЕЛЕНА АЛЕКСАНДРОВНА</t>
  </si>
  <si>
    <t>ИП БУЛЫШ НАТАЛЬЯ ВАЛЕРЬЕВНА</t>
  </si>
  <si>
    <t>ИП КОЛМАКОВ ОЛЕГ ВЛАДИМИРОВИЧ</t>
  </si>
  <si>
    <t>ИП Лобач Александр Сергеевич</t>
  </si>
  <si>
    <t>ИП МАРЧЕНКО ГЕННАДИЙ ИОСИФОВИЧ</t>
  </si>
  <si>
    <t>ИП КАЛОШИН АНТОН АЛЕКСЕЕВИЧ</t>
  </si>
  <si>
    <t>ИП КОПАЧ АРТЕМ НИКОЛАЕВИЧ</t>
  </si>
  <si>
    <t>ИП ЖУКОВ АЛЕКСЕЙ АЛЕКСАНДРОВИЧ</t>
  </si>
  <si>
    <t>АО ТОМСКНЕФТЕПРОДУКТ ВНК</t>
  </si>
  <si>
    <t>634003, ТОМСКАЯ ОБЛАСТЬ, Г ТОМСК, УЛ ПУШКИНА, Д.30</t>
  </si>
  <si>
    <t>ИП АНДРЕЕВА ГАЛИНА АНАТОЛЬЕВНА</t>
  </si>
  <si>
    <t>ООО ТОМАВТОТРЕЙД</t>
  </si>
  <si>
    <t>634061, ТОМСКАЯ ОБЛАСТЬ, Г ТОМСК, УЛ ТВЕРСКАЯ, Д.18</t>
  </si>
  <si>
    <t>ООО АРСЕНАЛ МОТОРС</t>
  </si>
  <si>
    <t>634040, ТОМСКАЯ ОБЛАСТЬ, Г ТОМСК, УЛ ВЛАДИМИРА ВЫСОЦКОГО, Д. 25, СТР. 3</t>
  </si>
  <si>
    <t>ООО СЕУЛ-АВТО</t>
  </si>
  <si>
    <t>634024, ТОМСКАЯ ОБЛАСТЬ, Г ТОМСК, УЛ ПРОФСОЮЗНАЯ, Д. 2А, СТР. 21</t>
  </si>
  <si>
    <t>ООО ФТОРПОЛИМЕРНЫЕ ТЕХНОЛОГИИ</t>
  </si>
  <si>
    <t>634041, РОССИЯ, ТОМСКАЯ ОБЛАСТЬ, Г.О. ГОРОД ТОМСК, Г ТОМСК, УЛ ВЕРШИНИНА, Д. 24В, ПОМЕЩ. 1010-1020</t>
  </si>
  <si>
    <t>ИП ПАНЬКО КСЕНИЯ ВЛАДИМИРОВНА</t>
  </si>
  <si>
    <t>ООО СМГ</t>
  </si>
  <si>
    <t>634063, ТОМСКАЯ ОБЛАСТЬ, Г ТОМСК, ПЕР СЕРГЕЯ ЛАЗО, Д.6</t>
  </si>
  <si>
    <t>ООО АВТОШОПСЕРВИС</t>
  </si>
  <si>
    <t>634009, ТОМСКАЯ ОБЛАСТЬ, Г ТОМСК, УЛ БОЛЬШАЯ ПОДГОРНАЯ, Д. 87, ОФИС 4</t>
  </si>
  <si>
    <t>ООО АВТОКОМПЛЕКС ТОМСК</t>
  </si>
  <si>
    <t>634033, ТОМСКАЯ ОБЛАСТЬ, Г ТОМСК, УЛ ЛОМОНОСОВА, Д.42</t>
  </si>
  <si>
    <t>634021, ТОМСКАЯ ОБЛАСТЬ, Г ТОМСК, УЛ ШЕВЧЕНКО, Д. 36</t>
  </si>
  <si>
    <t>ООО ТОМЬ-ЛАДА</t>
  </si>
  <si>
    <t>634040, ТОМСКАЯ ОБЛАСТЬ, Г ТОМСК, УЛ ИВАНОВСКОГО, Д. 6А</t>
  </si>
  <si>
    <t>ООО ВЕЗДЕХОД МАРКЕТ</t>
  </si>
  <si>
    <t>634063, ТОМСКАЯ ОБЛАСТЬ, Г ТОМСК, УЛ СЕРГЕЯ ЛАЗО, Д.3/5, 2</t>
  </si>
  <si>
    <t>ИП ШМАЛЬ ВЯЧЕСЛАВ ВИКТОРОВИЧ</t>
  </si>
  <si>
    <t>ООО МАСЛОТЕХСЕРВИС</t>
  </si>
  <si>
    <t>634015, ТОМСКАЯ ОБЛАСТЬ, Г ТОМСК, УЛ АЛЕКСАНДРА УГРЮМОВА, Д. 7/11</t>
  </si>
  <si>
    <t>ООО СМАТ</t>
  </si>
  <si>
    <t>634059, ТОМСКАЯ ОБЛАСТЬ, Г ТОМСК, УЛ ФЕРЕНЦА МЮННИХА, Д. 3, КВ. 49</t>
  </si>
  <si>
    <t>ИП ЛИМАНОВ СЕРГЕЙ АНДРЕЕВИЧ</t>
  </si>
  <si>
    <t>ООО РЕАЛТОРГ</t>
  </si>
  <si>
    <t>634026, РОССИЯ, ТОМСКАЯ ОБЛАСТЬ, Г.О. ГОРОД ТОМСК, Г ТОМСК, УЛ БОЛЬШАЯ ПОДГОРНАЯ, Д. 236/1, СТР. 1</t>
  </si>
  <si>
    <t>ООО ТАЙНАТА-ГРУПП</t>
  </si>
  <si>
    <t>634057, РОССИЯ, ТОМСКАЯ ОБЛАСТЬ, Г.О. ГОРОД ТОМСК, Г ТОМСК, УЛ 79-Й ГВАРДЕЙСКОЙ ДИВИЗИИ, Д. 4/5, ОФИС 3</t>
  </si>
  <si>
    <t>ИП МАЛОРОССИЯНОВА НАТАЛЬЯ ВЛАДИМИРОВНА</t>
  </si>
  <si>
    <t>ИП БЕБЕНИНА ОЛЬГА АЛЕКСАНДРОВНА</t>
  </si>
  <si>
    <t>ИП БЕЛЯГИНА ЕВГЕНИЯ ВЛАДИМИРОВНА</t>
  </si>
  <si>
    <t>ИП НЕСТЕРОВ АЛЕКСАНДР БОРИСОВИЧ</t>
  </si>
  <si>
    <t>ИП ДАНИЛОВА ОЛЬГА ИВАНОВНА</t>
  </si>
  <si>
    <t>ООО АВТОДИСКОНТ</t>
  </si>
  <si>
    <t>634029, ТОМСКАЯ ОБЛАСТЬ, Г ТОМСК, УЛ АЛТАЙСКАЯ, Д. 27, ПОМЕЩ. 1006</t>
  </si>
  <si>
    <t>ИП ИЛЬИН АЛЕКСЕЙ ВИКТОРОВИЧ</t>
  </si>
  <si>
    <t>ИП САВИЦКАЯ НАДЕЖДА ВИТАЛЬЕВНА</t>
  </si>
  <si>
    <t>ИП АРТЮХОВСКИЙ СЕРГЕЙ ВЛАДИМИРОВИЧ</t>
  </si>
  <si>
    <t>ИП Большанина Елена Евгеньевна</t>
  </si>
  <si>
    <t>ИП БРУСНИЦЫН ДЕНИС НИКОЛАЕВИЧ</t>
  </si>
  <si>
    <t>ИП ТИТОВА ИРИНА АЛЕКСЕЕВНА</t>
  </si>
  <si>
    <t>ООО ТК ИНСТРУМЕНТ МАРКЕТ</t>
  </si>
  <si>
    <t>634021, ТОМСКАЯ ОБЛАСТЬ, Г.О. ГОРОД ТОМСК, Г ТОМСК, ПР-КТ ФРУНЗЕ, Д. 236Б, ЭТАЖ/ПОМЕЩ. 5/5</t>
  </si>
  <si>
    <t>ООО ММИС</t>
  </si>
  <si>
    <t>634024, ТОМСКАЯ ОБЛАСТЬ, Г ТОМСК, УЛ ПРОФСОЮЗНАЯ, Д. 2/3</t>
  </si>
  <si>
    <t>ИП КОРНЕЕВА НАДЕЖДА ГЕОРГИЕВНА</t>
  </si>
  <si>
    <t>ООО АДС-Ф</t>
  </si>
  <si>
    <t>634003, ТОМСКАЯ ОБЛАСТЬ, Г ТОМСК, УЛ БОЛЬНИЧНАЯ, Д. 8</t>
  </si>
  <si>
    <t>ООО НПО</t>
  </si>
  <si>
    <t>634024, ТОМСКАЯ ОБЛАСТЬ, Г ТОМСК, УЛ ПРОФСОЮЗНАЯ, СООР. 28/1, СТР. 1, ОФИС 1</t>
  </si>
  <si>
    <t>ООО СИБМОТОРДЕТАЛЬ</t>
  </si>
  <si>
    <t>634045, ТОМСКАЯ ОБЛАСТЬ, Г ТОМСК, УЛ ФЕДОРА ЛЫТКИНА, Д.26, 23</t>
  </si>
  <si>
    <t>МАДОУ № 23</t>
  </si>
  <si>
    <t>634526, ТОМСКАЯ ОБЛАСТЬ, Г ТОМСК, Д ЛОСКУТОВО, УЛ ЛЕНИНА, Д.4А</t>
  </si>
  <si>
    <t>634508, ТОМСКАЯ ОБЛАСТЬ, М.Р-Н ТОМСКИЙ, Д КИСЛОВКА, С.П. ЗАРЕЧНОЕ, ТРАКТ ШЕГАРСКИЙ, Д. 1</t>
  </si>
  <si>
    <t>ИП КОНЕВ ВЯЧЕСЛАВ НИКОЛАЕВИЧ</t>
  </si>
  <si>
    <t>ООО ЗАВОД ТОМФЛОН</t>
  </si>
  <si>
    <t>634033, ТОМСКАЯ ОБЛАСТЬ, Г ТОМСК, УЛ ИВАНА БОЛОТНИКОВА, Д.7</t>
  </si>
  <si>
    <t>ООО УК МАГИСТРАЛЬ</t>
  </si>
  <si>
    <t>634031, РОССИЯ, ТОМСКАЯ ОБЛАСТЬ, Г.О. ГОРОД ТОМСК, Г ТОМСК, МКР. НАУКА, ПЕР СНЕЖИНСКИЙ, Д. 1</t>
  </si>
  <si>
    <t>634027, ТОМСКАЯ ОБЛАСТЬ, Г.О. ГОРОД ТОМСК, Г ТОМСК, УЛ МОСТОВАЯ, Д. 20/2, ПОМЕЩ. 1018-1020, 1063-1067</t>
  </si>
  <si>
    <t>ООО А-ТОМ</t>
  </si>
  <si>
    <t>634024, ТОМСКАЯ ОБЛАСТЬ, Г ТОМСК, УЛ ПРОФСОЮЗНАЯ, Д. 2А, СТР. 11</t>
  </si>
  <si>
    <t>634029, ТОМСКАЯ ОБЛАСТЬ, Г ТОМСК, УЛ НИКИТИНА, Д.15 А, 37</t>
  </si>
  <si>
    <t>ООО ДЕМОС</t>
  </si>
  <si>
    <t>634050, ТОМСКАЯ ОБЛАСТЬ, Г.О. ГОРОД ТОМСК, Г ТОМСК, УЛ АЛТАЙСКАЯ, Д. 27, ПОМЕЩ. 1008</t>
  </si>
  <si>
    <t>ООО САТИ</t>
  </si>
  <si>
    <t>634003, ТОМСКАЯ ОБЛАСТЬ, Г ТОМСК, УЛ ПАРТИЗАНСКАЯ, Д.8, 14</t>
  </si>
  <si>
    <t>634526, ТОМСКАЯ ОБЛАСТЬ, Г ТОМСК, Д ЛОСКУТОВО, УЛ СОВЕТСКАЯ, Д.1Г</t>
  </si>
  <si>
    <t>ООО СПЕЦ-ЗАПЧАСТЬ</t>
  </si>
  <si>
    <t>634027, ТОМСКАЯ ОБЛАСТЬ, Г ТОМСК, УЛ СМИРНОВА, Д. 48Г</t>
  </si>
  <si>
    <t>ООО ПРОФИ ПЛЮС</t>
  </si>
  <si>
    <t>634021, ТОМСКАЯ ОБЛАСТЬ, Г.О. ГОРОД ТОМСК, Г ТОМСК, УЛ ГЕРЦЕНА, Д. 63, ОФИС 212</t>
  </si>
  <si>
    <t>ООО М-СЕРВИС</t>
  </si>
  <si>
    <t>634027, ТОМСКАЯ ОБЛАСТЬ, Г ТОМСК, УЛ МОСТОВАЯ, Д. 18/1, СТРОЕНИЕ 2</t>
  </si>
  <si>
    <t>ООО ТД ГУДВИЛЛ</t>
  </si>
  <si>
    <t>634027, ТОМСКАЯ ОБЛАСТЬ, Г ТОМСК, УЛ МОСТОВАЯ, Д. 18/1, СТР. 2</t>
  </si>
  <si>
    <t>ИП Мешкова Ольга Сергеевна</t>
  </si>
  <si>
    <t>ИП КРАСНОЩЕКОВ ДМИТРИЙ АЛЕКСАНДРОВИЧ</t>
  </si>
  <si>
    <t>ИП ПЕТРОВ СЕРГЕЙ АЛЕКСЕЕВИЧ</t>
  </si>
  <si>
    <t>ИП Артемьев Евгений Анатольевич</t>
  </si>
  <si>
    <t>ИП МУСТАФИН СЕРГЕЙ АЛЕКСАНДРОВИЧ</t>
  </si>
  <si>
    <t>ОООФССК</t>
  </si>
  <si>
    <t>634049, ТОМСКАЯ ОБЛАСТЬ, Г ТОМСК, УЛ МИЧУРИНА, Д. 20, СТР. 2</t>
  </si>
  <si>
    <t>ИП Мирсаяпова Светлана Ивановна</t>
  </si>
  <si>
    <t>ИП ОСТАПЕНКО СЕРГЕЙ ВЛАДИМИРОВИЧ</t>
  </si>
  <si>
    <t>ООО НОРД-ВЕСТ</t>
  </si>
  <si>
    <t>634049, ТОМСКАЯ ОБЛАСТЬ, Г ТОМСК, ТРАКТ ИРКУТСКИЙ, Д. 17/6, ОФИС 1</t>
  </si>
  <si>
    <t>ИП ГАВРИЛЕЦ ВЛАДИСЛАВ МИХАЙЛОВИЧ</t>
  </si>
  <si>
    <t>ООО АВТОПРАЙМ</t>
  </si>
  <si>
    <t>634009, ТОМСКАЯ ОБЛАСТЬ, Г ТОМСК, УЛ ПРОЛЕТАРСКАЯ, Д. 59, СТР. 1, ПОМЕЩ. №1</t>
  </si>
  <si>
    <t>ИП САМЫЛОВ КОНСТАНТИН АЛЕКСАНДРОВИЧ</t>
  </si>
  <si>
    <t>ИП КОРОВИНА АНГЕЛИНА АЛЕКСАНДРОВНА</t>
  </si>
  <si>
    <t>ИП ЛИСИНА АНЖЕЛИКА ВИКТОРОВНА</t>
  </si>
  <si>
    <t>ОГАУЗ  ССМП</t>
  </si>
  <si>
    <t>634059, ТОМСКАЯ ОБЛАСТЬ, Г ТОМСК, УЛ ГОВОРОВА, Д.25</t>
  </si>
  <si>
    <t>ИП КАЗАНСКИЙ АЛЕКСЕЙ ЕВГЕНЬЕВИЧ</t>
  </si>
  <si>
    <t>ИП КЛЯСЮК МИХАИЛ ВИКТОРОВИЧ</t>
  </si>
  <si>
    <t>ИП ШКАРИН АНДРЕЙ ДМИТРИЕВИЧ</t>
  </si>
  <si>
    <t>ООО ПКП АРСЕНАЛ -  Л.Т.Д.</t>
  </si>
  <si>
    <t>ИП НАЗАРОВ АХЛИМАН БАХАДУР ОГЛЫ</t>
  </si>
  <si>
    <t>ООО РЕАКТОР</t>
  </si>
  <si>
    <t>636785, ТОМСКАЯ ОБЛАСТЬ, Г СТРЕЖЕВОЙ, МКР 4-Й, Д.425, 153</t>
  </si>
  <si>
    <t>ИП СТАСЮК ИВАН ДМИТРИЕВИЧ</t>
  </si>
  <si>
    <t>ИП ЖАРКОВ ВЯЧЕСЛАВ ПАВЛОВИЧ</t>
  </si>
  <si>
    <t>ИП ЕМЕЛЬЯНОВ ИГОРЬ ИГОРЕВИЧ</t>
  </si>
  <si>
    <t>ИП ИЛЬЦЕВИЧ НАТАЛЬЯ ГРИГОРЬЕВНА</t>
  </si>
  <si>
    <t>ООО ЕВРАЗИЯ БИЗНЕС</t>
  </si>
  <si>
    <t>634508, РОССИЯ, ТОМСКАЯ ОБЛАСТЬ, М.Р-Н ТОМСКИЙ, Д КИСЛОВКА, С.П. ЗАРЕЧНОЕ, ТРАКТ ШЕГАРСКИЙ, Д. 1</t>
  </si>
  <si>
    <t>ООО ОПТОЙЛ</t>
  </si>
  <si>
    <t>634015, РОССИЯ, ТОМСКАЯ ОБЛАСТЬ, Г.О. ГОРОД ТОМСК, Г ТОМСК, УЛ РАКЕТНАЯ, Д. 4/1, ОФИС 9</t>
  </si>
  <si>
    <t>ИП ИВАНОВ АЛЕКСАНДР ВАЛЕНТИНОВИЧ</t>
  </si>
  <si>
    <t>ИП ПОЛИКАРПОВ АЛЕКСАНДР ВАЛЕРЬЕВИЧ</t>
  </si>
  <si>
    <t>ИП ЯМЩИКОВ АЛЕКСЕЙ ГЕННАДЬЕВИЧ</t>
  </si>
  <si>
    <t>ИП ВЫЛЕГЖАНИН АЛЕКСАНДР СЕРГЕЕВИЧ</t>
  </si>
  <si>
    <t>ИП ЧЕРНЕНКО ГАЛИНА ШАРИФЯНОВНА</t>
  </si>
  <si>
    <t>ИП ЧЕПУРНЕНКО ПЁТР АНДРЕЕВИЧ</t>
  </si>
  <si>
    <t>ИП КОТЯНИН ДЕНИС ЮРЬЕВИЧ</t>
  </si>
  <si>
    <t>ИП ГУЩИНА ЯНА НИКОЛАЕВНА</t>
  </si>
  <si>
    <t>ИП СОЛОВЬЕВ АЛЕКСАНДР ВЛАДИМИРОВИЧ</t>
  </si>
  <si>
    <t>ООО МАГИСТРАЛЬ -ДИЗЕЛЬ</t>
  </si>
  <si>
    <t>634049, ТОМСКАЯ ОБЛАСТЬ, Г.О. ГОРОД ТОМСК, Г ТОМСК, УЛ РАКЕТНАЯ, Д. 19, ПОМЕЩ. 15</t>
  </si>
  <si>
    <t>ИП ВОРОБЬЁВ АРКАДИЙ ИВАНОВИЧ</t>
  </si>
  <si>
    <t>ИП СМИРНОВ АЛЕКСАНДР ВАЛЕРЬЕВИЧ</t>
  </si>
  <si>
    <t>ИП СТРЕЛКОВ ИГОРЬ ЮРЬЕВИЧ</t>
  </si>
  <si>
    <t>ООО ТОМСКОБЛСЕЛЬХОЗТЕХНИКА</t>
  </si>
  <si>
    <t>634003, ТОМСКАЯ ОБЛАСТЬ, Г ТОМСК, УЛ ПУШКИНА, Д.16/2</t>
  </si>
  <si>
    <t>ИП ПЕРШИН СЕРГЕЙ МИРОНОВИЧ</t>
  </si>
  <si>
    <t>ООО КОЛЕСО -Т</t>
  </si>
  <si>
    <t>634003, ТОМСКАЯ ОБЛАСТЬ, Г ТОМСК, УЛ ЯКОВЛЕВА, Д.26</t>
  </si>
  <si>
    <t>ИП ТУЙМЕТОВА ОЛЬГА АНАТОЛЬЕВНА</t>
  </si>
  <si>
    <t>ООО СИБИ-ОЙЛ</t>
  </si>
  <si>
    <t>634057, РОССИЯ, ТОМСКАЯ ОБЛАСТЬ, Г.О. ГОРОД ТОМСК, Г ТОМСК, ПР-КТ МИРА, Д. 3, КВ. 113</t>
  </si>
  <si>
    <t>ИП БАРКОВ СЕРГЕЙ ВЛАДИМИРОВИЧ</t>
  </si>
  <si>
    <t>ИП ПАВЛОВ АЛЕКСАНДР ОЛЕГОВИЧ</t>
  </si>
  <si>
    <t>ООО ШИНСНАБ</t>
  </si>
  <si>
    <t>634061, ТОМСКАЯ ОБЛАСТЬ, Г ТОМСК, УЛ СИБИРСКАЯ, Д.40</t>
  </si>
  <si>
    <t>ИП ЧУРИКОВА СВЕТЛАНА ИВАНОВНА</t>
  </si>
  <si>
    <t>ООО ТОРГОВЫЙ ДОМ КАМА-ЗАПЧАСТЬ</t>
  </si>
  <si>
    <t>634015, ТОМСКАЯ ОБЛАСТЬ, Г ТОМСК, УЛ ВИЛЮЙСКАЯ, Д. 52А</t>
  </si>
  <si>
    <t>ООО МАРТ</t>
  </si>
  <si>
    <t>634538, РОССИЯ, ТОМСКАЯ ОБЛАСТЬ, М.Р-Н ТОМСКИЙ, С КОРНИЛОВО, С.П. КОРНИЛОВСКОЕ, МКР. КРАСНАЯ ГОРКА, ПЕР 1-ЫЙ ЯБЛОНЕВЫЙ, Д. 15</t>
  </si>
  <si>
    <t>ООО ГЦ</t>
  </si>
  <si>
    <t>634061, ТОМСКАЯ ОБЛАСТЬ, Г ТОМСК, УЛ ГЕРЦЕНА, Д. 52, 10</t>
  </si>
  <si>
    <t>ООО ЛЕАН ПРО</t>
  </si>
  <si>
    <t>634049, ТОМСКАЯ ОБЛАСТЬ, Г.О. ГОРОД ТОМСК, Г ТОМСК, ТРАКТ ИРКУТСКИЙ, Д. 30/1, КВ. 46</t>
  </si>
  <si>
    <t>ИП ЗУБЕНИН АНДРЕЙ АЛЕКСЕЕВИЧ</t>
  </si>
  <si>
    <t>ООО МАГНИТ</t>
  </si>
  <si>
    <t>634059, ТОМСКАЯ ОБЛАСТЬ, Г ТОМСК, УЛ ГОВОРОВА, Д.76/1, 61</t>
  </si>
  <si>
    <t>ООО СИБОПТ</t>
  </si>
  <si>
    <t>634006, ТОМСКАЯ ОБЛАСТЬ, Г ТОМСК, ПЕР ОСЕННИЙ, Д. 2, КВ. 44</t>
  </si>
  <si>
    <t>ИП ЧЕСНОКОВ ДМИТРИЙ НИКОЛАЕВИЧ</t>
  </si>
  <si>
    <t>ИП МАЛЬКОВ ГРИГОРИЙ ГЕННАДЬЕВИЧ</t>
  </si>
  <si>
    <t>ИП ТУГАНАЕВА ЕЛЕНА ГРИГОРЬЕВНА</t>
  </si>
  <si>
    <t>ООО ДЕЛЬТАТОРГ</t>
  </si>
  <si>
    <t>634027, ТОМСКАЯ ОБЛАСТЬ, Г ТОМСК, ПЕР МОСТОВОЙ, Д. 1Б, СТР. 1, ОФИС 13</t>
  </si>
  <si>
    <t>ООО КЛАН МЕХАНО</t>
  </si>
  <si>
    <t>634024, ТОМСКАЯ ОБЛАСТЬ, Г ТОМСК, УЛ ПРОФСОЮЗНАЯ, Д. 2А, СТР. 14</t>
  </si>
  <si>
    <t>ООО ДИЗЕЛЬ-МАГИСТРАЛЬ</t>
  </si>
  <si>
    <t>634015, ТОМСКАЯ ОБЛАСТЬ, Г ТОМСК, УЛ ЭНЕРГЕТИЧЕСКАЯ, Д. 3А, ПОМЕЩ. 1</t>
  </si>
  <si>
    <t>ИП БИКМУХАМЕТОВ ХУСАИН ХАДЖИМУРАТОВИЧ</t>
  </si>
  <si>
    <t>ИП ОСТАПЧУК ЮРИЙ ВЯЧЕСЛАВОВИЧ</t>
  </si>
  <si>
    <t>ИП БАБУРИН АЛЕКСЕЙ ВЛАДИМИРОВИЧ</t>
  </si>
  <si>
    <t>ИП НЕСТЕРОВ ВЯЧЕСЛАВ ЕВГЕНЬЕВИЧ</t>
  </si>
  <si>
    <t>ИП СЕРГАЧЕВ ЛЕОНИД ВЛАДИМИРОВИЧ</t>
  </si>
  <si>
    <t>ИП ЗОЛОТАРЁВ СЕРГЕЙ ЮРЬЕВИЧ</t>
  </si>
  <si>
    <t>ИП СЕМЕНОВА АННА ВАЛЕРЬЕВНА</t>
  </si>
  <si>
    <t>ИП ЛОЖНИКОВ АЛЕКСАНДР НИКОЛАЕВИЧ</t>
  </si>
  <si>
    <t>ООО РАВЕНОЛ-РЕЙСИНГ</t>
  </si>
  <si>
    <t>634012, ТОМСКАЯ ОБЛАСТЬ, Г ТОМСК, УЛ ШЕВЧЕНКО, Д. 64/1</t>
  </si>
  <si>
    <t>ООО ТЦ ТАГС</t>
  </si>
  <si>
    <t>634003, ТОМСКАЯ ОБЛАСТЬ, Г ТОМСК, УЛ ПАРТИЗАНСКАЯ, Д.10</t>
  </si>
  <si>
    <t>ООО ГАЛАОПТ</t>
  </si>
  <si>
    <t>634041, ТОМСКАЯ ОБЛАСТЬ, Г ТОМСК, ПР-КТ КИРОВА, Д.35, 51</t>
  </si>
  <si>
    <t>ИП ПИВНЕВ ПЕТР АЛЕКСЕЕВИЧ</t>
  </si>
  <si>
    <t>ИП МУРЗИН АЛЕКСЕЙ НИКОЛАЕВИЧ</t>
  </si>
  <si>
    <t>ИП ПИЧИКЯН ЖАННА АКОПОВНА</t>
  </si>
  <si>
    <t>Тульская область</t>
  </si>
  <si>
    <t>ИП МАЛЬКОВ ФЕДОР ВЛАДИМИРОВИЧ</t>
  </si>
  <si>
    <t>ООО ИНДАСТРИАЛ ОЙЛ</t>
  </si>
  <si>
    <t>300016, РОССИЯ, ТУЛЬСКАЯ ОБЛАСТЬ, Г.О. ГОРОД ТУЛА, Г ТУЛА, УЛ НОВОТУЛЬСКАЯ, Д. 7, ПОМЕЩ. 7, ОФИС №1 (2 ЭТАЖ) СТР. 2 ЛИТЕРА А</t>
  </si>
  <si>
    <t>ООО АВТОМАТИЗАЦИЯ</t>
  </si>
  <si>
    <t>301670, РОССИЯ, ТУЛЬСКАЯ ОБЛАСТЬ, Г.О. ГОРОД НОВОМОСКОВСК, Г НОВОМОСКОВСК, УЛ МОЛОДЕЖНАЯ, Д. 16, АВТОЦЕНТР 1</t>
  </si>
  <si>
    <t>ООО АВТОКУБ</t>
  </si>
  <si>
    <t>300002, РОССИЯ, ТУЛЬСКАЯ ОБЛАСТЬ, Г.О. ГОРОД ТУЛА, Г ТУЛА, УЛ ЛУНАЧАРСКОГО, Д. 49, ПОМЕЩ. 8,ЭТАЖ 1</t>
  </si>
  <si>
    <t>ООО БИРМА</t>
  </si>
  <si>
    <t>300002, РОССИЯ, ТУЛЬСКАЯ ОБЛАСТЬ, Г.О. ГОРОД ТУЛА, Г ТУЛА, УЛ ОКТЯБРЬСКАЯ, Д. 36, ОФИС 8 (ЭТАЖ 2)</t>
  </si>
  <si>
    <t>301248, РОССИЯ, ТУЛЬСКАЯ ОБЛАСТЬ, М.Р-Н ЩЕКИНСКИЙ, Г ЩЕКИНО, Г.П. ГОРОД ЩЕКИНО, УЛ ОКТЯБРЬСКАЯ, Д. 4А</t>
  </si>
  <si>
    <t>ИП КУЗНЕЦОВ ПАВЕЛ СТАНИСЛАВОВИЧ</t>
  </si>
  <si>
    <t>ИП ИГНАТОВ ОЛЕГ ДМИТРИЕВИЧ</t>
  </si>
  <si>
    <t>300002, ТУЛЬСКАЯ ОБЛАСТЬ, Г ТУЛА, УЛ ОКТЯБРЬСКАЯ, Д. 36, ЭТАЖ 1</t>
  </si>
  <si>
    <t>ИП КАРМИШЕН СЕРГЕЙ МИХАЙЛОВИЧ</t>
  </si>
  <si>
    <t>ИП ГОЛОКТЕЕВ СЕРГЕЙ СЕРГЕЕВИЧ</t>
  </si>
  <si>
    <t>ООО АВТОКЛАСС ЮНИ</t>
  </si>
  <si>
    <t>300045, ТУЛЬСКАЯ ОБЛАСТЬ, Г ТУЛА, Ш НОВОМОСКОВСКОЕ, ЗД. 27, ОФИС 1</t>
  </si>
  <si>
    <t>300002, ТУЛЬСКАЯ ОБЛАСТЬ, Г.О. ГОРОД ТУЛА, Г ТУЛА, УЛ СЫЗРАНСКАЯ, Д. 7, КОМ. 1 (1 ЭТАЖ), ЗД. ВСПОМОГАТЕЛЬНОГО НАЗНАЧЕНИЯ</t>
  </si>
  <si>
    <t>ИП Гамова Марина Адамовна</t>
  </si>
  <si>
    <t>ООО НИКО</t>
  </si>
  <si>
    <t>300025, ТУЛЬСКАЯ ОБЛАСТЬ, Г ТУЛА, УЛ ВОЛНЯНСКОГО, Д. 1, ПОМЕЩ. ЛИТ Г</t>
  </si>
  <si>
    <t>ИП ПАРАМОНОВА ЕЛЕНА ИГОРЕВНА</t>
  </si>
  <si>
    <t>ИП ЕЛИСТРАТОВ АНДРЕЙ ВАЛЕРЬЕВИЧ</t>
  </si>
  <si>
    <t>ООО ХАВЕЙЛ МОТОР МАНУФЭКЧУРИНГ РУС</t>
  </si>
  <si>
    <t>301637, ТУЛЬСКАЯ ОБЛАСТЬ, Р-Н УЗЛОВСКИЙ, УЛ ИНДУСТРИАЛЬНАЯ (ИНДУСТРИАЛЬНЫЙ ПАРК ТЕР.), ЗД. 11</t>
  </si>
  <si>
    <t>ИП ВОРОТНИКОВ СЕРГЕЙ АЛЕКСАНДРОВИЧ</t>
  </si>
  <si>
    <t>ИП УТЕНКОВ ЮРИЙ ЕВГЕНЬЕВИЧ</t>
  </si>
  <si>
    <t>ИП МЕДВЕДЕВ КОНСТАНТИН АЛЕКСАНДРОВИЧ</t>
  </si>
  <si>
    <t>ИП ФЕДОРОВА ТАТЬЯНА ВЛАДИМИРОВНА</t>
  </si>
  <si>
    <t>ИП МАЛЕНЧЕВ МАКСИМ ЛЬВОВИЧ</t>
  </si>
  <si>
    <t>ИП ФОКИНА ТАТЬЯНА АЛЕКСАНДРОВНА</t>
  </si>
  <si>
    <t>ООО ТОРГСЕРВИС 71</t>
  </si>
  <si>
    <t>301133, ТУЛЬСКАЯ ОБЛАСТЬ, Р-Н ЛЕНИНСКИЙ, П ПЕТРОВСКИЙ, УЛ ПАРКОВАЯ, Д. 7А, ОФИС 3</t>
  </si>
  <si>
    <t>ООО БАВАРИЯ-АВТО</t>
  </si>
  <si>
    <t>300045, ТУЛЬСКАЯ ОБЛАСТЬ, Г ТУЛА, Ш НОВОМОСКОВСКОЕ, ЗД. 15, ОФИС 36</t>
  </si>
  <si>
    <t>ООО ПРИВАТ</t>
  </si>
  <si>
    <t>300012, ТУЛЬСКАЯ ОБЛАСТЬ, Г ТУЛА, ПР-КТ ЛЕНИНА, Д.66, 54</t>
  </si>
  <si>
    <t>ПАО ТУЛАНЕФТЕПРОДУКТ</t>
  </si>
  <si>
    <t>300000, ТУЛЬСКАЯ ОБЛАСТЬ, Г ТУЛА, УЛ ТУРГЕНЕВСКАЯ, ЗД. 38/13</t>
  </si>
  <si>
    <t>ИП УРЮПИНА МАРИНА АНАТОЛЬЕВНА</t>
  </si>
  <si>
    <t>ООО ТУЛААГРОДЕТАЛЬ</t>
  </si>
  <si>
    <t>300026, ТУЛЬСКАЯ ОБЛАСТЬ, Г ТУЛА, П МЕНДЕЛЕЕВСКИЙ, УЛ ПОЛЕВАЯ, Д. 11, ОФИС 202</t>
  </si>
  <si>
    <t>ООО ЕВРОПАРТОЙЛ</t>
  </si>
  <si>
    <t>300045, ТУЛЬСКАЯ ОБЛАСТЬ, Г ТУЛА, Ш НОВОМОСКОВСКОЕ, ЗД. 60, ОФИС 104</t>
  </si>
  <si>
    <t>ИП КУПРИЯНОВА ДАРЬЯ ВИТАЛЬЕВНА</t>
  </si>
  <si>
    <t>ИП БАРИЕВА НАДЕЖДА АЛЕКСАНДРОВНА</t>
  </si>
  <si>
    <t>ИП НАСОНОВА ЕЛЕНА АЛЕКСАНДРОВНА</t>
  </si>
  <si>
    <t>ИП КАБЛУКОВА НАДЕЖДА НИКОЛАЕВНА</t>
  </si>
  <si>
    <t>ИП ВОРОБЬЕВА ОЛЬГА ВЛАДИМИРОВНА</t>
  </si>
  <si>
    <t>ИП БАШКИРОВ ДМИТРИЙ АЛЕКСЕЕВИЧ</t>
  </si>
  <si>
    <t>ИП СЕЛЯНИНА АЛЛА ВИТАЛЬЕВНА</t>
  </si>
  <si>
    <t>ИП ШЕКУН АЛЕКСАНДР БОРИСОВИЧ</t>
  </si>
  <si>
    <t>ИП МОЧАЛОВ АЛЕКСАНДР АЛЕКСАНДРОВИЧ</t>
  </si>
  <si>
    <t>ИП БУДУР ЕЛЕНА ВЛАДИСЛАВОВНА</t>
  </si>
  <si>
    <t>ИП ТРУШИН МАКСИМ ВАСИЛЬЕВИЧ</t>
  </si>
  <si>
    <t>ИП ПАНАРИН ВЛАДИСЛАВ ВЛАДИМИРОВИЧ</t>
  </si>
  <si>
    <t>ИП ЖАРКОВ АНАТОЛИЙ ВЛАДИМИРОВИЧ</t>
  </si>
  <si>
    <t>ИП ПАВЛОВ ВЛАДИМИР ВАЛЕРЬЕВИЧ</t>
  </si>
  <si>
    <t>ИП ЗЫКИН ВАСИЛИЙ АЛЬБЕРТОВИЧ</t>
  </si>
  <si>
    <t>ИП ЗАЙЦЕВ ПАВЕЛ СЕРГЕЕВИЧ</t>
  </si>
  <si>
    <t>ООО ЛИТ</t>
  </si>
  <si>
    <t>300026, РОССИЯ, ТУЛЬСКАЯ ОБЛАСТЬ, Г.О. ГОРОД ТУЛА, Г ТУЛА, УЛ ГЕНЕРАЛА МАРГЕЛОВА, Д. 5А, ПОМЕЩ. 16</t>
  </si>
  <si>
    <t>ООО ТУЛЬСКИЕ АВТОМОБИЛИ</t>
  </si>
  <si>
    <t>300901, РОССИЯ, ТУЛЬСКАЯ ОБЛАСТЬ, Г.О. ГОРОД ТУЛА, Г ТУЛА, УЛ ОКТЯБРЬСКАЯ, ЗД. 320, ПОМЕЩ. 1 (ЭТАЖ1)</t>
  </si>
  <si>
    <t>ООО АКС КЕМИКАЛ ГРУП</t>
  </si>
  <si>
    <t>300016, РОССИЯ, ТУЛЬСКАЯ ОБЛАСТЬ, Г.О. ГОРОД ТУЛА, Г ТУЛА, УЛ НОВОТУЛЬСКАЯ, Д. 7, ПОМЕЩ. 6,ЭТАЖ 2,КОМНАТА 41,ОФИС 7</t>
  </si>
  <si>
    <t>ООО АВТОКЛАСС ПРЕМИУМ</t>
  </si>
  <si>
    <t>300045, РОССИЯ, ТУЛЬСКАЯ ОБЛАСТЬ, Г.О. ГОРОД ТУЛА, Г ТУЛА, Ш НОВОМОСКОВСКОЕ, ЗД. 17, ОФИС 2</t>
  </si>
  <si>
    <t>ООО АМЗИТО</t>
  </si>
  <si>
    <t>300002, РОССИЯ, ТУЛЬСКАЯ ОБЛАСТЬ, Г.О. ГОРОД ТУЛА, Г ТУЛА, УЛ ОКТЯБРЬСКАЯ, ЗД. 44, КОМ. №1</t>
  </si>
  <si>
    <t>ООО РЕСПЕКТ АКТИВ</t>
  </si>
  <si>
    <t>300020, РОССИЯ, ТУЛЬСКАЯ ОБЛАСТЬ, Г.О. ГОРОД ТУЛА, Г ТУЛА, УЛ ПОЛКА НОРМАНДИЯ-НЕМАН, Д. 37, КОМ. 8, ЛИТЕР И, ЭТ. 2</t>
  </si>
  <si>
    <t>300016, РОССИЯ, ТУЛЬСКАЯ ОБЛАСТЬ, Г.О. ГОРОД ТУЛА, Г ТУЛА, УЛ ВЫСОКАЯ, Д. 73</t>
  </si>
  <si>
    <t>ИП БАРИНОВ ЮРИЙ НИКОЛАЕВИЧ</t>
  </si>
  <si>
    <t>ИП ДМИТРИЕВА НАТАЛЬЯ СЕРГЕЕВНА</t>
  </si>
  <si>
    <t>ИП БУГАКОВ АЛЕКСАНДР ИВАНОВИЧ</t>
  </si>
  <si>
    <t>ООО СТМ-АВТО</t>
  </si>
  <si>
    <t>300004, ТУЛЬСКАЯ ОБЛАСТЬ, Г ТУЛА, УЛ КИРОВА, Д. 172, ОФИС 6</t>
  </si>
  <si>
    <t>ИП СОРОКИН ИГОРЬ ВАЛЕРЬЕВИЧ</t>
  </si>
  <si>
    <t>ООО СМТ</t>
  </si>
  <si>
    <t>300036, ТУЛЬСКАЯ ОБЛАСТЬ, Г ТУЛА, Ш ОДОЕВСКОЕ, ЗД. 75, ОФИС 6,ЛИТ. А-1, ЭТАЖ 2</t>
  </si>
  <si>
    <t>ИП САДОВОЙ СЕРГЕЙ АНАТОЛЬЕВИЧ</t>
  </si>
  <si>
    <t>ИП ГУРЬЯНОВ АЛЕКСАНДР ВАЛЕРЬЕВИЧ</t>
  </si>
  <si>
    <t>ИП РЯБОВ ИГОРЬ ВЛАДИМИРОВИЧ</t>
  </si>
  <si>
    <t>ИП ФОТИН АЛЕКСЕЙ СЕРГЕЕВИЧ</t>
  </si>
  <si>
    <t>ИП ЗОЛОТАРЕВА АНАСТАСИЯ ВИТАЛЬЕВНА</t>
  </si>
  <si>
    <t>ИП ФАДЕЕВА ВЕРОНИКА ЮРЬЕВНА</t>
  </si>
  <si>
    <t>ООО ТД ТУЛАСНАБ</t>
  </si>
  <si>
    <t>300016, ТУЛЬСКАЯ ОБЛАСТЬ, Г ТУЛА, УЛ ДОКТОРА ГУМИЛЕВСКОЙ, Д.16, ОФИС 5</t>
  </si>
  <si>
    <t>ООО ОЙЛ СТАНДАРТ</t>
  </si>
  <si>
    <t>300001, ТУЛЬСКАЯ ОБЛАСТЬ, Г ТУЛА, УЛ ПРОЛЕТАРСКАЯ, Д.28, ЛИТЕРА А, НЕЖИЛОЕ ПОМЕЩЕНИЕ III, I ЭТАЖ</t>
  </si>
  <si>
    <t>ИП РУДЬ ВЛАДИМИР ЛЕОНИДОВИЧ</t>
  </si>
  <si>
    <t>ООО  АВТОПИЛОТ</t>
  </si>
  <si>
    <t>300034, ТУЛЬСКАЯ ОБЛАСТЬ, Г ТУЛА, УЛ ДЕМОНСТРАЦИИ, Д. 148А, КВ. 40</t>
  </si>
  <si>
    <t>ИП РЫКОВА ЮЛИЯ ВАСИЛЬЕВНА</t>
  </si>
  <si>
    <t>ООО СМАРТ-Т</t>
  </si>
  <si>
    <t>300022, ТУЛЬСКАЯ ОБЛАСТЬ, Г ТУЛА, УЛ ОКТЯБРЬСКАЯ, Д. 300</t>
  </si>
  <si>
    <t>ООО АЛЬПАРИ</t>
  </si>
  <si>
    <t>300036, РОССИЯ, ТУЛЬСКАЯ ОБЛАСТЬ, Г.О. ГОРОД ТУЛА, Г ТУЛА, Ш ОДОЕВСКОЕ, Д. 57, ОФИС 12 (ЭТАЖ 2), ВЛД. 1</t>
  </si>
  <si>
    <t>ООО АВТОКЛАСС ЦЕНТР</t>
  </si>
  <si>
    <t>300041, ТУЛЬСКАЯ ОБЛАСТЬ, Г ТУЛА, УЛ ЛЕЙТЕЙЗЕНА, Д. 1А, ОФИС 2</t>
  </si>
  <si>
    <t>ИП БЕЛОУСОВА ЮЛИЯ ЕВГЕНЬЕВНА</t>
  </si>
  <si>
    <t>ИП БАЗИН КИРИЛЛ ВЛАДИМИРОВИЧ</t>
  </si>
  <si>
    <t>ООО ПРОМСПЕЦСНАБ</t>
  </si>
  <si>
    <t>300045, ТУЛЬСКАЯ ОБЛАСТЬ, Г ТУЛА, Ш НОВОМОСКОВСКОЕ, ЗД. 54, ОФИС 2</t>
  </si>
  <si>
    <t>ООО АВТОЛИНИЯ</t>
  </si>
  <si>
    <t>300045, ТУЛЬСКАЯ ОБЛАСТЬ, Г ТУЛА, Ш НОВОМОСКОВСКОЕ, ЗД. 25, ОФИС 15</t>
  </si>
  <si>
    <t>ИП ШАМСУДИНОВА МАВЗУНА ТАЛАБИДИНОВНА</t>
  </si>
  <si>
    <t>ООО РОНИ</t>
  </si>
  <si>
    <t>300001, ТУЛЬСКАЯ ОБЛАСТЬ, Г ТУЛА, УЛ ГАРМОННАЯ, Д. 109, ОФИС 218</t>
  </si>
  <si>
    <t>ООО АССДЕТАЛЬ</t>
  </si>
  <si>
    <t>300036, ТУЛЬСКАЯ ОБЛАСТЬ, Г.О. ГОРОД ТУЛА, Г ТУЛА, Ш ОДОЕВСКОЕ, Д. 67, ОФИС 2,3,4,5 (АДМИНИСТРАТИВНОЕ ЗДАНИЕ, 2 ЭТАЖ)</t>
  </si>
  <si>
    <t>ООО ГК ВИСТА</t>
  </si>
  <si>
    <t>300005, ТУЛЬСКАЯ ОБЛАСТЬ, Г ТУЛА, УЛ ПАВШИНСКИЙ МОСТ, Д. 2</t>
  </si>
  <si>
    <t>ИП КУРКОВА-ПУШНИНА АЛИСА ЮРЬЕВНА</t>
  </si>
  <si>
    <t>ИП НАДИРОВА ТАМАРА АКБАРОВНА</t>
  </si>
  <si>
    <t>ИП ПАХОМОВ ОЛЕГ НИКОЛАЕВИЧ</t>
  </si>
  <si>
    <t>ИП МУРАТОВ СЕРГЕЙ АЛЕКСАНДРОВИЧ</t>
  </si>
  <si>
    <t>ИП БАЛАШОВ АЛЕКСЕЙ ГЕННАДЬЕВИЧ</t>
  </si>
  <si>
    <t>ИП ПОЛЯКОВА НАТАЛЬЯ ВИКТОРОВНА</t>
  </si>
  <si>
    <t>ИП ДОКУЧАЕВА МАРИНА СЕРГЕЕВНА</t>
  </si>
  <si>
    <t>ИП КОРОТКОВА ЕКАТЕРИНА АЛЕКСАНДРОВНА</t>
  </si>
  <si>
    <t>ИП КРУГЛЯК ЕКАТЕРИНА АНАТОЛЬЕВНА</t>
  </si>
  <si>
    <t>ИП ФОКИНА ИРИНА ВИКТОРОВНА</t>
  </si>
  <si>
    <t>300001, ТУЛЬСКАЯ ОБЛАСТЬ, Г ТУЛА, УЛ К.МАРКСА, Д.54А</t>
  </si>
  <si>
    <t>ИП МЕТЕЛЕВ АЛЕКСАНДР ВИКТОРОВИЧ</t>
  </si>
  <si>
    <t>ИП ДЕДЛОВСКАЯ МАРИНА АЛЕКСАНДРОВНА</t>
  </si>
  <si>
    <t>ИП ДОДОНОВ НИКОЛАЙ АЛЕКСАНДРОВИЧ</t>
  </si>
  <si>
    <t>ИП САМОЙЛЮК АНАСТАСИЯ СЕРГЕЕВНА</t>
  </si>
  <si>
    <t>ООО ТЕХНОМИКС</t>
  </si>
  <si>
    <t>300045, ТУЛЬСКАЯ ОБЛАСТЬ, Г.О. ГОРОД ТУЛА, Г ТУЛА, Ш НОВОМОСКОВСКОЕ, ЗД. 56Б, ОФИС 3</t>
  </si>
  <si>
    <t>ОООСУВОРОВАВТОСЕРВИС</t>
  </si>
  <si>
    <t>301430, ТУЛЬСКАЯ ОБЛАСТЬ, Р-Н СУВОРОВСКИЙ, Г СУВОРОВ, УЛ ОСТРОВСКОГО, Д.7, -, -</t>
  </si>
  <si>
    <t>ИП КРАСНОЩЕКОВ МАКСИМ НИКОЛАЕВИЧ</t>
  </si>
  <si>
    <t>ИП ЧУЙКОВ СЕРГЕЙ АЛЕКСЕЕВИЧ</t>
  </si>
  <si>
    <t>ИП ШЕРЕМЕТЬЕВ АНДРЕЙ АЛЕКСЕЕВИЧ</t>
  </si>
  <si>
    <t>ИП ОРЛОВА ТАТЬЯНА ВАСИЛЬЕВНА</t>
  </si>
  <si>
    <t>ИП МИКЕРОВА СВЕТЛАНА АЛЬБЕРТОВНА</t>
  </si>
  <si>
    <t>ИП САФОНОВ АЛЕКСЕЙ НИКОЛАЕВИЧ</t>
  </si>
  <si>
    <t>ИП КОПТЮХ СВЕТЛАНА ЯКОВЛЕВНА</t>
  </si>
  <si>
    <t>ИП САХАРОВ АЛЕКСЕЙ ВИКТОРОВИЧ</t>
  </si>
  <si>
    <t>ООО АВТОПРОМКОНСАЛТ</t>
  </si>
  <si>
    <t>301138, ТУЛЬСКАЯ ОБЛАСТЬ, Р-Н ЛЕНИНСКИЙ, П НОВАЯ МЫЗА, УЛ ШКОЛЬНАЯ, Д. 7, КВ. 1</t>
  </si>
  <si>
    <t>ИП САЛЬНИКОВ СЕРГЕЙ АЛЕКСАНДРОВИЧ</t>
  </si>
  <si>
    <t>ИП КЛЯЧИН ПАВЕЛ ПЕТРОВИЧ</t>
  </si>
  <si>
    <t>301847, РОССИЯ, ТУЛЬСКАЯ ОБЛАСТЬ, М.О. ЕФРЕМОВСКИЙ, Д СТРЕЛЬЦЫ, Д. 171</t>
  </si>
  <si>
    <t>ООО АКС ГРИН</t>
  </si>
  <si>
    <t>300024, РОССИЯ, ТУЛЬСКАЯ ОБЛАСТЬ, Г.О. ГОРОД ТУЛА, Г ТУЛА, ПРОЕЗД ХАНИНСКИЙ, Д. 9А, ЭТАЖ/ОФИС 1/6</t>
  </si>
  <si>
    <t>ООО ПАРТ СЕРВИС</t>
  </si>
  <si>
    <t>300025, РОССИЯ, ТУЛЬСКАЯ ОБЛАСТЬ, Г.О. ГОРОД ТУЛА, Г ТУЛА, УЛ 9 МАЯ, Д. 7, КВ. 54</t>
  </si>
  <si>
    <t>ИП Иванов Сергей Львович</t>
  </si>
  <si>
    <t>ИП СЛОБОДСКОВ АНДРЕЙ ЛЕОНИДОВИЧ</t>
  </si>
  <si>
    <t>ИП ЧИРКИН ДМИТРИЙ СЕРГЕЕВИЧ</t>
  </si>
  <si>
    <t>ИП КУЧЕРОВ АЛЕКСАНДР ИГОРЕВИЧ</t>
  </si>
  <si>
    <t>ИП БОРИСОВ НИКОЛАЙ ВЛАДИМИРОВИЧ</t>
  </si>
  <si>
    <t>ИП КУПРИЯНОВ АЛЕКСАНДР ВИКТОРОВИЧ</t>
  </si>
  <si>
    <t>ИП КОЗЛОВ АРТЁМ ВЛАДИМИРОВИЧ</t>
  </si>
  <si>
    <t>ООО КАТОД-Т</t>
  </si>
  <si>
    <t>300000, ТУЛЬСКАЯ ОБЛАСТЬ, Г ТУЛА, УЛ КОЛЕТВИНОВА, Д. 6, ОФИС 41</t>
  </si>
  <si>
    <t>ООО ВИСТА</t>
  </si>
  <si>
    <t>300005, РОССИЯ, ТУЛЬСКАЯ ОБЛАСТЬ, Г.О. ГОРОД ТУЛА, Г ТУЛА, УЛ ПАВШИНСКИЙ МОСТ, Д. 2, ПОМЕЩ./ЭТ 201/2 ЗДАНИЕ НЕЖИЛОЕ (АВТОСАЛОН)</t>
  </si>
  <si>
    <t>300045, ТУЛЬСКАЯ ОБЛАСТЬ, Г ТУЛА, УЛ ТИМИРЯЗЕВА, Д. 70, ОФИС 130</t>
  </si>
  <si>
    <t>ИП ТРОФИМОВ МИХАИЛ СЕРГЕЕВИЧ</t>
  </si>
  <si>
    <t>ИП Гусейнов Расим Гусейн Оглы</t>
  </si>
  <si>
    <t>ИП ЗВЯГИНЦЕВ РОМАН ВАСИЛЬЕВИЧ</t>
  </si>
  <si>
    <t>ООО УПА-1</t>
  </si>
  <si>
    <t>300027, ТУЛЬСКАЯ ОБЛАСТЬ, Г ТУЛА, УЛ МЕТАЛЛУРГОВ, Д. 24, КАБИНЕТ 5, ПОМЕЩЕНИЕ 3</t>
  </si>
  <si>
    <t>ООО ТД ТПЗ</t>
  </si>
  <si>
    <t>300004, ТУЛЬСКАЯ ОБЛАСТЬ, Г ТУЛА, УЛ МАРАТА, Д.49</t>
  </si>
  <si>
    <t>ИП ЕЛАГИН СЕРГЕЙ БОРИСОВИЧ</t>
  </si>
  <si>
    <t>ИП ДОМБРОВСКАЯ АНЖЕЛИКА ЮРЬЕВНА</t>
  </si>
  <si>
    <t>ИП ПРОХОРОВ МАКСИМ АНДРЕЕВИЧ</t>
  </si>
  <si>
    <t>ИП СУББОТИН МИХАИЛ ИВАНОВИЧ</t>
  </si>
  <si>
    <t>ООО АВТОКЛАСС</t>
  </si>
  <si>
    <t>300045, ТУЛЬСКАЯ ОБЛАСТЬ, Г ТУЛА, Ш НОВОМОСКОВСКОЕ, ЗД. 25, ОФИС 1</t>
  </si>
  <si>
    <t>ИП СУББОТИН ДМИТРИЙ МИХАЙЛОВИЧ</t>
  </si>
  <si>
    <t>ООО АПОЛЛОН</t>
  </si>
  <si>
    <t>301138, РОССИЯ, ТУЛЬСКАЯ ОБЛАСТЬ, Г.О. ГОРОД ТУЛА, П ИНШИНСКИЙ, Д. 18, ПОМЕЩ. 2</t>
  </si>
  <si>
    <t>ИП КОНДРАШОВ ДМИТРИЙ ВИКТОРОВИЧ</t>
  </si>
  <si>
    <t>ИП ФИЛИНА НИНА АНАТОЛЬЕВНА</t>
  </si>
  <si>
    <t>ИП УКРАИНЦЕВА СВЕТЛАНА ПЕТРОВНА</t>
  </si>
  <si>
    <t>ИП БОГАЧЕВ СЕРГЕЙ ВЛАДИМИРОВИЧ</t>
  </si>
  <si>
    <t>ИП СПИРИНА ЖАННА ВИКТОРОВНА</t>
  </si>
  <si>
    <t>ИП ТКАЧУК ГЕОРГИЙ ВИКТОРОВИЧ</t>
  </si>
  <si>
    <t>300028, ТУЛЬСКАЯ ОБЛАСТЬ, Г ТУЛА, УЛ БОЛДИНА, Д.137</t>
  </si>
  <si>
    <t>ООО АВТОИМПУЛЬС</t>
  </si>
  <si>
    <t>300024, ТУЛЬСКАЯ ОБЛАСТЬ, Г ТУЛА, УЛ РЯЗАНСКАЯ, Д. 54, ПОМЕЩ. 4</t>
  </si>
  <si>
    <t>300024, ТУЛЬСКАЯ ОБЛАСТЬ, Г ТУЛА, ПР-Д ХАНИНСКИЙ, Д. 25, ПОМЕЩЕНИЕ 28, ОФИС 4</t>
  </si>
  <si>
    <t>ООО КАМАЗ-ВИСТА</t>
  </si>
  <si>
    <t>300045, ТУЛЬСКАЯ ОБЛАСТЬ, Г ТУЛА, Ш НОВОМОСКОВСКОЕ, ЗД. 52, ПОМЕЩ. 14</t>
  </si>
  <si>
    <t>ООО КОРС ДМ</t>
  </si>
  <si>
    <t>300012, ТУЛЬСКАЯ ОБЛАСТЬ, Г ТУЛА, УЛ РЯЗАНСКАЯ, Д.38</t>
  </si>
  <si>
    <t>ООО ХИМ ТРЕСТ</t>
  </si>
  <si>
    <t>300045, РОССИЯ, ТУЛЬСКАЯ ОБЛАСТЬ, Г.О. ГОРОД ТУЛА, Г ТУЛА, Ш НОВОМОСКОВСКОЕ, ЗД. 32Б</t>
  </si>
  <si>
    <t>ООО ВИРАЖ</t>
  </si>
  <si>
    <t>300045, ТУЛЬСКАЯ ОБЛАСТЬ, Г ТУЛА, Ш НОВОМОСКОВСКОЕ, ЗД. 54</t>
  </si>
  <si>
    <t>300020, ТУЛЬСКАЯ ОБЛАСТЬ, Г.О. ГОРОД ТУЛА, Г ТУЛА, ПЕР КИРПИЧНЫЙ, Д. 34, ПОМЕЩ. 21,30</t>
  </si>
  <si>
    <t>ООО БЕКАС</t>
  </si>
  <si>
    <t>300012, ТУЛЬСКАЯ ОБЛАСТЬ, Г ТУЛА, УЛ РЯЗАНСКАЯ, Д. 7, ПОМЕЩ. 8</t>
  </si>
  <si>
    <t>ИП ЖАРОВА НИНА СЕРГЕЕВНА</t>
  </si>
  <si>
    <t>ИП КАСАТКИН ЮРИЙ ПАВЛОВИЧ</t>
  </si>
  <si>
    <t>ООО СТРОЙТРАНСГРУЗ</t>
  </si>
  <si>
    <t>301371, ТУЛЬСКАЯ ОБЛАСТЬ, Р-Н АЛЕКСИНСКИЙ, Г АЛЕКСИН, ПР-Д СТРОИТЕЛЕЙ 2-Й, Д. 4, КВ. 11</t>
  </si>
  <si>
    <t>ИП МАКАРОВА ОЛЬГА ВИТАЛЬЕВНА</t>
  </si>
  <si>
    <t>ИП АГАФОНОВ ГЛЕБ АЛЕКСАНДРОВИЧ</t>
  </si>
  <si>
    <t>ИП МИШКИНА АНАСТАСИЯ ИВАНОВНА</t>
  </si>
  <si>
    <t>ИП Якунина Людмила Петровна</t>
  </si>
  <si>
    <t>ИП АРТАМОНОВ ОЛЕГ ВИКТОРОВИЧ</t>
  </si>
  <si>
    <t>ИП СЕМЕНОВ ВАСИЛИЙ НИКОЛАЕВИЧ</t>
  </si>
  <si>
    <t>ИП ГЛАЗКОВ КОНСТАНТИН ВИКТОРОВИЧ</t>
  </si>
  <si>
    <t>ИП ЗЕЛЕНЦОВ НИКОЛАЙ ПАВЛОВИЧ</t>
  </si>
  <si>
    <t>ООО АЭРОЗОЛЬ НОВОМОСКОВСК</t>
  </si>
  <si>
    <t>301651, ТУЛЬСКАЯ ОБЛАСТЬ, Р-Н НОВОМОСКОВСКИЙ, Г НОВОМОСКОВСК, УЛ СВОБОДЫ, Д. 8</t>
  </si>
  <si>
    <t>ИП ДРОЗДОВА СВЕТЛАНА ВИКТОРОВНА</t>
  </si>
  <si>
    <t>ООО АВТОУЗЕЛ</t>
  </si>
  <si>
    <t>300045, ТУЛЬСКАЯ ОБЛАСТЬ, Г ТУЛА, УЛ СТАРОНИКИТСКАЯ, Д. 105, ПОМЕЩ. 1</t>
  </si>
  <si>
    <t>ООО ГЛАВНАЯ ДОРОГА</t>
  </si>
  <si>
    <t>301600, ТУЛЬСКАЯ ОБЛАСТЬ, Р-Н УЗЛОВСКИЙ, Г УЗЛОВАЯ, УЛ ТУЛЬСКАЯ, Д. 1</t>
  </si>
  <si>
    <t>301602, ТУЛЬСКАЯ ОБЛАСТЬ, Р-Н УЗЛОВСКИЙ, Г УЗЛОВАЯ, УЛ ДУБОВСКАЯ, Д. 1</t>
  </si>
  <si>
    <t>ИП ТИМОШЕНКО ТАТЬЯНА НИКОЛАЕВНА</t>
  </si>
  <si>
    <t>ИП БОЧАРНИКОВ СЕРГЕЙ АЛЕКСАНДРОВИЧ</t>
  </si>
  <si>
    <t>ИП КИРИЛИН МАКСИМ НИКОЛАЕВИЧ</t>
  </si>
  <si>
    <t>ИП КОЛМЫКОВА ОЛЬГА АЛЕКСАНДРОВНА</t>
  </si>
  <si>
    <t>ИП ПРОХОЖАЙ АЛЕКСАНДР ВЛАДИМИРОВИЧ</t>
  </si>
  <si>
    <t>ИП САМОВИКОВ СЕРГЕЙ СЕРГЕЕВИЧ</t>
  </si>
  <si>
    <t>ИП МАТЮХИН НИКИТА ВЯЧЕСЛАВОВИЧ</t>
  </si>
  <si>
    <t>ИП НЕМЧИНОВ ДАНИИЛ ВИТАЛЬЕВИЧ</t>
  </si>
  <si>
    <t>ИП ЧЕРНИКОВ АНДРЕЙ ГРИГОРЬЕВИЧ</t>
  </si>
  <si>
    <t>ООО ВМ-АВТО</t>
  </si>
  <si>
    <t>300034, РОССИЯ, ТУЛЬСКАЯ ОБЛАСТЬ, Г.О. ГОРОД ТУЛА, Г ТУЛА, УЛ К.ЦЕТКИН, Д. 6, КОМ. 601</t>
  </si>
  <si>
    <t>ИП ДЕНИСОВА ИРИНА НИКОЛАЕВНА</t>
  </si>
  <si>
    <t>ООО КОЛОМНА АВТО</t>
  </si>
  <si>
    <t>300012, РОССИЯ, ТУЛЬСКАЯ ОБЛАСТЬ, Г.О. ГОРОД ТУЛА, Г ТУЛА, УЛ РЯЗАНСКАЯ, Д. 38, ПОМЕЩ. 419 (ЧАСТЬ), 4 ЭТАЖ, К. ГЛАВНЫЙ</t>
  </si>
  <si>
    <t>ИП ЖЕГЛОВА ЕЛЕНА ВЛАДИМИРОВНА</t>
  </si>
  <si>
    <t>ООО АВТОКЛАСС НОРД</t>
  </si>
  <si>
    <t>300901, ТУЛЬСКАЯ ОБЛАСТЬ, Г ТУЛА, П ГОРЕЛКИ, Ш МОСКОВСКОЕ, Д. 2Н, ОФИС 1</t>
  </si>
  <si>
    <t>ООО АВТОКЛАСС РДС</t>
  </si>
  <si>
    <t>301657, ТУЛЬСКАЯ ОБЛАСТЬ, Г.О. ГОРОД НОВОМОСКОВСК, Г НОВОМОСКОВСК, УЛ КОСМОНАВТОВ, Д. 37Д, ОФИС 2</t>
  </si>
  <si>
    <t>ИП ТОКАРЕВА ЕЛЕНА ИВАНОВНА</t>
  </si>
  <si>
    <t>ИП ПОЛЯКОВ АЛЕКСАНДР АЛЕКСЕЕВИЧ</t>
  </si>
  <si>
    <t>ИП СЕЛИЩЕВ АНДРЕЙ ВЛАДИМИРОВИЧ</t>
  </si>
  <si>
    <t>ИП АТНАШЕВ АНДРЕЙ СЕРГЕЕВИЧ</t>
  </si>
  <si>
    <t>ИП РАЗВАЛЯЕВ АЛЕКСАНДР ЮРЬЕВИЧ</t>
  </si>
  <si>
    <t>Тюменская область</t>
  </si>
  <si>
    <t>ИП ИМАШЕВА ЕЛЕНА РАФАИЛЕВНА</t>
  </si>
  <si>
    <t>625025, РОССИЯ, ТЮМЕНСКАЯ ОБЛАСТЬ, Г.О. ГОРОД ТЮМЕНЬ, Г ТЮМЕНЬ, УЛ ИНТЕРНАЦИОНАЛЬНАЯ, Д. 199, К. 5, КВ. 63</t>
  </si>
  <si>
    <t>ИП МЕЗЕНЦЕВА ЕЛЕНА ВЛАДИМИРОВНА</t>
  </si>
  <si>
    <t>ИП СТЕЛЮК НАТАЛЬЯ ВАСИЛЬЕВНА</t>
  </si>
  <si>
    <t>ИП СПИЧЕНКО АЛЕКСАНДР АЛЕКСАНДРОВИЧ</t>
  </si>
  <si>
    <t>ИП СЛАПОГУЗОВА АЛЁНА ЮРЬЕВНА</t>
  </si>
  <si>
    <t>ИП СИДОРОВ АЛЕКСЕЙ БОРИСОВИЧ</t>
  </si>
  <si>
    <t>ИП Лугинин Александр Георгиевич</t>
  </si>
  <si>
    <t>ИП Вяткин Денис Валерьевич</t>
  </si>
  <si>
    <t>ИП БАРШ АЛЕКСАНДР БОРИСОВИЧ</t>
  </si>
  <si>
    <t>ИП ПЬЯНКОВА ТАМАРА НИКОЛАЕВНА</t>
  </si>
  <si>
    <t>ИП Гоман Павел Игоревич</t>
  </si>
  <si>
    <t>ООО МБ АВТОТРЕЙД</t>
  </si>
  <si>
    <t>625031, ТЮМЕНСКАЯ ОБЛАСТЬ, Г ТЮМЕНЬ, УЛ ВЕТЕРАНОВ ТРУДА, Д. 34А, СТР 4</t>
  </si>
  <si>
    <t>ИП ИШУТИН ВЯЧЕСЛАВ НИКОЛАЕВИЧ</t>
  </si>
  <si>
    <t>ИП КЕРБС ЕЛЕНА ВЛАДИМИРОВНА</t>
  </si>
  <si>
    <t>625043, ТЮМЕНСКАЯ ОБЛАСТЬ, Г ТЮМЕНЬ, УЛ СЛАВЯНСКАЯ, Д. 2А</t>
  </si>
  <si>
    <t>ООО ЭЛИТ КАР СЕРВИС</t>
  </si>
  <si>
    <t>625031, ТЮМЕНСКАЯ ОБЛАСТЬ, Г ТЮМЕНЬ, УЛ МЕЛЬНИКАЙТЕ, Д.20</t>
  </si>
  <si>
    <t>ООО КРЕПЫЖ-УРАЛ</t>
  </si>
  <si>
    <t>625017, ТЮМЕНСКАЯ ОБЛАСТЬ, Г ТЮМЕНЬ, УЛ АВТОРЕМОНТНАЯ, Д. 47, ОФИС 2</t>
  </si>
  <si>
    <t>ИП МИХЕЕВА ОЛЬГА ЛЕОНИДОВНА</t>
  </si>
  <si>
    <t>ИП НЕСТЕРОВ АЛЕКСАНДР НИКОЛАЕВИЧ</t>
  </si>
  <si>
    <t>ИП ИБРАГИМОВ МАКСИМ ДАМИРОВИЧ</t>
  </si>
  <si>
    <t>ИП ГЛУХОВ РОМАН ВАСИЛЬЕВИЧ</t>
  </si>
  <si>
    <t>ООО ПРОСТОР</t>
  </si>
  <si>
    <t>625056, ТЮМЕНСКАЯ ОБЛАСТЬ, Г ТЮМЕНЬ, ПР-Д ВОРОНИНСКИЕ ГОРКИ, Д.194</t>
  </si>
  <si>
    <t>ИП СТАФЕЕВА НАТАЛЬЯ ВАСИЛЬЕВНА</t>
  </si>
  <si>
    <t>ООО ВАРТА</t>
  </si>
  <si>
    <t>625031, ТЮМЕНСКАЯ ОБЛАСТЬ, Г ТЮМЕНЬ, ПР-Д ЮГАНСКИЙ, Д. 31, К. 4</t>
  </si>
  <si>
    <t>ИП ПУГАЧЕВ БОРИС АЛЕКСАНДРОВИЧ</t>
  </si>
  <si>
    <t>ИП ПАРФЕНОВ АНДРЕЙ ВИКТОРОВИЧ</t>
  </si>
  <si>
    <t>ООО ТЮМЕНЬСКАН</t>
  </si>
  <si>
    <t>625503, ТЮМЕНСКАЯ ОБЛАСТЬ, Р-Н ТЮМЕНСКИЙ, КМ 301-ЫЙ (ФАД ЕКАТЕРИНБУРГ-ТЮМЕНЬ ТЕР.), ЗД. 1, СТР. 1</t>
  </si>
  <si>
    <t>ИП ЯНИНА КРИСТИНА КОНСТАНТИНОВНА</t>
  </si>
  <si>
    <t>ООО РУСОЙЛ-АВТО</t>
  </si>
  <si>
    <t>625013, ТЮМЕНСКАЯ ОБЛАСТЬ, Г ТЮМЕНЬ, УЛ ДАМБОВСКАЯ, Д.5, -, -</t>
  </si>
  <si>
    <t>ИП ВАЖЕНИН СЕРГЕЙ ВЛАДИМИРОВИЧ</t>
  </si>
  <si>
    <t>625017, ТЮМЕНСКАЯ ОБЛАСТЬ, Г ТЮМЕНЬ, УЛ АВТОРЕМОНТНАЯ, Д. 31А, СТР. 16, ОФИС 1</t>
  </si>
  <si>
    <t>ИП ИВАНОВ МАКСИМ КОНСТАНТИНОВИЧ</t>
  </si>
  <si>
    <t>ООО ТОРГСЕРВИС 72</t>
  </si>
  <si>
    <t>625032, ТЮМЕНСКАЯ ОБЛАСТЬ, Г ТЮМЕНЬ, УЛ ТИМИРЯЗЕВА, Д. 9, ОФИС 104</t>
  </si>
  <si>
    <t>625053, ТЮМЕНСКАЯ ОБЛАСТЬ, Г ТЮМЕНЬ, Б-Р БОРИСА ЩЕРБИНЫ, Д. 22, КВ. 29</t>
  </si>
  <si>
    <t>625062, ТЮМЕНСКАЯ ОБЛАСТЬ, Г.О. ГОРОД ТЮМЕНЬ, Г ТЮМЕНЬ, УЛ ФЕДЮНИНСКОГО, Д. 41, СТР. 3</t>
  </si>
  <si>
    <t>ООО РУСОЙЛ-КУРГАН</t>
  </si>
  <si>
    <t>625031, ТЮМЕНСКАЯ ОБЛАСТЬ, Г ТЮМЕНЬ, ПР-Д ЮГАНСКИЙ, Д. 33</t>
  </si>
  <si>
    <t>ООО ХОДОВКА</t>
  </si>
  <si>
    <t>625022, ТЮМЕНСКАЯ ОБЛАСТЬ, Г ТЮМЕНЬ, УЛ Ю.-Р.Г.ЭРВЬЕ, Д. 15</t>
  </si>
  <si>
    <t>ООО АВТОСТАРТ</t>
  </si>
  <si>
    <t>625017, ТЮМЕНСКАЯ ОБЛАСТЬ, Г ТЮМЕНЬ, УЛ АВТОРЕМОНТНАЯ, Д.18, К.3</t>
  </si>
  <si>
    <t>ООО ТК ЕВРОКРЕП</t>
  </si>
  <si>
    <t>625017, ТЮМЕНСКАЯ ОБЛАСТЬ, Г ТЮМЕНЬ, УЛ АВТОРЕМОНТНАЯ, Д. 47</t>
  </si>
  <si>
    <t>625007, ТЮМЕНСКАЯ ОБЛАСТЬ, Г.О. ГОРОД ТЮМЕНЬ, Г ТЮМЕНЬ, УЛ МЕЛЬНИКАЙТЕ, Д. 125Б, ПОМЕЩ. 2</t>
  </si>
  <si>
    <t>625023, ТЮМЕНСКАЯ ОБЛАСТЬ, Г ТЮМЕНЬ, УЛ ПРЖЕВАЛЬСКОГО, Д. 36, ОФИС 130</t>
  </si>
  <si>
    <t>625046, ТЮМЕНСКАЯ ОБЛАСТЬ, Г ТЮМЕНЬ, УЛ ШИРОТНАЯ, Д. 126, К. 2, КВ. 93</t>
  </si>
  <si>
    <t>ООО АВТ-ТРЕЙД</t>
  </si>
  <si>
    <t>625051, ТЮМЕНСКАЯ ОБЛАСТЬ, Г ТЮМЕНЬ, УЛ ШИРОТНАЯ, Д. 163, КВ. 81</t>
  </si>
  <si>
    <t>ООО ТКК</t>
  </si>
  <si>
    <t>625016, ТЮМЕНСКАЯ ОБЛАСТЬ, Г ТЮМЕНЬ, УЛ НИКОЛАЯ СЕМЕНОВА, Д. 31, К. 2, КВ. 141</t>
  </si>
  <si>
    <t>ООО ЛИГА-72</t>
  </si>
  <si>
    <t>625051, ТЮМЕНСКАЯ ОБЛАСТЬ, Г ТЮМЕНЬ, УЛ ПРОКОПИЯ АРТАМОНОВА, Д. 15/13, ОФИС 2</t>
  </si>
  <si>
    <t>ООО СМ-ТРЕЙД</t>
  </si>
  <si>
    <t>625033, ТЮМЕНСКАЯ ОБЛАСТЬ, Г ТЮМЕНЬ, УЛ ПЕРМЯКОВА, Д. 84, К. 1, КВ. 133</t>
  </si>
  <si>
    <t>ООО МОТОМАХ</t>
  </si>
  <si>
    <t>625051, ТЮМЕНСКАЯ ОБЛАСТЬ, Г ТЮМЕНЬ, УЛ СТАНИСЛАВА КАРНАЦЕВИЧА, Д. 14, К. 1, КВ. 68</t>
  </si>
  <si>
    <t>ООО АКУМПРОД</t>
  </si>
  <si>
    <t>625046, ТЮМЕНСКАЯ ОБЛАСТЬ, Г ТЮМЕНЬ, УЛ ШИРОТНАЯ, Д. 111, КВ. 5</t>
  </si>
  <si>
    <t>ООО КАРИД</t>
  </si>
  <si>
    <t>625017, ТЮМЕНСКАЯ ОБЛАСТЬ, Г ТЮМЕНЬ, УЛ АВТОРЕМОНТНАЯ, Д. 8, ОФИС 204</t>
  </si>
  <si>
    <t>ООО АРТСПЛИТ</t>
  </si>
  <si>
    <t>625062, ТЮМЕНСКАЯ ОБЛАСТЬ, Г ТЮМЕНЬ, УЛ МОЛОДЕЖНАЯ, Д. 28/2, КАБИНЕТ 2</t>
  </si>
  <si>
    <t>ООО СТАБИО ТРЕЙД</t>
  </si>
  <si>
    <t>625003, РОССИЯ, ТЮМЕНСКАЯ ОБЛАСТЬ, Г.О. ГОРОД ТЮМЕНЬ, Г ТЮМЕНЬ, УЛ КЛАРЫ ЦЕТКИН, Д. 59, ЭТАЖ 1</t>
  </si>
  <si>
    <t>ООО РОБЭКС</t>
  </si>
  <si>
    <t>625001, ТЮМЕНСКАЯ ОБЛАСТЬ, Г.О. ГОРОД ТЮМЕНЬ, Г ТЮМЕНЬ, УЛ БАБАРЫНКА, Д. 1, К. 2, ОФИС 1</t>
  </si>
  <si>
    <t>625035, РОССИЯ, ТЮМЕНСКАЯ ОБЛАСТЬ, Г.О. ГОРОД ТЮМЕНЬ, Г ТЮМЕНЬ, УЛ РЕСПУБЛИКИ, Д. 188, КВ. 172</t>
  </si>
  <si>
    <t>ООО ПЕРСЕЙ</t>
  </si>
  <si>
    <t>625019, РОССИЯ, ТЮМЕНСКАЯ ОБЛАСТЬ, Г.О. ГОРОД ТЮМЕНЬ, Г ТЮМЕНЬ, УЛ ЧЕКИСТОВ, Д. 26, К. 2, ОФИС 8</t>
  </si>
  <si>
    <t>ООО РЕМКОФФ</t>
  </si>
  <si>
    <t>625063, РОССИЯ, ТЮМЕНСКАЯ ОБЛАСТЬ, Г.О. ГОРОД ТЮМЕНЬ, Г ТЮМЕНЬ, УЛ АЛЕКСАНДРА ПРОТОЗАНОВА, Д. 4, КВ. 240</t>
  </si>
  <si>
    <t>ООО ВМ-Т-АЗИЯ</t>
  </si>
  <si>
    <t>625033, ТЮМЕНСКАЯ ОБЛАСТЬ, Г.О. ГОРОД ТЮМЕНЬ, Г ТЮМЕНЬ, УЛ ФЕДЮНИНСКОГО, Д. 69, ЭТАЖ 1, ПОМЕЩ. 1</t>
  </si>
  <si>
    <t>625037, РОССИЯ, ТЮМЕНСКАЯ ОБЛАСТЬ, Г.О. ГОРОД ТЮМЕНЬ, Г ТЮМЕНЬ, УЛ БЕЛИНСКОГО, Д. 7, КВ. 79</t>
  </si>
  <si>
    <t>625019, РОССИЯ, ТЮМЕНСКАЯ ОБЛАСТЬ, Г.О. ГОРОД ТЮМЕНЬ, Г ТЮМЕНЬ, УЛ ЧЕКИСТОВ, Д. 28, СТР. 13</t>
  </si>
  <si>
    <t>ИП ЧАЩИН ЕВГЕНИЙ ВЛАДИСЛАВОВИЧ</t>
  </si>
  <si>
    <t>ООО ТД РУСОЙЛ</t>
  </si>
  <si>
    <t>625030, ТЮМЕНСКАЯ ОБЛАСТЬ, Г ТЮМЕНЬ, УЛ СТАВРОПОЛЬСКАЯ, Д. 101, СТР. 1, ОФИС 1</t>
  </si>
  <si>
    <t>ИП ЗОЛЬНИКОВ ВИКТОР АНАТОЛЬЕВИЧ</t>
  </si>
  <si>
    <t>ИП БАРАШКОВ АНДРЕЙ АНАТОЛЬЕВИЧ</t>
  </si>
  <si>
    <t>МАДОУ ЦРР - ДЕТСКИЙ САД № 50 ГОРОДА ТЮМЕНИ</t>
  </si>
  <si>
    <t>625025, ТЮМЕНСКАЯ ОБЛАСТЬ, Г ТЮМЕНЬ, УЛ ПАРКОВАЯ, Д.2Б</t>
  </si>
  <si>
    <t>ООО АМЕКС</t>
  </si>
  <si>
    <t>625059, ТЮМЕНСКАЯ ОБЛАСТЬ, Г ТЮМЕНЬ, УЛ ТИМОФЕЯ ЧАРКОВА, Д. 19, СТР. 3, ОФИС 2</t>
  </si>
  <si>
    <t>ООО ТЕХЦЕНТР АРСЕНАЛ</t>
  </si>
  <si>
    <t>625056, ТЮМЕНСКАЯ ОБЛАСТЬ, Г ТЮМЕНЬ, ПР-Д ВОРОНИНСКИЕ ГОРКИ, Д.162</t>
  </si>
  <si>
    <t>ИП ГАБДУЛИН АСКАР КАСЫМКАНОВИЧ</t>
  </si>
  <si>
    <t>ООО ТДО</t>
  </si>
  <si>
    <t>625015, ТЮМЕНСКАЯ ОБЛАСТЬ, Г ТЮМЕНЬ, УЛ ДАЧНАЯ, Д. 2Б</t>
  </si>
  <si>
    <t>ИП ЛЫСЕНКО АЛЕКСАНДР ИВАНОВИЧ</t>
  </si>
  <si>
    <t>ИП ЧИБИЗОВА МАРИНА ВИКТОРОВНА</t>
  </si>
  <si>
    <t>ООО АВТОТЕХЦЕНТР НА ЛИТВИНОВА 1</t>
  </si>
  <si>
    <t>627750, ТЮМЕНСКАЯ ОБЛАСТЬ, Г ИШИМ, УЛ ЛИТВИНОВА, Д. 1</t>
  </si>
  <si>
    <t>627715, ТЮМЕНСКАЯ ОБЛАСТЬ, М.Р-Н ИШИМСКИЙ, ТЕР. АВТОДОРОГА ИШИМ-КАЗАНСКОЕ-ГРАНИЦА КАЗАХСТАНА, КМ 12-Й, ЗД. 1, ПОМЕЩ. 1</t>
  </si>
  <si>
    <t>ИП ИЗМАЙЛОВА ЮЛИЯ АНДРЕЕВНА</t>
  </si>
  <si>
    <t>ИП ИВАНОВ ВЛАДИМИР АНАТОЛЬЕВИЧ</t>
  </si>
  <si>
    <t>Импортер, Розница, УОТ, Производитель</t>
  </si>
  <si>
    <t>ООО ЛИДИЯ</t>
  </si>
  <si>
    <t>626102, ТЮМЕНСКАЯ ОБЛАСТЬ, Г ТОБОЛЬСК, РП СУМКИНО, УЛ ВОДНИКОВ, Д.3</t>
  </si>
  <si>
    <t>ИП БОРИСОВА ЕЛЕНА БОРИСОВНА</t>
  </si>
  <si>
    <t>ИП БОГДАНОВА НАТАЛЬЯ АЛЕКСЕЕВНА</t>
  </si>
  <si>
    <t>626128, ТЮМЕНСКАЯ ОБЛАСТЬ, Г ТОБОЛЬСК, ТЕР БСИ-2-КВАРТАЛ 3, СТР. 10</t>
  </si>
  <si>
    <t>ООО ПЯТЬ ПРОЦЕНТОВ</t>
  </si>
  <si>
    <t>626125, ТЮМЕНСКАЯ ОБЛАСТЬ, Р-Н ТОБОЛЬСКИЙ, С АБАЛАК, УЛ СОВЕТСКАЯ, Д. 59</t>
  </si>
  <si>
    <t>ИП БУКАРИНОВА ЭЛИНА ГРИГОРЬЕВНА</t>
  </si>
  <si>
    <t>ИП САМОХВАЛОВА ОЛЬГА ВЯЧЕСЛАВОВНА</t>
  </si>
  <si>
    <t>ИП ЗАСОРИНА НАДЕЖДА ПАВЛОВНА</t>
  </si>
  <si>
    <t>ИП ГОРОБИНСКИЙ ДМИТРИЙ СЕРГЕЕВИЧ</t>
  </si>
  <si>
    <t>ИП АКИЛИН КИРИЛЛ АНАТОЛЬЕВИЧ</t>
  </si>
  <si>
    <t>ИП ДИДУСЬ КСЕНИЯ ИГОРЕВНА</t>
  </si>
  <si>
    <t>ИП ГУБИН АНДРЕЙ АЛЕКСАНДРОВИЧ</t>
  </si>
  <si>
    <t>ИП НИКИТИНА ОЛЬГА АЛЕКСАНДРОВНА</t>
  </si>
  <si>
    <t>ИП КОРЧАГИНА ТАТЬЯНА НИКОЛАЕВНА</t>
  </si>
  <si>
    <t>ИП ЕГОРОВ СЕРГЕЙ ЮРЬЕВИЧ</t>
  </si>
  <si>
    <t>ИП ПУПЫШЕВ АНТОН СЕРГЕЕВИЧ</t>
  </si>
  <si>
    <t>ИП МОИСЕЕВА ЕКАТЕРИНА АЛЕКСЕЕВНА</t>
  </si>
  <si>
    <t>ИП ДАНИЛОВ ЕГОР СЕРГЕЕВИЧ</t>
  </si>
  <si>
    <t>ЗАО АВТОМАКС-2000</t>
  </si>
  <si>
    <t>625062, ТЮМЕНСКАЯ ОБЛАСТЬ, Г.О. ГОРОД ТЮМЕНЬ, Г ТЮМЕНЬ, УЛ ФЕДЮНИНСКОГО, Д. 10А</t>
  </si>
  <si>
    <t>ООО СИБНЕФТЕПРОДУКТ</t>
  </si>
  <si>
    <t>625013, ТЮМЕНСКАЯ ОБЛАСТЬ, Г.О. ГОРОД ТЮМЕНЬ, Г ТЮМЕНЬ, УЛ ПЕРМЯКОВА, Д. 1, СТР. 5, ОФИС 404</t>
  </si>
  <si>
    <t>ИП Трофимов Валерий Георгиевич</t>
  </si>
  <si>
    <t>ИП ЧЕРНЫШЕВ КОНСТАНТИН СЕРГЕЕВИЧ</t>
  </si>
  <si>
    <t>ИП АРТЮШЕНЯ КОНСУЭЛА ЮРЬЕВНА</t>
  </si>
  <si>
    <t>ИП САБИТОВ РЕНАТ ЮЛАЕВИЧ</t>
  </si>
  <si>
    <t>ООО АВТО-25</t>
  </si>
  <si>
    <t>625019, ТЮМЕНСКАЯ ОБЛАСТЬ, Г ТЮМЕНЬ, УЛ ЧЕКИСТОВ, Д. 28, ОФИС 11</t>
  </si>
  <si>
    <t>ИП БУРЛАЧЕНКО СЕРГЕЙ АЛЕКСАНДРОВИЧ</t>
  </si>
  <si>
    <t>ИП ВВЕДЕНСКАЯ ИРИНА АНАТОЛЬЕВНА</t>
  </si>
  <si>
    <t>ООО СПС-МД</t>
  </si>
  <si>
    <t>625013, ТЮМЕНСКАЯ ОБЛАСТЬ, Г ТЮМЕНЬ, УЛ 50 ЛЕТ ОКТЯБРЯ, Д.120, -, -</t>
  </si>
  <si>
    <t>ИП ГРИГОРЬЕВА НАТАЛЬЯ ВАЛЕРЬЕВНА</t>
  </si>
  <si>
    <t>ИП ЛАШЕНКО ДЕНИС ЮРЬЕВИЧ</t>
  </si>
  <si>
    <t>625031, ТЮМЕНСКАЯ ОБЛАСТЬ, Г.О. ГОРОД ТЮМЕНЬ, Г ТЮМЕНЬ, УЛ ВЕТЕРАНОВ ТРУДА, Д. 40Г, ПОМЕЩ. 1</t>
  </si>
  <si>
    <t>ООО ТЮМЕНЬЗАПЧАСТЬОПТТОРГ</t>
  </si>
  <si>
    <t>625014, ТЮМЕНСКАЯ ОБЛАСТЬ, Г ТЮМЕНЬ, УЛ РЕСПУБЛИКИ, Д.256, К.Б, -</t>
  </si>
  <si>
    <t>ООО НИККО</t>
  </si>
  <si>
    <t>625023, ТЮМЕНСКАЯ ОБЛАСТЬ, Г ТЮМЕНЬ, УЛ ОДЕССКАЯ, Д.1Г</t>
  </si>
  <si>
    <t>ООО СВЯЗЬСЕРВИС</t>
  </si>
  <si>
    <t>625048, ТЮМЕНСКАЯ ОБЛАСТЬ, Г ТЮМЕНЬ, УЛ МАКСИМА ГОРЬКОГО, Д. 59, К. 1, ОФИС 10</t>
  </si>
  <si>
    <t>ИП МАРТЫНОВСКИЙ ЮРИЙ ЮРЬЕВИЧ</t>
  </si>
  <si>
    <t>ООО ПРЕМИУМ ОЙЛ</t>
  </si>
  <si>
    <t>625031, ТЮМЕНСКАЯ ОБЛАСТЬ, Г.О. ГОРОД ТЮМЕНЬ, Г ТЮМЕНЬ, ПРОЕЗД ЮГАНСКИЙ, Д. 33, ЭТАЖ 2</t>
  </si>
  <si>
    <t>ИП РЕШЕТНЯК АЛЕКСАНДР ВАЛЕРЬЕВИЧ</t>
  </si>
  <si>
    <t>ИП Кошель Андрей Игоревич</t>
  </si>
  <si>
    <t>ООО ИНТЕР - АВТО</t>
  </si>
  <si>
    <t>625022, ТЮМЕНСКАЯ ОБЛАСТЬ, Г ТЮМЕНЬ, УЛ АЛЕБАШЕВСКАЯ, Д. 15</t>
  </si>
  <si>
    <t>ИП ЖИДКОВА ЮЛИЯ СЕРГЕЕВНА</t>
  </si>
  <si>
    <t>ООО СЕВЕРАВТОДЕТАЛЬ</t>
  </si>
  <si>
    <t>625031, ТЮМЕНСКАЯ ОБЛАСТЬ, Г ТЮМЕНЬ, УЛ ДРУЖБЫ, Д.227</t>
  </si>
  <si>
    <t>ООО ЭКСЛЮБ</t>
  </si>
  <si>
    <t>625019, ТЮМЕНСКАЯ ОБЛАСТЬ, Г ТЮМЕНЬ, УЛ РЕСПУБЛИКИ, Д. 252А, ОФИС 1</t>
  </si>
  <si>
    <t>ООО ВЕСТАКАР</t>
  </si>
  <si>
    <t>625053, ТЮМЕНСКАЯ ОБЛАСТЬ, Г.О. ГОРОД ТЮМЕНЬ, Г ТЮМЕНЬ, УЛ МАЛАЯ БОРОВСКАЯ, Д. 3, КВ. 24</t>
  </si>
  <si>
    <t>ООО НОРСКЕН-ОЙЛ</t>
  </si>
  <si>
    <t>625059, ТЮМЕНСКАЯ ОБЛАСТЬ, Г ТЮМЕНЬ, УЛ ТИМОФЕЯ ЧАРКОВА, Д. 19, СТР. 1</t>
  </si>
  <si>
    <t>ООО ТМСК</t>
  </si>
  <si>
    <t>ООО ТД ФАВОРИТ-АВТО</t>
  </si>
  <si>
    <t>625034, ТЮМЕНСКАЯ ОБЛАСТЬ, Г ТЮМЕНЬ, УЛ К.ЗАСЛОНОВА, Д. 29, ОФИС 204</t>
  </si>
  <si>
    <t>ООО ЭКОМАШ</t>
  </si>
  <si>
    <t>625048, ТЮМЕНСКАЯ ОБЛАСТЬ, Г.О. ГОРОД ТЮМЕНЬ, Г ТЮМЕНЬ, УЛ МАЛЫГИНА, Д. 50, ПОМЕЩ. 1</t>
  </si>
  <si>
    <t>625059, ТЮМЕНСКАЯ ОБЛАСТЬ, Г ТЮМЕНЬ, УЛ ТИМОФЕЯ ЧАРКОВА, Д. 19, СТР. 2</t>
  </si>
  <si>
    <t>ООО АВТОМАГ ЭЛИТ</t>
  </si>
  <si>
    <t>625037, ТЮМЕНСКАЯ ОБЛАСТЬ, Г ТЮМЕНЬ, УЛ БЕЛИНСКОГО, Д. 24, КВ. 60</t>
  </si>
  <si>
    <t>ООО ЛАРДЕНГРУПП</t>
  </si>
  <si>
    <t>625056, ТЮМЕНСКАЯ ОБЛАСТЬ, Г.О. ГОРОД ТЮМЕНЬ, Г ТЮМЕНЬ, ПРОЕЗД ВОРОНИНСКИЕ ГОРКИ, Д. 101Б, ОФИС 205</t>
  </si>
  <si>
    <t>ООО МОТОСИТИ-ТЮМЕНЬ</t>
  </si>
  <si>
    <t>625041, ТЮМЕНСКАЯ ОБЛАСТЬ, Г ТЮМЕНЬ, УЛ ИНСТИТУТСКАЯ, Д. 10, ОФИС 204</t>
  </si>
  <si>
    <t>ООО ДА-ПАРТС</t>
  </si>
  <si>
    <t>625007, ТЮМЕНСКАЯ ОБЛАСТЬ, Г ТЮМЕНЬ, ПР-Д 9 МАЯ, Д. 2, КВ. 228</t>
  </si>
  <si>
    <t>ООО ЗАПСИБОЙЛ</t>
  </si>
  <si>
    <t>625022, РОССИЯ, ТЮМЕНСКАЯ ОБЛАСТЬ, Г.О. ГОРОД ТЮМЕНЬ, Г ТЮМЕНЬ, ПРОЕЗД СОЛНЕЧНЫЙ, Д. 8, КВ. 86</t>
  </si>
  <si>
    <t>ООО ТИМ АВТО</t>
  </si>
  <si>
    <t>625063, РОССИЯ, ТЮМЕНСКАЯ ОБЛАСТЬ, Г.О. ГОРОД ТЮМЕНЬ, Г ТЮМЕНЬ, УЛ АЛЕКСАНДРА ПРОТОЗАНОВА, Д. 18, КВ. 40</t>
  </si>
  <si>
    <t>ООО КОМПЛЕКТТРЕЙД</t>
  </si>
  <si>
    <t>625002, РОССИЯ, ТЮМЕНСКАЯ ОБЛАСТЬ, Г.О. ГОРОД ТЮМЕНЬ, Г ТЮМЕНЬ, УЛ ОСИПЕНКО, Д. 73, КВ. 96</t>
  </si>
  <si>
    <t>ООО УТМ-АВТО</t>
  </si>
  <si>
    <t>625046, РОССИЯ, ТЮМЕНСКАЯ ОБЛАСТЬ, Г.О. ГОРОД ТЮМЕНЬ, Г ТЮМЕНЬ, УЛ МОНТАЖНИКОВ, Д. 8, СТР. 3, ОФИС 9</t>
  </si>
  <si>
    <t>ООО ИТ-РЕШЕНИЕ</t>
  </si>
  <si>
    <t>625002, РОССИЯ, ТЮМЕНСКАЯ ОБЛАСТЬ, Г.О. ГОРОД ТЮМЕНЬ, Г ТЮМЕНЬ, УЛ ОСИПЕНКО, Д. 81, ОФИС 1113</t>
  </si>
  <si>
    <t>ООО НГСС</t>
  </si>
  <si>
    <t>625003, РОССИЯ, ТЮМЕНСКАЯ ОБЛАСТЬ, Г.О. ГОРОД ТЮМЕНЬ, Г ТЮМЕНЬ, УЛ ОРЛОВСКАЯ, Д. 52, ПОМЕЩ. 5, ПОМЕЩ. 9</t>
  </si>
  <si>
    <t>ООО ЭЦ ВЕЗДЕХОД</t>
  </si>
  <si>
    <t>625002, РОССИЯ, ТЮМЕНСКАЯ ОБЛАСТЬ, Г.О. ГОРОД ТЮМЕНЬ, Г ТЮМЕНЬ, УЛ ГОСПАРОВСКАЯ, Д. 2, К. 1, СТР. 4</t>
  </si>
  <si>
    <t>АО ТЮМЕНСКИЙ АККУМУЛЯТОРНЫЙ ЗАВОД</t>
  </si>
  <si>
    <t>625037, ТЮМЕНСКАЯ ОБЛАСТЬ, Г ТЮМЕНЬ, УЛ ЯМСКАЯ, Д. 103</t>
  </si>
  <si>
    <t>ИП ДЕРГАЧЕВ ВЛАДИМИР ВЛАДИМИРОВИЧ</t>
  </si>
  <si>
    <t>ИП ПРУДАЕВА НАТАЛЬЯ СТЕПАНОВНА</t>
  </si>
  <si>
    <t>ИП ФЕДОРОВСКИХ ДЕНИС НИКОЛАЕВИЧ</t>
  </si>
  <si>
    <t>ЗАО ЭЛЬФ</t>
  </si>
  <si>
    <t>625001, ТЮМЕНСКАЯ ОБЛАСТЬ, Г ТЮМЕНЬ, УЛ ЯМСКАЯ, -, К.103, -</t>
  </si>
  <si>
    <t>ИП МОРОЗОВ ИГОРЬ АЛЕКСЕЕВИЧ</t>
  </si>
  <si>
    <t>ИП ХАСАНОВ РУСЛАН РАФАИЛЬЕВИЧ</t>
  </si>
  <si>
    <t>ИП РЮПИН АЛЕКСЕЙ ВЛАДИМИРОВИЧ</t>
  </si>
  <si>
    <t>ООО ЕВРОАЗИЯ-МОТОРС</t>
  </si>
  <si>
    <t>625017, ТЮМЕНСКАЯ ОБЛАСТЬ, Г.О. ГОРОД ТЮМЕНЬ, Г ТЮМЕНЬ, УЛ АВТОРЕМОНТНАЯ, Д. 12, ОФИС 10</t>
  </si>
  <si>
    <t>ИП ЯГОВЦЕВ ВЛАДИМИР НИКОЛАЕВИЧ</t>
  </si>
  <si>
    <t>ООО НОРДЭКС</t>
  </si>
  <si>
    <t>625041, РОССИЯ, ТЮМЕНСКАЯ ОБЛАСТЬ, Г.О. ГОРОД ТЮМЕНЬ, Г ТЮМЕНЬ, УЛ ИНСТИТУТСКАЯ, Д. 10, ЭТАЖ МАНСАРДА, ОФИС 301</t>
  </si>
  <si>
    <t>627705, РОССИЯ, ТЮМЕНСКАЯ ОБЛАСТЬ, М.Р-Н ИШИМСКИЙ, С СТРЕХНИНО, С.П. СТРЕХНИНСКОЕ, УЛ МЕЛИОРАТИВНАЯ, ЗД. 101, СТР. 7</t>
  </si>
  <si>
    <t>ИП ЛЫСЕНКО ВИКТОР АЛЕКСАНДРОВИЧ</t>
  </si>
  <si>
    <t>ИП МОРЖЕВИЛОВ СЕРГЕЙ ГЕННАДЬЕВИЧ</t>
  </si>
  <si>
    <t>ИП ЗАСОРИН ПАВЕЛ НИКАНДРОВИЧ</t>
  </si>
  <si>
    <t>ИП ВШИВЦЕВ ЕВГЕНИЙ СЕРГЕЕВИЧ</t>
  </si>
  <si>
    <t>ООО АВТОГАРАНТ</t>
  </si>
  <si>
    <t>626150, ТЮМЕНСКАЯ ОБЛАСТЬ, Г ТОБОЛЬСК, МКР 8, Д. 28, КВ. 147</t>
  </si>
  <si>
    <t>626150, ТЮМЕНСКАЯ ОБЛАСТЬ, Г ТОБОЛЬСК, МКР 6, Д. 19, КВ. 14</t>
  </si>
  <si>
    <t>ООО ТК ВОСТОЧНЫЙ</t>
  </si>
  <si>
    <t>626170, ТЮМЕНСКАЯ ОБЛАСТЬ, Р-Н УВАТСКИЙ, С УВАТ, УЛ АВИАТОРОВ, Д.2</t>
  </si>
  <si>
    <t>ИП ТРАВНИКОВА ГАЛИНА НИКОЛАЕВНА</t>
  </si>
  <si>
    <t>ИП ЛУЧАНОВСКИЙ МАКСИМ ВЛАДИМИРОВИЧ</t>
  </si>
  <si>
    <t>ИП ПОДКОРЫТОВ СЕРГЕЙ НИКОЛАЕВИЧ</t>
  </si>
  <si>
    <t>627143, ТЮМЕНСКАЯ ОБЛАСТЬ, Г ЗАВОДОУКОВСК, УЛ РЕВОЛЮЦИОННАЯ, ЗД. 1Г</t>
  </si>
  <si>
    <t>ИП СУНЬКО ПЕТР ВЛАДИМИРОВИЧ</t>
  </si>
  <si>
    <t>ИП РЕНЕВА ИРМА ФИЛИППОВНА</t>
  </si>
  <si>
    <t>ИП МАЛЫШЕВ БОРИС НИКОЛАЕВИЧ</t>
  </si>
  <si>
    <t>627715, ТЮМЕНСКАЯ ОБЛАСТЬ, М.Р-Н ИШИМСКИЙ, ТЕР. АВТОДОРОГА ИШИМ-КАЗАНСКОЕ-ГРАНИЦА КАЗАХСТАНА, КМ 12-Й, ЗД. 1, ПОМЕЩ. 2</t>
  </si>
  <si>
    <t>ИП УЗБЕКОВ СЕРГЕЙ АДЕЛЬШАНОВИЧ</t>
  </si>
  <si>
    <t>ИП ГУЦАЛО СЕРГЕЙ МИХАЙЛОВИЧ</t>
  </si>
  <si>
    <t>АНО ОСООЦ ВИТЯЗЬ</t>
  </si>
  <si>
    <t>625516, ТЮМЕНСКАЯ ОБЛАСТЬ, Р-Н ТЮМЕНСКИЙ, П АНДРЕЕВСКИЙ</t>
  </si>
  <si>
    <t>ИП ТОУГАЕВ АНДРЕЙ ХАЛИДОВИЧ</t>
  </si>
  <si>
    <t>ИП МИНГАЛЁВ ЕВГЕНИЙ ДМИТРИЕВИЧ</t>
  </si>
  <si>
    <t>ООО ТРЕНД-АВТО</t>
  </si>
  <si>
    <t>625046, РОССИЯ, ТЮМЕНСКАЯ ОБЛАСТЬ, Г.О. ГОРОД ТЮМЕНЬ, Г ТЮМЕНЬ, УЛ ШИРОТНАЯ, Д. 129, К. 1, ПОМЕЩ. 4</t>
  </si>
  <si>
    <t>ООО СИБПРОМЭКСПОРТ</t>
  </si>
  <si>
    <t>625526, РОССИЯ, ТЮМЕНСКАЯ ОБЛАСТЬ, М.Р-Н ТЮМЕНСКИЙ, С КУЛАКОВО, С.П. КУЛАКОВСКОЕ, УЛ. КУПЕЧЕСКАЯ, Д. 29</t>
  </si>
  <si>
    <t>ООО ТК ПРОФИТРЕЙД</t>
  </si>
  <si>
    <t>626150, РОССИЯ, ТЮМЕНСКАЯ ОБЛАСТЬ, Г.О. ГОРОД ТОБОЛЬСК, Г ТОБОЛЬСК, УЛ УВАТСКАЯ, Д. 8, ПОМЕЩ. 1</t>
  </si>
  <si>
    <t>ИП ШУМИЛОВ АЛЕКСАНДР МИХАЙЛОВИЧ</t>
  </si>
  <si>
    <t>ИП МАРЧЕНКО ВАЛЕРИЙ ВЛАДИМИРОВИЧ</t>
  </si>
  <si>
    <t>ИП БАЖЕНОВ ФЁДОР НИКОЛАЕВИЧ</t>
  </si>
  <si>
    <t>ООО ТД ПОКРОВСКИЙ</t>
  </si>
  <si>
    <t>626053, ТЮМЕНСКАЯ ОБЛАСТЬ, Р-Н ЯРКОВСКИЙ, С ПОКРОВСКОЕ, УЛ СОВЕТСКАЯ, Д.125, -, -</t>
  </si>
  <si>
    <t>ИП ГУБКИНА ОЛЬГА ИВАНОВНА</t>
  </si>
  <si>
    <t>ИП БРИЦКИЙ СЕРГЕЙ НИКОЛАЕВИЧ</t>
  </si>
  <si>
    <t>ИП КРАУС НАТАЛЬЯ МИХАЙЛОВНА</t>
  </si>
  <si>
    <t>ИП ЧУТЧЕВА МАРИНА МИХАЙЛОВНА</t>
  </si>
  <si>
    <t>ИП НОВОСЕЛОВ АЛЕКСАНДР ОЛЕГОВИЧ</t>
  </si>
  <si>
    <t>ИП АЛЕКСИЕНКО ЕВГЕНИЙ ВИКТОРОВИЧ</t>
  </si>
  <si>
    <t>ИП ЧЕРЕПАНОВ СЕРГЕЙ ИВАНОВИЧ</t>
  </si>
  <si>
    <t>ООО НАШЕ ВРЕМЯ</t>
  </si>
  <si>
    <t>626380, ТЮМЕНСКАЯ ОБЛАСТЬ, Р-Н ИСЕТСКИЙ, С ИСЕТСКОЕ, УЛ СТРОИТЕЛЕЙ, Д.40</t>
  </si>
  <si>
    <t>ИП СОКОЛОВА ЭЛЬМИРА УТЕЖАНОВНА</t>
  </si>
  <si>
    <t>ИП ГОНЧАР ВЛАЛИЯ ГЕОРГИЕВНА</t>
  </si>
  <si>
    <t>ИП ПОГОРЕЛОВ МИХАИЛ СЕРГЕЕВИЧ</t>
  </si>
  <si>
    <t>ИП ЕРЕМЕЕВ СЕРГЕЙ ВЛАДИМИРОВИЧ</t>
  </si>
  <si>
    <t>ИП ТЫЩЕНКО ОЛЕГ АЛЕКСЕЕВИЧ</t>
  </si>
  <si>
    <t>ИП ЮМАШЕВ АЛЕКСЕЙ ВАЛЕРЬЕВИЧ</t>
  </si>
  <si>
    <t>ИП КОННОВА ЕЛЕНА ОЛЕГОВНА</t>
  </si>
  <si>
    <t>ИП УЛЬЯНОВ СТАНИСЛАВ ИВАНОВИЧ</t>
  </si>
  <si>
    <t>ООО СИБАВТОКАМ</t>
  </si>
  <si>
    <t>625503, ТЮМЕНСКАЯ ОБЛАСТЬ, М.Р-Н ТЮМЕНСКИЙ, С.П. ПЕРЕВАЛОВСКОЕ, ТЕР. ФАД ЕКАТЕРИНБУРГ-ТЮМЕНЬ, КМ 301-ЫЙ, ЗД. 1, СТР. 1</t>
  </si>
  <si>
    <t>ООО ЕВРОАЗИЯ</t>
  </si>
  <si>
    <t>625501, ТЮМЕНСКАЯ ОБЛАСТЬ, Р-Н ТЮМЕНСКИЙ, П МОСКОВСКИЙ, УЛ СЕВЕРНАЯ, Д. 39</t>
  </si>
  <si>
    <t>625042, ТЮМЕНСКАЯ ОБЛАСТЬ, М.Р-Н ТЮМЕНСКИЙ, Д ОЖОГИНА, С.П. МОСКОВСКОЕ, УЛ САДОВАЯ, Д. 15А</t>
  </si>
  <si>
    <t>ООО МБР ГРУПП</t>
  </si>
  <si>
    <t>627016, РОССИЯ, ТЮМЕНСКАЯ ОБЛАСТЬ, Г.О. ГОРОД ЯЛУТОРОВСК, Г ЯЛУТОРОВСК, УЛ РУСАКОВА, Д. 49</t>
  </si>
  <si>
    <t>ООО ОЙЛ ЭКСПЕРТ</t>
  </si>
  <si>
    <t>625507, РОССИЯ, ТЮМЕНСКАЯ ОБЛАСТЬ, М.Р-Н ТЮМЕНСКИЙ, С ЛУГОВОЕ, С.П. КУЛАКОВСКОЕ, УЛ ФУФАЕВО, Д. 23Б</t>
  </si>
  <si>
    <t>ИП ВАСИЛЬЕВ ДАНИИЛ ВЛАДИМИРОВИЧ</t>
  </si>
  <si>
    <t>ИП СЛИНКИН ДМИТРИЙ ВАСИЛЬЕВИЧ</t>
  </si>
  <si>
    <t>ИП СТРЕЛЬНИКОВА МАРИАННА АЛЕКСАНДРОВНА</t>
  </si>
  <si>
    <t>ИП КОСТИН ИВАН ПЕТРОВИЧ</t>
  </si>
  <si>
    <t>ИП АМИНОВА ГУЛЬСИРА СЕНАТОВНА</t>
  </si>
  <si>
    <t>ИП БОГОМОЛОВ ДЕНИС АЛЕКСАНДРОВИЧ</t>
  </si>
  <si>
    <t>ИП ЗУБЦОВ АНДРЕЙ ПЕТРОВИЧ</t>
  </si>
  <si>
    <t>ИП ТЮРИН ГЕННАДИЙ ИВАНОВИЧ</t>
  </si>
  <si>
    <t>ООО ИНСТРУМЕНТ -ЦЕНТР</t>
  </si>
  <si>
    <t>625048, ТЮМЕНСКАЯ ОБЛАСТЬ, Г ТЮМЕНЬ, УЛ 50 ЛЕТ ОКТЯБРЯ, Д. 6, ОФИС 307</t>
  </si>
  <si>
    <t>ООО ЭЛИТ КАР</t>
  </si>
  <si>
    <t>625031, ТЮМЕНСКАЯ ОБЛАСТЬ, Г ТЮМЕНЬ, УЛ МЕЛЬНИКАЙТЕ, Д.20, -, -</t>
  </si>
  <si>
    <t>ООО АВТО-ДИНА</t>
  </si>
  <si>
    <t>625016, ТЮМЕНСКАЯ ОБЛАСТЬ, Г ТЮМЕНЬ, УЛ ФЕДЮНИНСКОГО, Д.51, К.2</t>
  </si>
  <si>
    <t>625033, ТЮМЕНСКАЯ ОБЛАСТЬ, Г ТЮМЕНЬ, УЛ ФЕДЮНИНСКОГО, Д. 69, ЭТАЖ 2</t>
  </si>
  <si>
    <t>ООО АВТОГРУППСЕРВИС</t>
  </si>
  <si>
    <t>625053, ТЮМЕНСКАЯ ОБЛАСТЬ, Г ТЮМЕНЬ, УЛ ШИРОТНАЯ, Д. 187, К. 1, КВ. 13</t>
  </si>
  <si>
    <t>ИП ДРЁМИН МАКСИМ ДМИТРИЕВИЧ</t>
  </si>
  <si>
    <t>АО ТЮМЕНЬАГРОМАШ</t>
  </si>
  <si>
    <t>625019, ТЮМЕНСКАЯ ОБЛАСТЬ, Г ТЮМЕНЬ, УЛ РЕСПУБЛИКИ, Д. 252, К. 8</t>
  </si>
  <si>
    <t>ИП МЕЛЕХИН ВЛАДИМИР ЮРЬЕВИЧ</t>
  </si>
  <si>
    <t>ООО ЭНЕРГОТЕХСЕРВИС</t>
  </si>
  <si>
    <t>625504, ТЮМЕНСКАЯ ОБЛАСТЬ, Р-Н ТЮМЕНСКИЙ, РП БОРОВСКИЙ, П/Р ЮЖНЫЙ, СТР. 8</t>
  </si>
  <si>
    <t>ИП ИВАЩЕНКО РОМАН ГЕОРГИЕВИЧ</t>
  </si>
  <si>
    <t>ИП ЧЕРЕПАНОВ АЛЕКСАНДР СЕРГЕЕВИЧ</t>
  </si>
  <si>
    <t>ИП КАРПУШКИНА МАРИЯ ВАСИЛЬЕВНА</t>
  </si>
  <si>
    <t>625034, ТЮМЕНСКАЯ ОБЛАСТЬ, Г ТЮМЕНЬ, УЛ ДАМБОВСКАЯ, Д.5, К.1, -</t>
  </si>
  <si>
    <t>ООО МК-ТРЕЙД</t>
  </si>
  <si>
    <t>625041, РОССИЯ, ТЮМЕНСКАЯ ОБЛАСТЬ, Г.О. ГОРОД ТЮМЕНЬ, Г ТЮМЕНЬ, УЛ ИНСТИТУТСКАЯ, Д. 10, ЭТАЖ МАНСАРДА, ОФИС 307</t>
  </si>
  <si>
    <t>ООО ТК ЮНИТРЕЙД</t>
  </si>
  <si>
    <t>625007, РОССИЯ, ТЮМЕНСКАЯ ОБЛАСТЬ, Г.О. ГОРОД ТЮМЕНЬ, Г ТЮМЕНЬ, УЛ 30 ЛЕТ ПОБЕДЫ, Д. 38, ОФИС 309</t>
  </si>
  <si>
    <t>ИП МЕНСКАЯ ЕЛИЗАВЕТА АНАТОЛЬЕВНА</t>
  </si>
  <si>
    <t>ООО СНГК</t>
  </si>
  <si>
    <t>625047, ТЮМЕНСКАЯ ОБЛАСТЬ, Г ТЮМЕНЬ, КМ 5-ЫЙ (АВТОДОРОГИ ТРАКТ СТАРЫЙ ТОБОЛЬСКИЙ ТЕР.), Д. 15, К. 2</t>
  </si>
  <si>
    <t>ООО ДЕТАЛЬ-ПАРТНЕР</t>
  </si>
  <si>
    <t>625053, ТЮМЕНСКАЯ ОБЛАСТЬ, Г ТЮМЕНЬ, УЛ ВЕРБОВАЯ, Д.4, К.1, 143</t>
  </si>
  <si>
    <t>ООО СЕТАП</t>
  </si>
  <si>
    <t>625014, ТЮМЕНСКАЯ ОБЛАСТЬ, Г.О. ГОРОД ТЮМЕНЬ, Г ТЮМЕНЬ, УЛ 50 ЛЕТ ОКТЯБРЯ, Д. 217А, СТР. 5, ОФИС 5</t>
  </si>
  <si>
    <t>ООО ИНФОТЕХКАПИТАЛ</t>
  </si>
  <si>
    <t>625002, ТЮМЕНСКАЯ ОБЛАСТЬ, Г ТЮМЕНЬ, УЛ ГОСПАРОВСКАЯ, Д. 2, К. 1 СТР. 4</t>
  </si>
  <si>
    <t>625019, РОССИЯ, ТЮМЕНСКАЯ ОБЛАСТЬ, Г.О. ГОРОД ТЮМЕНЬ, Г ТЮМЕНЬ, УЛ РЕСПУБЛИКИ, Д. 250Б, ОФИС 411</t>
  </si>
  <si>
    <t>625062, ТЮМЕНСКАЯ ОБЛАСТЬ, Г ТЮМЕНЬ, УЛ ФЕДЮНИНСКОГО, Д. 19/4</t>
  </si>
  <si>
    <t>ООО ЕВРОАЗИЯ-ТРАК</t>
  </si>
  <si>
    <t>625501, ТЮМЕНСКАЯ ОБЛАСТЬ, Р-Н ТЮМЕНСКИЙ, П МОСКОВСКИЙ, УЛ СЕВЕРНАЯ, Д. 39А</t>
  </si>
  <si>
    <t>ООО КРЕПЕЖНЫЙ ДОМ</t>
  </si>
  <si>
    <t>625048, ТЮМЕНСКАЯ ОБЛАСТЬ, Г ТЮМЕНЬ, УЛ 50 ЛЕТ ОКТЯБРЯ, Д. 8, К. 1</t>
  </si>
  <si>
    <t>ООО РОСТКРЕП</t>
  </si>
  <si>
    <t>625017, РОССИЯ, ТЮМЕНСКАЯ ОБЛАСТЬ, Г.О. ГОРОД ТЮМЕНЬ, Г ТЮМЕНЬ, УЛ ЧЕРЕПАНОВА, Д. 29</t>
  </si>
  <si>
    <t>ООО СИБТРАКСЕРВИС</t>
  </si>
  <si>
    <t>625007, ТЮМЕНСКАЯ ОБЛАСТЬ, Г ТЮМЕНЬ, УЛ ВАЛЕРИИ ГНАРОВСКОЙ, Д. 6/4</t>
  </si>
  <si>
    <t>625062, ТЮМЕНСКАЯ ОБЛАСТЬ, Г ТЮМЕНЬ, УЛ ФЕДЮНИНСКОГО, Д. 19/3</t>
  </si>
  <si>
    <t>ООО 2АС ГРУПП</t>
  </si>
  <si>
    <t>625031, ТЮМЕНСКАЯ ОБЛАСТЬ, Г ТЮМЕНЬ, УЛ ШИШКОВА, Д. 100, СТР. 1, ОФИС 1</t>
  </si>
  <si>
    <t>ООО РУСИНТЕХЦЕНТР</t>
  </si>
  <si>
    <t>625017, ТЮМЕНСКАЯ ОБЛАСТЬ, Г ТЮМЕНЬ, УЛ АВТОРЕМОНТНАЯ, Д. 8, ЛИТЕРА А43, ЭТАЖ 1</t>
  </si>
  <si>
    <t>ООО ЕВРОГРАД-С</t>
  </si>
  <si>
    <t>625043, ТЮМЕНСКАЯ ОБЛАСТЬ, Г ТЮМЕНЬ, УЛ ДРУЖБЫ, Д. 73, КВ. 91</t>
  </si>
  <si>
    <t>ООО АККМИР</t>
  </si>
  <si>
    <t>625007, ТЮМЕНСКАЯ ОБЛАСТЬ, Г ТЮМЕНЬ, УЛ ШИРОТНАЯ, Д. 27/1</t>
  </si>
  <si>
    <t>ООО ПТК ОСНОВА</t>
  </si>
  <si>
    <t>625023, ТЮМЕНСКАЯ ОБЛАСТЬ, Г ТЮМЕНЬ, УЛ ОДЕССКАЯ, Д. 9, ОФИС 807</t>
  </si>
  <si>
    <t>ООО АВТОМАГ-СУРГУТ</t>
  </si>
  <si>
    <t>625048, ТЮМЕНСКАЯ ОБЛАСТЬ, Г ТЮМЕНЬ, УЛ 50 ЛЕТ ВЛКСМ, Д. 24, ОФИС 1</t>
  </si>
  <si>
    <t>ООО ЭКОТЕХНОЛОГИИ ГРУПП</t>
  </si>
  <si>
    <t>625526, РОССИЯ, ТЮМЕНСКАЯ ОБЛАСТЬ, М.Р-Н ТЮМЕНСКИЙ, С КУЛАКОВО, С.П. КУЛАКОВСКОЕ, УЛ СОЛОВЬИНАЯ, Д. 1</t>
  </si>
  <si>
    <t>ООО АВТОМОТИВ-ТЮМЕНЬ</t>
  </si>
  <si>
    <t>625031, ТЮМЕНСКАЯ ОБЛАСТЬ, Г.О. ГОРОД ТЮМЕНЬ, Г ТЮМЕНЬ, УЛ ДРУЖБЫ, Д. 128, К. 3, ЭТАЖ 1</t>
  </si>
  <si>
    <t>ООО ШАКМАН-ЦЕНТР</t>
  </si>
  <si>
    <t>625055, ТЮМЕНСКАЯ ОБЛАСТЬ, Г.О. ГОРОД ТЮМЕНЬ, Г ТЮМЕНЬ, УЛ ТИМОФЕЯ ЧАРКОВА, Д. 33</t>
  </si>
  <si>
    <t>ООО ЕМЕКС-УРАЛ</t>
  </si>
  <si>
    <t>625062, ТЮМЕНСКАЯ ОБЛАСТЬ, Г.О. ГОРОД ТЮМЕНЬ, Г ТЮМЕНЬ, УЛ ЧЕРВИШЕВСКИЙ ТРАКТ, Д. 33А, ОФИС 3</t>
  </si>
  <si>
    <t>625019, ТЮМЕНСКАЯ ОБЛАСТЬ, Г.О. ГОРОД ТЮМЕНЬ, Г ТЮМЕНЬ, УЛ РЕСПУБЛИКИ, Д. 252, К. 8, ОФИС 103</t>
  </si>
  <si>
    <t>ООО СИБИРЬ ДИСТРИБУЦИЯ</t>
  </si>
  <si>
    <t>625017, РОССИЯ, ТЮМЕНСКАЯ ОБЛАСТЬ, Г.О. ГОРОД ТЮМЕНЬ, Г ТЮМЕНЬ, УЛ АВТОРЕМОНТНАЯ, Д. 1, СТР. 6, ПОМЕЩ. 3</t>
  </si>
  <si>
    <t>ООО ЗОТ</t>
  </si>
  <si>
    <t>625063, РОССИЯ, ТЮМЕНСКАЯ ОБЛАСТЬ, Г.О. ГОРОД ТЮМЕНЬ, Г ТЮМЕНЬ, УЛ ФАРМАНА САЛМАНОВА, Д. 16, КВ. 56</t>
  </si>
  <si>
    <t>ООО АВТОСХЕМА</t>
  </si>
  <si>
    <t>625048, РОССИЯ, ТЮМЕНСКАЯ ОБЛАСТЬ, Г.О. ГОРОД ТЮМЕНЬ, Г ТЮМЕНЬ, УЛ ШИЛЛЕРА, Д. 46, К. 3, ПОМЕЩ. 5</t>
  </si>
  <si>
    <t>ООО АВТОЭЛИТ</t>
  </si>
  <si>
    <t>625063, РОССИЯ, ТЮМЕНСКАЯ ОБЛАСТЬ, Г.О. ГОРОД ТЮМЕНЬ, Г ТЮМЕНЬ, УЛ ВЬЮЖНАЯ, Д. 10, ПОМЕЩ. 2</t>
  </si>
  <si>
    <t>ООО СПЕЦАВТОТРЕЙД</t>
  </si>
  <si>
    <t>625033, РОССИЯ, ТЮМЕНСКАЯ ОБЛАСТЬ, Г.О. ГОРОД ТЮМЕНЬ, Г ТЮМЕНЬ, УЛ ДМИТРИЯ МЕНДЕЛЕЕВА, Д. 14, КВ. 50</t>
  </si>
  <si>
    <t>ООО ДЕТАЛЬ-ГРУПП</t>
  </si>
  <si>
    <t>625014, РОССИЯ, ТЮМЕНСКАЯ ОБЛАСТЬ, Г.О. ГОРОД ТЮМЕНЬ, Г ТЮМЕНЬ, УЛ СТАРТОВАЯ, Д. 7, КВ. 158</t>
  </si>
  <si>
    <t>ООО ПРО-100МОТО</t>
  </si>
  <si>
    <t>625054, РОССИЯ, ТЮМЕНСКАЯ ОБЛАСТЬ, Г.О. ГОРОД ТЮМЕНЬ, Г ТЮМЕНЬ, УЛ БЕРЕЗНЯКОВСКАЯ, Д. 4, СТР. 2</t>
  </si>
  <si>
    <t>ООО СИВАН-Е</t>
  </si>
  <si>
    <t>ИП БЕЛОВ ЮРИЙ ВИТАЛЬЕВИЧ</t>
  </si>
  <si>
    <t>ООО СИБИНСТРУМЕНТСЕРВИС</t>
  </si>
  <si>
    <t>625017, ТЮМЕНСКАЯ ОБЛАСТЬ, Г ТЮМЕНЬ, УЛ АВТОРЕМОНТНАЯ, Д.8, К.19</t>
  </si>
  <si>
    <t>ИП РОМАНОВ ЕВГЕНИЙ ЭДУАРДОВИЧ</t>
  </si>
  <si>
    <t>ИП КАНЦЛЕР ТАМАРА ЕВГЕНЬЕВНА</t>
  </si>
  <si>
    <t>ИП ЖАРКЕВИЧ ИЛЬЯ МИХАЙЛОВИЧ</t>
  </si>
  <si>
    <t>ИП ПЛЯСУНОВ РОМАН АЛЕКСАНДРОВИЧ</t>
  </si>
  <si>
    <t>ИП ФЕДОРОВ ЕВГЕНИЙ ВЛАДИМИРОВИЧ</t>
  </si>
  <si>
    <t>ООО ЕВРОАЗИЯ-СЕРВИС</t>
  </si>
  <si>
    <t>625017, ТЮМЕНСКАЯ ОБЛАСТЬ, Г ТЮМЕНЬ, УЛ АВТОРЕМОНТНАЯ, Д.10А, -, -</t>
  </si>
  <si>
    <t>ИП КАРПОВА ВАЛЕНТИНА АЛЕКСАНДРОВНА</t>
  </si>
  <si>
    <t>ИП ЗУЙКОВ АРТЕМ АНАТОЛЬЕВИЧ</t>
  </si>
  <si>
    <t>ООО ТДК</t>
  </si>
  <si>
    <t>627751, ТЮМЕНСКАЯ ОБЛАСТЬ, Г ИШИМ, УЛ ЯЛУТОРОВСКАЯ, Д.67, К.3, -</t>
  </si>
  <si>
    <t>ИП СОЛОВЬЕВ МИХАИЛ АНАТОЛЬЕВИЧ</t>
  </si>
  <si>
    <t>ИП ПЕРВЫШИН АЛЕКСЕЙ ВЛАДИМИРОВИЧ</t>
  </si>
  <si>
    <t>ИП КОШКАРОВ МИХАИЛ АНАТОЛЬЕВИЧ</t>
  </si>
  <si>
    <t>ИП МАДЬЯРОВА МАРКИСА АЙНУЖДИНОВНА</t>
  </si>
  <si>
    <t>ООО СПОРТТОВАРЫ</t>
  </si>
  <si>
    <t>626153, ТЮМЕНСКАЯ ОБЛАСТЬ, Г ТОБОЛЬСК, УЛ 3-Я ТРУДОВАЯ, Д.27/1</t>
  </si>
  <si>
    <t>ИП ЧУТЧЕВ АНДРЕЙ МИХАЙЛОВИЧ</t>
  </si>
  <si>
    <t>626128, ТЮМЕНСКАЯ ОБЛАСТЬ, Г ТОБОЛЬСК, ТЕР БСИ-2-КВАРТАЛ 3, Д. 10, СТР. 1/2</t>
  </si>
  <si>
    <t>ИП ДОДА ВЛАДИСЛАВ ВЯЧЕСЛАВОВИЧ</t>
  </si>
  <si>
    <t>ООО ЕВРОСИБТРАК</t>
  </si>
  <si>
    <t>625001, ТЮМЕНСКАЯ ОБЛАСТЬ, Г ТЮМЕНЬ, УЛ КОММУНИСТИЧЕСКАЯ, Д.70/3, К.11, 12</t>
  </si>
  <si>
    <t>ИП СКАКУН ДМИТРИЙ СЕРГЕЕВИЧ</t>
  </si>
  <si>
    <t>ИП ЛИВЕНЦЕВА ОКСАНА НИКОЛАЕВНА</t>
  </si>
  <si>
    <t>ИП ПОЗДНЯКОВА ЮЛИЯ ВАЛЕРИЕВНА</t>
  </si>
  <si>
    <t>ИП МИРЮГИНА АННА СЕРГЕЕВНА</t>
  </si>
  <si>
    <t>ИП МАКСИМОВА ИРИНА СЕРГЕЕВНА</t>
  </si>
  <si>
    <t>ИП РАШОВА ЮЛИЯ НИКОЛАЕВНА</t>
  </si>
  <si>
    <t>ИП МЕЩЕРЯКОВ АЛЕКСАНДР ВЛАДИМИРОВИЧ</t>
  </si>
  <si>
    <t>ИП ЧАШКОВ ДМИТРИЙ МИХАЙЛОВИЧ</t>
  </si>
  <si>
    <t>ИП ФОМИН СЕРГЕЙ ЛЕОНИДОВИЧ</t>
  </si>
  <si>
    <t>ИП СУНЬКО ВЛАДИМИР ИВАНОВИЧ</t>
  </si>
  <si>
    <t>ИП ВИКУЛОВА ЛЮДМИЛА ГЕННАДЬЕВНА</t>
  </si>
  <si>
    <t>ИП ГЛАЗУНОВ СЕРГЕЙ ВИТАЛЬЕВИЧ</t>
  </si>
  <si>
    <t>627143, ТЮМЕНСКАЯ ОБЛАСТЬ, Г ЗАВОДОУКОВСК, УЛ ВОРОШИЛОВА, ЗД. 20А</t>
  </si>
  <si>
    <t>ИП ГЕРМАНОВА ЛАРИСА МИХАЙЛОВНА</t>
  </si>
  <si>
    <t>ИП ВИКУЛОВ ДМИТРИЙ АНАТОЛЬЕВИЧ</t>
  </si>
  <si>
    <t>ИП ГОРЧАГОВ МАКСИМ МИХАЙЛОВИЧ</t>
  </si>
  <si>
    <t>АО РТП</t>
  </si>
  <si>
    <t>625008, ТЮМЕНСКАЯ ОБЛАСТЬ, Г ТЮМЕНЬ, УЛ САМАРЦЕВА, Д. 8, КВ. 60</t>
  </si>
  <si>
    <t>ИП КОЖЕВНИКОВ СЕРГЕЙ АЛЕКСАНДРОВИЧ</t>
  </si>
  <si>
    <t>ООО АВТОЛЮБ</t>
  </si>
  <si>
    <t>626020, ТЮМЕНСКАЯ ОБЛАСТЬ, Р-Н НИЖНЕТАВДИНСКИЙ, С НИЖНЯЯ ТАВДА, УЛ ЛЕНИНА, Д.17, -, -</t>
  </si>
  <si>
    <t>ООО ТОПСЕРВИС</t>
  </si>
  <si>
    <t>627303, ТЮМЕНСКАЯ ОБЛАСТЬ, Р-Н ГОЛЫШМАНОВСКИЙ, КМ 228-ОЙ (ФАД ТЮМЕНЬ-ОМСК ТЕР.), СТР. 1</t>
  </si>
  <si>
    <t>ИП КУЖИКАЕВ ЕВГЕНИЙ КАИРЖАНОВИЧ</t>
  </si>
  <si>
    <t>ИП МЯГКИХ АЛЕКСАНДР ЕВГЕНЬЕВИЧ</t>
  </si>
  <si>
    <t>ИП ЮДИН ДЕНИС АНАТОЛЬЕВИЧ</t>
  </si>
  <si>
    <t>ИП ПЕТРОВ АЛЕКСАНДР ВАСИЛЬЕВИЧ</t>
  </si>
  <si>
    <t>ООО ДЖИА ГРУПП</t>
  </si>
  <si>
    <t>ООО ТОБОЛСТРОЙ</t>
  </si>
  <si>
    <t>626050, РОССИЯ, ТЮМЕНСКАЯ ОБЛАСТЬ, М.Р-Н ЯРКОВСКИЙ, С ЯРКОВО, С.П. ЯРКОВСКОЕ, УЛ ЛЕНИНА, Д. 82, СТР. 1, КАБИНЕТ 301</t>
  </si>
  <si>
    <t>ИП ЛИПАТОВА АНАСТАСИЯ АНДРЕЕВНА</t>
  </si>
  <si>
    <t>ИП КУЗНЕЦОВА ЛЮБОВЬ ПАВЛОВНА</t>
  </si>
  <si>
    <t>ИП ЩУКИНА ЕЛЕНА ОЛЕГОВНА</t>
  </si>
  <si>
    <t>ИП ИВАНОВ СЕРГЕЙ МИХАЙЛОВИЧ</t>
  </si>
  <si>
    <t>ИП ИВАНОВ НИКИТА МИХАЙЛОВИЧ</t>
  </si>
  <si>
    <t>ИП КАЧУРА ВЛАДИСЛАВ АЛЕКСАНДРОВИЧ</t>
  </si>
  <si>
    <t>ИП АФОНИНА МАРИЯ АЛЕКСАНДРОВНА</t>
  </si>
  <si>
    <t>ООО ЭЛИТ КАР КУЗОВНОЙ</t>
  </si>
  <si>
    <t>ИП МАРКЕЛОВА ИРИНА ВИКТОРОВНА</t>
  </si>
  <si>
    <t>ИП ЯКЛЮШИН АНДРЕЙ ВАЛЕРЬЕВИЧ</t>
  </si>
  <si>
    <t>ООО СМ РУСОЙЛ</t>
  </si>
  <si>
    <t>625031, ТЮМЕНСКАЯ ОБЛАСТЬ, Г ТЮМЕНЬ, ПР-Д ЮГАНСКИЙ, Д.33</t>
  </si>
  <si>
    <t>ООО ПРОФДЕТАЛЬ</t>
  </si>
  <si>
    <t>625046, ТЮМЕНСКАЯ ОБЛАСТЬ, Г ТЮМЕНЬ, УЛ ШИРОТНАЯ, Д. 170, КВ. 105</t>
  </si>
  <si>
    <t>ООО АЛАМАК</t>
  </si>
  <si>
    <t>625013, ТЮМЕНСКАЯ ОБЛАСТЬ, Г.О. ГОРОД ТЮМЕНЬ, Г ТЮМЕНЬ, УЛ 50 ЛЕТ ОКТЯБРЯ, Д. 118Б, СТР. 6</t>
  </si>
  <si>
    <t>ООО  АВТОРИТЕТ</t>
  </si>
  <si>
    <t>625048, ТЮМЕНСКАЯ ОБЛАСТЬ, Г ТЮМЕНЬ, УЛ ХОЛОДИЛЬНАЯ, Д. 138, КВ. 227</t>
  </si>
  <si>
    <t>ООО СТАВЕС</t>
  </si>
  <si>
    <t>625017, РОССИЯ, ТЮМЕНСКАЯ ОБЛАСТЬ, Г.О. ГОРОД ТЮМЕНЬ, Г ТЮМЕНЬ, УЛ АВТОРЕМОНТНАЯ, Д. 8, СТР. 11, ОФИС 101</t>
  </si>
  <si>
    <t>ИП ПИСЧИКОВА ВЛАДЛЕНА АЛЕКСЕЕВНА</t>
  </si>
  <si>
    <t>ИП КЛЯУЗЕР СЕРГЕЙ ВИКТОРОВИЧ</t>
  </si>
  <si>
    <t>ИП САЕТГАРАЕВА ИЛЬНАРА МИДАХАТОВНА</t>
  </si>
  <si>
    <t>ИП ЛОМОВСКИЙ АЛЕКСАНДР АЛЕКСЕЕВИЧ</t>
  </si>
  <si>
    <t>ИП ЛОГВИНОВСКИЙ МИХАИЛ ПЕТРОВИЧ</t>
  </si>
  <si>
    <t>ИП ВОРОНЕЦКИЙ ВИКТОР ВАЛЕРЬЕВИЧ</t>
  </si>
  <si>
    <t>ИП ПУЗИНА НАТАЛЬЯ АНДРЕЕВНА</t>
  </si>
  <si>
    <t>ООО СОФТМАСТЕР</t>
  </si>
  <si>
    <t>627705, ТЮМЕНСКАЯ ОБЛАСТЬ, Р-Н ИШИМСКИЙ, П ЛОЗОВОЕ, УЛ МАГИСТРАЛЬНАЯ, Д. 12</t>
  </si>
  <si>
    <t>ИП ТАРАН ВИКТОР ВЛАДИМИРОВИЧ</t>
  </si>
  <si>
    <t>ИП ГУСАЛОВ АЛЕКСАНДР ВЯЧЕСЛАВОВИЧ</t>
  </si>
  <si>
    <t>ИП ЯРКАЕВ РАДИК АЙСЯЕВИЧ</t>
  </si>
  <si>
    <t>ИП ВЕСЕЛОВ ЕВГЕНИЙ ГРИГОРЬЕВИЧ</t>
  </si>
  <si>
    <t>ИП ХОЛКИН ЕВГЕНИЙ ГЕННАДЬЕВИЧ</t>
  </si>
  <si>
    <t>ООО БИГ-ПЛАСТ</t>
  </si>
  <si>
    <t>625062, ТЮМЕНСКАЯ ОБЛАСТЬ, М.Р-Н ТЮМЕНСКИЙ, Д ПАТРУШЕВА, С.П. МОСКОВСКОЕ, УЛ ПЕСЧАНАЯ, Д. 42</t>
  </si>
  <si>
    <t>ИП МОРГУНОВА ОКСАНА ГЕОРГИЕВНА</t>
  </si>
  <si>
    <t>ГБУЗ ТО ОБЛАСТНАЯ БОЛЬНИЦА № 20 (С. УВАТ)</t>
  </si>
  <si>
    <t>626170, ТЮМЕНСКАЯ ОБЛАСТЬ, Р-Н УВАТСКИЙ, С УВАТ, УЛ БЕЛКИНА, Д.1 А</t>
  </si>
  <si>
    <t>ИП ПАЛЕЦКИХ НИКОЛАЙ СЕМЕНОВИЧ</t>
  </si>
  <si>
    <t>ИП ДУБРОВА ФАРИДА ЭРНЕСОВНА</t>
  </si>
  <si>
    <t>ИП МИНЗЯНОВ АЛМАЗ МАРАТОВИЧ</t>
  </si>
  <si>
    <t>ООО АГГРЕКО ЕВРАЗИЯ</t>
  </si>
  <si>
    <t>625019, ТЮМЕНСКАЯ ОБЛАСТЬ, Г ТЮМЕНЬ, ТРАКТ СТАРЫЙ ТОБОЛЬСКИЙ 2 КМ, Д. 8, К. 1</t>
  </si>
  <si>
    <t>ИП ВОЛОДИН НИКОЛАЙ ВЛАДИМИРОВИЧ</t>
  </si>
  <si>
    <t>ИП МУЗЫКА ИВАН АНАТОЛЬЕВИЧ</t>
  </si>
  <si>
    <t>ИП ЯКУБОВА ЛЮДМИЛА ЕВГЕНЬЕВНА</t>
  </si>
  <si>
    <t>ИП РУДЕНКО АНАТОЛИЙ ВЛАДИМИРОВИЧ</t>
  </si>
  <si>
    <t>ИП СЕМЁНОВ ВЛАДИМИР СЕРГЕЕВИЧ</t>
  </si>
  <si>
    <t>ИП КОЛЕСНИК ВИКТОР МАТВЕЕВИЧ</t>
  </si>
  <si>
    <t>ИП ДАУТОВА АЛЬБИНА САБАХОВНА</t>
  </si>
  <si>
    <t>ИП БАКУТОВ ДМИТРИЙ СЕРГЕЕВИЧ</t>
  </si>
  <si>
    <t>ИП ГОРБАЧ ЯРОСЛАВА ВЛАДИМИРОВНА</t>
  </si>
  <si>
    <t>ИП АБРААМЯН АРМЕН АРУТЮНОВИЧ</t>
  </si>
  <si>
    <t>ООО АПТОН ПРОФЕССИОНАЛ</t>
  </si>
  <si>
    <t>625002, ТЮМЕНСКАЯ ОБЛАСТЬ, Г ТЮМЕНЬ, УЛ НЕМЦОВА, Д. 22, ОФИС 401</t>
  </si>
  <si>
    <t>ИП АНДРИЕНКО ДМИТРИЙ ВИКТОРОВИЧ</t>
  </si>
  <si>
    <t>ИП СТАНИСЛАВСКИЙ АЛЕКСАНДР ГРИГОРЬЕВИЧ</t>
  </si>
  <si>
    <t>ИП ЧЕРЕНОВ ДМИТРИЙ КОНСТАНТИНОВИЧ</t>
  </si>
  <si>
    <t>ООО Л-НЕФТЕПРОДУКТ</t>
  </si>
  <si>
    <t>Ульяновская область</t>
  </si>
  <si>
    <t>432032, РОССИЯ, УЛЬЯНОВСКАЯ ОБЛАСТЬ, Г.О. ГОРОД УЛЬЯНОВСК, Г УЛЬЯНОВСК, Ш МОСКОВСКОЕ, Д. 93</t>
  </si>
  <si>
    <t>ООО ХИМПРОМ-ПОВОЛЖЬЕ</t>
  </si>
  <si>
    <t>433513, УЛЬЯНОВСКАЯ ОБЛАСТЬ, Г ДИМИТРОВГРАД, УЛ ЗАПАДНАЯ, Д. 12/5, ОФИС 1</t>
  </si>
  <si>
    <t>ООО РУНО</t>
  </si>
  <si>
    <t>432045, УЛЬЯНОВСКАЯ ОБЛАСТЬ, Г УЛЬЯНОВСК, Ш МОСКОВСКОЕ, Д. 3, ЭТАЖ 3, ОФИС 320</t>
  </si>
  <si>
    <t>ООО ТБ ЦЕНТР</t>
  </si>
  <si>
    <t>433502, РОССИЯ, УЛЬЯНОВСКАЯ ОБЛАСТЬ, Г.О. ГОРОД ДИМИТРОВГРАД, Г ДИМИТРОВГРАД, УЛ ПРОМЫШЛЕННАЯ, ЗД. 36, ЭТАЖ 3, ОФИС 307</t>
  </si>
  <si>
    <t>ООО МОТОМ 73</t>
  </si>
  <si>
    <t>432049, УЛЬЯНОВСКАЯ ОБЛАСТЬ, Г.О. ГОРОД УЛЬЯНОВСК, Г УЛЬЯНОВСК, Ш МОСКОВСКОЕ, Д. 102Б</t>
  </si>
  <si>
    <t>ИП КВАЩУК АНАТОЛИЙ СТАНИСЛАВОВИЧ</t>
  </si>
  <si>
    <t>ИП ФОКИН ДЕНИС СЕРГЕЕВИЧ</t>
  </si>
  <si>
    <t>ИП РОДИОНОВА ИРИНА ВАСИЛЬЕВНА</t>
  </si>
  <si>
    <t>ООО КЛЮЧИКИ - НЕФТЕПРОДУКТ</t>
  </si>
  <si>
    <t>433810, УЛЬЯНОВСКАЯ ОБЛАСТЬ, Р-Н НИКОЛАЕВСКИЙ, РП НИКОЛАЕВКА, УЛ КОММУНАЛЬНАЯ, Д. 7, ПОМЕЩ. 29</t>
  </si>
  <si>
    <t>ИП Норматов Абдуазиз Абдукодирович</t>
  </si>
  <si>
    <t>ИП КОРОЛЕВ АНТОН ЕВГЕНЬЕВИЧ</t>
  </si>
  <si>
    <t>ИП ТЯПКИН ВИКТОР ИВАНОВИЧ</t>
  </si>
  <si>
    <t>ИП ЕДУНОВ СЕРГЕЙ АЛЕКСАНДРОВИЧ</t>
  </si>
  <si>
    <t>ИП ГРИШИН КОНСТАНТИН АЛЕКСАНДРОВИЧ</t>
  </si>
  <si>
    <t>ИП ГАБИТОВ ИЛЬНАР ЗУФЕРОВИЧ</t>
  </si>
  <si>
    <t>ИП ФОМИН РАДИК ИВАНОВИЧ</t>
  </si>
  <si>
    <t>ИП ЛЯГИНА НАДЕЖДА ВАЛЕНТИНОВНА</t>
  </si>
  <si>
    <t>ИП ИБРАГИМОВ РАМИС ГИМРАНОВИЧ</t>
  </si>
  <si>
    <t>ООО СОЖ-СИНТЕЗ</t>
  </si>
  <si>
    <t>432011, УЛЬЯНОВСКАЯ ОБЛАСТЬ, Г УЛЬЯНОВСК, УЛ ГОНЧАРОВА, Д. 42, ОФИС 1</t>
  </si>
  <si>
    <t>ООО АМ ГРУПП</t>
  </si>
  <si>
    <t>432045, УЛЬЯНОВСКАЯ ОБЛАСТЬ, Г УЛЬЯНОВСК, Ш МОСКОВСКОЕ, Д. 40, ЛИТЕРА Б2 2КН ОФИС 3</t>
  </si>
  <si>
    <t>ИП КРОТОВ АНАТОЛИЙ ВЛАДИМИРОВИЧ</t>
  </si>
  <si>
    <t>ИП КУРЫЛЕВ НИКОЛАЙ НИКОЛАЕВИЧ</t>
  </si>
  <si>
    <t>ООО АВТОКОМПЛЕКС МАГИСТРАЛЬ</t>
  </si>
  <si>
    <t>432049, УЛЬЯНОВСКАЯ ОБЛАСТЬ, Г УЛЬЯНОВСК, Ш МОСКОВСКОЕ, Д.100</t>
  </si>
  <si>
    <t>ИП НИКОНОРОВА ИРИНА ЮРЬЕВНА</t>
  </si>
  <si>
    <t>432045, УЛЬЯНОВСКАЯ ОБЛАСТЬ, Г УЛЬЯНОВСК, УЛ ЕФРЕМОВА, Д. 73А</t>
  </si>
  <si>
    <t>АО УЛЬЯНОВСКНЕФТЕПРОДУКТ</t>
  </si>
  <si>
    <t>432017, УЛЬЯНОВСКАЯ ОБЛАСТЬ, Г УЛЬЯНОВСК, УЛ ЛЬВА ТОЛСТОГО, Д. 91/15</t>
  </si>
  <si>
    <t>ООО ВОЛГА ТРЕЙД</t>
  </si>
  <si>
    <t>433400, РОССИЯ, УЛЬЯНОВСКАЯ ОБЛАСТЬ, М.Р-Н ЧЕРДАКЛИНСКИЙ, РП ЧЕРДАКЛЫ, Г.П. ЧЕРДАКЛИНСКОЕ, УЛ ЛЕНИНА, ДВЛД. 13, ПОМЕЩ. 1</t>
  </si>
  <si>
    <t>ООО МОТОМ МОТОРС</t>
  </si>
  <si>
    <t>432049, РОССИЯ, УЛЬЯНОВСКАЯ ОБЛАСТЬ, Г.О. ГОРОД УЛЬЯНОВСК, Г УЛЬЯНОВСК, Ш МОСКОВСКОЕ, Д. 102Б</t>
  </si>
  <si>
    <t>ООО ТК АСТ</t>
  </si>
  <si>
    <t>432018, РОССИЯ, УЛЬЯНОВСКАЯ ОБЛАСТЬ, Г.О. ГОРОД УЛЬЯНОВСК, Г УЛЬЯНОВСК, УЛ ХВАТКОВА, Д. 20, ОФИС 1</t>
  </si>
  <si>
    <t>ООО ТД МЕГАГРУПП</t>
  </si>
  <si>
    <t>432045, РОССИЯ, УЛЬЯНОВСКАЯ ОБЛАСТЬ, Г.О. ГОРОД УЛЬЯНОВСК, Г УЛЬЯНОВСК, УЛ ДОВАТОРА, Д. 6, ОФИС 36</t>
  </si>
  <si>
    <t>ООО МИР СМАЗОК</t>
  </si>
  <si>
    <t>432072, РОССИЯ, УЛЬЯНОВСКАЯ ОБЛАСТЬ, Г.О. ГОРОД УЛЬЯНОВСК, Г УЛЬЯНОВСК, ПР-Д МАКСИМОВА, ЗД. 2В, ОФИС 106</t>
  </si>
  <si>
    <t>ИП ШАЛЫГИНА АНАСТАСИЯ ВАЛЕРЬЕВНА</t>
  </si>
  <si>
    <t>ИП УЛЬМЕЙКИНА КСЕНИЯ АЛЕКСАНДРОВНА</t>
  </si>
  <si>
    <t>ИП НУРУЛЛОВА ЮЛИЯ РИНАТОВНА</t>
  </si>
  <si>
    <t>ИП РАХМАТУЛИНА МАРИНА СЕРГЕЕВНА</t>
  </si>
  <si>
    <t>ООО КС-ТЕХСЕРВИС</t>
  </si>
  <si>
    <t>433870, УЛЬЯНОВСКАЯ ОБЛАСТЬ, Р-Н НОВОСПАССКИЙ, РП НОВОСПАССКОЕ, УЛ ТЕРЕШКОВОЙ, Д.16</t>
  </si>
  <si>
    <t>ИП ЛАДЫШКИН ДМИТРИЙ ГЕННАДЬЕВИЧ</t>
  </si>
  <si>
    <t>ИП ЮСУПОВА ДИАНА ДАМИРОВНА</t>
  </si>
  <si>
    <t>ИП РАМАЗАНОВ ФЯГИМ МУНИРОВИЧ</t>
  </si>
  <si>
    <t>ИП Гришина Светлана Александровна</t>
  </si>
  <si>
    <t>ИП ШАКУРОВ ЛЕНАР РАДИКОВИЧ</t>
  </si>
  <si>
    <t>ИП ХАКИМОВ АЛЬБЕРТ ЗАМИЛОВИЧ</t>
  </si>
  <si>
    <t>432048, УЛЬЯНОВСКАЯ ОБЛАСТЬ, Г.О. ГОРОД УЛЬЯНОВСК, Г УЛЬЯНОВСК, УЛ ЛОКОМОТИВНАЯ, ЗД. 14А</t>
  </si>
  <si>
    <t>ООО СИМБИРСК-МАРКЕТ</t>
  </si>
  <si>
    <t>432072, УЛЬЯНОВСКАЯ ОБЛАСТЬ, Г УЛЬЯНОВСК, ПР-Д ИНЖЕНЕРНЫЙ 14-Й, Д. 23Б</t>
  </si>
  <si>
    <t>ООО ИТ-ЛАБ</t>
  </si>
  <si>
    <t>432026, РОССИЯ, УЛЬЯНОВСКАЯ ОБЛАСТЬ, Г.О. ГОРОД УЛЬЯНОВСК, Г УЛЬЯНОВСК, УЛ РЕПИНА, Д. 43, КВ. 236</t>
  </si>
  <si>
    <t>ИП МИРОШНИЧЕНКО ИРИНА ЮРЬЕВНА</t>
  </si>
  <si>
    <t>ООО МОТОМ ПРЕМИУМ</t>
  </si>
  <si>
    <t>432049, УЛЬЯНОВСКАЯ ОБЛАСТЬ, Г УЛЬЯНОВСК, Ш МОСКОВСКОЕ, Д. 102Б</t>
  </si>
  <si>
    <t>ООО АВТОРАЙ-ПРЕМИУМ</t>
  </si>
  <si>
    <t>432045, УЛЬЯНОВСКАЯ ОБЛАСТЬ, Г УЛЬЯНОВСК, Ш МОСКОВСКОЕ, Д. 17А</t>
  </si>
  <si>
    <t>ООО РУСКАН-АС</t>
  </si>
  <si>
    <t>432048, РОССИЯ, УЛЬЯНОВСКАЯ ОБЛАСТЬ, Г.О. ГОРОД УЛЬЯНОВСК, Г УЛЬЯНОВСК, УЛ КИРОВА, Д. 61, ЭТАЖ 2, ПОМЕЩ. 3</t>
  </si>
  <si>
    <t>ООО РОСТАКТИВ</t>
  </si>
  <si>
    <t>432045, УЛЬЯНОВСКАЯ ОБЛАСТЬ, Г УЛЬЯНОВСК, Ш МОСКОВСКОЕ, Д. 72, ОФИС 23/25</t>
  </si>
  <si>
    <t>ООО УНИКОМТРАКСЕРВИС</t>
  </si>
  <si>
    <t>432045, РОССИЯ, УЛЬЯНОВСКАЯ ОБЛАСТЬ, Г.О. ГОРОД УЛЬЯНОВСК, Г УЛЬЯНОВСК, Ш МОСКОВСКОЕ, Д. 14С, ОФИС 1</t>
  </si>
  <si>
    <t>ООО ТАБАЧНЫЙ РЯД</t>
  </si>
  <si>
    <t>432045, РОССИЯ, УЛЬЯНОВСКАЯ ОБЛАСТЬ, Г.О. ГОРОД УЛЬЯНОВСК, Г УЛЬЯНОВСК, Ш МОСКОВСКОЕ, Д. 3, ОФИС 337</t>
  </si>
  <si>
    <t>432045, РОССИЯ, УЛЬЯНОВСКАЯ ОБЛАСТЬ, Г.О. ГОРОД УЛЬЯНОВСК, Г УЛЬЯНОВСК, Ш МОСКОВСКОЕ, Д. 3, ОФИС 321</t>
  </si>
  <si>
    <t>432045, РОССИЯ, УЛЬЯНОВСКАЯ ОБЛАСТЬ, Г.О. ГОРОД УЛЬЯНОВСК, Г УЛЬЯНОВСК, Ш МОСКОВСКОЕ, Д. 3, ОФИС 319</t>
  </si>
  <si>
    <t>ООО ЭРЕЛИМ</t>
  </si>
  <si>
    <t>432045, РОССИЯ, УЛЬЯНОВСКАЯ ОБЛАСТЬ, Г.О. ГОРОД УЛЬЯНОВСК, Г УЛЬЯНОВСК, Ш МОСКОВСКОЕ, Д. 3, ОФИС 316</t>
  </si>
  <si>
    <t>ИП АЙНУТДИНОВА МАРИНА ВЛАДИМИРОВНА</t>
  </si>
  <si>
    <t>ИП ШУРЫГИН ВИТАЛИЙ СЕРГЕЕВИЧ</t>
  </si>
  <si>
    <t>ИП Назаров Олег Александрович</t>
  </si>
  <si>
    <t>СПЕЦТЕХМАС  (ООО)</t>
  </si>
  <si>
    <t>432072, УЛЬЯНОВСКАЯ ОБЛАСТЬ, Г УЛЬЯНОВСК, ПР-Д АПОЛЛОНА СЫСЦОВА, Д.15</t>
  </si>
  <si>
    <t>ООО РЕАЛК</t>
  </si>
  <si>
    <t>432072, УЛЬЯНОВСКАЯ ОБЛАСТЬ, Г УЛЬЯНОВСК, ПР-Д МАКСИМОВА, ЗД. 30, ПОМЕЩ. 113А</t>
  </si>
  <si>
    <t>ООО ОЙЛСНАБ</t>
  </si>
  <si>
    <t>433503, УЛЬЯНОВСКАЯ ОБЛАСТЬ, Г ДИМИТРОВГРАД, УЛ СВЕРДЛОВА, Д. 3</t>
  </si>
  <si>
    <t>ООО ТЕХИНОСЕРВИС</t>
  </si>
  <si>
    <t>432049, УЛЬЯНОВСКАЯ ОБЛАСТЬ, Г УЛЬЯНОВСК, УЛ ПУШКАРЕВА, Д.12, --------, -------</t>
  </si>
  <si>
    <t>ООО ПРОТОН</t>
  </si>
  <si>
    <t>432045, УЛЬЯНОВСКАЯ ОБЛАСТЬ, Г УЛЬЯНОВСК, Ш МОСКОВСКОЕ, Д. 3, ЭТАЖ 3, ОФИС 316</t>
  </si>
  <si>
    <t>ООО АВТО ГОРОД</t>
  </si>
  <si>
    <t>432048, УЛЬЯНОВСКАЯ ОБЛАСТЬ, Г УЛЬЯНОВСК, УЛ КИРОВА, Д. 35, ОФИС 1</t>
  </si>
  <si>
    <t>ИП УБА АРТЕМ АНДРЕЕВИЧ</t>
  </si>
  <si>
    <t>432045, УЛЬЯНОВСКАЯ ОБЛАСТЬ, Г УЛЬЯНОВСК, Ш МОСКОВСКОЕ, Д.17А, --------, --------</t>
  </si>
  <si>
    <t>ООО АВТОРАЙ-К</t>
  </si>
  <si>
    <t>432045, УЛЬЯНОВСКАЯ ОБЛАСТЬ, Г УЛЬЯНОВСК, Ш МОСКОВСКОЕ, Д.17А, ----------, -----------</t>
  </si>
  <si>
    <t>ООО АВТОСАЛОН МОТОМ</t>
  </si>
  <si>
    <t>432049, УЛЬЯНОВСКАЯ ОБЛАСТЬ, Г УЛЬЯНОВСК, Ш МОСКОВСКОЕ, Д.102 Б, -------------, ---------------</t>
  </si>
  <si>
    <t>ООО АВТОРАЙ-ЗАВОЛЖЬЕ</t>
  </si>
  <si>
    <t>432045, УЛЬЯНОВСКАЯ ОБЛАСТЬ, Г УЛЬЯНОВСК, Ш МОСКОВСКОЕ, Д.17А</t>
  </si>
  <si>
    <t>ООО ТИМЕР</t>
  </si>
  <si>
    <t>432018, УЛЬЯНОВСКАЯ ОБЛАСТЬ, Г УЛЬЯНОВСК, УЛ ХВАТКОВА, Д. 17Г, ОФИС 1</t>
  </si>
  <si>
    <t>ООО ПРЕМИУМ ЦЕНТР</t>
  </si>
  <si>
    <t>432045, УЛЬЯНОВСКАЯ ОБЛАСТЬ, Г УЛЬЯНОВСК, Ш МОСКОВСКОЕ, Д.5В</t>
  </si>
  <si>
    <t>ООО ТД АРМАДА-АВТО</t>
  </si>
  <si>
    <t>432045, УЛЬЯНОВСКАЯ ОБЛАСТЬ, Г УЛЬЯНОВСК, Ш МОСКОВСКОЕ, Д. 5В, ЭТАЖ 1, КАБИНЕТ 1</t>
  </si>
  <si>
    <t>ООО ОПТИМА-УЛЬЯНОВСК</t>
  </si>
  <si>
    <t>432045, УЛЬЯНОВСКАЯ ОБЛАСТЬ, Г УЛЬЯНОВСК, Ш МОСКОВСКОЕ, Д. 3, ЭТАЖ 3, ОФИС 20</t>
  </si>
  <si>
    <t>ООО ВОЛГА ТАБАК</t>
  </si>
  <si>
    <t>ИП АСОНОВ ПАВЕЛ ПАВЛОВИЧ</t>
  </si>
  <si>
    <t>ИП БЕЛЯКОВ ЕГОР АНАТОЛЬЕВИЧ</t>
  </si>
  <si>
    <t>ИП ЛЯГИНА ЕЛИЗАВЕТА ДЕНИСОВНА</t>
  </si>
  <si>
    <t>ИП КАШИН АЛЕКСЕЙ АЛЕКСАНДРОВИЧ</t>
  </si>
  <si>
    <t>ИП ПОЛЯКОВ АЛЕКСАНДР АНАТОЛЬЕВИЧ</t>
  </si>
  <si>
    <t>ООО АТП ШУРАВИ</t>
  </si>
  <si>
    <t>432051, РОССИЯ, УЛЬЯНОВСКАЯ ОБЛАСТЬ, Г.О. ГОРОД УЛЬЯНОВСК, Г УЛЬЯНОВСК, Б-Р ИМ. ИЛЬЮШИНА, Д. 8, КВ. 94</t>
  </si>
  <si>
    <t>ИП АНУФРИЕВ СЕРГЕЙ НИКОЛАЕВИЧ</t>
  </si>
  <si>
    <t>ИП РОЖКОВА ЕЛЕНА ВЛАДИМИРОВНА</t>
  </si>
  <si>
    <t>ИП СУББОТИН МАКСИМ ЮРЬЕВИЧ</t>
  </si>
  <si>
    <t>ООО ОРИГИНАЛ - СЕРВИС</t>
  </si>
  <si>
    <t>432045, УЛЬЯНОВСКАЯ ОБЛАСТЬ, Г.О. ГОРОД УЛЬЯНОВСК, Г УЛЬЯНОВСК, Ш МОСКОВСКОЕ, Д. 5В, ЭТАЖ 2, КАБ. 2</t>
  </si>
  <si>
    <t>ИП ГИМАДЕЕВ ИЛЬДАР ЗЯГФЯРОВИЧ</t>
  </si>
  <si>
    <t>ИП ДЕНИН АНТОН АЛЕКСАНДРОВИЧ</t>
  </si>
  <si>
    <t>ООО МИКА-МОТОРС</t>
  </si>
  <si>
    <t>433513, РОССИЯ, УЛЬЯНОВСКАЯ ОБЛАСТЬ, Г.О. ГОРОД ДИМИТРОВГРАД, Г ДИМИТРОВГРАД, ПР-КТ АВТОСТРОИТЕЛЕЙ, ЗД. 87Д</t>
  </si>
  <si>
    <t>ООО УНИКОМ АГРО</t>
  </si>
  <si>
    <t>432045, РОССИЯ, УЛЬЯНОВСКАЯ ОБЛАСТЬ, Г.О. ГОРОД УЛЬЯНОВСК, Г УЛЬЯНОВСК, Ш МОСКОВСКОЕ, Д. 14А, ОФИС 13</t>
  </si>
  <si>
    <t>ИП ЖИЛИН ПАВЕЛ ВЛАДИМИРОВИЧ</t>
  </si>
  <si>
    <t>ИП ШОЛМОВ ПЕТР ПЕТРОВИЧ</t>
  </si>
  <si>
    <t>ИП ДЕРЕВНИН ИВАН ГРИГОРЬЕВИЧ</t>
  </si>
  <si>
    <t>ИП ПОЧАНИН ВИКТОР СЕРГЕЕВИЧ</t>
  </si>
  <si>
    <t>ИП КАБАЕВА ЛЮБОВЬ АЛЕКСАНДРОВНА</t>
  </si>
  <si>
    <t>ИП КУДАШОВ АЛЕКСАНДР ИВАНОВИЧ</t>
  </si>
  <si>
    <t>ИП РАЙКУНОВА НАТАЛЬЯ ГЕННАДЬЕВНА</t>
  </si>
  <si>
    <t>ИП ВЕРИН МАКСИМ ВИКТОРОВИЧ</t>
  </si>
  <si>
    <t>ООО МЕГАПОЛИС</t>
  </si>
  <si>
    <t>ИП МОРОЗОВ АНДРЕЙ АНАТОЛЬЕВИЧ</t>
  </si>
  <si>
    <t>ИП МУЛЕНДЕЕВ СЕРГЕЙ ВИТАЛЬЕВИЧ</t>
  </si>
  <si>
    <t>ИП ИЛЬМУХИН АНДРЕЙ НИКОЛАЕВИЧ</t>
  </si>
  <si>
    <t>ИП КИПОРЕНКО ОЛЕГ ВАСИЛЬЕВИЧ</t>
  </si>
  <si>
    <t>ИП ЛУКИН МАКСИМ ОЛЕГОВИЧ</t>
  </si>
  <si>
    <t>ИП ШАЛАЕВА ВЕРА АЛЕКСАНДРОВНА</t>
  </si>
  <si>
    <t>432045, УЛЬЯНОВСКАЯ ОБЛАСТЬ, Г УЛЬЯНОВСК, Ш МОСКОВСКОЕ, Д. 3, ЭТАЖ 3, ОФИС 317</t>
  </si>
  <si>
    <t>ИП ГУБИН СЕРГЕЙ АЛЕКСАНДРОВИЧ</t>
  </si>
  <si>
    <t>ООО КОЛХОЗНИК</t>
  </si>
  <si>
    <t>432045, УЛЬЯНОВСКАЯ ОБЛАСТЬ, Г УЛЬЯНОВСК, Ш МОСКОВСКОЕ, Д. 32, ОФИС 324</t>
  </si>
  <si>
    <t>ООО МТМ-АВТО</t>
  </si>
  <si>
    <t>ООО ТД АВТОЖИДКОСТИ</t>
  </si>
  <si>
    <t>432045, УЛЬЯНОВСКАЯ ОБЛАСТЬ, Г УЛЬЯНОВСК, Ш МОСКОВСКОЕ, Д. 3, ОФИС 425</t>
  </si>
  <si>
    <t>ООО АВТОРАЙ-ЦЕНТР</t>
  </si>
  <si>
    <t>ООО КИТ-АВТО</t>
  </si>
  <si>
    <t>432045, УЛЬЯНОВСКАЯ ОБЛАСТЬ, Г УЛЬЯНОВСК, Ш МОСКОВСКОЕ, Д. 5В, ЭТАЖ 2, КАБИНЕТ 1</t>
  </si>
  <si>
    <t>ООО УАЗ</t>
  </si>
  <si>
    <t>432034, УЛЬЯНОВСКАЯ ОБЛАСТЬ, Г УЛЬЯНОВСК, Ш МОСКОВСКОЕ, Д. 92</t>
  </si>
  <si>
    <t>ООО УЛТРЕЙД</t>
  </si>
  <si>
    <t>432018, УЛЬЯНОВСКАЯ ОБЛАСТЬ, Г УЛЬЯНОВСК, УЛ ХВАТКОВА, Д. 15А</t>
  </si>
  <si>
    <t>433000, УЛЬЯНОВСКАЯ ОБЛАСТЬ, Г УЛЬЯНОВСК, УЛ АРТЕМА, Д. 14А, ОФИС 1</t>
  </si>
  <si>
    <t>ИП ГЕРДТ МАРИЯ АЛЕКСАНДРОВНА</t>
  </si>
  <si>
    <t>ИП МОЧАЛОВ ДМИТРИЙ ПАВЛОВИЧ</t>
  </si>
  <si>
    <t>ИП ЛЕОНТЬЕВ МАКСИМ ВИТАЛЬЕВИЧ</t>
  </si>
  <si>
    <t>ИП ГУЛЯЕВ ЕГОР ДМИТРИЕВИЧ</t>
  </si>
  <si>
    <t>ИП БУЛЫЧЁВ СЕРГЕЙ АЛЕКСАНДРОВИЧ</t>
  </si>
  <si>
    <t>ООО СОЛЛЕРС КАРГО</t>
  </si>
  <si>
    <t>432045, РОССИЯ, УЛЬЯНОВСКАЯ ОБЛАСТЬ, Г.О. ГОРОД УЛЬЯНОВСК, Г УЛЬЯНОВСК, Ш МОСКОВСКОЕ, Д. 9Е, ПОМЕЩ. 15</t>
  </si>
  <si>
    <t>ИП САЛИМЗАНОВ АЙРАТ АСХАТОВИЧ</t>
  </si>
  <si>
    <t>ИП СКВОРЦОВ АЛЕКСЕЙ ЕВГЕНЬЕВИЧ</t>
  </si>
  <si>
    <t>ООО МИШАР-ТЕХНО</t>
  </si>
  <si>
    <t>433000, УЛЬЯНОВСКАЯ ОБЛАСТЬ, Г УЛЬЯНОВСК, УЛ ПРОМЫШЛЕННАЯ, Д. 2Д</t>
  </si>
  <si>
    <t>ООО АСКОМ</t>
  </si>
  <si>
    <t>432045, УЛЬЯНОВСКАЯ ОБЛАСТЬ, Г УЛЬЯНОВСК, УЛ ПРОМЫШЛЕННАЯ, Д.2Е</t>
  </si>
  <si>
    <t>ООО АНАЛИТИКА</t>
  </si>
  <si>
    <t>432051, РОССИЯ, УЛЬЯНОВСКАЯ ОБЛАСТЬ, Г.О. ГОРОД УЛЬЯНОВСК, Г УЛЬЯНОВСК, ПР-КТ ЛИВАНОВА, Д. 8, КВ. 20</t>
  </si>
  <si>
    <t>ИП АВДОНИНА ОЛЬГА МИХАЙЛОВНА</t>
  </si>
  <si>
    <t>432072, УЛЬЯНОВСКАЯ ОБЛАСТЬ, Г.О. ГОРОД УЛЬЯНОВСК, Г УЛЬЯНОВСК, ПР-КТ АНТОНОВА, Д. 55, ОФИС 206</t>
  </si>
  <si>
    <t>ИП САВЕЛЬЕВ ЮРИЙ ИВАНОВИЧ</t>
  </si>
  <si>
    <t>ИП ГИЛЬФАНОВ ИЛШАТ ЗАГАФУРАНОВИЧ</t>
  </si>
  <si>
    <t>Челябинская область</t>
  </si>
  <si>
    <t>ИП ПОМАЗ ПАВЕЛ АНАТОЛЬЕВИЧ</t>
  </si>
  <si>
    <t>ИП ШАРОВ ЕВГЕНИЙ МИХАЙЛОВИЧ</t>
  </si>
  <si>
    <t>ИП МЕРЕГА АЛЕКСАНДР АНАТОЛЬЕВИЧ</t>
  </si>
  <si>
    <t>ИП СКОК ЮРИЙ АЛЕКСАНДРОВИЧ</t>
  </si>
  <si>
    <t>ИП ГУТКОВСКИЙ ВЛАДИМИР АЛЕКСАНДРОВИЧ</t>
  </si>
  <si>
    <t>ИП ПРИЯТЕЛЬЧУК СЕРГЕЙ АНДРЕЕВИЧ</t>
  </si>
  <si>
    <t>ИП ВОЙНОВ КОНСТАНТИН СЕРГЕЕВИЧ</t>
  </si>
  <si>
    <t>ИП УСТЬЯНЦЕВ МАКСИМ МИХАЙЛОВИЧ</t>
  </si>
  <si>
    <t>ИП СЕРБЕНТА ВИТАЛИЙ ВЯЧЕСЛАВОВИЧ</t>
  </si>
  <si>
    <t>ИП Камалов Ильдар Рашидович</t>
  </si>
  <si>
    <t>ИП КИСЕЛЮК ВЛАДИМИР МИХАЙЛОВИЧ</t>
  </si>
  <si>
    <t>ИП БЫЧКОВА ИРИНА РОДИОНОВНА</t>
  </si>
  <si>
    <t>ИП КУЗНЕЦОВ СЕРГЕЙ ЛЕОНИДОВИЧ</t>
  </si>
  <si>
    <t>ИП АФАНАСЬЕВА МАРИЯ СЕРГЕЕВНА</t>
  </si>
  <si>
    <t>ГБУЗ АННЕНСКИЙ ДЕТСКИЙ САНАТОРИЙ ДЛЯ ЛЕЧЕНИЯ ТУБЕРКУЛЕЗА ВСЕХ ФОРМ</t>
  </si>
  <si>
    <t>457375, ЧЕЛЯБИНСКАЯ ОБЛАСТЬ, Р-Н КАРТАЛИНСКИЙ, П САНАТОРНЫЙ, УЛ МИРНАЯ, Д.9, -, -</t>
  </si>
  <si>
    <t>МУСО КМР ЦЕНТР ПОМОЩИ ДЕТЯМ, ОСТАВШИМСЯ БЕЗ ПОПЕЧЕНИЯ РОДИТЕЛЕЙ</t>
  </si>
  <si>
    <t>457375, ЧЕЛЯБИНСКАЯ ОБЛАСТЬ, Р-Н КАРТАЛИНСКИЙ, С АННЕНСКОЕ, УЛ ШОССЕЙНАЯ, Д.9</t>
  </si>
  <si>
    <t>ИП ЧИДАКИН ВЛАДИМИР АЛЕКСЕЕВИЧ</t>
  </si>
  <si>
    <t>ИП Куликов Борис Владимирович</t>
  </si>
  <si>
    <t>ИП ДОВГАНЬ СВЕТЛАНА ЕВГЕНЬЕВНА</t>
  </si>
  <si>
    <t>ИП УХАНЬ АЛЕКСАНДР ИВАНОВИЧ</t>
  </si>
  <si>
    <t>ИП ШЕКУНОВА СВЕТЛАНА ВЛАДИМИРОВНА</t>
  </si>
  <si>
    <t>ИП ХАИТОВ РАХИМБАЙ КАДАМБАЕВИЧ</t>
  </si>
  <si>
    <t>ИП ЛАЗЬКО ЮЛИЯ НИКОЛАЕВНА</t>
  </si>
  <si>
    <t>ИП ПОЗДОВ ЕВГЕНИЙ ВАЛЕРЬЕВИЧ</t>
  </si>
  <si>
    <t>ИП ГИЛЬМХАНОВА ЛЮДМИЛА ВЛАДИМИРОВНА</t>
  </si>
  <si>
    <t>ИП ЗЫКОВА ЛАРИСА НИКОЛАЕВНА</t>
  </si>
  <si>
    <t>ИП ЗУЕВА КСЕНИЯ ЮРЬЕВНА</t>
  </si>
  <si>
    <t>ИП Трусов Максим Евгеньевич</t>
  </si>
  <si>
    <t>ИП ЗАЙЦЕВА КСЕНИЯ МИХАЙЛОВНА</t>
  </si>
  <si>
    <t>ИП ТАГНЕ АВГУСТ ГУГОВИЧ</t>
  </si>
  <si>
    <t>ИП МАКСИМОВСКИХ ЭДУАРД НИКОЛАЕВИЧ</t>
  </si>
  <si>
    <t>ИП ПАДЕРОВ ЕВГЕНИЙ КОНСТАНТИНОВИЧ</t>
  </si>
  <si>
    <t>ИП ХАЖЕЕВА ЕВГЕНИЯ МАРАТОВНА</t>
  </si>
  <si>
    <t>ИП СВИРИДОВ АЛЕКСЕЙ ВЛАДИМИРОВИЧ</t>
  </si>
  <si>
    <t>ИП АНТРОПОВ ИГОРЬ БОРИСОВИЧ</t>
  </si>
  <si>
    <t>ООО АВТОЦЕНТР УРАЛ</t>
  </si>
  <si>
    <t>456300, ЧЕЛЯБИНСКАЯ ОБЛАСТЬ, Г МИАСС, УЛ ЛИХАЧЕВА, Д. 49, КВ. 16</t>
  </si>
  <si>
    <t>ИП МАЛАШКИН ВЯЧЕСЛАВ ВАЛЕРЬЕВИЧ</t>
  </si>
  <si>
    <t>ООО ОЛФИ</t>
  </si>
  <si>
    <t>456313, ЧЕЛЯБИНСКАЯ ОБЛАСТЬ, Г МИАСС, УЛ ХЛЕБОЗАВОДСКАЯ, Д. 2, ОФИС 1</t>
  </si>
  <si>
    <t>ИП Максай Татьяна Николаевна</t>
  </si>
  <si>
    <t>ИП ШКРАБИН СЕРГЕЙ ВАСИЛЬЕВИЧ</t>
  </si>
  <si>
    <t>ИП САЙКОВ АЛЕКСАНДР ВАЛЕРЬЕВИЧ</t>
  </si>
  <si>
    <t>ИП Сарайкин Сергей Александрович</t>
  </si>
  <si>
    <t>ИП МЕЛЕХИН ВАСИЛИЙ СЕРГЕЕВИЧ</t>
  </si>
  <si>
    <t>456915, ЧЕЛЯБИНСКАЯ ОБЛАСТЬ, Р-Н САТКИНСКИЙ, Г САТКА, ПЛ 1 МАЯ, Д. 9</t>
  </si>
  <si>
    <t>ИП ЛЕЗИН ДЕНИС СЕРГЕЕВИЧ</t>
  </si>
  <si>
    <t>ИП БОРОДИН АНДРЕЙ ДМИТРИЕВИЧ</t>
  </si>
  <si>
    <t>ИП ПРИТУЛО АЛЕКСЕЙ ВЛАДИМИРОВИЧ</t>
  </si>
  <si>
    <t>ИП ПОПОВ СТАНИСЛАВ ИГОРЕВИЧ</t>
  </si>
  <si>
    <t>ИП ЯКОВЛЕВА КАРИНА ИЛЬЯСОВНА</t>
  </si>
  <si>
    <t>ИП ЗАУЭР ДМИТРИЙ ВЛАДИМИРОВИЧ</t>
  </si>
  <si>
    <t>ИП ЛИСИЦЫН АНТОН СЕРГЕЕВИЧ</t>
  </si>
  <si>
    <t>ИП КОВАЛЬЧУК СЕРГЕЙ ВАЛЕНТИНОВИЧ</t>
  </si>
  <si>
    <t>ИП Калюжин Вячеслав Витальевич</t>
  </si>
  <si>
    <t>ИП АНАНЬЕВ СЕРГЕЙ МИХАЙЛОВИЧ</t>
  </si>
  <si>
    <t>ИП ЗАЙЦЕВА ЕЛЕНА ВЛАДИМИРОВНА</t>
  </si>
  <si>
    <t>456584, ЧЕЛЯБИНСКАЯ ОБЛАСТЬ, Р-Н ЕМАНЖЕЛИНСКИЙ, Г ЕМАНЖЕЛИНСК, УЛ ПОЧТОВАЯ, Д.14</t>
  </si>
  <si>
    <t>ГБУЗ ГОРОДСКАЯ БОЛЬНИЦА Г. ЗЛАТОУСТ</t>
  </si>
  <si>
    <t>456227, ЧЕЛЯБИНСКАЯ ОБЛАСТЬ, Г ЗЛАТОУСТ, УЛ 40-ЛЕТИЯ ПОБЕДЫ, Д. 7</t>
  </si>
  <si>
    <t>ИП БЕРСЕНЕВА СВЕТЛАНА НИКОЛАЕВНА</t>
  </si>
  <si>
    <t>ИП ЛЕДЯЕВ ВАСИЛИЙ ВАЛЕРЬЕВИЧ</t>
  </si>
  <si>
    <t>ИП ЯКУНИН ИВАН АЛЕКСЕЕВИЧ</t>
  </si>
  <si>
    <t>ИП ШИПИГИН ВИТАЛИЙ МИХАЙЛОВИЧ</t>
  </si>
  <si>
    <t>ИП ГОРЯНСКАЯ ЕВГЕНИЯ СЕРГЕЕВНА</t>
  </si>
  <si>
    <t>ИП ШЛОСЕР ЮРИЙ ВЛАДИМИРОВИЧ</t>
  </si>
  <si>
    <t>ИП НИКИТИНА НАТАЛЬЯ НИКОЛАЕВНА</t>
  </si>
  <si>
    <t>ИП ШВЕЙКИН ГЕННАДИЙ АНАТОЛЬЕВИЧ</t>
  </si>
  <si>
    <t>ИП АГАПОВА ИРИНА АЛЕКСАНДРОВНА</t>
  </si>
  <si>
    <t>ООО СИ КЬЮ РЕТЭЙЛ</t>
  </si>
  <si>
    <t>456304, ЧЕЛЯБИНСКАЯ ОБЛАСТЬ, Г МИАСС, Ш ДИНАМОВСКОЕ, Д. 1</t>
  </si>
  <si>
    <t>ООО АРТВЕНД</t>
  </si>
  <si>
    <t>456306, ЧЕЛЯБИНСКАЯ ОБЛАСТЬ, Г МИАСС, УЛ ГОТВАЛЬДА, Д. 1/1</t>
  </si>
  <si>
    <t>456304, ЧЕЛЯБИНСКАЯ ОБЛАСТЬ, Г МИАСС, УЛ 8 ИЮЛЯ, Д. 5, ПОМЕЩ. 61, 62, 63, 64</t>
  </si>
  <si>
    <t>ИП КРАСНОВ АЛЕКСАНДР СЕРГЕЕВИЧ</t>
  </si>
  <si>
    <t>ИП ЛОГАЧЕВА ЕЛЕНА ВАСИЛЬЕВНА</t>
  </si>
  <si>
    <t>ИП ГОРДЕЕВ ВАСИЛИЙ ВЛАДИМИРОВИЧ</t>
  </si>
  <si>
    <t>ИП САЖИНА АННА АЛЕКСАНДРОВНА</t>
  </si>
  <si>
    <t>ИП ИСАЕВ ИГОРЬ АНАТОЛЬЕВИЧ</t>
  </si>
  <si>
    <t>ИП ПРОСЕКОВ АЛЕКСАНДР АНАТОЛЬЕВИЧ</t>
  </si>
  <si>
    <t>ИП ПАЛАГИН ПАВЕЛ СЕРГЕЕВИЧ</t>
  </si>
  <si>
    <t>ИП ЧОЛАКЯН ТИГРАН ВАРДАНОВИЧ</t>
  </si>
  <si>
    <t>ИП КУЗНЕЦОВ АЛЕКСЕЙ МИХАЙЛОВИЧ</t>
  </si>
  <si>
    <t>ИП ХОЛИН СЕРГЕЙ ВАСИЛЬЕВИЧ</t>
  </si>
  <si>
    <t>ИП ЕРМАКОВ ДМИТРИЙ НИКОЛАЕВИЧ</t>
  </si>
  <si>
    <t>ИП ЖИДЕЛЕВ СЕРГЕЙ АЛЕКСАНДРОВИЧ</t>
  </si>
  <si>
    <t>ИП ЗАХАРОВ ИВАН ЮРЬЕВИЧ</t>
  </si>
  <si>
    <t>ИП ЧЕРМЕНИНОВ АНТОН СЕРГЕЕВИЧ</t>
  </si>
  <si>
    <t>ИП КРОМСКИЙ АРТЁМ АЛЕКСАНДРОВИЧ</t>
  </si>
  <si>
    <t>ИП ШАМИНА АЛЕКСАНДРА РОМАНОВНА</t>
  </si>
  <si>
    <t>ИП ПУСТЫННИКОВ СЕРГЕЙ ПАВЛОВИЧ</t>
  </si>
  <si>
    <t>ИП ШЕРСТОБИТОВА ТАТЬЯНА АЛЕКСАНДРОВНА</t>
  </si>
  <si>
    <t>ИП БЕКЕТОВА АЛЕКСАНДРА АЛЕКСАНДРОВНА</t>
  </si>
  <si>
    <t>АЛАБУГСКОЕ СЕЛЬПО</t>
  </si>
  <si>
    <t>456686, ЧЕЛЯБИНСКАЯ ОБЛАСТЬ, Р-Н КРАСНОАРМЕЙСКИЙ, С АЛАБУГА, УЛ КОМСОМОЛЬСКАЯ, Д.1</t>
  </si>
  <si>
    <t>ИП КОПП ЕВГЕНИЙ НИКОЛАЕВИЧ</t>
  </si>
  <si>
    <t>ИП МАКУРИНА СВЕТЛАНА ГЕННАДЬЕВНА</t>
  </si>
  <si>
    <t>ПАРИЖСКОЕ СЕЛЬПО</t>
  </si>
  <si>
    <t>457654, ЧЕЛЯБИНСКАЯ ОБЛАСТЬ, Р-Н НАГАЙБАКСКИЙ, С ПАРИЖ, УЛ ЮБИЛЕЙНАЯ, Д. 1</t>
  </si>
  <si>
    <t>ИП ТРЕТЬЯКОВ ИГОРЬ ЕВГРАФОВИЧ</t>
  </si>
  <si>
    <t>ООО ИСКРА</t>
  </si>
  <si>
    <t>456880, ЧЕЛЯБИНСКАЯ ОБЛАСТЬ, Р-Н АРГАЯШСКИЙ, С АРГАЯШ, УЛ СОВХОЗНАЯ, Д.6</t>
  </si>
  <si>
    <t>ИП ПЛАСТИНИН АЛЕКСЕЙ НИКОЛАЕВИЧ</t>
  </si>
  <si>
    <t>ИП АЛЕКСЕЕВ МИХАИЛ ДМИТРИЕВИЧ</t>
  </si>
  <si>
    <t>ИП УШАКОВ АЛЕКСЕЙ АНАТОЛЬЕВИЧ</t>
  </si>
  <si>
    <t>ИП АКУЛЬШИНА ИРИНА АЛЕКСАНДРОВНА</t>
  </si>
  <si>
    <t>ИП БАТУРИНА ТАТЬЯНА МИХАЙЛОВНА</t>
  </si>
  <si>
    <t>ИП СТРУКОВА ЕЛЕНА ВАЛЕРЬЕВНА</t>
  </si>
  <si>
    <t>ООО ИНКОМСЕРВИС-М</t>
  </si>
  <si>
    <t>455006, ЧЕЛЯБИНСКАЯ ОБЛАСТЬ, Г.О. МАГНИТОГОРСКИЙ, Г МАГНИТОГОРСК, УЛ КАЛМЫКОВА, Д. 70/2, ПОМЕЩ. 1</t>
  </si>
  <si>
    <t>ООО ГЛОБУС-ИНФО</t>
  </si>
  <si>
    <t>455000, ЧЕЛЯБИНСКАЯ ОБЛАСТЬ, Г.О. МАГНИТОГОРСКИЙ, Г МАГНИТОГОРСК, УЛ НИКОЛАЯ ШИШКА, Д. 11, ПОМЕЩ. 3</t>
  </si>
  <si>
    <t>ИП Васильев Сергей Владимирович</t>
  </si>
  <si>
    <t>ИП СТРУКОВ СЕРГЕЙ НИКОЛАЕВИЧ</t>
  </si>
  <si>
    <t>ИП ШУЛЬГИН СТАНИСЛАВ СЕРГЕЕВИЧ</t>
  </si>
  <si>
    <t>ИП СТРУКОВ ЕГОР СЕРГЕЕВИЧ</t>
  </si>
  <si>
    <t>ИП МАЛЮТИН ДМИТРИЙ АЛЕКСАНДРОВИЧ</t>
  </si>
  <si>
    <t>ИП КАШИРИН МИХАИЛ АЛЕКСАНДРОВИЧ</t>
  </si>
  <si>
    <t>ИП ШАДРИНА ТАТЬЯНА АЛЕКСЕЕВНА</t>
  </si>
  <si>
    <t>ИП ГУМАРОВ РАШИД МУХТАРОВИЧ</t>
  </si>
  <si>
    <t>454128, ЧЕЛЯБИНСКАЯ ОБЛАСТЬ, Г.О. ЧЕЛЯБИНСКИЙ, Г ЧЕЛЯБИНСК, УЛ ЧИЧЕРИНА, Д. 33А, КВ. 2</t>
  </si>
  <si>
    <t>ИП ГИТЕНКО МИХАИЛ АЛЕКСАНДРОВИЧ</t>
  </si>
  <si>
    <t>454902, ЧЕЛЯБИНСКАЯ ОБЛАСТЬ, Г ЧЕЛЯБИНСК, УЛ СЕВЕРНАЯ (ШЕРШНИ), Д. 56А</t>
  </si>
  <si>
    <t>ООО ОНЕСТА</t>
  </si>
  <si>
    <t>454080, ЧЕЛЯБИНСКАЯ ОБЛАСТЬ, Г ЧЕЛЯБИНСК, УЛ ХУДЯКОВА, Д. 12, ОФИС 1</t>
  </si>
  <si>
    <t>ИП МИШАГИНА НАТАЛЬЯ ЛЕОНИДОВНА</t>
  </si>
  <si>
    <t>ООО УРАЛКАМ</t>
  </si>
  <si>
    <t>454038, ЧЕЛЯБИНСКАЯ ОБЛАСТЬ, Г ЧЕЛЯБИНСК, Ш МЕТАЛЛУРГОВ, Д. 21П</t>
  </si>
  <si>
    <t>ООО ТК АВТОТЕХСНАБ-74</t>
  </si>
  <si>
    <t>454081, ЧЕЛЯБИНСКАЯ ОБЛАСТЬ, Г ЧЕЛЯБИНСК, УЛ МЕХАНИЧЕСКАЯ, Д. 14, ПОМЕЩ. 22</t>
  </si>
  <si>
    <t>454128, ЧЕЛЯБИНСКАЯ ОБЛАСТЬ, Г ЧЕЛЯБИНСК, УЛ ЧИЧЕРИНА, Д. 33, КВ. 33</t>
  </si>
  <si>
    <t>ООО ЛУИДОРГАРАНТИЯ-ЧЕЛЯБИНСК</t>
  </si>
  <si>
    <t>454119, ЧЕЛЯБИНСКАЯ ОБЛАСТЬ, Г ЧЕЛЯБИНСК, Ш КОПЕЙСКОЕ, Д. 27Ж, ОФИС 1</t>
  </si>
  <si>
    <t>ООО СЕТЕКО</t>
  </si>
  <si>
    <t>454080, ЧЕЛЯБИНСКАЯ ОБЛАСТЬ, Г.О. ЧЕЛЯБИНСКИЙ, Г ЧЕЛЯБИНСК, ПР-КТ ЛЕНИНА, Д. 89</t>
  </si>
  <si>
    <t>ИП НЕСТЕРОВ АЛЕКСЕЙ ВАДИМОВИЧ</t>
  </si>
  <si>
    <t>ООО РОСИНВЕСТ-ОЙЛ</t>
  </si>
  <si>
    <t>454014, ЧЕЛЯБИНСКАЯ ОБЛАСТЬ, Г.О. ЧЕЛЯБИНСКИЙ, Г ЧЕЛЯБИНСК, УЛ МОЛОДОГВАРДЕЙЦЕВ, Д. 2, ОФИС 215</t>
  </si>
  <si>
    <t>ООО ТД ЗАПЧАСТЬ</t>
  </si>
  <si>
    <t>454008, ЧЕЛЯБИНСКАЯ ОБЛАСТЬ, Г ЧЕЛЯБИНСК, ТРАКТ СВЕРДЛОВСКИЙ, Д. 5, СТР. 1, ПОМЕЩ. 2</t>
  </si>
  <si>
    <t>ООО ПНЕВМОЭЛЕМЕНТ</t>
  </si>
  <si>
    <t>454018, ЧЕЛЯБИНСКАЯ ОБЛАСТЬ, Г.О. ЧЕЛЯБИНСКИЙ, Г ЧЕЛЯБИНСК, УЛ ЧАЙКОВСКОГО, Д. 149</t>
  </si>
  <si>
    <t>ИП ДЮРЯГИН КОНСТАНТИН ГЕННАДЬЕВИЧ</t>
  </si>
  <si>
    <t>ИП ПИСКУНОВА ЕЛЕНА ВИКТОРОВНА</t>
  </si>
  <si>
    <t>ИП МИШАГИНА ЛАРИСА РОМОВНА</t>
  </si>
  <si>
    <t>ООО МИР ПОДШИПНИКОВ</t>
  </si>
  <si>
    <t>454119, ЧЕЛЯБИНСКАЯ ОБЛАСТЬ, Г ЧЕЛЯБИНСК, Ш КОПЕЙСКОЕ, Д. 38Г, ОФИС 1</t>
  </si>
  <si>
    <t>ИП ГУБСКИЙ ВЯЧЕСЛАВ НИКОЛАЕВИЧ</t>
  </si>
  <si>
    <t>ООО ИНТЕРСТРОЙ</t>
  </si>
  <si>
    <t>454036, ЧЕЛЯБИНСКАЯ ОБЛАСТЬ, Г ЧЕЛЯБИНСК, УЛ РАДОНЕЖСКАЯ, Д. 12</t>
  </si>
  <si>
    <t>ООО 74 МОТОРС</t>
  </si>
  <si>
    <t>454036, ЧЕЛЯБИНСКАЯ ОБЛАСТЬ, Г ЧЕЛЯБИНСК, ТРАКТ СВЕРДЛОВСКИЙ, Д. 1Б, ЭТАЖ 2 ПОМЕЩЕНИЕ 2</t>
  </si>
  <si>
    <t>ООО СТО КПП</t>
  </si>
  <si>
    <t>454010, ЧЕЛЯБИНСКАЯ ОБЛАСТЬ, Г ЧЕЛЯБИНСК, УЛ ЕНИСЕЙСКАЯ, Д. 31, ПОМЕЩ. 25</t>
  </si>
  <si>
    <t>ИП КЛЕВЦОВА ТАТЬЯНА ВИКТОРОВНА</t>
  </si>
  <si>
    <t>ИП ФОМИНЫХ АНТОН СЕРГЕЕВИЧ</t>
  </si>
  <si>
    <t>ИП ЛАЮКС НИКИТА ИГОРЕВИЧ</t>
  </si>
  <si>
    <t>ИП ЛЕМЗА ПАВЕЛ СЕРГЕЕВИЧ</t>
  </si>
  <si>
    <t>ИП ВОЛКОВА ИННА АНДРЕЕВНА</t>
  </si>
  <si>
    <t>ИП БАЛАКИРЕВА НАТАЛЬЯ АЛЕКСЕЕВНА</t>
  </si>
  <si>
    <t>ИП ИВАНОВА МАРИЯ СЕРГЕЕВНА</t>
  </si>
  <si>
    <t>ИП НЕЗНАМОВА ЕЛЕНА ВАСИЛЬЕВНА</t>
  </si>
  <si>
    <t>ИП Лепихина Жанна Владимировна</t>
  </si>
  <si>
    <t>ИП БЕБИК АЛЕКСАНДР ИВАНОВИЧ</t>
  </si>
  <si>
    <t>ООО РНС-УРАЛ</t>
  </si>
  <si>
    <t>454079, ЧЕЛЯБИНСКАЯ ОБЛАСТЬ, Г ЧЕЛЯБИНСК, УЛ ЛИНЕЙНАЯ, Д. 96</t>
  </si>
  <si>
    <t>ООО ТПГ ВАГНЕР</t>
  </si>
  <si>
    <t>454028, ЧЕЛЯБИНСКАЯ ОБЛАСТЬ, Г ЧЕЛЯБИНСК, УЛ РЯБИНОВАЯ, Д. 20</t>
  </si>
  <si>
    <t>ООО ТК ВИД</t>
  </si>
  <si>
    <t>454090, ЧЕЛЯБИНСКАЯ ОБЛАСТЬ, Г.О. ЧЕЛЯБИНСКИЙ, Г ЧЕЛЯБИНСК, УЛ МАРКСА, Д. 46, ОФИС 405</t>
  </si>
  <si>
    <t>ООО ТД УРАЛТРАНСКЛИМАТ</t>
  </si>
  <si>
    <t>454053, ЧЕЛЯБИНСКАЯ ОБЛАСТЬ, Г ЧЕЛЯБИНСК, ТРАКТ ТРОИЦКИЙ, Д. 3А, ОФИС 201</t>
  </si>
  <si>
    <t>ООО ЧЕЛЯБХИМСИНТЕЗ</t>
  </si>
  <si>
    <t>454100, ЧЕЛЯБИНСКАЯ ОБЛАСТЬ, Г.О. ЧЕЛЯБИНСКИЙ, Г ЧЕЛЯБИНСК, ПР-КТ КОМСОМОЛЬСКИЙ, Д. 94</t>
  </si>
  <si>
    <t>ООО ГТА</t>
  </si>
  <si>
    <t>454082, ЧЕЛЯБИНСКАЯ ОБЛАСТЬ, Г ЧЕЛЯБИНСК, ТРАКТ ТРОИЦКИЙ, Д. 70, ПОМЕЩ. 1</t>
  </si>
  <si>
    <t>ООО АВТОКОМПЛЕКС РЕГИНАС</t>
  </si>
  <si>
    <t>454003, ЧЕЛЯБИНСКАЯ ОБЛАСТЬ, Г ЧЕЛЯБИНСК, УЛ БРАТЬЕВ КАШИРИНЫХ, Д. 141А</t>
  </si>
  <si>
    <t>ООО ПФ АРСЕНАЛ-АВТО</t>
  </si>
  <si>
    <t>454036, ЧЕЛЯБИНСКАЯ ОБЛАСТЬ, Г ЧЕЛЯБИНСК, УЛ РАДОНЕЖСКАЯ, Д. 6, 204</t>
  </si>
  <si>
    <t>ООО БОВИД ТРАК</t>
  </si>
  <si>
    <t>454079, ЧЕЛЯБИНСКАЯ ОБЛАСТЬ, Г ЧЕЛЯБИНСК, УЛ ЛИНЕЙНАЯ, Д. 98</t>
  </si>
  <si>
    <t>ООО СИГНАЛ</t>
  </si>
  <si>
    <t>454010, РОССИЯ, ЧЕЛЯБИНСКАЯ ОБЛАСТЬ, Г.О. ЧЕЛЯБИНСКИЙ, Г ЧЕЛЯБИНСК, Ш КОПЕЙСКОЕ, Д. 48</t>
  </si>
  <si>
    <t>АО ТОРГОВЫЙ ДОМ БОВИД</t>
  </si>
  <si>
    <t>ООО ЮЖНОУРАЛЬСК-ЛАДА</t>
  </si>
  <si>
    <t>457040, ЧЕЛЯБИНСКАЯ ОБЛАСТЬ, Г ЮЖНОУРАЛЬСК, УЛ ПОБЕДЫ, Д. 4А</t>
  </si>
  <si>
    <t>ИП ЛИТВИНОВ АНДРЕЙ АЛЕКСАНДРОВИЧ</t>
  </si>
  <si>
    <t>ИП СМИРНОВ АЛЕКСАНДР ВИКТОРОВИЧ</t>
  </si>
  <si>
    <t>ООО МАНОЙЛ</t>
  </si>
  <si>
    <t>454085, ЧЕЛЯБИНСКАЯ ОБЛАСТЬ, Г.О. ЧЕЛЯБИНСКИЙ, Г ЧЕЛЯБИНСК, УЛ ТАНКИСТОВ, Д. 177А, ОФИС 201</t>
  </si>
  <si>
    <t>ИП ДЕНИСЕВИЧ ИГОРЬ ИВАНОВИЧ</t>
  </si>
  <si>
    <t>ИП ВЕБЕР ВЯЧЕСЛАВ ВЛАДИМИРОВИЧ</t>
  </si>
  <si>
    <t>ООО РЕГИНАС</t>
  </si>
  <si>
    <t>ИП СТЕЛЬНИКОВА ИННА ЛЕОНИДОВНА</t>
  </si>
  <si>
    <t>ИП МОСЕЕВ МАКСИМ НИКОЛАЕВИЧ</t>
  </si>
  <si>
    <t>ИП ВЕКЛИЧ КОНСТАНТИН ВЛАДИМИРОВИЧ</t>
  </si>
  <si>
    <t>ИП БОГАЧЕВ ЕВГЕНИЙ АЛЕКСАНДРОВИЧ</t>
  </si>
  <si>
    <t>ИП САПУГЛИЦЕВА НАТАЛЬЯ ВАСИЛЬЕВНА</t>
  </si>
  <si>
    <t>ИП ГОРДЕЕНКО АЛЕКСЕЙ КОНСТАНТИНОВИЧ</t>
  </si>
  <si>
    <t>ИП БРЯНСКАЯ ЛИНА РИФОВНА</t>
  </si>
  <si>
    <t>ИП СУНДУКОВ АЛЬБЕРТ РАФИКОВИЧ</t>
  </si>
  <si>
    <t>ООО ГИЗОРС</t>
  </si>
  <si>
    <t>455027, ЧЕЛЯБИНСКАЯ ОБЛАСТЬ, Г МАГНИТОГОРСК, УЛ ТОПОЛИНАЯ, Д. 109, 30</t>
  </si>
  <si>
    <t>ООО УРАЛ-АВТО</t>
  </si>
  <si>
    <t>455026, ЧЕЛЯБИНСКАЯ ОБЛАСТЬ, Г МАГНИТОГОРСК, УЛ МИЧУРИНА, Д.134</t>
  </si>
  <si>
    <t>ИП ПАНОВ СЕРГЕЙ ВИКТОРОВИЧ</t>
  </si>
  <si>
    <t>ИП Кириллов Олег Анатольевич</t>
  </si>
  <si>
    <t>ОООФЛАГМАН</t>
  </si>
  <si>
    <t>454136, ЧЕЛЯБИНСКАЯ ОБЛАСТЬ, Г ЧЕЛЯБИНСК, УЛ ВОРОШИЛОВА, Д. 55А, 27</t>
  </si>
  <si>
    <t>456501, ЧЕЛЯБИНСКАЯ ОБЛАСТЬ, Р-Н СОСНОВСКИЙ, С КРЕМЕНКУЛЬ, ТРАКТ УРАЛЬСКИЙ, Д. 1</t>
  </si>
  <si>
    <t>ООО АВТОРИТЕЙЛ</t>
  </si>
  <si>
    <t>454003, ЧЕЛЯБИНСКАЯ ОБЛАСТЬ, Г ЧЕЛЯБИНСК, УЛ БРАТЬЕВ КАШИРИНЫХ, Д. 137, ОФИС 42</t>
  </si>
  <si>
    <t>ИП САННИКОВ ЕВГЕНИЙ НИКОЛАЕВИЧ</t>
  </si>
  <si>
    <t>454084, ЧЕЛЯБИНСКАЯ ОБЛАСТЬ, Г ЧЕЛЯБИНСК, УЛ КОЖЗАВОДСКАЯ, Д. 106, ОФИС 227</t>
  </si>
  <si>
    <t>454081, ЧЕЛЯБИНСКАЯ ОБЛАСТЬ, Г ЧЕЛЯБИНСК, УЛ АРТИЛЛЕРИЙСКАЯ, Д. 2</t>
  </si>
  <si>
    <t>ООО ЛЗАП</t>
  </si>
  <si>
    <t>454004, ЧЕЛЯБИНСКАЯ ОБЛАСТЬ, Г.О. ЧЕЛЯБИНСКИЙ, Г ЧЕЛЯБИНСК, УЛ БРАТЬЕВ КАШИРИНЫХ, Д. 147А</t>
  </si>
  <si>
    <t>ООО РДС</t>
  </si>
  <si>
    <t>454003, ЧЕЛЯБИНСКАЯ ОБЛАСТЬ, Г ЧЕЛЯБИНСК, УЛ САЛАВАТА ЮЛАЕВА, Д. 29, КВ. 229</t>
  </si>
  <si>
    <t>ООО Л-ТРАНС ЧЕЛЯБИНСК</t>
  </si>
  <si>
    <t>454081, РОССИЯ, ЧЕЛЯБИНСКАЯ ОБЛАСТЬ, Г.О. ЧЕЛЯБИНСКИЙ, Г ЧЕЛЯБИНСК, УЛ МЕХАНИЧЕСКАЯ, Д. 14, СТР. 12</t>
  </si>
  <si>
    <t>ООО  «РИЕЛ ТАИРС»</t>
  </si>
  <si>
    <t>454003, РОССИЯ, ЧЕЛЯБИНСКАЯ ОБЛАСТЬ, Г.О. ЧЕЛЯБИНСКИЙ, Г ЧЕЛЯБИНСК, УЛ ЧИЧЕРИНА, Д. 34А, КВ. 115</t>
  </si>
  <si>
    <t>ООО ЭКСТРИМ-КЛУБ МОТО</t>
  </si>
  <si>
    <t>454036, ЧЕЛЯБИНСКАЯ ОБЛАСТЬ, Г ЧЕЛЯБИНСК, ТРАКТ СВЕРДЛОВСКИЙ, Д. 1Б, ПОМЕЩ. 2</t>
  </si>
  <si>
    <t>ИП ЧЕКАШОВА ВЕРА ПЕТРОВНА</t>
  </si>
  <si>
    <t>ИП БОРИСЕВИЧ ЮРИЙ ЮРЬЕВИЧ</t>
  </si>
  <si>
    <t>454106, ЧЕЛЯБИНСКАЯ ОБЛАСТЬ, Г ЧЕЛЯБИНСК, УЛ НЕГЛИННАЯ, Д. 21, ОФИС 35/3</t>
  </si>
  <si>
    <t>ООО ЭНЕРГОВЕКТОР</t>
  </si>
  <si>
    <t>454106, ЧЕЛЯБИНСКАЯ ОБЛАСТЬ, Г ЧЕЛЯБИНСК, ПР-КТ ПОБЕДЫ, Д. 238, ОФИС 2</t>
  </si>
  <si>
    <t>ООО АВТОМОБИЛЬНЫЕ ТЕХНОЛОГИИ</t>
  </si>
  <si>
    <t>454008, ЧЕЛЯБИНСКАЯ ОБЛАСТЬ, Г ЧЕЛЯБИНСК, ТРАКТ СВЕРДЛОВСКИЙ, Д. 5, СТР. 1, ПОМЕЩ. 3</t>
  </si>
  <si>
    <t>454100, ЧЕЛЯБИНСКАЯ ОБЛАСТЬ, Г ЧЕЛЯБИНСК, ПР-КТ КОМСОМОЛЬСКИЙ, Д. 107А, ОФИС 505</t>
  </si>
  <si>
    <t>ООО КОМПЛЕКСНОЕ ОБЕСПЕЧЕНИЕ</t>
  </si>
  <si>
    <t>454014, ЧЕЛЯБИНСКАЯ ОБЛАСТЬ, Г.О. ЧЕЛЯБИНСКИЙ, Г ЧЕЛЯБИНСК, УЛ СОЛНЕЧНАЯ, Д. 7, ОФИС 618</t>
  </si>
  <si>
    <t>ООО А-ПРОФИ</t>
  </si>
  <si>
    <t>454090, ЧЕЛЯБИНСКАЯ ОБЛАСТЬ, Г.О. ЧЕЛЯБИНСКИЙ, Г ЧЕЛЯБИНСК, ПР-КТ ЛЕНИНА, Д. 21Б, ОФИС 116</t>
  </si>
  <si>
    <t>ООО ИНФОРМАЦИОННО-ПРАВОВОЙ ЦЕНТР</t>
  </si>
  <si>
    <t>454100, ЧЕЛЯБИНСКАЯ ОБЛАСТЬ, Г ЧЕЛЯБИНСК, ПР-КТ КОМСОМОЛЬСКИЙ, Д. 94, ПОМ/КАБ 4/3,4</t>
  </si>
  <si>
    <t>ООО ЛИДЕРОЙЛ</t>
  </si>
  <si>
    <t>456208, РОССИЯ, ЧЕЛЯБИНСКАЯ ОБЛАСТЬ, Г.О. ЗЛАТОУСТОВСКИЙ, Г ЗЛАТОУСТ, УЛ ИМ Н.П.ПОЛЕТАЕВА, Д. 3, КВ. 61</t>
  </si>
  <si>
    <t>ИП Пешков Сергей Анатольевич</t>
  </si>
  <si>
    <t>ИП НЕЙВЕРТ ВЛАДИМИР РОМАНОВИЧ</t>
  </si>
  <si>
    <t>ИП Лаюкс Татьяна Александровна</t>
  </si>
  <si>
    <t>ООО  ЛИКАВТО</t>
  </si>
  <si>
    <t>454119, ЧЕЛЯБИНСКАЯ ОБЛАСТЬ, Г ЧЕЛЯБИНСК, Ш КОПЕЙСКОЕ, Д. 42</t>
  </si>
  <si>
    <t>ООО ТД ЛАВР</t>
  </si>
  <si>
    <t>454080, ЧЕЛЯБИНСКАЯ ОБЛАСТЬ, Г ЧЕЛЯБИНСК, УЛ ЭНГЕЛЬСА, Д. 44Д, ОФИС 1402</t>
  </si>
  <si>
    <t>ООО АВТООЙЛ 174</t>
  </si>
  <si>
    <t>454129, ЧЕЛЯБИНСКАЯ ОБЛАСТЬ, Г ЧЕЛЯБИНСК, УЛ ЧАЙКИНОЙ, Д.17, КВАРТИРА 2</t>
  </si>
  <si>
    <t>ООО СКУТЕР-М УРАЛ</t>
  </si>
  <si>
    <t>454012, ЧЕЛЯБИНСКАЯ ОБЛАСТЬ, Г ЧЕЛЯБИНСК, Ш КОПЕЙСКОЕ, Д. 36Б, ОФИС 202</t>
  </si>
  <si>
    <t>ИП ХИСАМЕТДИНОВ РУСЛАН САЛАВАТОВИЧ</t>
  </si>
  <si>
    <t>ООО ДЖИЭМЭС</t>
  </si>
  <si>
    <t>454010, ЧЕЛЯБИНСКАЯ ОБЛАСТЬ, Г.О. ЧЕЛЯБИНСКИЙ, Г ЧЕЛЯБИНСК, УЛ ЮЖНЫЙ БУЛЬВАР, Д. 11, КВ. 51</t>
  </si>
  <si>
    <t>456652, РОССИЯ, ЧЕЛЯБИНСКАЯ ОБЛАСТЬ, Г.О. КОПЕЙСКИЙ, Г КОПЕЙСК, ПЕР ХРУСТАЛЬНЫЙ, Д. 1А, КВ. 4</t>
  </si>
  <si>
    <t>ИП ДОЛГОВ АНДРЕЙ АЛЕКСЕЕВИЧ</t>
  </si>
  <si>
    <t>ИП Дерксен Елена Анатольевна</t>
  </si>
  <si>
    <t>ИП БУШУЕВА АЛЕКСАНДРА НИКОЛАЕВНА</t>
  </si>
  <si>
    <t>ИП ЛУТКОВ АЛЕКСЕЙ ИЛЬИЧ</t>
  </si>
  <si>
    <t>ИП ШЕФЕР АНАСТАСИЯ НИКОЛАЕВНА</t>
  </si>
  <si>
    <t>456804, РОССИЯ, ЧЕЛЯБИНСКАЯ ОБЛАСТЬ, Г.О. ВЕРХНЕУФАЛЕЙСКИЙ, Г ВЕРХНИЙ УФАЛЕЙ, УЛ СУВОРОВА, Д. 5Д, ПОМЕЩ. 1</t>
  </si>
  <si>
    <t>ИП ИШТУГАНОВА ТАГЗИМА ХАБИБУЛЛОВНА</t>
  </si>
  <si>
    <t>ИП РУДАКОВА ОЛЬГА БОРИСОВНА</t>
  </si>
  <si>
    <t>ООО ТЕХНОКОМ</t>
  </si>
  <si>
    <t>456227, ЧЕЛЯБИНСКАЯ ОБЛАСТЬ, Г ЗЛАТОУСТ, УЛ ОЛИМПИЙСКАЯ, Д.9, 76</t>
  </si>
  <si>
    <t>ИП СМИРНОВ ВАЛЕНТИН ВЛАДИМИРОВИЧ</t>
  </si>
  <si>
    <t>ИП БОРЦОВА ОКСАНА ГЕННАДЬЕВНА</t>
  </si>
  <si>
    <t>ИП ЗУБАРЕВА ЕЛЕНА ВАСИЛЬЕВНА</t>
  </si>
  <si>
    <t>ИП ЯНОВ КИРИЛЛ ИГОРЕВИЧ</t>
  </si>
  <si>
    <t>ИП ТРЯПИЦЫН ДМИТРИЙ СЕРГЕЕВИЧ</t>
  </si>
  <si>
    <t>ИП БЕНДУС АЛЕКСАНДР ГЕННАДЬЕВИЧ</t>
  </si>
  <si>
    <t>ИП ЧУПРУНОВА ВАЛЕНТИНА ВЛАДИМИРОВНА</t>
  </si>
  <si>
    <t>ИП ЯШИНА ИРИНА ИВАНОВНА</t>
  </si>
  <si>
    <t>ИП ЧЕКАШЕВ МАКСИМ АЛЕКСАНДРОВИЧ</t>
  </si>
  <si>
    <t>ИП ШЛЕГЕЛЬ ОКСАНА ЗИНОВЬЕВНА</t>
  </si>
  <si>
    <t>ИП КИПКАЛОВ АЛЕКСАНДР ВАСИЛЬЕВИЧ</t>
  </si>
  <si>
    <t>ИП АНОШКИН ВЯЧЕСЛАВ РУДОЛЬФОВИЧ</t>
  </si>
  <si>
    <t>ИП ГЕРУШЕВИЧ АНТОН ВЛАДИМИРОВИЧ</t>
  </si>
  <si>
    <t>ИП ДУБОВ ИВАН ПАВЛОВИЧ</t>
  </si>
  <si>
    <t>ИП ЛЕГАШОВ ВИКТОР ПЕТРОВИЧ</t>
  </si>
  <si>
    <t>ООО АМТ Н.В.</t>
  </si>
  <si>
    <t>456304, ЧЕЛЯБИНСКАЯ ОБЛАСТЬ, Г МИАСС, ПЛ ПРЕДЗАВОДСКАЯ, Д.1</t>
  </si>
  <si>
    <t>ИП БЕРДНИКОВ МИХАИЛ ВЛАДИМИРОВИЧ</t>
  </si>
  <si>
    <t>ООО АМТ-ТРАК</t>
  </si>
  <si>
    <t>456390, ЧЕЛЯБИНСКАЯ ОБЛАСТЬ, Г МИАСС, П ТУРГОЯК, УЛ КАРЛА МАРКСА, СТР. 91, ОФИС 8</t>
  </si>
  <si>
    <t>456300, ЧЕЛЯБИНСКАЯ ОБЛАСТЬ, Г МИАСС, УЛ КОЛЕСОВА, Д. 19, КВ. 221</t>
  </si>
  <si>
    <t>ИП АБЗАЛИМОВ ОЛЕГ МАРАТОВИЧ</t>
  </si>
  <si>
    <t>ИП ВИТЯЗЕВ АЛЕКСАНДР СЕРГЕЕВИЧ</t>
  </si>
  <si>
    <t>ИП ЗАЙЦЕВ ПАВЕЛ БОРИСОВИЧ</t>
  </si>
  <si>
    <t>ИП ПАСТУХОВА ОКСАНА ПЕТРОВНА</t>
  </si>
  <si>
    <t>ИП ЖИЛИН ВИТАЛИЙ ПЕТРОВИЧ</t>
  </si>
  <si>
    <t>ИП КРАПИВИН МАКСИМ ОЛЕГОВИЧ</t>
  </si>
  <si>
    <t>ИП ВОЛОКИТИН ИЛЬЯ АЛЕКСАНДРОВИЧ</t>
  </si>
  <si>
    <t>ИП МОТОРИН МИХАИЛ ЮРЬЕВИЧ</t>
  </si>
  <si>
    <t>ИП ДИМИТРЕНКО ЕЛЕНА РОБЕРТОВНА</t>
  </si>
  <si>
    <t>ИП ТИМИРЯСОВА ОЛЬГА АЛЕКСАНДРОВНА</t>
  </si>
  <si>
    <t>ИП ГОЛОЛОБОВА ОКСАНА АЛЕКСАНДРОВНА</t>
  </si>
  <si>
    <t>ИП МАРИНА ЛИЛИЯ РАФАИЛОВНА</t>
  </si>
  <si>
    <t>ИП ВЛАСОВА МАРИНА ИВАНОВНА</t>
  </si>
  <si>
    <t>ИП ДОМНИН КОНСТАНТИН СЕРГЕЕВИЧ</t>
  </si>
  <si>
    <t>ИП КАЗАКОВ ВАДИМ АЛЕКСАНДРОВИЧ</t>
  </si>
  <si>
    <t>ООО СНАБЖЕНИЕ-СЕРВИС</t>
  </si>
  <si>
    <t>454077, ЧЕЛЯБИНСКАЯ ОБЛАСТЬ, Г ЧЕЛЯБИНСК, ПЕР МАМИНА, Д. 1Г, НЕЖ.ЗДАНИЕ ЭТ/ОФИС 1/1</t>
  </si>
  <si>
    <t>ИП КОШУТИНА ЛЮДМИЛА ГЕННАДЬЕВНА</t>
  </si>
  <si>
    <t>ИП НИКИФОРОВА АЛЕКСАНДРА АНДРЕЕВНА</t>
  </si>
  <si>
    <t>ИП ОВЧИННИКОВ ДМИТРИЙ СЕРГЕЕВИЧ</t>
  </si>
  <si>
    <t>ИП НАЛИВАЙЧЕНКО ЕВГЕНИЯ АЛЕКСАНДРОВНА</t>
  </si>
  <si>
    <t>ИП ЧИГВИНЦЕВ АЛЕКСАНДР ВИТАЛЬЕВИЧ</t>
  </si>
  <si>
    <t>ИП ВЯТКИН МАКСИМ ЮРЬЕВИЧ</t>
  </si>
  <si>
    <t>ИП ПОДКОРЫТОВА ЕЛЕНА ВАЛЕРЬЕВНА</t>
  </si>
  <si>
    <t>ООО СЕЙХО-МОТОРС</t>
  </si>
  <si>
    <t>454007, ЧЕЛЯБИНСКАЯ ОБЛАСТЬ, Г ЧЕЛЯБИНСК, ПР-КТ ЛЕНИНА, Д. 3Е</t>
  </si>
  <si>
    <t>ООО ФИРМА АВТОКОМПЛЕКТ</t>
  </si>
  <si>
    <t>454008, ЧЕЛЯБИНСКАЯ ОБЛАСТЬ, Г ЧЕЛЯБИНСК, УЛ АВТОДОРОЖНАЯ, Д. 12, НЕЖ.ПОМ. 11</t>
  </si>
  <si>
    <t>ИП АБДУРАЗАКОВ ФАРРУХЖОН МАЪРУФЖОНОВИЧ</t>
  </si>
  <si>
    <t>ООО ДИЗАЙН - КАФЕ</t>
  </si>
  <si>
    <t>454080, ЧЕЛЯБИНСКАЯ ОБЛАСТЬ, Г ЧЕЛЯБИНСК, ПР-КТ ЛЕНИНА, Д. 89А, ПОДЪЕЗД 3</t>
  </si>
  <si>
    <t>ООО ИТЕРО</t>
  </si>
  <si>
    <t>454085, ЧЕЛЯБИНСКАЯ ОБЛАСТЬ, Г ЧЕЛЯБИНСК, ПР-КТ ЛЕНИНА, Д. 2Б, ПОМЕЩ. 314-316</t>
  </si>
  <si>
    <t>ООО ЕСМ АВТОКОМПОНЕНТ</t>
  </si>
  <si>
    <t>454087, ЧЕЛЯБИНСКАЯ ОБЛАСТЬ, Г ЧЕЛЯБИНСК, УЛ БЛЮХЕРА, Д. 101, ОФИС 206</t>
  </si>
  <si>
    <t>ООО ТЕХНИКА ЧИСТОТЫ</t>
  </si>
  <si>
    <t>454080, ЧЕЛЯБИНСКАЯ ОБЛАСТЬ, Г.О. ЧЕЛЯБИНСКИЙ, Г ЧЕЛЯБИНСК, УЛ ТРУДА, Д. 181, ПОМЕЩ. 1.4</t>
  </si>
  <si>
    <t>ООО АЛЬЯНС ЧИСТОТЫ</t>
  </si>
  <si>
    <t>ООО ТОПСИ</t>
  </si>
  <si>
    <t>454006, ЧЕЛЯБИНСКАЯ ОБЛАСТЬ, Г ЧЕЛЯБИНСК, УЛ КРАСНОАРМЕЙСКАЯ, Д. 55, НЕЖ.ПОМ. 24, ОФИС 205</t>
  </si>
  <si>
    <t>ООО КОМПАНИЯ СТ</t>
  </si>
  <si>
    <t>454080, ЧЕЛЯБИНСКАЯ ОБЛАСТЬ, Г ЧЕЛЯБИНСК, УЛ ОБРАЗЦОВА, Д. 21, КВ. 108</t>
  </si>
  <si>
    <t>455021, ЧЕЛЯБИНСКАЯ ОБЛАСТЬ, Г.О. МАГНИТОГОРСКИЙ, Г МАГНИТОГОРСК, ПРОЕЗД СИРЕНЕВЫЙ, Д. 1Ж</t>
  </si>
  <si>
    <t>ООО ПЕЧАТЬ РЕЗКА</t>
  </si>
  <si>
    <t>455051, РОССИЯ, ЧЕЛЯБИНСКАЯ ОБЛАСТЬ, Г.О. МАГНИТОГОРСКИЙ, Г МАГНИТОГОРСК, УЛ 50-ЛЕТИЯ МАГНИТКИ, Д. 34, КВ. 61</t>
  </si>
  <si>
    <t>455049, ЧЕЛЯБИНСКАЯ ОБЛАСТЬ, Г МАГНИТОГОРСК, УЛ СОВЕТСКАЯ, Д. 171А, КВ. 1</t>
  </si>
  <si>
    <t>ООО ТД ВОСХОД</t>
  </si>
  <si>
    <t>454047, РОССИЯ, ЧЕЛЯБИНСКАЯ ОБЛАСТЬ, Г.О. ЧЕЛЯБИНСКИЙ, Г ЧЕЛЯБИНСК, УЛ ПАВЕЛЕЦКАЯ 2-Я, Д. 22, СТР. 5, ОФИС 1</t>
  </si>
  <si>
    <t>ООО СНАБЖЕНЕЦ</t>
  </si>
  <si>
    <t>456506, РОССИЯ, ЧЕЛЯБИНСКАЯ ОБЛАСТЬ, М.Р-Н СОСНОВСКИЙ, П ТЕРЕМА, С.П. КРЕМЕНКУЛЬСКОЕ, УЛ ПЯТАЯ, Д. 4, ПОМЕЩ. 3</t>
  </si>
  <si>
    <t>ООО ПКФ ГИДРОДЖЕТ ИНЖИНИРИНГ</t>
  </si>
  <si>
    <t>456510, РОССИЯ, ЧЕЛЯБИНСКАЯ ОБЛАСТЬ, М.Р-Н СОСНОВСКИЙ, Д ШИГАЕВО, С.П. ДОЛГОДЕРЕВЕНСКОЕ, УЛ РОДНИКОВАЯ, Д. 6А</t>
  </si>
  <si>
    <t>ИП МАЛЬКОВСКИЙ АЛЕКСЕЙ АЛЕКСАНДРОВИЧ</t>
  </si>
  <si>
    <t>ИП ПЕРЕПЕЛКИН ДМИТРИЙ ВЯЧЕСЛАВОВИЧ</t>
  </si>
  <si>
    <t>ООО УАЗ-ДЕТАЛЬ</t>
  </si>
  <si>
    <t>454045, ЧЕЛЯБИНСКАЯ ОБЛАСТЬ, Г ЧЕЛЯБИНСК, УЛ НОВОЭЛЕВАТОРНАЯ, Д. 49, ОФИС 111</t>
  </si>
  <si>
    <t>ООО КЛИМАТ КОНТРОЛЬ</t>
  </si>
  <si>
    <t>454053, ЧЕЛЯБИНСКАЯ ОБЛАСТЬ, Г.О. ЧЕЛЯБИНСКИЙ, Г ЧЕЛЯБИНСК, ТРАКТ ТРОИЦКИЙ, Д. 3А, ОФИС 102</t>
  </si>
  <si>
    <t>ООО АЛГ ТРАНС</t>
  </si>
  <si>
    <t>454053, ЧЕЛЯБИНСКАЯ ОБЛАСТЬ, Г.О. ЧЕЛЯБИНСКИЙ, Г ЧЕЛЯБИНСК, ТРАКТ ТРОИЦКИЙ, Д. 25Е/1, ОФИС 31</t>
  </si>
  <si>
    <t>454082, ЧЕЛЯБИНСКАЯ ОБЛАСТЬ, Г ЧЕЛЯБИНСК, ТРАКТ ТРОИЦКИЙ, Д. 72В, ОФИС 10</t>
  </si>
  <si>
    <t>ООО ЯСМ</t>
  </si>
  <si>
    <t>454087, ЧЕЛЯБИНСКАЯ ОБЛАСТЬ, Г ЧЕЛЯБИНСК, УЛ БЛЮХЕРА, Д. 65, ПОМЕЩЕНИЕ 2</t>
  </si>
  <si>
    <t>ООО ТОРГСЕРВИС 74</t>
  </si>
  <si>
    <t>454090, РОССИЯ, ЧЕЛЯБИНСКАЯ ОБЛАСТЬ, Г.О. ЧЕЛЯБИНСКИЙ, Г ЧЕЛЯБИНСК, ПР-КТ ЛЕНИНА, Д. 21В, ПОМЕЩ. 228</t>
  </si>
  <si>
    <t>ООО ТД ТРАКТОРОСЕРВИС</t>
  </si>
  <si>
    <t>454053, ЧЕЛЯБИНСКАЯ ОБЛАСТЬ, Г ЧЕЛЯБИНСК, ТРАКТ ТРОИЦКИЙ, Д. 11</t>
  </si>
  <si>
    <t>ООО  ТЕХНОХИМ</t>
  </si>
  <si>
    <t>454045, ЧЕЛЯБИНСКАЯ ОБЛАСТЬ, Г ЧЕЛЯБИНСК, УЛ КОРАБЕЛЬНАЯ, Д. 15В, ПОМЕЩ. 6</t>
  </si>
  <si>
    <t>ООО НГ-СЕРВИС-74</t>
  </si>
  <si>
    <t>454053, ЧЕЛЯБИНСКАЯ ОБЛАСТЬ, Г ЧЕЛЯБИНСК, ТРАКТ ТРОИЦКИЙ, Д. 11А, НЕЖ. ПОМ 16</t>
  </si>
  <si>
    <t>ООО ВИНТАЖ</t>
  </si>
  <si>
    <t>454020, ЧЕЛЯБИНСКАЯ ОБЛАСТЬ, Г.О. ЧЕЛЯБИНСКИЙ, Г ЧЕЛЯБИНСК, ВН.Р-Н ЦЕНТРАЛЬНЫЙ, УЛ ХУДЯКОВА, Д. 10, КАБИНЕТ 6</t>
  </si>
  <si>
    <t>ООО ГСМ УРАЛ</t>
  </si>
  <si>
    <t>454007, ЧЕЛЯБИНСКАЯ ОБЛАСТЬ, Г.О. ЧЕЛЯБИНСКИЙ, Г ЧЕЛЯБИНСК, УЛ МАЛОГРУЗОВАЯ, Д. 1, ОФИС 610</t>
  </si>
  <si>
    <t>ООО РК-СЕРВИС</t>
  </si>
  <si>
    <t>454045, ЧЕЛЯБИНСКАЯ ОБЛАСТЬ, Г ЧЕЛЯБИНСК, УЛ ПОТРЕБИТЕЛЬСКАЯ 2-Я, Д. 22, ОФИС 204</t>
  </si>
  <si>
    <t>454046, ЧЕЛЯБИНСКАЯ ОБЛАСТЬ, Г.О. ЧЕЛЯБИНСКИЙ, Г ЧЕЛЯБИНСК, УЛ ИГУМЕНКА, Д. 91, СТР. 2, ОФИС 2</t>
  </si>
  <si>
    <t>ООО ДАКАР АВТО</t>
  </si>
  <si>
    <t>454053, ЧЕЛЯБИНСКАЯ ОБЛАСТЬ, Г.О. ЧЕЛЯБИНСКИЙ, Г ЧЕЛЯБИНСК, УЛ ПОТРЕБИТЕЛЬСКАЯ 1-Я, Д. 17, СТР. 1, ПОМЕЩ. 7, ЭТАЖ 3 ОФИС 4</t>
  </si>
  <si>
    <t>ООО ЯРЭКС</t>
  </si>
  <si>
    <t>454091, ЧЕЛЯБИНСКАЯ ОБЛАСТЬ, Г.О. ЧЕЛЯБИНСКИЙ, Г ЧЕЛЯБИНСК, УЛ РОССИЙСКАЯ, Д. 279, ПОМЕЩ. 38 ЭТАЖ 9</t>
  </si>
  <si>
    <t>ООО ТД УРАЛ ГРУПП</t>
  </si>
  <si>
    <t>454008, ЧЕЛЯБИНСКАЯ ОБЛАСТЬ, Г.О. ЧЕЛЯБИНСКИЙ, Г ЧЕЛЯБИНСК, УЛ КОСАРЕВА, Д. 1А</t>
  </si>
  <si>
    <t>ООО ОМЕГА ТРАК</t>
  </si>
  <si>
    <t>454082, ЧЕЛЯБИНСКАЯ ОБЛАСТЬ, Г.О. ЧЕЛЯБИНСКИЙ, Г ЧЕЛЯБИНСК, УЛ ИГУМЕНКА, Д. 183</t>
  </si>
  <si>
    <t>ООО УРЗ</t>
  </si>
  <si>
    <t>454091, ЧЕЛЯБИНСКАЯ ОБЛАСТЬ, Г.О. ЧЕЛЯБИНСКИЙ, Г ЧЕЛЯБИНСК, УЛ ТЕЛЕВИЗИОННАЯ, Д. 6В, КВ. 223</t>
  </si>
  <si>
    <t>ООО  «РК АМИ»</t>
  </si>
  <si>
    <t>454091, РОССИЯ, ЧЕЛЯБИНСКАЯ ОБЛАСТЬ, Г.О. ЧЕЛЯБИНСКИЙ, Г ЧЕЛЯБИНСК, УЛ ЦВИЛЛИНГА, Д. 65, КВ. 61</t>
  </si>
  <si>
    <t>ИП ГИНИЯТОВ РУСЛАН САЙФУЛЛОВИЧ</t>
  </si>
  <si>
    <t>ИП СМИРНОВ СТАНИСЛАВ АЛЕКСЕЕВИЧ</t>
  </si>
  <si>
    <t>ИП Крутень Елена Геннадьевна</t>
  </si>
  <si>
    <t>ООО ТД АГРОСНАБСЕРВИС</t>
  </si>
  <si>
    <t>454007, ЧЕЛЯБИНСКАЯ ОБЛАСТЬ, Г ЧЕЛЯБИНСК, УЛ РОЖДЕСТВЕНСКОГО, Д. 9, НЕЖ. ПОМ. 5</t>
  </si>
  <si>
    <t>ООО ПРОМТРАНСОЙЛ</t>
  </si>
  <si>
    <t>454007, ЧЕЛЯБИНСКАЯ ОБЛАСТЬ, Г ЧЕЛЯБИНСК, УЛ МАЛОГРУЗОВАЯ, Д. 1, ОФИС 202</t>
  </si>
  <si>
    <t>ООО БАЗОВЫЕ МАСЛА</t>
  </si>
  <si>
    <t>454079, ЧЕЛЯБИНСКАЯ ОБЛАСТЬ, Г.О. ЧЕЛЯБИНСКИЙ, Г ЧЕЛЯБИНСК, УЛ ЛИНЕЙНАЯ, Д. 98</t>
  </si>
  <si>
    <t>ИП КРУТЕНЬ АНДРЕЙ ВЛАДИМИРОВИЧ</t>
  </si>
  <si>
    <t>ИП СКРИПКИН СЕРГЕЙ ЛЕОНИДОВИЧ</t>
  </si>
  <si>
    <t>ООО ФАБРИКА КОМПРЕССОРОВ</t>
  </si>
  <si>
    <t>454085, ЧЕЛЯБИНСКАЯ ОБЛАСТЬ, Г ЧЕЛЯБИНСК, ПР-КТ ЛЕНИНА, Д. 2, НЕЖ.ПОМ. 3 ОФИС 301</t>
  </si>
  <si>
    <t>ООО ПКФ НАНО-СТРОЙ</t>
  </si>
  <si>
    <t>454079, ЧЕЛЯБИНСКАЯ ОБЛАСТЬ, Г ЧЕЛЯБИНСК, УЛ ЛИНЕЙНАЯ, Д. 5Г, ЭТАЖ/ОФИС 2/1</t>
  </si>
  <si>
    <t>ООО МАКУР ИНЖИНИРИНГ</t>
  </si>
  <si>
    <t>454071, ЧЕЛЯБИНСКАЯ ОБЛАСТЬ, Г.О. ЧЕЛЯБИНСКИЙ, Г ЧЕЛЯБИНСК, УЛ КОМАРОВА, Д. 110А, КВ. 219</t>
  </si>
  <si>
    <t>ИП ЛОМАКИН ДЕНИС АЛЕКСАНДРОВИЧ</t>
  </si>
  <si>
    <t>ООО УРАЛОПТ</t>
  </si>
  <si>
    <t>456318, РОССИЯ, ЧЕЛЯБИНСКАЯ ОБЛАСТЬ, Г.О. МИАССКИЙ, Г МИАСС, УЛ БОГДАНА ХМЕЛЬНИЦКОГО, Д. 28, КВ. 117</t>
  </si>
  <si>
    <t>ИП ВАНЮКОВА ТАТЬЯНА ЮРЬЕВНА</t>
  </si>
  <si>
    <t>ИП Лебедев Дмитрий Эдуардович</t>
  </si>
  <si>
    <t>ИП БАБАКАЕВ ЕВГЕНИЙ ВАСИЛЬЕВИЧ</t>
  </si>
  <si>
    <t>ООО МОЛЛ</t>
  </si>
  <si>
    <t>454080, ЧЕЛЯБИНСКАЯ ОБЛАСТЬ, Г ЧЕЛЯБИНСК, УЛ ТРУДА, Д. 166, ОФИС 7</t>
  </si>
  <si>
    <t>ООО ТД ВЕСТА</t>
  </si>
  <si>
    <t>454106, ЧЕЛЯБИНСКАЯ ОБЛАСТЬ, Г ЧЕЛЯБИНСК, УЛ ОСТРОВСКОГО, Д. 30, ОФИС 206</t>
  </si>
  <si>
    <t>ООО ПАРТНЁРУРАЛ ПЛЮС</t>
  </si>
  <si>
    <t>454081, ЧЕЛЯБИНСКАЯ ОБЛ, ЧЕЛЯБИНСК Г, ГЕРОЕВ ТАНКОГРАДА УЛ, ДОМ 42П, ЭТАЖ 1,НЕЖ. ПОМЕЩ. 1</t>
  </si>
  <si>
    <t>ООО УРАЛТЕХКОМПЛЕКТ</t>
  </si>
  <si>
    <t>454090, ЧЕЛЯБИНСКАЯ ОБЛАСТЬ, Г ЧЕЛЯБИНСК, УЛ СВОБОДЫ, Д. 32, ОФИС 206А</t>
  </si>
  <si>
    <t>454080, ЧЕЛЯБИНСКАЯ ОБЛАСТЬ, Г ЧЕЛЯБИНСК, ПР-КТ ЛЕНИНА, Д. 68Б, ПОМЕЩ. 5</t>
  </si>
  <si>
    <t>ООО  ТК АСС 74</t>
  </si>
  <si>
    <t>454103, ЧЕЛЯБИНСКАЯ ОБЛАСТЬ, Г.О. ЧЕЛЯБИНСКИЙ, Г ЧЕЛЯБИНСК, УЛ АКАДЕМИКА МАКЕЕВА, Д. 36, ПОМЕЩ. 25</t>
  </si>
  <si>
    <t>ООО М-ХОЛДИНГ</t>
  </si>
  <si>
    <t>455016, ЧЕЛЯБИНСКАЯ ОБЛАСТЬ, Г.О. МАГНИТОГОРСКИЙ, Г МАГНИТОГОРСК, УЛ ПОЛЕВАЯ, Д. 4А/1</t>
  </si>
  <si>
    <t>ООО СП</t>
  </si>
  <si>
    <t>457400, РОССИЯ, ЧЕЛЯБИНСКАЯ ОБЛАСТЬ, М.Р-Н АГАПОВСКИЙ, С АГАПОВКА, С.П. АГАПОВСКОЕ, УЛ 60 ЛЕТ ОКТЯБРЯ, Д. 1Г</t>
  </si>
  <si>
    <t>ООО АВТО КОМПЛЕКТ</t>
  </si>
  <si>
    <t>456912, ЧЕЛЯБИНСКАЯ ОБЛАСТЬ, Р-Н САТКИНСКИЙ, Г САТКА, УЛ 50 ЛЕТ ВЛКСМ, Д. 3, 9</t>
  </si>
  <si>
    <t>ООО БУРЕВЕСТНИК</t>
  </si>
  <si>
    <t>457358, ЧЕЛЯБИНСКАЯ ОБЛАСТЬ, Р-Н КАРТАЛИНСКИЙ, Г КАРТАЛЫ, ПЕР НЕФТЕБАЗНЫЙ, Д. 15, ОФИС 3</t>
  </si>
  <si>
    <t>ИП ИСТАМГУЛОВ ВЛАДИСЛАВ РАУЛЕВИЧ</t>
  </si>
  <si>
    <t>ООО ПРОИЗВОДСТВЕННОЕ ОБЪЕДИНЕНИЕ ГЕНОВА</t>
  </si>
  <si>
    <t>454003, ЧЕЛЯБИНСКАЯ ОБЛАСТЬ, Г.О. ЧЕЛЯБИНСКИЙ, Г ЧЕЛЯБИНСК, УЛ БРАТЬЕВ КАШИРИНЫХ, Д. 141Б, ОФИС 405</t>
  </si>
  <si>
    <t>ИП ФОМИНЫХ ГРИГОРИЙ АЛЕКСАНДРОВИЧ</t>
  </si>
  <si>
    <t>ИП ЗИЯЗУТДИНОВА ГАЛИНА АЛЕКСАНДРОВНА</t>
  </si>
  <si>
    <t>ФГБУЗ КБ № 71 ФМБА РОССИИ</t>
  </si>
  <si>
    <t>456780, ЧЕЛЯБИНСКАЯ ОБЛАСТЬ, Г ОЗЕРСК, УЛ СТРОИТЕЛЬНАЯ, Д.1</t>
  </si>
  <si>
    <t>ООО ЛИК АВТО</t>
  </si>
  <si>
    <t>456783, ЧЕЛЯБИНСКАЯ ОБЛАСТЬ, Г ОЗЕРСК, УЛ КЫШТЫМСКАЯ, Д. 34, К. А, ОФИС 1</t>
  </si>
  <si>
    <t>ИП Меньшов Андрей Львович</t>
  </si>
  <si>
    <t>ИП УТЕШЕВ РОМАН АЛЕКСАНДРОВИЧ</t>
  </si>
  <si>
    <t>ИП ФАЙЗУЛЛИНА НАТАЛЬЯ ВЛАДИМИРОВНА</t>
  </si>
  <si>
    <t>ИП СЕМЕНОВ ИГОРЬ СЕРГЕЕВИЧ</t>
  </si>
  <si>
    <t>ИП ЧУПАХИН АЛЕКСЕЙ АЛЕКСАНДРОВИЧ</t>
  </si>
  <si>
    <t>ИП БЕКК РОМАН СЕРГЕЕВИЧ</t>
  </si>
  <si>
    <t>ИП МИТЮШИНА ЮЛИЯ ВЛАДИМИРОВНА</t>
  </si>
  <si>
    <t>АРГАЗИНСКОЕ ПО</t>
  </si>
  <si>
    <t>456893, ЧЕЛЯБИНСКАЯ ОБЛАСТЬ, Р-Н АРГАЯШСКИЙ, С БАЙРАМГУЛОВО, УЛ ШКОЛЬНАЯ, Д. 7</t>
  </si>
  <si>
    <t>ИП САХАУТДИНОВА ГЮЛЬНУРА МАХМУТОВНА</t>
  </si>
  <si>
    <t>ООО УРАЛПРОФТЕХ</t>
  </si>
  <si>
    <t>456625, РОССИЯ, ЧЕЛЯБИНСКАЯ ОБЛАСТЬ, Г.О. КОПЕЙСКИЙ, Г КОПЕЙСК, УЛ ЖДАНОВА, Д. 25А, КВ. 90</t>
  </si>
  <si>
    <t>ИП ГОЛОМБИЕВСКИЙ АЛЕКСАНДР ВИКТОРОВИЧ</t>
  </si>
  <si>
    <t>ИП ЗАЙЦЕВ ЕВГЕНИЙ МИХАЙЛОВИЧ</t>
  </si>
  <si>
    <t>ИП ХАСАНОВА АЛЬФИЯ МАРАТОВНА</t>
  </si>
  <si>
    <t>ИП БЕЛОНОГОВ АЛЕКСАНДР ЕВГЕНЬЕВИЧ</t>
  </si>
  <si>
    <t>ИП КАСИМОВА ВЕНЕРА МУЛЛАЯНОВНА</t>
  </si>
  <si>
    <t>ИП ЗИНОВЬЕВА АННА БОРИСОВНА</t>
  </si>
  <si>
    <t>ИП КОРШУКОВ МАКСИМ СЕРГЕЕВИЧ</t>
  </si>
  <si>
    <t>ИП ЮКАЕВ АНДРЕЙ АЛЕКСАНДРОВИЧ</t>
  </si>
  <si>
    <t>ИП ЩАПИН МАКСИМ ВЯЧЕСЛАВОВИЧ</t>
  </si>
  <si>
    <t>ИП ЕГОРОВ НИКОЛАЙ НИКОЛАЕВИЧ</t>
  </si>
  <si>
    <t>ИП ИСАЕВ КОНСТАНТИН ПЕТРОВИЧ</t>
  </si>
  <si>
    <t>ООО УРАЛБИЗНЕСГРУПП</t>
  </si>
  <si>
    <t>455047, ЧЕЛЯБИНСКАЯ ОБЛАСТЬ, Г МАГНИТОГОРСК, УЛ ТРУДА, Д. 57, НЕЖ. ПОМ. 26, ОФИС 1</t>
  </si>
  <si>
    <t>ИП ЗИНАТУЛИН АЛЬБЕРТ ГЫЛИМЬЯНОВИЧ</t>
  </si>
  <si>
    <t>ИП ХОДОРЕНКО АЛЕКСЕЙ СЕРГЕЕВИЧ</t>
  </si>
  <si>
    <t>ИП СТАВИЦКИЙ ИГОРЬ ДМИТРИЕВИЧ</t>
  </si>
  <si>
    <t>ИП ЛЫСЕНКО ЕВГЕНИЙ ВЯЧЕСЛАВОВИЧ</t>
  </si>
  <si>
    <t>ИП САМИГУЛОВ РУСЛАН ИРШАТОВИЧ</t>
  </si>
  <si>
    <t>ИП Охрименко Оксана Валерьевна</t>
  </si>
  <si>
    <t>ИП АПУХТИНА ТАТЬЯНА ВЛАДИМИРОВНА</t>
  </si>
  <si>
    <t>ООО РУСТЕХ</t>
  </si>
  <si>
    <t>454008, ЧЕЛЯБИНСКАЯ ОБЛАСТЬ, Г.О. ЧЕЛЯБИНСКИЙ, Г ЧЕЛЯБИНСК, ПР-КТ КОМСОМОЛЬСКИЙ, Д. 10, ОФИС 6, 7, 21, 22, 23, 24, 25</t>
  </si>
  <si>
    <t>ООО ТТМ-1</t>
  </si>
  <si>
    <t>454003, ЧЕЛЯБИНСКАЯ ОБЛАСТЬ, Г ЧЕЛЯБИНСК, УЛ ЧИЧЕРИНА, Д. 52</t>
  </si>
  <si>
    <t>ИП АЛЕКСАХИН ИГОРЬ ЮРЬЕВИЧ</t>
  </si>
  <si>
    <t>ООО ТЕРРАМЕТ</t>
  </si>
  <si>
    <t>456513, ЧЕЛЯБИНСКАЯ ОБЛАСТЬ, Р-Н СОСНОВСКИЙ, П РОЩИНО, УЛ РОССИЙСКАЯ, Д. 114А</t>
  </si>
  <si>
    <t>ООО НГ-ЗАПЧАСТЬ</t>
  </si>
  <si>
    <t>454081, ЧЕЛЯБИНСКАЯ ОБЛАСТЬ, Г ЧЕЛЯБИНСК, УЛ ГЕРОЕВ ТАНКОГРАДА, Д. 57П</t>
  </si>
  <si>
    <t>ИП ЯНГОЛЬ АЛЕКСЕЙ НИКОЛАЕВИЧ</t>
  </si>
  <si>
    <t>ООО РЕГИОН АВТО</t>
  </si>
  <si>
    <t>454082, ЧЕЛЯБИНСКАЯ ОБЛАСТЬ, Г ЧЕЛЯБИНСК, ТРАКТ ТРОИЦКИЙ, Д. 72А, ПОМЕЩ. 2</t>
  </si>
  <si>
    <t>ИП ВАЦЕНКОВА ЮЛИЯ ГЕННАДЬЕВНА</t>
  </si>
  <si>
    <t>ООО ЭЛЕКТРО+</t>
  </si>
  <si>
    <t>454084, ЧЕЛЯБИНСКАЯ ОБЛАСТЬ, Г ЧЕЛЯБИНСК, УЛ КАЛИНИНА, Д. 5, ОФИС 112</t>
  </si>
  <si>
    <t>ООО ИНВЕСТ-ОЙЛ</t>
  </si>
  <si>
    <t>454018, ЧЕЛЯБИНСКАЯ ОБЛАСТЬ, Г ЧЕЛЯБИНСК, УЛ ОТРАДНАЯ, Д. 25, ОФИС 206</t>
  </si>
  <si>
    <t>ООО КОРТЕХ ГРУПП</t>
  </si>
  <si>
    <t>454136, ЧЕЛЯБИНСКАЯ ОБЛАСТЬ, Г.О. ЧЕЛЯБИНСКИЙ, Г ЧЕЛЯБИНСК, УЛ БРАТЬЕВ КАШИРИНЫХ, Д. 111, КВ. 86</t>
  </si>
  <si>
    <t>454136, ЧЕЛЯБИНСКАЯ ОБЛАСТЬ, Г.О. ЧЕЛЯБИНСКИЙ, Г ЧЕЛЯБИНСК, УЛ УНИВЕРСИТЕТСКАЯ НАБЕРЕЖНАЯ, Д. 61, КВ. 129</t>
  </si>
  <si>
    <t>ООО УРАЛКОМПЛЕКТ ГРУПП</t>
  </si>
  <si>
    <t>454084, ЧЕЛЯБИНСКАЯ ОБЛАСТЬ, Г.О. ЧЕЛЯБИНСКИЙ, Г ЧЕЛЯБИНСК, УЛ КИРОВА, Д. 7А</t>
  </si>
  <si>
    <t>ООО АВТОСТОП И К</t>
  </si>
  <si>
    <t>454138, ЧЕЛЯБИНСКАЯ ОБЛАСТЬ, Г ЧЕЛЯБИНСК, УЛ МОЛОДОГВАРДЕЙЦЕВ, Д. 17</t>
  </si>
  <si>
    <t>ООО ДРАКОН - ЧЕЛЯБИНСК</t>
  </si>
  <si>
    <t>454084, ЧЕЛЯБИНСКАЯ ОБЛАСТЬ, Г ЧЕЛЯБИНСК, УЛ КОЖЗАВОДСКАЯ, Д. 16</t>
  </si>
  <si>
    <t>ООО МАСЛОПРОВОД</t>
  </si>
  <si>
    <t>454047, ЧЕЛЯБИНСКАЯ ОБЛАСТЬ, Г.О. ЧЕЛЯБИНСКИЙ, Г ЧЕЛЯБИНСК, УЛ ПАВЕЛЕЦКАЯ 2-Я, Д. 18</t>
  </si>
  <si>
    <t>454100, ЧЕЛЯБИНСКАЯ ОБЛАСТЬ, Г ЧЕЛЯБИНСК, ПР-КТ КОМСОМОЛЬСКИЙ, Д. 94, ПОМ/КАБ 4/5</t>
  </si>
  <si>
    <t>454119, ЧЕЛЯБИНСКАЯ ОБЛАСТЬ, Г ЧЕЛЯБИНСК, УЛ НАХИМОВА, Д. 18П, ПОМЕЩ. 6</t>
  </si>
  <si>
    <t>ИП ЕМЕЛЬЯНОВА УЛЬЯНА АНДРЕЕВНА</t>
  </si>
  <si>
    <t>ООО МИРОВЫЕ ТЕХНОЛОГИИ</t>
  </si>
  <si>
    <t>454008, ЧЕЛЯБИНСКАЯ ОБЛАСТЬ, Г.О. ЧЕЛЯБИНСКИЙ, Г ЧЕЛЯБИНСК, УЛ ЦИНКОВАЯ, Д. 8, СТР. 9</t>
  </si>
  <si>
    <t>ИП СЕМЕНО АНТОН АЛЕКСАНДРОВИЧ</t>
  </si>
  <si>
    <t>ИП Кузьмин Константин Олегович</t>
  </si>
  <si>
    <t>454048, ЧЕЛЯБИНСКАЯ ОБЛАСТЬ, Г.О. ЧЕЛЯБИНСКИЙ, Г ЧЕЛЯБИНСК, УЛ ТАРАСОВА, Д. 40, КВ. 93</t>
  </si>
  <si>
    <t>ООО ТК ГЛИССАДА</t>
  </si>
  <si>
    <t>454036, ЧЕЛЯБИНСКАЯ ОБЛАСТЬ, Г ЧЕЛЯБИНСК, ТРАКТ СВЕРДЛОВСКИЙ, Д. 12, ОФИС 51</t>
  </si>
  <si>
    <t>ООО БЕЙВИЛС</t>
  </si>
  <si>
    <t>454100, ЧЕЛЯБИНСКАЯ ОБЛАСТЬ, Г ЧЕЛЯБИНСК, УЛ БЕЙВЕЛЯ, Д. 9, ПОМЕЩ. 2 ОФИС 1</t>
  </si>
  <si>
    <t>454036, ЧЕЛЯБИНСКАЯ ОБЛАСТЬ, Г.О. ЧЕЛЯБИНСКИЙ, Г ЧЕЛЯБИНСК, ТРАКТ СВЕРДЛОВСКИЙ, Д. 8, ОФИС 412</t>
  </si>
  <si>
    <t>ООО ДИАЛ</t>
  </si>
  <si>
    <t>454014, ЧЕЛЯБИНСКАЯ ОБЛАСТЬ, Г.О. ЧЕЛЯБИНСКИЙ, Г ЧЕЛЯБИНСК, УЛ ЗАХАРЕНКО, Д. 11А, КВ. 189</t>
  </si>
  <si>
    <t>ИП ЧЕКАШОВ АРТЁМ ВИКТОРОВИЧ</t>
  </si>
  <si>
    <t>ИП ПОТЕМКИН ВИТАЛИЙ ВИТАЛЬЕВИЧ</t>
  </si>
  <si>
    <t>454010, ЧЕЛЯБИНСКАЯ ОБЛАСТЬ, Г ЧЕЛЯБИНСК, УЛ ЕНИСЕЙСКАЯ, Д. 31</t>
  </si>
  <si>
    <t>ООО  ПРОГРЕСС СЕРВИС</t>
  </si>
  <si>
    <t>454119, ЧЕЛЯБИНСКАЯ ОБЛАСТЬ, Г.О. ЧЕЛЯБИНСКИЙ, Г ЧЕЛЯБИНСК, УЛ МАШИНОСТРОИТЕЛЕЙ, Д. 1</t>
  </si>
  <si>
    <t>ООО НПО ПОЛИХИМТЕХНОЛОГИИ</t>
  </si>
  <si>
    <t>454010, ЧЕЛЯБИНСКАЯ ОБЛАСТЬ, Г ЧЕЛЯБИНСК, Ш КОПЕЙСКОЕ, Д. 50Г, СТР. 1, ОФИС 1</t>
  </si>
  <si>
    <t>ИП СТЕПАНЕНКО АННА ИВАНОВНА</t>
  </si>
  <si>
    <t>454108, ЧЕЛЯБИНСКАЯ ОБЛАСТЬ, Г ЧЕЛЯБИНСК, УЛ ТУХАЧЕВСКОГО, Д. 12, КВ. 142</t>
  </si>
  <si>
    <t>ООО ЭВЕНТА</t>
  </si>
  <si>
    <t>454090, ЧЕЛЯБИНСКАЯ ОБЛАСТЬ, Г ЧЕЛЯБИНСК, УЛ ПЛЕХАНОВА, Д. 16, КВ. 38</t>
  </si>
  <si>
    <t>ООО НПО ПОЛИХИМАЭРО</t>
  </si>
  <si>
    <t>454010, ЧЕЛЯБИНСКАЯ ОБЛАСТЬ, Г ЧЕЛЯБИНСК, Ш КОПЕЙСКОЕ, Д. 50, ЗДАНИЕ ЦЕХ №2</t>
  </si>
  <si>
    <t>454078, ЧЕЛЯБИНСКАЯ ОБЛАСТЬ, Г ЧЕЛЯБИНСК, УЛ ВАГНЕРА, Д. 69, КВ. 19</t>
  </si>
  <si>
    <t>454038, ЧЕЛЯБИНСКАЯ ОБЛАСТЬ, Г ЧЕЛЯБИНСК, Ш МЕТАЛЛУРГОВ, Д. 1</t>
  </si>
  <si>
    <t>ИП КОСОЛАПОВ ВЯЧЕСЛАВ ВЛАДИМИРОВИЧ</t>
  </si>
  <si>
    <t>ООО КСМО КОМПОНЕНТ</t>
  </si>
  <si>
    <t>454038, ЧЕЛЯБИНСКАЯ ОБЛАСТЬ, Г ЧЕЛЯБИНСК, УЛ МОНТАЖНИКОВ, Д. 1</t>
  </si>
  <si>
    <t>ИП ЛИВШИЦ ЕЛЕНА АРНОЛЬДОВНА</t>
  </si>
  <si>
    <t>ИП ТИШАКОВ ДМИТРИЙ ЕВГЕНЬЕВИЧ</t>
  </si>
  <si>
    <t>ИП ЛУЧНИКОВ АЛЕКСЕЙ ВИКТОРОВИЧ</t>
  </si>
  <si>
    <t>ИП ТИМОШЕНКО ГЕОРГИЙ БОРИСОВИЧ</t>
  </si>
  <si>
    <t>ИП ТЕРЕХОВ ЮРИЙ ГЕННАДЬЕВИЧ</t>
  </si>
  <si>
    <t>ИП КАЗАКОВА ИРИНА СТАНИСЛАВОВНА</t>
  </si>
  <si>
    <t>ФБУЗ ЦЕНТР ГИГИЕНЫ И ЭПИДЕМИОЛОГИИ В ЧЕЛЯБИНСКОЙ ОБЛАСТИ</t>
  </si>
  <si>
    <t>454090, РОССИЯ, ЧЕЛЯБИНСКАЯ ОБЛАСТЬ, Г.О. ЧЕЛЯБИНСКИЙ, Г ЧЕЛЯБИНСК, УЛ СВОБОДЫ, Д. 147</t>
  </si>
  <si>
    <t>ООО ИПГ ВАГНЕР</t>
  </si>
  <si>
    <t>ООО КВАЛИТЕТ РТИ</t>
  </si>
  <si>
    <t>454045, ЧЕЛЯБИНСКАЯ ОБЛАСТЬ, Г ЧЕЛЯБИНСК, УЛ БАЗОВАЯ 2-Я, Д. 37В, ОФИС 1</t>
  </si>
  <si>
    <t>ООО М-РЕСУРС</t>
  </si>
  <si>
    <t>454091, ЧЕЛЯБИНСКАЯ ОБЛАСТЬ, Г.О. ЧЕЛЯБИНСКИЙ, Г ЧЕЛЯБИНСК, УЛ ЦВИЛЛИНГА, Д. 65, КВ. 61</t>
  </si>
  <si>
    <t>ООО ТИММАКС АВТО</t>
  </si>
  <si>
    <t>454045, ЧЕЛЯБИНСКАЯ ОБЛАСТЬ, Г.О. ЧЕЛЯБИНСКИЙ, Г ЧЕЛЯБИНСК, УЛ ТЕЛЕГРАФНАЯ, Д. 46, ЧАСТЬ СКЛ. 4, ОФИС 2</t>
  </si>
  <si>
    <t>ООО Т2-УРАЛ</t>
  </si>
  <si>
    <t>454111, ЧЕЛЯБИНСКАЯ ОБЛАСТЬ, Г.О. ЧЕЛЯБИНСКИЙ, Г ЧЕЛЯБИНСК, УЛ ОВЧИННИКОВА, Д. 18А, КВ. 10</t>
  </si>
  <si>
    <t>ООО ДРАЙВИЛС</t>
  </si>
  <si>
    <t>454028, ЧЕЛЯБИНСКАЯ ОБЛАСТЬ, Г.О. ЧЕЛЯБИНСКИЙ, Г ЧЕЛЯБИНСК, УЛ КУЗНЕЦОВА, Д. 37А, КВ. 135</t>
  </si>
  <si>
    <t>454129, ЧЕЛЯБИНСКАЯ ОБЛАСТЬ, Г.О. ЧЕЛЯБИНСКИЙ, Г ЧЕЛЯБИНСК, УЛ НОВОРОССИЙСКАЯ, Д. 91, КВ. 21</t>
  </si>
  <si>
    <t>ООО ОМЕГА-АВТО</t>
  </si>
  <si>
    <t>454082, ЧЕЛЯБИНСКАЯ ОБЛАСТЬ, Г.О. ЧЕЛЯБИНСКИЙ, Г ЧЕЛЯБИНСК, УЛ ИГУМЕНКА, Д. 181</t>
  </si>
  <si>
    <t>ООО МК КМ</t>
  </si>
  <si>
    <t>ИП КОТОМКИНА ЕВГЕНИЯ АНДРЕЕВНА</t>
  </si>
  <si>
    <t>ООО КОЛОРТЕХ 7</t>
  </si>
  <si>
    <t>454085, ЧЕЛЯБИНСКАЯ ОБЛАСТЬ, Г.О. ЧЕЛЯБИНСКИЙ, Г ЧЕЛЯБИНСК, ПР-КТ ЛЕНИНА, Д. 2, ПОМЕЩ 4, ОФИС 102</t>
  </si>
  <si>
    <t>ИП РОМАНОВ АЛЕКСАНДР ЮРЬЕВИЧ</t>
  </si>
  <si>
    <t>ИП КИНДЕЕВА ТАТЬЯНА АЛЕКСАНДРОВНА</t>
  </si>
  <si>
    <t>ООО МАКК</t>
  </si>
  <si>
    <t>454071, ЧЕЛЯБИНСКАЯ ОБЛАСТЬ, Г.О. ЧЕЛЯБИНСКИЙ, Г ЧЕЛЯБИНСК, УЛ ГЕРОЕВ ТАНКОГРАДА, Д. 108, ПОМЕЩ. 2, ПОМЕЩ. 17</t>
  </si>
  <si>
    <t>ИП Пигина Елена Владимировна</t>
  </si>
  <si>
    <t>454071, ЧЕЛЯБИНСКАЯ ОБЛАСТЬ, Г.О. ЧЕЛЯБИНСКИЙ, Г ЧЕЛЯБИНСК, УЛ ГЕРОЕВ ТАНКОГРАДА, Д. 108, ПОМЕЩ. 2 КАБИНЕТ № 7</t>
  </si>
  <si>
    <t>ООО ЧКЗ-АГРО</t>
  </si>
  <si>
    <t>454085, ЧЕЛЯБИНСКАЯ ОБЛАСТЬ, Г.О. ЧЕЛЯБИНСКИЙ, Г ЧЕЛЯБИНСК, ПР-КТ ЛЕНИНА, Д. 2, ОФИС 4, КОМ. 223</t>
  </si>
  <si>
    <t>ИП ЗЕНИН СЕРГЕЙ ВАЛЕНТИНОВИЧ</t>
  </si>
  <si>
    <t>ООО БИЗНЕС ГРУПП</t>
  </si>
  <si>
    <t>454091, ЧЕЛЯБИНСКАЯ ОБЛАСТЬ, Г ЧЕЛЯБИНСК, УЛ ТРУДА, Д. 82А, ОФИС 001/1</t>
  </si>
  <si>
    <t>ООО АМП</t>
  </si>
  <si>
    <t>454090, ЧЕЛЯБИНСКАЯ ОБЛАСТЬ, Г.О. ЧЕЛЯБИНСКИЙ, Г ЧЕЛЯБИНСК, УЛ ТРУДА, Д. 78, НЕЖ. ПОМЕЩ. №2.4</t>
  </si>
  <si>
    <t>ООО А2 ЭКСПОРТ</t>
  </si>
  <si>
    <t>454091, ЧЕЛЯБИНСКАЯ ОБЛАСТЬ, Г.О. ЧЕЛЯБИНСКИЙ, Г ЧЕЛЯБИНСК, УЛ ТРУДА, Д. 82А, ПОМЕЩ. 16, ОФИС 005/1</t>
  </si>
  <si>
    <t>ООО МАРКА</t>
  </si>
  <si>
    <t>456060, РОССИЯ, ЧЕЛЯБИНСКАЯ ОБЛАСТЬ, Г.О. УСТЬ-КАТАВСКИЙ, П ВЯЗОВАЯ, УЛ КОНОНОВИЧА, Д. 17</t>
  </si>
  <si>
    <t>ООО ТД НИКА</t>
  </si>
  <si>
    <t>455017, ЧЕЛЯБИНСКАЯ ОБЛАСТЬ, Г МАГНИТОГОРСК, УЛ ПУГАЧЕВА, Д. 6</t>
  </si>
  <si>
    <t>ООО ЗАПМАГАЗИН</t>
  </si>
  <si>
    <t>455034, РОССИЯ, ЧЕЛЯБИНСКАЯ ОБЛАСТЬ, Г.О. МАГНИТОГОРСКИЙ, Г МАГНИТОГОРСК, УЛ ТЕВОСЯНА, Д. 21А</t>
  </si>
  <si>
    <t>ООО ВОСХОД.СЕРВИС</t>
  </si>
  <si>
    <t>454038, ЧЕЛЯБИНСКАЯ ОБЛАСТЬ, Г.О. ЧЕЛЯБИНСКИЙ, Г ЧЕЛЯБИНСК, Ш МЕТАЛЛУРГОВ, Д. 33П, ПОМЕЩ. 1</t>
  </si>
  <si>
    <t>ООО ТД ЭЛЕМЕНТ</t>
  </si>
  <si>
    <t>456501, РОССИЯ, ЧЕЛЯБИНСКАЯ ОБЛАСТЬ, М.Р-Н СОСНОВСКИЙ, С КРЕМЕНКУЛЬ, С.П. КРЕМЕНКУЛЬСКОЕ, УЛ ЛЕНИНА, Д. 1, ПОМЕЩ. 1</t>
  </si>
  <si>
    <t>ИП АЛЕШИН ДМИТРИЙ АНДРЕЕВИЧ</t>
  </si>
  <si>
    <t>ООО ТЕХНОКОМ-ИМПОРТ</t>
  </si>
  <si>
    <t>456227, ЧЕЛЯБИНСКАЯ ОБЛАСТЬ, Г ЗЛАТОУСТ, УЛ ОЛИМПИЙСКАЯ, Д. 9, КВ. 76</t>
  </si>
  <si>
    <t>ИП ПОТУЛЬНЫЙ СЕРГЕЙ СЕРГЕЕВИЧ</t>
  </si>
  <si>
    <t>ИП ШЕКУНОВ АЛЕКСАНДР ВЛАДИМИРОВИЧ</t>
  </si>
  <si>
    <t>ИП САГАЛАЕВА СВЕТЛАНА АЛЕКСАНДРОВНА</t>
  </si>
  <si>
    <t>ООО ЭЛЕМЕНТ-ОЙЛ</t>
  </si>
  <si>
    <t>456313, ЧЕЛЯБИНСКАЯ ОБЛАСТЬ, Г.О. МИАССКИЙ, Г МИАСС, Ш ТУРГОЯКСКОЕ, ЗД. 9/15</t>
  </si>
  <si>
    <t>ИП ЧЕРНЫХ ОКСАНА АЛЕКСАНДРОВНА</t>
  </si>
  <si>
    <t>ИП ЛЕЗИН МАКСИМ СЕРГЕЕВИЧ</t>
  </si>
  <si>
    <t>ИП ЗАПОРОЖЦЕВ ЕВГЕНИЙ ОЛЕГОВИЧ</t>
  </si>
  <si>
    <t>ИП КАЛАШНИКОВ АЛЕКСАНДР АЛЕКСЕЕВИЧ</t>
  </si>
  <si>
    <t>ОАО САНАТОРИЙ УРАЛ</t>
  </si>
  <si>
    <t>457015, ЧЕЛЯБИНСКАЯ ОБЛАСТЬ, Р-Н УВЕЛЬСКИЙ, С ХОМУТИНИНО, УЛ ПОДБОРНАЯ, Д. 2</t>
  </si>
  <si>
    <t>ООО ЮУСС</t>
  </si>
  <si>
    <t>455000, ЧЕЛЯБИНСКАЯ ОБЛАСТЬ, Г МАГНИТОГОРСК, УЛ КУЙБЫШЕВА, Д.22</t>
  </si>
  <si>
    <t>ИП КИСЕЛЕВ РОМАН СЕРГЕЕВИЧ</t>
  </si>
  <si>
    <t>ИП КОЖЕВНИКОВА ТАТЬЯНА ВАЛЕРЬЕВНА</t>
  </si>
  <si>
    <t>ИП БОНДАРЕНКО ОЛЬГА АНАТОЛЬЕВНА</t>
  </si>
  <si>
    <t>ИП ЕРЕМЕЕВ ЕВГЕНИЙ РИФГАТОВИЧ</t>
  </si>
  <si>
    <t>ИП ЛИТУЧАЯ ИРИНА АНАТОЛЬЕВНА</t>
  </si>
  <si>
    <t>ИП ФИРСТОВ МИХАИЛ АНАТОЛЬЕВИЧ</t>
  </si>
  <si>
    <t>ООО АБОРДАЖ</t>
  </si>
  <si>
    <t>454084, ЧЕЛЯБИНСКАЯ ОБЛАСТЬ, Г ЧЕЛЯБИНСК, ПР-КТ СВЕРДЛОВСКИЙ, Д. 35А, ОФИС 14</t>
  </si>
  <si>
    <t>ООО АВТО КОНТИНЕНТ</t>
  </si>
  <si>
    <t>454100, ЧЕЛЯБИНСКАЯ ОБЛАСТЬ, Г ЧЕЛЯБИНСК, УЛ 40-ЛЕТИЯ ПОБЕДЫ, Д. 16, ОФИС 3</t>
  </si>
  <si>
    <t>ООО МЕГИОН СТ</t>
  </si>
  <si>
    <t>454135, ЧЕЛЯБИНСКАЯ ОБЛАСТЬ, Г ЧЕЛЯБИНСК, Ш КОПЕЙСКОЕ, Д. 35Б, ОФИС 312</t>
  </si>
  <si>
    <t>ИП ЦЕПЕЛЕВ ВЛАДИМИР ВАЛЕРЬЕВИЧ</t>
  </si>
  <si>
    <t>ИП ЧУРСИН АЛЕКСАНДР АРКАДЬЕВИЧ</t>
  </si>
  <si>
    <t>ООО ТК АВТОПРОМТЕХНОЛОГИЯ</t>
  </si>
  <si>
    <t>454053, ЧЕЛЯБИНСКАЯ ОБЛАСТЬ, Г ЧЕЛЯБИНСК, ТРАКТ ТРОИЦКИЙ, Д. 25</t>
  </si>
  <si>
    <t>ООО ФИНСЕР ОЙЛ</t>
  </si>
  <si>
    <t>454111, РОССИЯ, ЧЕЛЯБИНСКАЯ ОБЛАСТЬ, Г.О. ЧЕЛЯБИНСКИЙ, Г ЧЕЛЯБИНСК, УЛ ШИРШОВА, Д. 11В</t>
  </si>
  <si>
    <t>454085, ЧЕЛЯБИНСКАЯ ОБЛАСТЬ, Г ЧЕЛЯБИНСК, УЛ ШУМЕНСКАЯ, Д. 31, КВ. 102</t>
  </si>
  <si>
    <t>ООО ДАНКАР</t>
  </si>
  <si>
    <t>454004, ЧЕЛЯБИНСКАЯ ОБЛАСТЬ, Г ЧЕЛЯБИНСК, УЛ АКАДЕМИКА КОРОЛЕВА, Д. 39Б, КВ. 32</t>
  </si>
  <si>
    <t>ООО ИНДИРЕКТ</t>
  </si>
  <si>
    <t>454007, ЧЕЛЯБИНСКАЯ ОБЛАСТЬ, Г.О. ЧЕЛЯБИНСКИЙ, Г ЧЕЛЯБИНСК, УЛ МАЛОГРУЗОВАЯ, Д. 1, ОФИС 402</t>
  </si>
  <si>
    <t>ООО УЗТММ</t>
  </si>
  <si>
    <t>454079, ЧЕЛЯБИНСКАЯ ОБЛАСТЬ, Г.О. ЧЕЛЯБИНСКИЙ, Г ЧЕЛЯБИНСК, УЛ ТРАШУТИНА, Д. 35, ПОМЕЩ. 7, ОФИС 1</t>
  </si>
  <si>
    <t>ООО ДИЗАЙН - КАФЕ - ПЛЮС</t>
  </si>
  <si>
    <t>454080, ЧЕЛЯБИНСКАЯ ОБЛАСТЬ, Г.О. ЧЕЛЯБИНСКИЙ, Г ЧЕЛЯБИНСК, ПР-КТ ЛЕНИНА, Д. 89А, ОФИС 6</t>
  </si>
  <si>
    <t>ООО РОСТИ</t>
  </si>
  <si>
    <t>455027, ЧЕЛЯБИНСКАЯ ОБЛАСТЬ, Г.О. МАГНИТОГОРСКИЙ, Г МАГНИТОГОРСК, Ш ЗАПАДНОЕ, Д. 51</t>
  </si>
  <si>
    <t>ООО ТК ТРАНС-МЕТАЛЛ</t>
  </si>
  <si>
    <t>455011, ЧЕЛЯБИНСКАЯ ОБЛАСТЬ, Г МАГНИТОГОРСК, УЛ КЛУБНАЯ, Д. 7</t>
  </si>
  <si>
    <t>ИП АЛЕКСАХИНА ОЛЬГА АЛЕКСАНДРОВНА</t>
  </si>
  <si>
    <t>ИП РЕМИЗОВ ДМИТРИЙ ЮРЬЕВИЧ</t>
  </si>
  <si>
    <t>ООО НОВАТЭК -АЗК</t>
  </si>
  <si>
    <t>454092, ЧЕЛЯБИНСКАЯ ОБЛАСТЬ, Г ЧЕЛЯБИНСК, УЛ КУРЧАТОВА, Д. 6</t>
  </si>
  <si>
    <t>ИП ЩЕРБАКОВ АНДРЕЙ НИКОЛАЕВИЧ</t>
  </si>
  <si>
    <t>ООО ТЕХАРТ</t>
  </si>
  <si>
    <t>454091, ЧЕЛЯБИНСКАЯ ОБЛАСТЬ, Г.О. ЧЕЛЯБИНСКИЙ, Г ЧЕЛЯБИНСК, УЛ КИРОВА, Д. 159</t>
  </si>
  <si>
    <t>ООО РИТЕЙЛСЕРВИС 42</t>
  </si>
  <si>
    <t>454091, ЧЕЛЯБИНСКАЯ ОБЛАСТЬ, Г.О. ЧЕЛЯБИНСКИЙ, Г ЧЕЛЯБИНСК, УЛ ЕЛЬКИНА, Д. 45А, ОФИС 804, ПОМЕЩ. 12,13</t>
  </si>
  <si>
    <t>ООО МАСМА-ДВ</t>
  </si>
  <si>
    <t>Забайкальский край</t>
  </si>
  <si>
    <t>672039, ЗАБАЙКАЛЬСКИЙ КРАЙ, Г ЧИТА, УЛ НОВОЗАВОДСКАЯ, Д.25</t>
  </si>
  <si>
    <t>ООО ГДК НУРГОЛД</t>
  </si>
  <si>
    <t>672000, ЗАБАЙКАЛЬСКИЙ КРАЙ, Г ЧИТА, УЛ ХАБАРОВСКАЯ, Д. 1, ПОМЕЩ. 6</t>
  </si>
  <si>
    <t>ИП ЛИТВИНОВА ОКСАНА ГРИГОРЬЕВНА</t>
  </si>
  <si>
    <t>ООО АРТАН</t>
  </si>
  <si>
    <t>672012, РОССИЯ, ЗАБАЙКАЛЬСКИЙ КРАЙ, Г.О. ГОРОД ЧИТА, Г ЧИТА, УЛ НОВОБУЛЬВАРНАЯ, Д. 34, КВ. 119</t>
  </si>
  <si>
    <t>ООО НАК</t>
  </si>
  <si>
    <t>674159, РОССИЯ, ЗАБАЙКАЛЬСКИЙ КРАЙ, М.О. КАЛАРСКИЙ, ПГТ НОВАЯ ЧАРА, УЛ МАГИСТРАЛЬНАЯ, Д. 20А, КВ. 8</t>
  </si>
  <si>
    <t>ИП ФЁДОРОВА ОЛЬГА СЕРГЕЕВНА</t>
  </si>
  <si>
    <t>ИП АНЦИФЕРОВА ТАТЬЯНА АЛЕКСЕЕВНА</t>
  </si>
  <si>
    <t>ИП САЛИХОВ ОЛЕГ ИГОРЕВИЧ</t>
  </si>
  <si>
    <t>ИП КОСТИК ЕЛЕНА ЮРЬЕВНА</t>
  </si>
  <si>
    <t>ИП НИКОЛАЕВА ТАТЬЯНА ВИКТОРОВНА</t>
  </si>
  <si>
    <t>ИП ВАСЕЕВА ОЛЬГА ЛЕОНИДОВНА</t>
  </si>
  <si>
    <t>ИП СМИРНОВА АННА ВИКТОРОВНА</t>
  </si>
  <si>
    <t>ИП СНЕТКОВА ОКСАНА СЕРГЕЕВНА</t>
  </si>
  <si>
    <t>ИП ХОМУТОВ ИВАН ИВАНОВИЧ</t>
  </si>
  <si>
    <t>ИП ИВАНОВ АЛЕКСАНДР ИВАНОВИЧ</t>
  </si>
  <si>
    <t>ИП ТУРУШЕВ ПЕТР ОСИПОВИЧ</t>
  </si>
  <si>
    <t>ООО ОРИОН ОЙЛ</t>
  </si>
  <si>
    <t>672014, РОССИЯ, ЗАБАЙКАЛЬСКИЙ КРАЙ, Г.О. ГОРОД ЧИТА, Г ЧИТА, УЛ ТРАКТОВАЯ, Д. 7</t>
  </si>
  <si>
    <t>ООО МАДРИГАЛЛ ГРУПП</t>
  </si>
  <si>
    <t>672016, РОССИЯ, ЗАБАЙКАЛЬСКИЙ КРАЙ, Г.О. ГОРОД ЧИТА, Г ЧИТА, УЛ ЮНОСТИ, Д. 1, КВ. 12</t>
  </si>
  <si>
    <t>ООО ВС ДАРХАН</t>
  </si>
  <si>
    <t>672014, РОССИЯ, ЗАБАЙКАЛЬСКИЙ КРАЙ, Г.О. ГОРОД ЧИТА, Г ЧИТА, ТРАКТ РОМАНОВСКИЙ, Д. 75А, СТР. 1</t>
  </si>
  <si>
    <t>ООО ЭДЕЛЬВЕЙС</t>
  </si>
  <si>
    <t>673460, РОССИЯ, ЗАБАЙКАЛЬСКИЙ КРАЙ, М.Р-Н ЧЕРНЫШЕВСКИЙ, ПГТ ЧЕРНЫШЕВСК, Г.П. ЧЕРНЫШЕВСКОЕ, УЛ ИНТЕРНАТНАЯ, Д. 19</t>
  </si>
  <si>
    <t>ООО ЗАБТРАНСЛИДЕР</t>
  </si>
  <si>
    <t>687000, РОССИЯ, ЗАБАЙКАЛЬСКИЙ КРАЙ, Г.О. ПОСЕЛОК АГИНСКОЕ, ПГТ АГИНСКОЕ, УЛ ЛЕНИНА, Д. 67</t>
  </si>
  <si>
    <t>ИП ЛУГАН ТАТЬЯНА ИВАНОВНА</t>
  </si>
  <si>
    <t>ИП ГРЕШИЛОВ МИХАИЛ ГЕОРГИЕВИЧ</t>
  </si>
  <si>
    <t>ИП ГОРБАЧЕВ ИГОРЬ СЕРГЕЕВИЧ</t>
  </si>
  <si>
    <t>ИП ФОМИНА НИНА СТЕПАНОВНА</t>
  </si>
  <si>
    <t>ООО КАМЕНКА</t>
  </si>
  <si>
    <t>672512, ЗАБАЙКАЛЬСКИЙ КРАЙ, Р-Н ЧИТИНСКИЙ, С СМОЛЕНКА, УЛ СЕВЕРНАЯ, Д. 13, КВ. 1</t>
  </si>
  <si>
    <t>ИП ШМАКОТИНА ВАЛЕНТИНА СЕРГЕЕВНА</t>
  </si>
  <si>
    <t>ИП ПРУТОВ АЛЕКСЕЙ ИГОРЕВИЧ</t>
  </si>
  <si>
    <t>ИП НИКИФОРОВА АНАСТАСИЯ ЮРЬЕВНА</t>
  </si>
  <si>
    <t>ИП НИКИФОРОВ АЛЕКСЕЙ АЛЕКСАНДРОВИЧ</t>
  </si>
  <si>
    <t>ООО АВТОСЕРВИС-ЧИТА</t>
  </si>
  <si>
    <t>672014, ЗАБАЙКАЛЬСКИЙ КРАЙ, Г ЧИТА, УЛ МЫСОВСКАЯ, Д. 34</t>
  </si>
  <si>
    <t>ИП Рябуха Александр Владимирович</t>
  </si>
  <si>
    <t>ИП ШАМОХИН ДМИТРИЙ ВЛАДИМИРОВИЧ</t>
  </si>
  <si>
    <t>ИП ГРИГОРЬЕВ НИКИТА АНДРЕЕВИЧ</t>
  </si>
  <si>
    <t>ООО МТЕ7</t>
  </si>
  <si>
    <t>672014, ЗАБАЙКАЛЬСКИЙ КРАЙ, Г ЧИТА, ТРАКТ РОМАНОВСКИЙ, Д. 51, СТР. 1</t>
  </si>
  <si>
    <t>ООО ЗАБВНЕШТОРГ</t>
  </si>
  <si>
    <t>672000, ЗАБАЙКАЛЬСКИЙ КРАЙ, Г ЧИТА, УЛ УГДАНСКАЯ, Д. 3, ПОМЕЩ. 2</t>
  </si>
  <si>
    <t>ООО ЛИНДОР</t>
  </si>
  <si>
    <t>672007, ЗАБАЙКАЛЬСКИЙ КРАЙ, Г ЧИТА, УЛ ПОДГОРБУНСКОГО, Д. 55, ПОМЕЩ. 5</t>
  </si>
  <si>
    <t>ООО ТАЙРЕЛ</t>
  </si>
  <si>
    <t>672039, ЗАБАЙКАЛЬСКИЙ КРАЙ, Г.О. ГОРОД ЧИТА, Г ЧИТА, УЛ ГАГАРИНА, Д. 14, КВ. 40</t>
  </si>
  <si>
    <t>ООО ТЕХНИКС</t>
  </si>
  <si>
    <t>672014, ЗАБАЙКАЛЬСКИЙ КРАЙ, Г.О. ГОРОД ЧИТА, Г ЧИТА, УЛ ТРАКТОВАЯ, Д. 7</t>
  </si>
  <si>
    <t>ИП ТИХОНОВ ВАДИМ СЕРГЕЕВИЧ</t>
  </si>
  <si>
    <t>ИП РАДЮКИН НИКИТА ОЛЕГОВИЧ</t>
  </si>
  <si>
    <t>ИП ФЕДОТОВ МАКСИМ АЛЕКСАНДРОВИЧ</t>
  </si>
  <si>
    <t>ИП ЛЯЩЕНКО ВИКТОР ВАСИЛЬЕВИЧ</t>
  </si>
  <si>
    <t>ИП НАЙМУШИН ВЛАДИМИР ЕВГЕНЬЕВИЧ</t>
  </si>
  <si>
    <t>ИП ТИМОФЕЕВ ГЕННАДИЙ ВИКТОРОВИЧ</t>
  </si>
  <si>
    <t>ИП БЫКОВ АЛЕКСАНДР ФРОЛОВИЧ</t>
  </si>
  <si>
    <t>ИП ГИЛЕВ СЕРГЕЙ АЛЕКСАНДРОВИЧ</t>
  </si>
  <si>
    <t>ИП НАЙМУШИН АЛЕКСЕЙ ВЛАДИМИРОВИЧ</t>
  </si>
  <si>
    <t>ООО ПЕТРОВСКНЕФТЕПРОДУКТ</t>
  </si>
  <si>
    <t>673002, ЗАБАЙКАЛЬСКИЙ КРАЙ, Р-Н ПЕТРОВСК-ЗАБАЙКАЛЬСКИЙ, Г ПЕТРОВСК-ЗАБАЙКАЛЬСКИЙ, УЛ ТРАКТОРНАЯ, Д. 74</t>
  </si>
  <si>
    <t>ИП МЯСНИКОВА ИННА ВАЛЕРЬЕВНА</t>
  </si>
  <si>
    <t>ИП САМБУЕВА ТУЯНА ПУРБОЖАБОВНА</t>
  </si>
  <si>
    <t>ИП ЗАСТУПАЕВ ВИТАЛИЙ ЕВГЕНЬЕВИЧ</t>
  </si>
  <si>
    <t>ИП ШЕМЕЛИН ОЛЕГ АЛЕКСАНДРОВИЧ</t>
  </si>
  <si>
    <t>ПАО НЕФТЕМАРКЕТ</t>
  </si>
  <si>
    <t>672040, ЗАБАЙКАЛЬСКИЙ КРАЙ, Г ЧИТА, ПЕР АВИАЦИОННЫЙ, Д. 10</t>
  </si>
  <si>
    <t>ИП СОБОЛЕВ АНТОН ОЛЕГОВИЧ</t>
  </si>
  <si>
    <t>ИП БРАЖНИК ГЕОРГИЙ МИХАЙЛОВИЧ</t>
  </si>
  <si>
    <t>ИП КУЛАГИН СЕРГЕЙ ВЛАДИМИРОВИЧ</t>
  </si>
  <si>
    <t>ИП БУЯНОВ ДЕНИС АЛЕКСАНДРОВИЧ</t>
  </si>
  <si>
    <t>ООО ЧИТАКАМАЗСЕРВИС</t>
  </si>
  <si>
    <t>672040, РОССИЯ, ЗАБАЙКАЛЬСКИЙ КРАЙ, Г.О. ГОРОД ЧИТА, Г ЧИТА, ТУП СОЛДАТСКИЙ, Д. 8</t>
  </si>
  <si>
    <t>ООО ИНДЕКС</t>
  </si>
  <si>
    <t>672007, ЗАБАЙКАЛЬСКИЙ КРАЙ, Г.О. ГОРОД ЧИТА, Г ЧИТА, УЛ МОСТОВАЯ, Д. 8, ОФИС 220</t>
  </si>
  <si>
    <t>ИП СУББОТИНА МАРИЯ МАКСИМОВНА</t>
  </si>
  <si>
    <t>ИП КУКЛИНА МАРИЯ МИХАЙЛОВНА</t>
  </si>
  <si>
    <t>ИП РАДЧЕНКО АНАСТАСИЯ МИХАЙЛОВНА</t>
  </si>
  <si>
    <t>ИП АНДРИЯНОВА ИРИНА СЕРГЕЕВНА</t>
  </si>
  <si>
    <t>672012, ЗАБАЙКАЛЬСКИЙ КРАЙ, Г ЧИТА, УЛ НОВОБУЛЬВАРНАЯ, Д. 36, ПОМЕЩ. 520</t>
  </si>
  <si>
    <t>ООО ЧИТАТРАНСНЕФТЬ</t>
  </si>
  <si>
    <t>672039, ЗАБАЙКАЛЬСКИЙ КРАЙ, Г ЧИТА, УЛ СТОЛЯРОВА, Д. 91, КВ. 2</t>
  </si>
  <si>
    <t>ООО АЗС-КОСМОНАВТОВ</t>
  </si>
  <si>
    <t>672039, ЗАБАЙКАЛЬСКИЙ КРАЙ, Г.О. ГОРОД ЧИТА, Г ЧИТА, УЛ ИНГОДИНСКАЯ, Д. 30</t>
  </si>
  <si>
    <t>ООО ТЕХАСПЕКТ</t>
  </si>
  <si>
    <t>672014, ЗАБАЙКАЛЬСКИЙ КРАЙ, Г.О. ГОРОД ЧИТА, Г ЧИТА, УЛ ТРАКТОВАЯ, Д. 54А, ЭТАЖ 2</t>
  </si>
  <si>
    <t>ИП БОРОДИНА ЕЛИЗАВЕТА АЛЕКСЕЕВНА</t>
  </si>
  <si>
    <t>ООО А+Б ИМПОРТ</t>
  </si>
  <si>
    <t>672020, РОССИЯ, ЗАБАЙКАЛЬСКИЙ КРАЙ, Г.О. ГОРОД ЧИТА, Г ЧИТА, УЛ ЛАЗО, Д. 125, СТР. 1, ОФИС 8А</t>
  </si>
  <si>
    <t>ИП БУНАКОВ РОМАН ВАСИЛЬЕВИЧ</t>
  </si>
  <si>
    <t>ИП БЕЛОУС ЛЮДМИЛА ВЛАДИМИРОВНА</t>
  </si>
  <si>
    <t>ИП МАРКИНА ЛИДИЯ ИВАНОВНА</t>
  </si>
  <si>
    <t>ИП ПОЛОРОТОВА ЛЮБОВЬ СЕРГЕЕВНА</t>
  </si>
  <si>
    <t>ИП ШКЕДОВ ЕВГЕНИЙ ВЛАДИМИРОВИЧ</t>
  </si>
  <si>
    <t>ИП КОПАНЕВА КСЕНИЯ АЛЕКСАНДРОВНА</t>
  </si>
  <si>
    <t>672000, РОССИЯ, ЗАБАЙКАЛЬСКИЙ КРАЙ, Г.О. ГОРОД ЧИТА, Г ЧИТА, УЛ БАБУШКИНА, Д. 42А, ОФИС 209</t>
  </si>
  <si>
    <t>ООО СПЕКТР 75</t>
  </si>
  <si>
    <t>672042, РОССИЯ, ЗАБАЙКАЛЬСКИЙ КРАЙ, Г.О. ГОРОД ЧИТА, Г ЧИТА, МКР. 6-Й, Д. 10, КВ. 22</t>
  </si>
  <si>
    <t>ООО БАРАКАТ ПЛЮС</t>
  </si>
  <si>
    <t>673400, РОССИЯ, ЗАБАЙКАЛЬСКИЙ КРАЙ, М.Р-Н НЕРЧИНСКИЙ, Г НЕРЧИНСК, Г.П. НЕРЧИНСКОЕ, УЛ СОВЕТСКАЯ, Д. 3</t>
  </si>
  <si>
    <t>ООО ЗАБСПЕЦЗАПЧАСТЬ</t>
  </si>
  <si>
    <t>672014, РОССИЯ, ЗАБАЙКАЛЬСКИЙ КРАЙ, Г.О. ГОРОД ЧИТА, Г ЧИТА, УЛ ТРАКТОВАЯ, Д. 80А</t>
  </si>
  <si>
    <t>ИП ВЕРШИНИН ЕВГЕНИЙ ГЕОРГИЕВИЧ</t>
  </si>
  <si>
    <t>ИП НАДЕИН ВИТАЛИЙ ЮРЬЕВИЧ</t>
  </si>
  <si>
    <t>ООО ИНТЕКО ОЙЛ</t>
  </si>
  <si>
    <t>674159, РОССИЯ, ЗАБАЙКАЛЬСКИЙ КРАЙ, М.О. КАЛАРСКИЙ, ПГТ НОВАЯ ЧАРА, УЛ МОЛДОВАНОВА, Д. 1, КВ. 8</t>
  </si>
  <si>
    <t>ИП СТЕПАНОВ НИКОЛАЙ ВИКТОРОВИЧ</t>
  </si>
  <si>
    <t>ИП ЧАЩИНА ТАТЬЯНА ГЕННАДЬЕВНА</t>
  </si>
  <si>
    <t>ИП БЕРЕЖНОВА ИРИНА НИКОЛАЕВНА</t>
  </si>
  <si>
    <t>ИП ЛУКЬЯНОВА ЛАРИСА АНАТОЛЬЕВНА</t>
  </si>
  <si>
    <t>ИП БОЧКАРЕВА ЕЛЕНА СЕРГЕЕВНА</t>
  </si>
  <si>
    <t>ИП ФЁДОРОВА АЛИНА ПАВЛОВНА</t>
  </si>
  <si>
    <t>ИП ХЛЫЗОВА ЛЮДМИЛА ЮРЬЕВНА</t>
  </si>
  <si>
    <t>ИП Кладова Зоя Николаевна</t>
  </si>
  <si>
    <t>ИП ИВАНОВА ОЛЕСЯ ВАЛЕРЬЕВНА</t>
  </si>
  <si>
    <t>ИП ФЁДОРОВ ВЛАДИМИР СЕРГЕЕВИЧ</t>
  </si>
  <si>
    <t>ИП АБРАМОВ ОЛЕГ АЛЕКСАНДРОВИЧ</t>
  </si>
  <si>
    <t>ИП ВОВЧКО ВЛАДИМИР БОГДАНОВИЧ</t>
  </si>
  <si>
    <t>672049, ЗАБАЙКАЛЬСКИЙ КРАЙ, Г ЧИТА, МКР ЦАРСКИЙ, Д. 2, ПОМЕЩ. 6</t>
  </si>
  <si>
    <t>ООО ПКП СОЮЗ И К</t>
  </si>
  <si>
    <t>674673, ЗАБАЙКАЛЬСКИЙ КРАЙ, Р-Н КРАСНОКАМЕНСКИЙ, Г КРАСНОКАМЕНСК, МКР ВОСТОЧНЫЙ, Д. 12В</t>
  </si>
  <si>
    <t>ИП КАЗАКОВ СЕРГЕЙ АЛЕКСАНДРОВИЧ</t>
  </si>
  <si>
    <t>ИП ГЛАДКИХ ДАНИИЛ АЛЕКСЕЕВИЧ</t>
  </si>
  <si>
    <t>ИП ЕРЗИКОВ АНДРЕЙ СЕРГЕЕВИЧ</t>
  </si>
  <si>
    <t>ИП ИСТОМИН АЛЕКСАНДР ДМИТРИЕВИЧ</t>
  </si>
  <si>
    <t>ИП Соболева Анна Павловна</t>
  </si>
  <si>
    <t>ИП КУЗЬМИН ИГОРЬ АЛЕКСЕЕВИЧ</t>
  </si>
  <si>
    <t>ИП КРАСНОВ АРТУР АЛЕКСАНДРОВИЧ</t>
  </si>
  <si>
    <t>АО ЧИТАГЛАВСНАБ</t>
  </si>
  <si>
    <t>672040, ЗАБАЙКАЛЬСКИЙ КРАЙ, Г ЧИТА, УЛ АВИАЦИОННАЯ, Д.45</t>
  </si>
  <si>
    <t>ИП МИНДУБАЕВА ЗУХРА ГАЛИМЗЯНОВНА</t>
  </si>
  <si>
    <t>672012, ЗАБАЙКАЛЬСКИЙ КРАЙ, Г.О. ГОРОД ЧИТА, Г ЧИТА, УЛ КУРНАТОВСКОГО, Д. 70, КВ. 181</t>
  </si>
  <si>
    <t>ИП ДОВБНЕНКО СЕРГЕЙ ПЕТРОВИЧ</t>
  </si>
  <si>
    <t>ООО ЧИТАСКАНСЕРВИС</t>
  </si>
  <si>
    <t>672038, ЗАБАЙКАЛЬСКИЙ КРАЙ, Г ЧИТА, ПР-Д БАТАЛЬОННЫЙ, Д. 11</t>
  </si>
  <si>
    <t>672012, ЗАБАЙКАЛЬСКИЙ КРАЙ, Г ЧИТА, УЛ БОГОМЯГКОВА, Д. 56</t>
  </si>
  <si>
    <t>ООО ЕВРАЗПОЛИМЕТАЛЛ</t>
  </si>
  <si>
    <t>672039, РОССИЯ, ЗАБАЙКАЛЬСКИЙ КРАЙ, Г.О. ГОРОД ЧИТА, Г ЧИТА, УЛ ЛЕНИНА, Д. 2Б, СТР. 1</t>
  </si>
  <si>
    <t>ИП Хачатрян Закар Мишаевич</t>
  </si>
  <si>
    <t>ИП ЛЫЖИНА ЛЮДМИЛА АНАТОЛЬЕВНА</t>
  </si>
  <si>
    <t>ИП ИЗМАЙЛОВ МАГОМЕД МАХМЕТОВИЧ</t>
  </si>
  <si>
    <t>672014, ЗАБАЙКАЛЬСКИЙ КРАЙ, Г ЧИТА, УЛ КОВЫЛЬНАЯ, Д. 31</t>
  </si>
  <si>
    <t>ИП ВОРОНОВ АЛЕКСЕЙ АНАТОЛЬЕВИЧ</t>
  </si>
  <si>
    <t>ИП ГОШЕНТАН МАРИЯ ВАЛЕРЬЕВНА</t>
  </si>
  <si>
    <t>ИП ЁЛГИН КИРИЛЛ СЕРГЕЕВИЧ</t>
  </si>
  <si>
    <t>ООО АВТОТОРГ-75</t>
  </si>
  <si>
    <t>ООО ГЕРМЕС-ТРАНСФЕР</t>
  </si>
  <si>
    <t>672038, РОССИЯ, ЗАБАЙКАЛЬСКИЙ КРАЙ, Г.О. ГОРОД ЧИТА, Г ЧИТА, УЛ ШИЛОВА, Д. 29, ОФИС 12</t>
  </si>
  <si>
    <t>ИП ПАЛЁХИН АНДРЕЙ АЛЕКСАНДРОВИЧ</t>
  </si>
  <si>
    <t>Ярославская область</t>
  </si>
  <si>
    <t>ИП КУЗОВЕНКОВА ЕКАТЕРИНА СЕРГЕЕВНА</t>
  </si>
  <si>
    <t>ИП КОТКОВА АННА АНДРЕЕВНА</t>
  </si>
  <si>
    <t>ИП ПАУТОВ ЯРОСЛАВ ВИКТОРОВИЧ</t>
  </si>
  <si>
    <t>ИП ШЕЙНИХОВИЧ НИКИТА ЛЕОНИДОВИЧ</t>
  </si>
  <si>
    <t>ИП ЕРМАКОВА ЕЛЕНА ТУРСУНОВНА</t>
  </si>
  <si>
    <t>ИП Золин Андрей Валерьевич</t>
  </si>
  <si>
    <t>ООО ИНТЕРСИЛА</t>
  </si>
  <si>
    <t>150000, ЯРОСЛАВСКАЯ ОБЛАСТЬ, Г.О. ГОРОД ЯРОСЛАВЛЬ, Г ЯРОСЛАВЛЬ, УЛ АНДРОПОВА, Д. 13, ПОМЕЩ 1</t>
  </si>
  <si>
    <t>ООО РУМОТОРС</t>
  </si>
  <si>
    <t>150044, РОССИЯ, ЯРОСЛАВСКАЯ ОБЛАСТЬ, Г.О. ГОРОД ЯРОСЛАВЛЬ, Г ЯРОСЛАВЛЬ, УЛ ПРОМЫШЛЕННАЯ, Д. 8</t>
  </si>
  <si>
    <t>ООО РЦ АВТОДИЛЕР</t>
  </si>
  <si>
    <t>150044, ЯРОСЛАВСКАЯ ОБЛАСТЬ, Г.О. ГОРОД ЯРОСЛАВЛЬ, Г ЯРОСЛАВЛЬ, УЛ ПРОМЫШЛЕННАЯ, Д. 8</t>
  </si>
  <si>
    <t>ИП ЖАРОВА ВИКТОРИЯ ВИКТОРОВНА</t>
  </si>
  <si>
    <t>ИП ХАЛЕЗЕВА ДАРЬЯ ГЕННАДЬЕВНА</t>
  </si>
  <si>
    <t>ООО ФОРМУЛА  АВТО ПЛЮС</t>
  </si>
  <si>
    <t>150044, ЯРОСЛАВСКАЯ ОБЛАСТЬ, Г ЯРОСЛАВЛЬ, УЛ БАЗОВАЯ, Д. 3, ОФИС 233</t>
  </si>
  <si>
    <t>ООО ДИЗЕЛЬ МОТОР</t>
  </si>
  <si>
    <t>150044, ЯРОСЛАВСКАЯ ОБЛАСТЬ, Г ЯРОСЛАВЛЬ, УЛ ОСТАШИНСКАЯ, Д.6/34, ОФИС 2</t>
  </si>
  <si>
    <t>ООО ДЕЛОВОЙ ПАРТНЕР</t>
  </si>
  <si>
    <t>150003, ЯРОСЛАВСКАЯ ОБЛАСТЬ, Г ЯРОСЛАВЛЬ, УЛ СОВЕТСКАЯ, Д. 79, К. 6</t>
  </si>
  <si>
    <t>ООО АМТЕК ГРУПП</t>
  </si>
  <si>
    <t>150044, ЯРОСЛАВСКАЯ ОБЛАСТЬ, Г.О. ГОРОД ЯРОСЛАВЛЬ, Г ЯРОСЛАВЛЬ, ПР-КТ ОКТЯБРЯ, Д. 91А, ОФИС 1</t>
  </si>
  <si>
    <t>ИП ОЛЕЙНИК ДМИТРИЙ АЛЕКСАНДРОВИЧ</t>
  </si>
  <si>
    <t>ИП КАПУСТИН АЛЕКСАНДР НИКОЛАЕВИЧ</t>
  </si>
  <si>
    <t>ООО ЯРОСЛАВСКИЙ ТЕХНИЧЕСКИЙ ЦЕНТР</t>
  </si>
  <si>
    <t>150051, ЯРОСЛАВСКАЯ ОБЛАСТЬ, Г ЯРОСЛАВЛЬ, УЛ КРАСНОБОРСКАЯ, Д.17, 30</t>
  </si>
  <si>
    <t>ИП ЧАСТУХИНА ЕКАТЕРИНА ИВАНОВНА</t>
  </si>
  <si>
    <t>ИП МАКСИМУК СЕРГЕЙ ВАСИЛЬЕВИЧ</t>
  </si>
  <si>
    <t>ЗАО ГАЛБИ</t>
  </si>
  <si>
    <t>150000, ЯРОСЛАВСКАЯ ОБЛАСТЬ, Г ЯРОСЛАВЛЬ, НАБ КОТОРОСЛЬНАЯ, Д.44</t>
  </si>
  <si>
    <t>ИП ШУМИЛОВ СЕРГЕЙ ЕВГЕНЬЕВИЧ</t>
  </si>
  <si>
    <t>ООО КОМПАНИЯ ДИЗЕЛЬ</t>
  </si>
  <si>
    <t>150044, ЯРОСЛАВСКАЯ ОБЛАСТЬ, Г.О. ГОРОД ЯРОСЛАВЛЬ, Г ЯРОСЛАВЛЬ, ПР-КТ ЛЕНИНГРАДСКИЙ, ЗД. 33В, ПОМЕЩ. 401</t>
  </si>
  <si>
    <t>ООО РОЗНИЦА МАРКЕТ</t>
  </si>
  <si>
    <t>ООО ЯРОСОФТ</t>
  </si>
  <si>
    <t>150040, ЯРОСЛАВСКАЯ ОБЛАСТЬ, Г ЯРОСЛАВЛЬ, ПР-КТ ОКТЯБРЯ, Д.56, ОФИС 405</t>
  </si>
  <si>
    <t>ООО  КОМПАНИЯ  ЭЛЕКТРОСЕРВИС</t>
  </si>
  <si>
    <t>150035, ЯРОСЛАВСКАЯ ОБЛАСТЬ, Г ЯРОСЛАВЛЬ, УЛ ДОРОНИНА, Д.8, К.2, 182</t>
  </si>
  <si>
    <t>ООО ПКФ</t>
  </si>
  <si>
    <t>150035, ЯРОСЛАВСКАЯ ОБЛАСТЬ, Г ЯРОСЛАВЛЬ, УЛ ДОРОНИНА, Д.6, К.2, 145</t>
  </si>
  <si>
    <t>ООО ЯРОСЛАВСКИЕ СМАЗКИ</t>
  </si>
  <si>
    <t>150001, ЯРОСЛАВСКАЯ ОБЛАСТЬ, Г ЯРОСЛАВЛЬ, ПР-КТ МОСКОВСКИЙ, Д.1А, ОФИС 3</t>
  </si>
  <si>
    <t>ООО СПЕКТР-АВТО-Н</t>
  </si>
  <si>
    <t>150022, ЯРОСЛАВСКАЯ ОБЛАСТЬ, Г ЯРОСЛАВЛЬ, ПР-КТ ФРУНЗЕ, Д. 34</t>
  </si>
  <si>
    <t>ООО ПКФСПЕЦМАШ-Р</t>
  </si>
  <si>
    <t>150014, ЯРОСЛАВСКАЯ ОБЛАСТЬ, Г ЯРОСЛАВЛЬ, УЛ САЛТЫКОВА-ЩЕДРИНА, Д. 44/18, КВ. 61</t>
  </si>
  <si>
    <t>150006, ЯРОСЛАВСКАЯ ОБЛАСТЬ, Г.О. ГОРОД ЯРОСЛАВЛЬ, Г ЯРОСЛАВЛЬ, УЛ КОРАБЕЛЬНАЯ, Д. 1, СТР. 7, ОФИС 302</t>
  </si>
  <si>
    <t>ООО НПО ЯРОСЛАВСКИЕ СМАЗКИ</t>
  </si>
  <si>
    <t>150023, ЯРОСЛАВСКАЯ ОБЛАСТЬ, Г.О. ГОРОД ЯРОСЛАВЛЬ, Г ЯРОСЛАВЛЬ, УЛ ГАГАРИНА, Д. 56А, ОФИС 2</t>
  </si>
  <si>
    <t>АО ГРАНАТ</t>
  </si>
  <si>
    <t>150051, РОССИЯ, ЯРОСЛАВСКАЯ ОБЛАСТЬ, Г.О. ГОРОД ЯРОСЛАВЛЬ, Г ЯРОСЛАВЛЬ, УЛ ЯКОВЛЕВСКАЯ, Д. 22</t>
  </si>
  <si>
    <t>ООО ТРИМ</t>
  </si>
  <si>
    <t>150006, РОССИЯ, ЯРОСЛАВСКАЯ ОБЛАСТЬ, Г.О. ГОРОД ЯРОСЛАВЛЬ, Г ЯРОСЛАВЛЬ, УЛ ПРОЕКТИРУЕМАЯ, Д. 1, КВ. 48</t>
  </si>
  <si>
    <t>ООО ЯРКАМП-СЕРВИС</t>
  </si>
  <si>
    <t>150521, ЯРОСЛАВСКАЯ ОБЛАСТЬ, Р-Н ЯРОСЛАВСКИЙ, П ЩЕДРИНО, УЛ МОСКОВСКАЯ, СТР. 6А, ПОМЕЩ. 301</t>
  </si>
  <si>
    <t>ИП КУЗНЕЦОВА АНЖЕЛИКА ОЛЕГОВНА</t>
  </si>
  <si>
    <t>ООО СИМ-ЯРОСЛАВЛЬ</t>
  </si>
  <si>
    <t>150044, ЯРОСЛАВСКАЯ ОБЛАСТЬ, Г ЯРОСЛАВЛЬ, УЛ ПОЛУШКИНА РОЩА, Д.11</t>
  </si>
  <si>
    <t>ООО ЯР-ПРЕМИУМ</t>
  </si>
  <si>
    <t>150521, ЯРОСЛАВСКАЯ ОБЛАСТЬ, Р-Н ЯРОСЛАВСКИЙ, П НАГОРНЫЙ, УЛ СОВЕТСКАЯ, Д. 25, ПОМЕЩ. 20</t>
  </si>
  <si>
    <t>ООО ЯЗХМ</t>
  </si>
  <si>
    <t>150031, ЯРОСЛАВСКАЯ ОБЛАСТЬ, Г ЯРОСЛАВЛЬ, УЛ УГЛИЧСКАЯ, Д. 56, КВ. 3</t>
  </si>
  <si>
    <t>ООО БОЛЬШИЕ КОЛЁСА</t>
  </si>
  <si>
    <t>150044, РОССИЯ, ЯРОСЛАВСКАЯ ОБЛАСТЬ, Г.О. ГОРОД ЯРОСЛАВЛЬ, Г ЯРОСЛАВЛЬ, УЛ ОСТАШИНСКАЯ, Д. 6/34, ПОМЕЩ. 5</t>
  </si>
  <si>
    <t>ИП ЗОЛИНА ЕЛЕНА АНАТОЛЬЕВНА</t>
  </si>
  <si>
    <t>ИП Щербаков Михаил Анатольевич</t>
  </si>
  <si>
    <t>ООО ТОТЕК</t>
  </si>
  <si>
    <t>152023, ЯРОСЛАВСКАЯ ОБЛАСТЬ, Г ПЕРЕСЛАВЛЬ-ЗАЛЕССКИЙ, ПЛ МЕНДЕЛЕЕВА, Д. 2В</t>
  </si>
  <si>
    <t>ИП МОСТОВЫХ ЕВГЕНИЯ АЛЕКСЕЕВНА</t>
  </si>
  <si>
    <t>ИП ОГНЕВАЯ ОЛЬГА СЕРГЕЕВНА</t>
  </si>
  <si>
    <t>ИП СМИРНОВ АНДРЕЙ НИКОЛАЕВИЧ</t>
  </si>
  <si>
    <t>ИП РАЗУМОВСКИЙ ОЛЕГ АЛЕКСАНДРОВИЧ</t>
  </si>
  <si>
    <t>ГПОАУ ЯО РЫБИНСКИЙ ПРОМЫШЛЕННО-ЭКОНОМИЧЕСКИЙ КОЛЛЕДЖ</t>
  </si>
  <si>
    <t>152925, ЯРОСЛАВСКАЯ ОБЛАСТЬ, Р-Н РЫБИНСКИЙ, Г РЫБИНСК, УЛ 9 МАЯ, Д.24</t>
  </si>
  <si>
    <t>ИП КАПРАЛОВА НАТАЛИЯ НИКОЛАЕВНА</t>
  </si>
  <si>
    <t>ООО ХОЗТОРГ</t>
  </si>
  <si>
    <t>152920, ЯРОСЛАВСКАЯ ОБЛАСТЬ, Р-Н РЫБИНСКИЙ, Г РЫБИНСК, ПР-КТ СЕРОВА, Д.20</t>
  </si>
  <si>
    <t>150014, ЯРОСЛАВСКАЯ ОБЛАСТЬ, Г ЯРОСЛАВЛЬ, ПР-КТ ТОЛБУХИНА, Д.26, 159</t>
  </si>
  <si>
    <t>ИП Поткин Алексей Витальевич</t>
  </si>
  <si>
    <t>ООО РМ ДЕТАЛЬ</t>
  </si>
  <si>
    <t>152914, ЯРОСЛАВСКАЯ ОБЛАСТЬ, Р-Н РЫБИНСКИЙ, Г РЫБИНСК, УЛ ЦЕЛИННАЯ, Д. 14</t>
  </si>
  <si>
    <t>АО ОПАЛ</t>
  </si>
  <si>
    <t>152908, ЯРОСЛАВСКАЯ ОБЛАСТЬ, Г.О. ГОРОД РЫБИНСК, Г РЫБИНСК, УЛ ОШУРКОВСКАЯ, Д. 14</t>
  </si>
  <si>
    <t>ИП БЕССУДНОВ ДМИТРИЙ АНДРЕЕВИЧ</t>
  </si>
  <si>
    <t>ИП ГУДЮК АНАСТАСИЯ АЛЕКСАНДРОВНА</t>
  </si>
  <si>
    <t>ИП ГОЛОВАНОВ РОМАН ЛЕОНИДОВИЧ</t>
  </si>
  <si>
    <t>ИП ПАВЛУШЕНКОВ АНТОН АЛЕКСАНДРОВИЧ</t>
  </si>
  <si>
    <t>ИП ЗАХАРОВА УЛЬЯНА СЕРГЕЕВНА</t>
  </si>
  <si>
    <t>ИП Рябинин Евгений Юрьевич</t>
  </si>
  <si>
    <t>ИП ФЕДОТОВА СВЕТЛАНА НИКОЛАЕВНА</t>
  </si>
  <si>
    <t>ИП Сорокин Эдуард Борисович</t>
  </si>
  <si>
    <t>ООО ДИЗЕЛЬ ЭКСПОРТ</t>
  </si>
  <si>
    <t>150044, РОССИЯ, ЯРОСЛАВСКАЯ ОБЛАСТЬ, Г.О. ГОРОД ЯРОСЛАВЛЬ, Г ЯРОСЛАВЛЬ, ПР-КТ ЛЕНИНГРАДСКИЙ, ЗД. 33В, ПОМЕЩ. 201</t>
  </si>
  <si>
    <t>ООО ТРАКМОТОРС</t>
  </si>
  <si>
    <t>150029, ЯРОСЛАВСКАЯ ОБЛАСТЬ, Г ЯРОСЛАВЛЬ, УЛ ПРОМЗОНА УЛ. ДЕКАБРИСТОВ, Д. 5</t>
  </si>
  <si>
    <t>150023, ЯРОСЛАВСКАЯ ОБЛАСТЬ, Г ЯРОСЛАВЛЬ, УЛ ГАГАРИНА, Д. 62В, КОМ. 13</t>
  </si>
  <si>
    <t>ИП ЛЕЩЕНКО ИНГА ВЛАДИМИРОВНА</t>
  </si>
  <si>
    <t>ООО ПО ВЭД</t>
  </si>
  <si>
    <t>150044, ЯРОСЛАВСКАЯ ОБЛАСТЬ, Г.О. ГОРОД ЯРОСЛАВЛЬ, Г ЯРОСЛАВЛЬ, УЛ МОНТАЖНАЯ, ЗД. 26А</t>
  </si>
  <si>
    <t>ООО КОМПАНИЯ ТД ТЕРМИНАЛ</t>
  </si>
  <si>
    <t>150044, ЯРОСЛАВСКАЯ ОБЛАСТЬ, Г ЯРОСЛАВЛЬ, УЛ УРИЦКОГО, Д.47, К.2, 52</t>
  </si>
  <si>
    <t>ООО РУСТОРГ</t>
  </si>
  <si>
    <t>150044, ЯРОСЛАВСКАЯ ОБЛАСТЬ, Г ЯРОСЛАВЛЬ, УЛ ПРОМЫШЛЕННАЯ, Д. 2В, ПОМЕЩ. 25</t>
  </si>
  <si>
    <t>ООО ЯРБАЗ</t>
  </si>
  <si>
    <t>150042, ЯРОСЛАВСКАЯ ОБЛАСТЬ, Г ЯРОСЛАВЛЬ, П ПАРИЖСКАЯ КОММУНА, Д. 1, ОФИС 5</t>
  </si>
  <si>
    <t>ООО НОРД-А</t>
  </si>
  <si>
    <t>150044, ЯРОСЛАВСКАЯ ОБЛАСТЬ, Г.О. ГОРОД ЯРОСЛАВЛЬ, Г ЯРОСЛАВЛЬ, ПР-КТ ОКТЯБРЯ, Д. 91А, ОФИС 5</t>
  </si>
  <si>
    <t>ИП БУБНОВА ЕЛЕНА ВИКТОРОВНА</t>
  </si>
  <si>
    <t>ИП ПАНАХОВА ФЕРГАНЕ БАХРАМ КЗЫ</t>
  </si>
  <si>
    <t>ООО АВТО-АРСЕНАЛ</t>
  </si>
  <si>
    <t>150030, ЯРОСЛАВСКАЯ ОБЛАСТЬ, Г ЯРОСЛАВЛЬ, УЛ ЛЕВАНЕВСКОГО, Д. 56</t>
  </si>
  <si>
    <t>ООО ТЕХ-СЕРВИС</t>
  </si>
  <si>
    <t>150025, ЯРОСЛАВСКАЯ ОБЛАСТЬ, Г ЯРОСЛАВЛЬ, УЛ МАГИСТРАЛЬНАЯ, Д.42</t>
  </si>
  <si>
    <t>ООО ТСК АВТОМИКС</t>
  </si>
  <si>
    <t>150049, ЯРОСЛАВСКАЯ ОБЛАСТЬ, Г ЯРОСЛАВЛЬ, УЛ ВСПОЛЬИНСКОЕ ПОЛЕ, Д. 18, ПОМЕЩ. 24</t>
  </si>
  <si>
    <t>ООО ВОСТОРГ 76</t>
  </si>
  <si>
    <t>150006, РОССИЯ, ЯРОСЛАВСКАЯ ОБЛАСТЬ, Г.О. ГОРОД ЯРОСЛАВЛЬ, Г ЯРОСЛАВЛЬ, УЛ КОРАБЕЛЬНАЯ, Д. 1, СТР. 9, ОФИС 17/2</t>
  </si>
  <si>
    <t>ООО ПРОМКОМ</t>
  </si>
  <si>
    <t>150006, РОССИЯ, ЯРОСЛАВСКАЯ ОБЛАСТЬ, Г.О. ГОРОД ЯРОСЛАВЛЬ, Г ЯРОСЛАВЛЬ, ПР-КТ ФРУНЗЕ, Д. 39, КВ. 35</t>
  </si>
  <si>
    <t>ООО СТО ГАЙКА</t>
  </si>
  <si>
    <t>150030, РОССИЯ, ЯРОСЛАВСКАЯ ОБЛАСТЬ, Г.О. ГОРОД ЯРОСЛАВЛЬ, Г ЯРОСЛАВЛЬ, УЛ ЛЬВА ТОЛСТОГО, Д. 48</t>
  </si>
  <si>
    <t>ИП ЧУБАРОВА ИННА ГРИГОРЬЕВНА</t>
  </si>
  <si>
    <t>ООО АРСЕНАЛ-СЕРВИС</t>
  </si>
  <si>
    <t>150000, ЯРОСЛАВСКАЯ ОБЛАСТЬ, Г ЯРОСЛАВЛЬ, НАБ КОТОРОСЛЬНАЯ, Д. 47</t>
  </si>
  <si>
    <t>ИП КУЗНЕЦОВ АЛЕКСАНДР АЛЕКСАНДРОВИЧ</t>
  </si>
  <si>
    <t>ООО КОМПАНИЯ ФРИСТАЙЛ</t>
  </si>
  <si>
    <t>150043, ЯРОСЛАВСКАЯ ОБЛАСТЬ, Г.О. ГОРОД ЯРОСЛАВЛЬ, Г ЯРОСЛАВЛЬ, УЛ ЧКАЛОВА, Д. 22</t>
  </si>
  <si>
    <t>ИП ОПЛЮШКИН НИКОЛАЙ НИКОЛАЕВИЧ</t>
  </si>
  <si>
    <t>ООО ЦЕНТР-СЕРВИС ЯРОСЛАВЛЬ</t>
  </si>
  <si>
    <t>150521, ЯРОСЛАВСКАЯ ОБЛАСТЬ, Р-Н ЯРОСЛАВСКИЙ, П НАГОРНЫЙ, УЛ СОВЕТСКАЯ, Д. 26, ПОМЕЩ. 28</t>
  </si>
  <si>
    <t>ООО АЛЬЯНСТОРГ</t>
  </si>
  <si>
    <t>150044, ЯРОСЛАВСКАЯ ОБЛАСТЬ, Г.О. ГОРОД ЯРОСЛАВЛЬ, Г ЯРОСЛАВЛЬ, ПР-КТ ЛЕНИНГРАДСКИЙ, Д. 33, ОФИС 108</t>
  </si>
  <si>
    <t>150044, ЯРОСЛАВСКАЯ ОБЛАСТЬ, Г ЯРОСЛАВЛЬ, ПР-КТ ОКТЯБРЯ, Д. 98</t>
  </si>
  <si>
    <t>ООО СПЕЦСНАБАЛЬЯНС</t>
  </si>
  <si>
    <t>150044, РОССИЯ, ЯРОСЛАВСКАЯ ОБЛАСТЬ, Г.О. ГОРОД ЯРОСЛАВЛЬ, Г ЯРОСЛАВЛЬ, ПР-КТ ЛЕНИНГРАДСКИЙ, Д. 29, ОФИС 18</t>
  </si>
  <si>
    <t>ООО СМП</t>
  </si>
  <si>
    <t>150044, РОССИЯ, ЯРОСЛАВСКАЯ ОБЛАСТЬ, Г.О. ГОРОД ЯРОСЛАВЛЬ, Г ЯРОСЛАВЛЬ, УЛ ПРОМЫШЛЕННАЯ, Д. 2Г</t>
  </si>
  <si>
    <t>ИП Камалова Татьяна Юрьевна</t>
  </si>
  <si>
    <t>ИП ПОЗДЕЕВА СВЕТЛАНА АЛЕКСАНДРОВНА</t>
  </si>
  <si>
    <t>ИП СЕРГЕЕВА АНАСТАСИЯ ВИТАЛЬЕВНА</t>
  </si>
  <si>
    <t>ЗАО РОСТОВАГРОПРОМСЕРВИС</t>
  </si>
  <si>
    <t>152120, ЯРОСЛАВСКАЯ ОБЛАСТЬ, Р-Н РОСТОВСКИЙ, РП ИШНЯ, УЛ ЧИСТОВА, Д.1</t>
  </si>
  <si>
    <t>ИП СОЧНЕВ ИГОРЬ АЛЕКСАНДРОВИЧ</t>
  </si>
  <si>
    <t>ИП МАСЛОВА ЕКАТЕРИНА ЛЕОНИДОВНА</t>
  </si>
  <si>
    <t>ИП КРИНИЦКАЯ ВАЛЕНТИНА НИКОЛАЕВНА</t>
  </si>
  <si>
    <t>ИП НАЗАРЕНКО ЕЛЕНА ВИКТОРОВНА</t>
  </si>
  <si>
    <t>ИП САЛЬНИКОВА ЕЛЕНА ПЕТРОВНА</t>
  </si>
  <si>
    <t>ИП РУМЯНЦЕВА ЛЮДМИЛА ПЕТРОВНА</t>
  </si>
  <si>
    <t>ИП РУМЯНЦЕВ ВИКТОР ЮРЬЕВИЧ</t>
  </si>
  <si>
    <t>ИП МАЛИНИН АЛЕКСЕЙ ВЛАДИМИРОВИЧ</t>
  </si>
  <si>
    <t>ИП ВОЛОСЕВИЧ ЕЛЕНА ВАЛЕРЬЕВНА</t>
  </si>
  <si>
    <t>152072, ЯРОСЛАВСКАЯ ОБЛАСТЬ, Р-Н ДАНИЛОВСКИЙ, Г ДАНИЛОВ, УЛ ДЕПОВСКАЯ, Д. 22, КВ. 1</t>
  </si>
  <si>
    <t>ИП СМИРНОВА ЕЛЕНА КОНСТАНТИНОВНА</t>
  </si>
  <si>
    <t>ГБУ СО ЯО ТУНОШЕНСКИЙ ПАНСИОНАТ</t>
  </si>
  <si>
    <t>150501, ЯРОСЛАВСКАЯ ОБЛАСТЬ, Р-Н ЯРОСЛАВСКИЙ, С ТУНОШНА, УЛ ТУНОШЕНСКИЙ ПАНСИОНАТ, Д. 1</t>
  </si>
  <si>
    <t>ИП МАРКИН ВИТАЛИЙ ЮРЬЕВИЧ</t>
  </si>
  <si>
    <t>ООО ПРОМКОМПЛЕКТ</t>
  </si>
  <si>
    <t>152930, ЯРОСЛАВСКАЯ ОБЛАСТЬ, Р-Н РЫБИНСКИЙ, Г РЫБИНСК, УЛ ВОРОШИЛОВА, Д. 46, КВ. 23</t>
  </si>
  <si>
    <t>ИП СМИРНОВ ЮРИЙ КОНСТАНТИНОВИЧ</t>
  </si>
  <si>
    <t>152303, РОССИЯ, ЯРОСЛАВСКАЯ ОБЛАСТЬ, М.Р-Н ТУТАЕВСКИЙ, Г ТУТАЕВ, Г.П. ТУТАЕВ, УЛ СТРОИТЕЛЕЙ, Д. 10, ПОМЕЩ. 14</t>
  </si>
  <si>
    <t>ООО РЕМ ДИЗЕЛЬ</t>
  </si>
  <si>
    <t>152303, ЯРОСЛАВСКАЯ ОБЛАСТЬ, Р-Н ТУТАЕВСКИЙ, Г ТУТАЕВ, УЛ КОМСОМОЛЬСКАЯ, Д. 115, КВ. 40</t>
  </si>
  <si>
    <t>ООО ОПТСНАБ</t>
  </si>
  <si>
    <t>152613, ЯРОСЛАВСКАЯ ОБЛАСТЬ, М.Р-Н УГЛИЧСКИЙ, Г УГЛИЧ, Г.П. УГЛИЧ, Ш РЫБИНСКОЕ, ЗД. 20А, К. 11</t>
  </si>
  <si>
    <t>ИП МАЛКОВ АРТЁМ ВЛАДИМИРОВИЧ</t>
  </si>
  <si>
    <t>ИП Коровин Алексей Владимирович</t>
  </si>
  <si>
    <t>ИП МАРДИЯН СУРЕН СЕРГЕЕВИЧ</t>
  </si>
  <si>
    <t>ОАО ВОЛЖАНИН</t>
  </si>
  <si>
    <t>152968, ЯРОСЛАВСКАЯ ОБЛАСТЬ, Р-Н РЫБИНСКИЙ, П ЕРМАКОВО</t>
  </si>
  <si>
    <t>ООО ЯТК</t>
  </si>
  <si>
    <t>150507, ЯРОСЛАВСКАЯ ОБЛАСТЬ, Р-Н ЯРОСЛАВСКИЙ, Д ИВАНОВСКИЙ ПЕРЕВОЗ, Д. 5</t>
  </si>
  <si>
    <t>ООО ГРИНМАН</t>
  </si>
  <si>
    <t>150516, ЯРОСЛАВСКАЯ ОБЛАСТЬ, Р-Н ЯРОСЛАВСКИЙ, С ГРИГОРЬЕВСКОЕ, УЛ МИРА, Д. 2, ОФИС 1</t>
  </si>
  <si>
    <t>АО ХРОМ</t>
  </si>
  <si>
    <t>150001, ЯРОСЛАВСКАЯ ОБЛАСТЬ, Г ЯРОСЛАВЛЬ, УЛ БОЛЬШАЯ ФЕДОРОВСКАЯ, Д.44</t>
  </si>
  <si>
    <t>ИП Фролов Александр Иванович</t>
  </si>
  <si>
    <t>150014, ЯРОСЛАВСКАЯ ОБЛАСТЬ, Г ЯРОСЛАВЛЬ, ПР-КТ ТОЛБУХИНА, Д. 45/14, КВ. 29</t>
  </si>
  <si>
    <t>ИП ИБРАГИМОВА ЭЛНАЗ КАРАМ КЫЗЫ</t>
  </si>
  <si>
    <t>ООО СНАБОЙЛ</t>
  </si>
  <si>
    <t>150044, ЯРОСЛАВСКАЯ ОБЛАСТЬ, Г ЯРОСЛАВЛЬ, УЛ ПОЛУШКИНА РОЩА, Д. 16, СТР. 67А, ОФИС 1</t>
  </si>
  <si>
    <t>ООО БИГОДИН</t>
  </si>
  <si>
    <t>ИП ВЛАСОВ АРТЁМ ВИКТОРОВИЧ</t>
  </si>
  <si>
    <t>ИП РАЗУВАНОВА ГАЛИНА ВАСИЛЬЕВНА</t>
  </si>
  <si>
    <t>ИП КРУГЛОВ ДЕНИС ДМИТРИЕВИЧ</t>
  </si>
  <si>
    <t>ИП ПОТЕМИН СТАНИСЛАВ ВЯЧЕСЛАВОВИЧ</t>
  </si>
  <si>
    <t>ИП КОЛБАСОВ АЛЕКСЕЙ АЛЕКСАНДРОВИЧ</t>
  </si>
  <si>
    <t>ИП БОЛЬШАКОВ ДМИТРИЙ ВАЛЕНТИНОВИЧ</t>
  </si>
  <si>
    <t>150054, ЯРОСЛАВСКАЯ ОБЛАСТЬ, Г ЯРОСЛАВЛЬ, УЛ ПАВЛИКА МОРОЗОВА, Д.14, К.А</t>
  </si>
  <si>
    <t>ЗАО ТК ЯРШИНТОРГ</t>
  </si>
  <si>
    <t>150044, РОССИЯ, ЯРОСЛАВСКАЯ ОБЛАСТЬ, Г.О. ГОРОД ЯРОСЛАВЛЬ, Г ЯРОСЛАВЛЬ, УЛ БАЗОВАЯ, Д. 3, СТР. 2</t>
  </si>
  <si>
    <t>ООО ТД ДУНАЙ</t>
  </si>
  <si>
    <t>150057, ЯРОСЛАВСКАЯ ОБЛАСТЬ, Г ЯРОСЛАВЛЬ, УЛ КАЛИНИНА, Д.27</t>
  </si>
  <si>
    <t>150049, ЯРОСЛАВСКАЯ ОБЛАСТЬ, Г ЯРОСЛАВЛЬ, УЛ МАГИСТРАЛЬНАЯ, Д. 14, ЛИТЕРА А, ПОМЕЩ. 27 3ЭТАЖ</t>
  </si>
  <si>
    <t>АО РН-ЯРОСЛАВЛЬ</t>
  </si>
  <si>
    <t>150040, ЯРОСЛАВСКАЯ ОБЛАСТЬ, Г.О. ГОРОД ЯРОСЛАВЛЬ, Г ЯРОСЛАВЛЬ, УЛ НЕКРАСОВА, ЗД. 41, СТР. 2</t>
  </si>
  <si>
    <t>150002, ЯРОСЛАВСКАЯ ОБЛАСТЬ, Г ЯРОСЛАВЛЬ, УЛ ЗЕЛЕНЦОВСКАЯ, Д. 30, ОФИС 1</t>
  </si>
  <si>
    <t>ООО ВЕГА-АВТО</t>
  </si>
  <si>
    <t>150010, ЯРОСЛАВСКАЯ ОБЛАСТЬ, Г ЯРОСЛАВЛЬ, УЛ МАРГОЛИНА, Д.19</t>
  </si>
  <si>
    <t>ООО ГРУЗАВТОЗАПЧАСТЬ</t>
  </si>
  <si>
    <t>150049, ЯРОСЛАВСКАЯ ОБЛАСТЬ, Г ЯРОСЛАВЛЬ, УЛ ЛИСИЦЫНА, Д. 30, К. 2, ПОМЕЩ. 2</t>
  </si>
  <si>
    <t>150044, РОССИЯ, ЯРОСЛАВСКАЯ ОБЛАСТЬ, Г.О. ГОРОД ЯРОСЛАВЛЬ, Г ЯРОСЛАВЛЬ, УЛ БАЗОВАЯ, ЗД. 5В, СТР. 2, ПОМЕЩ. 37</t>
  </si>
  <si>
    <t>ООО МАШИНЕРИ ОЙЛ</t>
  </si>
  <si>
    <t>150002, РОССИЯ, ЯРОСЛАВСКАЯ ОБЛАСТЬ, Г.О. ГОРОД ЯРОСЛАВЛЬ, Г ЯРОСЛАВЛЬ, УЛ ЛЕСНАЯ, Д. 3, КВ. 23</t>
  </si>
  <si>
    <t>ООО ЭНИКА-ЛУБРИКАНТС</t>
  </si>
  <si>
    <t>150023, РОССИЯ, ЯРОСЛАВСКАЯ ОБЛАСТЬ, Г.О. ГОРОД ЯРОСЛАВЛЬ, Г ЯРОСЛАВЛЬ, УЛ ГАГАРИНА, Д. 56А</t>
  </si>
  <si>
    <t>ИП Панахов Элимхан Агали Оглы</t>
  </si>
  <si>
    <t>ИП Шорманова Анжелика Юрьевна</t>
  </si>
  <si>
    <t>ИП ДАНИЛОВА ИРИНА АЛЕКСАНДРОВНА</t>
  </si>
  <si>
    <t>ООО СИМ-ЯР ИНВЕСТ</t>
  </si>
  <si>
    <t>150044, ЯРОСЛАВСКАЯ ОБЛАСТЬ, Г ЯРОСЛАВЛЬ, УЛ ПОЛУШКИНА РОЩА, Д.21, ПОМЕЩЕНИЕ 1</t>
  </si>
  <si>
    <t>ООО АЛМИН</t>
  </si>
  <si>
    <t>150044, ЯРОСЛАВСКАЯ ОБЛАСТЬ, Г.О. ГОРОД ЯРОСЛАВЛЬ, Г ЯРОСЛАВЛЬ, ПР-КТ ОКТЯБРЯ, Д. 94А</t>
  </si>
  <si>
    <t>ООО ТД ДИНАМИКА 76</t>
  </si>
  <si>
    <t>150003, РОССИЯ, ЯРОСЛАВСКАЯ ОБЛАСТЬ, Г.О. ГОРОД ЯРОСЛАВЛЬ, Г ЯРОСЛАВЛЬ, УЛ РЕСПУБЛИКАНСКАЯ, Д. 3, ОФИС 315 КОРПУС 6</t>
  </si>
  <si>
    <t>150003, РОССИЯ, ЯРОСЛАВСКАЯ ОБЛАСТЬ, Г.О. ГОРОД ЯРОСЛАВЛЬ, Г ЯРОСЛАВЛЬ, УЛ СОВЕТСКАЯ, Д. 64, КВ. 104</t>
  </si>
  <si>
    <t>ИП ЗОТОВ АНАТОЛИЙ АЛЕКСАНДРОВИЧ</t>
  </si>
  <si>
    <t>ИП ЖОМОВ АНДРЕЙ ВАЛЕРЬЕВИЧ</t>
  </si>
  <si>
    <t>ИП ЗОТОВА СВЕТЛАНА ПАВЛОВНА</t>
  </si>
  <si>
    <t>ИП РАСОЯН РУДИК ТЕМУРОВИЧ</t>
  </si>
  <si>
    <t>ИП ЭЛЕНПОРТ ВЛАДИСЛАВ АНАТОЛЬЕВИЧ</t>
  </si>
  <si>
    <t>ООО ТД ПРАЙМ</t>
  </si>
  <si>
    <t>150044, ЯРОСЛАВСКАЯ ОБЛАСТЬ, Г ЯРОСЛАВЛЬ, УЛ ПОЛУШКИНА РОЩА, Д. 16, СТР. 65, ПОМЕЩ. 1</t>
  </si>
  <si>
    <t>ИП ЗЛОТНИКОВ АЛЕКСАНДР НИКОЛАЕВИЧ</t>
  </si>
  <si>
    <t>ГУ ЯО ПЕТРОВСКИЙ ДЕТСКИЙ ДОМ</t>
  </si>
  <si>
    <t>152130, ЯРОСЛАВСКАЯ ОБЛАСТЬ, Р-Н РОСТОВСКИЙ, РП ПЕТРОВСКОЕ, УЛ ПРОЛЕТАРСКАЯ, Д. 14</t>
  </si>
  <si>
    <t>ИП КУЧЕР АРТЁМ АЛЕКСАНДРОВИЧ</t>
  </si>
  <si>
    <t>ЗАОГРАСВИ +</t>
  </si>
  <si>
    <t>ООО АГРЕМАН</t>
  </si>
  <si>
    <t>150046, ЯРОСЛАВСКАЯ ОБЛАСТЬ, Г ЯРОСЛАВЛЬ, УЛ БОЛЬШИЕ ПОЛЯНКИ, Д.7</t>
  </si>
  <si>
    <t>ООО КОРПОРАЦИЯ ВОЛГА</t>
  </si>
  <si>
    <t>150020, ЯРОСЛАВСКАЯ ОБЛАСТЬ, Г ЯРОСЛАВЛЬ, УЛ МОСТЕЦКАЯ, Д. 1А</t>
  </si>
  <si>
    <t>ИП МЕДВЕДКОВА АНАСТАСИЯ ВЯЧЕСЛАВОВНА</t>
  </si>
  <si>
    <t>ООО МИНОРИ ГРУПП</t>
  </si>
  <si>
    <t>150003, РОССИЯ, ЯРОСЛАВСКАЯ ОБЛАСТЬ, Г.О. ГОРОД ЯРОСЛАВЛЬ, Г ЯРОСЛАВЛЬ, УЛ ТЕРЕШКОВОЙ, Д. 12, ПОМЕЩ. 11-13</t>
  </si>
  <si>
    <t>ООО СИМ АВТО ЯРОСЛАВЛЬ</t>
  </si>
  <si>
    <t>150044, ЯРОСЛАВСКАЯ ОБЛАСТЬ, Г ЯРОСЛАВЛЬ, УЛ ПОЛУШКИНА РОЩА, Д.21</t>
  </si>
  <si>
    <t>ООО РУ-ТРАК</t>
  </si>
  <si>
    <t>150044, РОССИЯ, ЯРОСЛАВСКАЯ ОБЛАСТЬ, Г.О. ГОРОД ЯРОСЛАВЛЬ, Г ЯРОСЛАВЛЬ, УЛ МЕХАНИЗАТОРОВ, Д. 12, ПОМЕЩ. 10, ЛИТЕР Б, ЭТАЖ 1</t>
  </si>
  <si>
    <t>ИП АДАМОВА ЮЛИЯ ВИКТОРОВНА</t>
  </si>
  <si>
    <t>ИП БОЛЬШАКОВ ИГОРЬ АЛЕКСАНДРОВИЧ</t>
  </si>
  <si>
    <t>ИП КАГАНОВА ТАТЬЯНА АЛЕКСАНДРОВНА</t>
  </si>
  <si>
    <t>ИП ГАВРИЛОВ АЛЕКСЕЙ ЛЕОНТЬЕВИЧ</t>
  </si>
  <si>
    <t>ИП КИРИЛЛОВА АЛЛА АЛЕКСЕЕВНА</t>
  </si>
  <si>
    <t>ИП БУЗАРОВ АСЛАН ЭЛЬБРУСОВИЧ</t>
  </si>
  <si>
    <t>ИП ПРОХОРСКОЙ ДЕНИС СЕРГЕЕВИЧ</t>
  </si>
  <si>
    <t>ООО СФЕРААВТО</t>
  </si>
  <si>
    <t>152909, РОССИЯ, ЯРОСЛАВСКАЯ ОБЛАСТЬ, Г.О. ГОРОД РЫБИНСК, Г РЫБИНСК, УЛ НОВОЛОСЕВСКАЯ, Д. 4А</t>
  </si>
  <si>
    <t>ИП ПАПУШКИН САВЕЛИЙ ИВАНОВИЧ</t>
  </si>
  <si>
    <t>ИП КОРТИКОВ СЕРГЕЙ АЛЕКСАНДРОВИЧ</t>
  </si>
  <si>
    <t>ИП КНЯЗЕВ СТАНИСЛАВ МИХАЙЛОВИЧ</t>
  </si>
  <si>
    <t>152303, ЯРОСЛАВСКАЯ ОБЛАСТЬ, Р-Н ТУТАЕВСКИЙ, Г ТУТАЕВ, УЛ СТРОИТЕЛЕЙ, ЗД. 4</t>
  </si>
  <si>
    <t>ИП ЗЕЛЕНОВА ТАТЬЯНА ПЕТРОВНА</t>
  </si>
  <si>
    <t>ИП СТРЕЛЬНИКОВ АЛЕКСАНДР ВИКТОРОВИЧ</t>
  </si>
  <si>
    <t>ИП ТЕРЕНТЬЕВ АЛЕКСАНДР ВЛАДИМИРОВИЧ</t>
  </si>
  <si>
    <t>ООО ФОРМА-ПЛЮС</t>
  </si>
  <si>
    <t>152613, ЯРОСЛАВСКАЯ ОБЛАСТЬ, Р-Н УГЛИЧСКИЙ, Г УГЛИЧ, УЛ СЕВЕРНАЯ, Д.15</t>
  </si>
  <si>
    <t>152625, ЯРОСЛАВСКАЯ ОБЛАСТЬ, Р-Н УГЛИЧСКИЙ, С ПОКРОВСКОЕ, УЛ СТРОИТЕЛЕЙ, Д.12</t>
  </si>
  <si>
    <t>ИП БАЗАНОВА ЕКАТЕРИНА ВИТАЛЬЕВНА</t>
  </si>
  <si>
    <t>ИП ГОРЛОВ АЛЕКСАНДР ВАЛЕРЬЕВИЧ</t>
  </si>
  <si>
    <t>ИП ДОРОНИНА ТАТЬЯНА АЛЕКСАНДРОВНА</t>
  </si>
  <si>
    <t>ООО ПК ПРОДУКТ АВТОХИМ</t>
  </si>
  <si>
    <t>150008, РОССИЯ, ЯРОСЛАВСКАЯ ОБЛАСТЬ, М.О. ЯРОСЛАВСКИЙ, Д. ЛИПОВИЦЫ, КВ-Л ЗЕЛЕНЫЙ, Д. 24, КВ. 21</t>
  </si>
  <si>
    <t>ИП ВОРОНЦОВА ВАЛЕНТИНА АЛЕКСЕЕВНА</t>
  </si>
  <si>
    <t>Москва</t>
  </si>
  <si>
    <t>ИП МИНАЧЕВ РАФАИЛЬ АНЯХАРОВИЧ</t>
  </si>
  <si>
    <t>ИП ДУБРОВИН ВЛАДИМИР АЛЕКСАНДРОВИЧ</t>
  </si>
  <si>
    <t>ИП Муратов Игорь Викторович</t>
  </si>
  <si>
    <t>ИП САФИУЛИН ПАВЕЛ РАВИЛЬЕВИЧ</t>
  </si>
  <si>
    <t>ИП ЗЕЙНЕТДИНОВ РАФЕК ЗИННЯТОВИЧ</t>
  </si>
  <si>
    <t>ООО ТД ОЛИМП-ОЙЛ</t>
  </si>
  <si>
    <t>115184, Г.МОСКВА, ВН.ТЕР.Г. МУНИЦИПАЛЬНЫЙ ОКРУГ ЗАМОСКВОРЕЧЬЕ, ПЕР СТАРЫЙ ТОЛМАЧЁВСКИЙ, Д. 9</t>
  </si>
  <si>
    <t>ООО НОВЫЙ АЛЬЯНС</t>
  </si>
  <si>
    <t>109316, РОССИЯ, Г.МОСКВА, ВН.ТЕР.Г. МУНИЦИПАЛЬНЫЙ ОКРУГ ТАГАНСКИЙ, ПР-КТ ВОЛГОГРАДСКИЙ, Д. 2, ПОМЕЩ. 1/1</t>
  </si>
  <si>
    <t>ООО ТРЕЙД-ОЙЛ</t>
  </si>
  <si>
    <t>141431, РОССИЯ, Г.МОСКВА, ВН.ТЕР.Г. МУНИЦИПАЛЬНЫЙ ОКРУГ МОЛЖАНИНОВСКИЙ, Ш ЛЕНИНГРАДСКОЕ, Д. 227</t>
  </si>
  <si>
    <t>ООО ИЗИЕСТ ГРУПП</t>
  </si>
  <si>
    <t>105118, РОССИЯ, Г.МОСКВА, ВН.ТЕР.Г. МУНИЦИПАЛЬНЫЙ ОКРУГ ПЕРОВО, Ш ЭНТУЗИАСТОВ, Д. 34, ПОМЕЩ. 21Ж/4</t>
  </si>
  <si>
    <t>ООО ДЖЕЙЛЭНД РУС</t>
  </si>
  <si>
    <t>111558, РОССИЯ, Г.МОСКВА, ВН.ТЕР.Г. МУНИЦИПАЛЬНЫЙ ОКРУГ НОВОГИРЕЕВО, ПР-КТ СВОБОДНЫЙ, Д. 21/2, ПОМЕЩ. 1/1</t>
  </si>
  <si>
    <t>111123, РОССИЯ, Г.МОСКВА, ВН.ТЕР.Г. МУНИЦИПАЛЬНЫЙ ОКРУГ ПЕРОВО, Ш ЭНТУЗИАСТОВ, Д. 50, ПОМЕЩ. 1/П</t>
  </si>
  <si>
    <t>ИП БОЛТЫШЕВ СЕРГЕЙ ФЕДОРОВИЧ</t>
  </si>
  <si>
    <t>ИП ВЛАДИМИРОВ АЛЕКСЕЙ НИКОЛАЕВИЧ</t>
  </si>
  <si>
    <t>ООО ДП</t>
  </si>
  <si>
    <t>129090, РОССИЯ, Г.МОСКВА, ВН.ТЕР.Г. МУНИЦИПАЛЬНЫЙ ОКРУГ КРАСНОСЕЛЬСКИЙ, УЛ КАЛАНЧЕВСКАЯ, Д. 32, ПОМЕЩ. 4/2П</t>
  </si>
  <si>
    <t>ИП Мотаков Дмитрий Львович</t>
  </si>
  <si>
    <t>ИП СОБОЛЕВСКИЙ АНДРЕЙ ВЛАДИМИРОВИЧ</t>
  </si>
  <si>
    <t>ООО ДАКТОР КОММУНАРКА</t>
  </si>
  <si>
    <t>108814, РОССИЯ, Г.МОСКВА, ВН.ТЕР.Г. МУНИЦИПАЛЬНЫЙ ОКРУГ КОММУНАРКА, П КОММУНАРКА, УЛ БАЧУРИНСКАЯ, Д. 8А, СТР. 1, ЭТАЖ 2, ОФИС 39</t>
  </si>
  <si>
    <t>ООО АВТОСТЭЛС</t>
  </si>
  <si>
    <t>109428, Г.МОСКВА, ПР-КТ РЯЗАНСКИЙ, Д. 22, К. 2, ЭТАЖ 7 ПОМЕЩЕНИЕ XIII КОМНАТА 23</t>
  </si>
  <si>
    <t>ИП ФЕДОРОВ СЕРГЕЙ МИХАЙЛОВИЧ</t>
  </si>
  <si>
    <t>ИП ГАСПАРЯН ТИГРАН ГРИГОРОВИЧ</t>
  </si>
  <si>
    <t>ООО АВТОХИМПРОЕКТ</t>
  </si>
  <si>
    <t>109428, Г.МОСКВА, ПР-Д 1-Й ИНСТИТУТСКИЙ, Д.3, СТР..10, ПОМЕЩЕНИЕ 33</t>
  </si>
  <si>
    <t>ИП ЧЕБРУЧАН ВАЛЕРИЙ ИВАНОВИЧ</t>
  </si>
  <si>
    <t>ИП АКИЛОВА ДИАНА БИРЖАНОВНА</t>
  </si>
  <si>
    <t>ООО АВТОТЕХЦЕНТР БАРРАКУДА</t>
  </si>
  <si>
    <t>109444, Г.МОСКВА, ПР-Д СОРМОВСКИЙ, Д. 5, К. 1</t>
  </si>
  <si>
    <t>ООО ХИМПРИМА</t>
  </si>
  <si>
    <t>109462, Г.МОСКВА, ПР-КТ ВОЛГОГРАДСКИЙ, Д.72, К.1, 50</t>
  </si>
  <si>
    <t>ООО ЮНИОНАВТО</t>
  </si>
  <si>
    <t>115230, Г.МОСКВА, ВН.ТЕР.Г. МУНИЦИПАЛЬНЫЙ ОКРУГ НАГОРНЫЙ, ПРОЕЗД ЭЛЕКТРОЛИТНЫЙ, Д. 3, СТР. 5, ЭТАЖ/ПОМЕЩ. 3/5, КОМ. 3</t>
  </si>
  <si>
    <t>ООО ДЖЕНЕРАЛ ЛУБРИКАНТС</t>
  </si>
  <si>
    <t>115088, Г.МОСКВА, УЛ 2-Я МАШИНОСТРОЕНИЯ, Д. 17, СТР. 1, ЭТ 2 ПОМ I КОМ 75 ОФ 1</t>
  </si>
  <si>
    <t>ООО ПОЛИКОМПЛАСТ</t>
  </si>
  <si>
    <t>111024, РОССИЯ, Г.МОСКВА, ВН.ТЕР.Г. МУНИЦИПАЛЬНЫЙ ОКРУГ ЛЕФОРТОВО, УЛ 2-Я КАБЕЛЬНАЯ, Д. 2, СТР. 50, ПОМЕЩ. 7А</t>
  </si>
  <si>
    <t>ИП ТИМОНИН ДЕНИС АНДРЕЕВИЧ</t>
  </si>
  <si>
    <t>ООО ПАЛАТЭКС</t>
  </si>
  <si>
    <t>115193, Г.МОСКВА, ВН.ТЕР.Г. МУНИЦИПАЛЬНЫЙ ОКРУГ ЮЖНОПОРТОВЫЙ, УЛ ПЕТРА РОМАНОВА, Д. 4, КВ. 7, КОМ. 3</t>
  </si>
  <si>
    <t>ИП НАЗАРОВА СВЕТЛАНА ПАНТЕЛЕЕВНА</t>
  </si>
  <si>
    <t>ИП КАРАВАНОВ ВАЛЕРИЙ РЮРЬЕВИЧ</t>
  </si>
  <si>
    <t>ООО ПСТ</t>
  </si>
  <si>
    <t>109383, Г.МОСКВА, ВН.ТЕР.Г. МУНИЦИПАЛЬНЫЙ ОКРУГ ПЕЧАТНИКИ, УЛ ШОССЕЙНАЯ, Д. 59, СТР. 1, ПОМЕЩ. 1/1</t>
  </si>
  <si>
    <t>ООО АТЛЕТИКО-2</t>
  </si>
  <si>
    <t>115088, Г.МОСКВА, УЛ ШАРИКОПОДШИПНИКОВСКАЯ, Д. 22</t>
  </si>
  <si>
    <t>ООО АТВ СТАЙЛ</t>
  </si>
  <si>
    <t>109652, Г.МОСКВА, ПР-Д ЛУГОВОЙ, Д. 8, К. 1, КВ. 235</t>
  </si>
  <si>
    <t>ООО РСИ</t>
  </si>
  <si>
    <t>109341, Г.МОСКВА, УЛ БРАТИСЛАВСКАЯ, Д. 6, ПОМЕЩЕНИЕ 165, КОМ. 1-6</t>
  </si>
  <si>
    <t>ООО РЕНТАКОМ</t>
  </si>
  <si>
    <t>117485, Г.МОСКВА, ВН.ТЕР.Г. МУНИЦИПАЛЬНЫЙ ОКРУГ КОНЬКОВО, УЛ БУТЛЕРОВА, Д. 7Б, ПОМЕЩ. 43А</t>
  </si>
  <si>
    <t>ИП БАЛТРУК ИННА ВЛАДИМИРОВНА</t>
  </si>
  <si>
    <t>ИП БАЙРАМОВ САКИТ НАДИР ОГЛЫ</t>
  </si>
  <si>
    <t>ИП СОВЯК АНДРЕЙ БОРИСОВИЧ</t>
  </si>
  <si>
    <t>ИП СУХОВ РОМАН ВАДИМОВИЧ</t>
  </si>
  <si>
    <t>109469, Г.МОСКВА, ВН.ТЕР.Г. МУНИЦИПАЛЬНЫЙ ОКРУГ МАРЬИНО, УЛ МАРЬИНСКИЙ ПАРК, ДВЛД. 12</t>
  </si>
  <si>
    <t>ООО ФОРАПРОМ</t>
  </si>
  <si>
    <t>115230, Г.МОСКВА, ВН.ТЕР.Г. МУНИЦИПАЛЬНЫЙ ОКРУГ НАГАТИНО-САДОВНИКИ, ПРОЕЗД ХЛЕБОЗАВОДСКИЙ, Д. 7, СТР. 9, ПОМЕЩ. 19/Н</t>
  </si>
  <si>
    <t>ООО ИВИ ТРЕЙД</t>
  </si>
  <si>
    <t>109651, Г.МОСКВА, УЛ ПЕРЕРВА, Д. 1, СТР. 1, ЭТ 3 ПОМ I КОМ 35</t>
  </si>
  <si>
    <t>ООО ПРОТОЛ</t>
  </si>
  <si>
    <t>115088, Г.МОСКВА, УЛ НОВООСТАПОВСКАЯ, Д. 5, СТР. 2, КОМ. 11 НА 3 ЭТАЖЕ</t>
  </si>
  <si>
    <t>ООО ГЛОБУС77</t>
  </si>
  <si>
    <t>109387, Г.МОСКВА, УЛ ЛЮБЛИНСКАЯ, Д. 61, КВ. 125</t>
  </si>
  <si>
    <t>ИП ПАРШИНА АНАСТАСИЯ СЕРГЕЕВНА</t>
  </si>
  <si>
    <t>ФГБУ НМИЦ ОНКОЛОГИИ ИМ. Н.Н. БЛОХИНА МИНЗДРАВА РОССИИ</t>
  </si>
  <si>
    <t>115522, Г.МОСКВА, Ш КАШИРСКОЕ, Д. 24</t>
  </si>
  <si>
    <t>ООО СБС ХОЛДИНГ</t>
  </si>
  <si>
    <t>115201, Г.МОСКВА, Ш СТАРОКАШИРСКОЕ, Д. 2, К. 2, ЭТ 2 ПОМ I КОМ 6А</t>
  </si>
  <si>
    <t>ООО АЗИЯ ТРАК</t>
  </si>
  <si>
    <t>115404, Г.МОСКВА, ВН.ТЕР.Г. МУНИЦИПАЛЬНЫЙ ОКРУГ БИРЮЛЕВО ВОСТОЧНОЕ, УЛ 6-Я РАДИАЛЬНАЯ, Д. 7А, СТР. 2</t>
  </si>
  <si>
    <t>ООО АВД МОТОРС</t>
  </si>
  <si>
    <t>115487, Г.МОСКВА, УЛ НАГАТИНСКАЯ, Д. 16, СТР. 9, Э 1 ПОМ II К 8 ОФ 25</t>
  </si>
  <si>
    <t>ООО НПО ХИМСИНТЕЗ</t>
  </si>
  <si>
    <t>117105, Г.МОСКВА, ПР-Д НАГАТИНСКИЙ 1-Й, Д. 4, ОФИС 422</t>
  </si>
  <si>
    <t>ООО ТАВ</t>
  </si>
  <si>
    <t>111250, Г.МОСКВА, ВН.ТЕР.Г. МУНИЦИПАЛЬНЫЙ ОКРУГ ЛЕФОРТОВО, ПРОЕЗД ЗАВОДА СЕРП И МОЛОТ, Д. 6</t>
  </si>
  <si>
    <t>117405, Г.МОСКВА, УЛ ДОРОЖНАЯ, Д. 60Б, ЭТАЖ 6 ОФИС 647</t>
  </si>
  <si>
    <t>ООО АПМ-ПАРТС</t>
  </si>
  <si>
    <t>127521, Г.МОСКВА, ВН.ТЕР.Г. МУНИЦИПАЛЬНЫЙ ОКРУГ МАРЬИНА РОЩА, ПРОЕЗД 17-Й МАРЬИНОЙ РОЩИ, Д. 13, СТР. 5</t>
  </si>
  <si>
    <t>ООО АСТАТРА ПРОЦЕССИНГ</t>
  </si>
  <si>
    <t>115516, Г.МОСКВА, ВН.ТЕР.Г. МУНИЦИПАЛЬНЫЙ ОКРУГ ЦАРИЦЫНО, УЛ СЕВАНСКАЯ, Д. 29А</t>
  </si>
  <si>
    <t>ООО ОПТАВТОМАГ</t>
  </si>
  <si>
    <t>117624, Г.МОСКВА, ВН.ТЕР.Г. МУНИЦИПАЛЬНЫЙ ОКРУГ ЮЖНОЕ БУТОВО, УЛ КРАСНОЛИМАНСКАЯ, Д. 29, ПОМЕЩ. 4Н</t>
  </si>
  <si>
    <t>ИП ИСАЙКИНА ОЛЬГА ВЛАДИМИРОВНА</t>
  </si>
  <si>
    <t>ООО БЫТОВАЯ ХИМИЯ</t>
  </si>
  <si>
    <t>109451, Г.МОСКВА, ВН.ТЕР.Г. МУНИЦИПАЛЬНЫЙ ОКРУГ МАРЬИНО, УЛ НОВОМАРЬИНСКАЯ, Д. 15, ПОМЕЩ. 3/1</t>
  </si>
  <si>
    <t>ООО ФЕРРУМ</t>
  </si>
  <si>
    <t>115230, Г.МОСКВА, ВН.ТЕР.Г. МУНИЦИПАЛЬНЫЙ ОКРУГ НАГАТИНО-САДОВНИКИ, Ш КАШИРСКОЕ, Д. 19, К. 2, ПОМЕЩ. М-11</t>
  </si>
  <si>
    <t>ООО ТД ХИММЕД</t>
  </si>
  <si>
    <t>115230, Г.МОСКВА, ВН.ТЕР.Г. МУНИЦИПАЛЬНЫЙ ОКРУГ НАГАТИНО-САДОВНИКИ, Ш КАШИРСКОЕ, Д. 3, К. 2, СТР. 4, ЭТАЖ 6</t>
  </si>
  <si>
    <t>ООО ТРАНСВЭЙ СЕРВИС</t>
  </si>
  <si>
    <t>115093, Г.МОСКВА, ВН.ТЕР.Г. МУНИЦИПАЛЬНЫЙ ОКРУГ ЗАМОСКВОРЕЧЬЕ, ПЕР 1-Й ЩИПКОВСКИЙ, Д. 20, ПОМЕЩ. 1/7</t>
  </si>
  <si>
    <t>ООО МКАД 31</t>
  </si>
  <si>
    <t>117403, Г.МОСКВА, ПР-Д ВОСТРЯКОВСКИЙ, Д. 10Б, СТР. 2</t>
  </si>
  <si>
    <t>ИП КОРНЕЕВ-ПРЕОБРАЖЕНСКИЙ ДЕНИС АЛЕКСЕЕВИЧ</t>
  </si>
  <si>
    <t>ИП САХАРОВ ВЛАДИМИР АЛЕКСАНДРОВИЧ</t>
  </si>
  <si>
    <t>ООО МЕЛТ</t>
  </si>
  <si>
    <t>109431, Г.МОСКВА, УЛ ПРИВОЛЬНАЯ, Д. 70, К. 2, ПОМ I КОМ 10</t>
  </si>
  <si>
    <t>ООО МАРИ ГРУПП</t>
  </si>
  <si>
    <t>109029, Г.МОСКВА, ПР-Д МИХАЙЛОВСКИЙ, Д. 3, СТР. 66, ПОДВ. ПОМ.1 КОМ.11</t>
  </si>
  <si>
    <t>ООО ЧЕМПИОН РУССЛАНД</t>
  </si>
  <si>
    <t>109202, Г.МОСКВА, ВН.ТЕР.Г. МУНИЦИПАЛЬНЫЙ ОКРУГ НИЖЕГОРОДСКИЙ, УЛ 1-Я ФРЕЗЕРНАЯ, Д. 2/1, К. 2, ПОМЕЩ. 1/7</t>
  </si>
  <si>
    <t>ООО ЯУЗА-ЦЕНТР</t>
  </si>
  <si>
    <t>109029, Г.МОСКВА, ПР-Д МИХАЙЛОВСКИЙ, Д. 1, СТР. 3, ПОМЕЩ. 7</t>
  </si>
  <si>
    <t>ООО ДДВ</t>
  </si>
  <si>
    <t>111033, Г.МОСКВА, УЛ ЗОЛОТОРОЖСКИЙ ВАЛ, Д. 11, СТР. 26, ПОМЕЩ. А56/13</t>
  </si>
  <si>
    <t>ООО ГРУЗЧИКОВ ПЛЮС</t>
  </si>
  <si>
    <t>115193, Г.МОСКВА, ВН.ТЕР.Г. МУНИЦИПАЛЬНЫЙ ОКРУГ ЮЖНОПОРТОВЫЙ, УЛ 5-Я КОЖУХОВСКАЯ, Д. 9, ПОМЕЩ. 7П</t>
  </si>
  <si>
    <t>ООО АСС</t>
  </si>
  <si>
    <t>111675, Г.МОСКВА, УЛ ДМИТРИЕВСКОГО, Д. 7, ПОМ/КОМ 2/11</t>
  </si>
  <si>
    <t>ООО ГЮЛЕР ГРУПП</t>
  </si>
  <si>
    <t>109316, Г.МОСКВА, ПР-КТ ВОЛГОГРАДСКИЙ, Д. 28, СТР. 1, ЭТ 4, ПОМ I, КОМ 16</t>
  </si>
  <si>
    <t>ООО ТТМ-ЦЕНТР</t>
  </si>
  <si>
    <t>115477, Г.МОСКВА, УЛ КАНТЕМИРОВСКАЯ, Д. 59А, Э 2 ПОМ П-207-1</t>
  </si>
  <si>
    <t>ООО МАЛАХИТ</t>
  </si>
  <si>
    <t>125476, Г.МОСКВА, УЛ ВАСИЛИЯ ПЕТУШКОВА, Д. 3, СТР. 2, ЭТАЖ 3 ПОМ 22</t>
  </si>
  <si>
    <t>ООО ГЕЛЕНА ХИМАВТО</t>
  </si>
  <si>
    <t>125047, Г.МОСКВА, УЛ 1-Я ТВЕРСКАЯ-ЯМСКАЯ, Д. 27, ОФИС 03</t>
  </si>
  <si>
    <t>ИП КАДАНИН АНДРЕЙ АЛЕКСАНДРОВИЧ</t>
  </si>
  <si>
    <t>115088, Г.МОСКВА, ВН.ТЕР.Г. МУНИЦИПАЛЬНЫЙ ОКРУГ ПЕЧАТНИКИ, ПРОЕЗД 2-Й ЮЖНОПОРТОВЫЙ, Д. 14/22, СТР. 1, ЭТАЖ 1, ПОМЕЩ. II</t>
  </si>
  <si>
    <t>ООО ТЕХНОАРТ</t>
  </si>
  <si>
    <t>109651, Г.МОСКВА, УЛ ПЕРЕРВА, Д. 19</t>
  </si>
  <si>
    <t>ООО МИТ ПАУЭР СИСТЕМС</t>
  </si>
  <si>
    <t>119501, Г.МОСКВА, УЛ НЕЖИНСКАЯ, Д. 5, СТР. 1, ПОМЕЩ. 1</t>
  </si>
  <si>
    <t>ИП НИКИШИН ВЛАДИМИР МИХАЙЛОВИЧ</t>
  </si>
  <si>
    <t>ИП АРМАНД ОЛЬГА АНДРЕЕВНА</t>
  </si>
  <si>
    <t>ИП МАЙОРОВ ДМИТРИЙ АЛЕКСЕЕВИЧ</t>
  </si>
  <si>
    <t>ООО ТОРГОВЫЙ ДОМ ТАГАЗ</t>
  </si>
  <si>
    <t>109651, Г.МОСКВА, ВН.ТЕР.Г. МУНИЦИПАЛЬНЫЙ ОКРУГ МАРЬИНО, УЛ ПЕРЕРВА, Д. 11, СТР. 22, ПОМЕЩ. 19П</t>
  </si>
  <si>
    <t>ИП ВОРОБЬЕВ ФЕДОР НИКОЛАЕВИЧ</t>
  </si>
  <si>
    <t>ИП МУСАЕВ ХИКМЕТ ГИДАЯТ ОГЛЫ</t>
  </si>
  <si>
    <t>ООО ХИМАВТОТРЕЙД</t>
  </si>
  <si>
    <t>115088, Г.МОСКВА, ВН.ТЕР.Г. МУНИЦИПАЛЬНЫЙ ОКРУГ ПЕЧАТНИКИ, УЛ УГРЕШСКАЯ, Д. 12, СТР. 1</t>
  </si>
  <si>
    <t>ИП ИВАНКОВСКИЙ АЛЕКСАНДР ИЛЬИЧ</t>
  </si>
  <si>
    <t>ИП ОСАДЧАЯ ИРИНА ВИКТОРОВНА</t>
  </si>
  <si>
    <t>ООО М.Е.А.К.ОН</t>
  </si>
  <si>
    <t>119633, Г.МОСКВА, ВН.ТЕР.Г. МУНИЦИПАЛЬНЫЙ ОКРУГ НОВО-ПЕРЕДЕЛКИНО, Ш. БОРОВСКОЕ, Д. 18, К. 3, ПОМЕЩ. 1Н</t>
  </si>
  <si>
    <t>ИП КАЗАНЦЕВ ВИТАЛИЙ МИХАЙЛОВИЧ</t>
  </si>
  <si>
    <t>ООО ИКС-АВТО</t>
  </si>
  <si>
    <t>115372, Г.МОСКВА, УЛ БИРЮЛЁВСКАЯ, Д. 38, СТР. 3</t>
  </si>
  <si>
    <t>ИП КЛЕЙМЁНОВ ДМИТРИЙ ВИКТОРОВИЧ</t>
  </si>
  <si>
    <t>ООО ТОРГ-ЗАП</t>
  </si>
  <si>
    <t>109428, Г.МОСКВА, ВН.ТЕР.Г. МУНИЦИПАЛЬНЫЙ ОКРУГ РЯЗАНСКИЙ, УЛ ЗАРАЙСКАЯ, Д. 21, ЭТАЖ 3, ПОМЕЩ./ОФИС 304/1202</t>
  </si>
  <si>
    <t>ООО МИРМА</t>
  </si>
  <si>
    <t>119285, Г.МОСКВА, Ш ВОРОБЬЁВСКОЕ, Д. 2, СТР. 8</t>
  </si>
  <si>
    <t>ООО АФАРИ</t>
  </si>
  <si>
    <t>115230, Г.МОСКВА, ПР-Д ХЛЕБОЗАВОДСКИЙ, Д. 7, СТР. 9, ЭТ 9 ПОМ XVIII КОМ 1</t>
  </si>
  <si>
    <t>ООО ДБМ</t>
  </si>
  <si>
    <t>117545, Г.МОСКВА, ВН.ТЕР.Г. МУНИЦИПАЛЬНЫЙ ОКРУГ ЧЕРТАНОВО ЦЕНТРАЛЬНОЕ, УЛ ДОРОЖНАЯ, Д. 3, К. 11, ОФИС 301 ЭТАЖ 3</t>
  </si>
  <si>
    <t>ООО ОЛЕВАНС</t>
  </si>
  <si>
    <t>115477, Г.МОСКВА, Б-Р КАВКАЗСКИЙ, Д. 10, КВ. 66</t>
  </si>
  <si>
    <t>ООО ФРЕШ АВТО ГАЗ</t>
  </si>
  <si>
    <t>125599, Г.МОСКВА, ВН.ТЕР.Г. МУНИЦИПАЛЬНЫЙ ОКРУГ ЗАПАДНОЕ ДЕГУНИНО, КМ МКАД 78-Й, Д. 2Б</t>
  </si>
  <si>
    <t>ООО СВ-ЛОГИСТИК</t>
  </si>
  <si>
    <t>115280, Г.МОСКВА, ВН.ТЕР.Г. МУНИЦИПАЛЬНЫЙ ОКРУГ ДАНИЛОВСКИЙ, УЛ ЛЕНИНСКАЯ СЛОБОДА, Д. 17</t>
  </si>
  <si>
    <t>115516, Г.МОСКВА, ВН.ТЕР.Г. МУНИЦИПАЛЬНЫЙ ОКРУГ ЦАРИЦЫНО, УЛ СЕВАНСКАЯ, Д. 29, ПОМЕЩ. II-2</t>
  </si>
  <si>
    <t>ИП КАТАЕВ СЕРГЕЙ АЛЕКСАНДРОВИЧ</t>
  </si>
  <si>
    <t>ООО ДИАЛ-ПАРТС</t>
  </si>
  <si>
    <t>115230, Г.МОСКВА, ПР-Д ХЛЕБОЗАВОДСКИЙ, Д. 7, СТР. 9, ЭТАЖ 9 ПОМ. XVI КОМ. 2 ОФИС 64</t>
  </si>
  <si>
    <t>ООО ТРОФИ-ЛАЙФ СЕРВИС</t>
  </si>
  <si>
    <t>115211, Г.МОСКВА, Ш КАШИРСКОЕ, Д. 55, К. 6, КВ. 1229</t>
  </si>
  <si>
    <t>ООО АГАТ-АВТО ЮГ</t>
  </si>
  <si>
    <t>117546, Г.МОСКВА, УЛ ПОДОЛЬСКИХ КУРСАНТОВ, ВЛД. 24Д, СТР. 4</t>
  </si>
  <si>
    <t>ИП ПОПОВА НАТАЛЬЯ ВИКТОРОВНА</t>
  </si>
  <si>
    <t>ИП ЛИЗУНОВ ДЕНИС ИГОРЕВИЧ</t>
  </si>
  <si>
    <t>ИП АРТЕМОВ КОНСТАНТИН АЛЕКСАНДРОВИЧ</t>
  </si>
  <si>
    <t>ИП НИКОЛАЕВ ОЛЕГ ЕВГЕНЬЕВИЧ</t>
  </si>
  <si>
    <t>ИП СТРЕЛЬЦОВ АЛЕКСАНДР ПЕТРОВИЧ</t>
  </si>
  <si>
    <t>ИП ВАФИН ИЛЬДАР РАШИТОВИЧ</t>
  </si>
  <si>
    <t>ООО У СЕРВИС +</t>
  </si>
  <si>
    <t>115142, Г.МОСКВА, УЛ РЕЧНИКОВ, Д.29, СТР.3</t>
  </si>
  <si>
    <t>ИП НОСЕНКО МАРИНА ЮРЬЕВНА</t>
  </si>
  <si>
    <t>ООО ГК АВТОТЕХКОНТРАКТ</t>
  </si>
  <si>
    <t>123317, Г.МОСКВА, НАБ ПРЕСНЕНСКАЯ, Д. 6, СТР. 2, ЭТАЖ 16 ПОМ. 1 КОМНАТА 20, ОФИС 2</t>
  </si>
  <si>
    <t>ООО РВД СЕРВИС</t>
  </si>
  <si>
    <t>115280, Г.МОСКВА, ВН.ТЕР.Г. МУНИЦИПАЛЬНЫЙ ОКРУГ ДАНИЛОВСКИЙ, УЛ ЛЕНИНСКАЯ СЛОБОДА, Д. 19, ПОМЕЩ. 19/3</t>
  </si>
  <si>
    <t>ООО ЛИГАЛ АВТО</t>
  </si>
  <si>
    <t>115114, Г.МОСКВА, НАБ ДЕРБЕНЕВСКАЯ, Д. 7, СТР. 2, КОМ. 1, КАБИНЕТ 3</t>
  </si>
  <si>
    <t>ООО СПЕЦДЕТАЛЬ</t>
  </si>
  <si>
    <t>109052, РОССИЯ, Г.МОСКВА, ВН.ТЕР.Г. МУНИЦИПАЛЬНЫЙ ОКРУГ НИЖЕГОРОДСКИЙ, УЛ НИЖЕГОРОДСКАЯ, Д. 86, К. Б, ПОМЕЩ. 5/1</t>
  </si>
  <si>
    <t>121108, РОССИЯ, Г.МОСКВА, ВН.ТЕР.Г. МУНИЦИПАЛЬНЫЙ ОКРУГ ФИЛИ-ДАВЫДКОВО, УЛ ГЕРАСИМА КУРИНА, Д. 26, КВ. 382</t>
  </si>
  <si>
    <t>ИП ВОЛКОВА ЛАРИСА АЛЕКСЕЕВНА</t>
  </si>
  <si>
    <t>ИП ШИШОНКОВ АЛЕКСАНДР ВИКТОРОВИЧ</t>
  </si>
  <si>
    <t>ИП ГРИШАЕВ ТИМОФЕЙ СЕРГЕЕВИЧ</t>
  </si>
  <si>
    <t>ООО ТСМ АВТО</t>
  </si>
  <si>
    <t>111622, РОССИЯ, Г.МОСКВА, ВН.ТЕР.Г. МУНИЦИПАЛЬНЫЙ ОКРУГ КОСИНО-УХТОМСКИЙ, УЛ БОЛЬШАЯ КОСИНСКАЯ, Д. 18, СТР. 1</t>
  </si>
  <si>
    <t>ООО АВТОЗАПЧАСТИ-ЦЕНТР</t>
  </si>
  <si>
    <t>111675, РОССИЯ, Г.МОСКВА, ВН.ТЕР.Г. МУНИЦИПАЛЬНЫЙ ОКРУГ КОСИНО-УХТОМСКИЙ, УЛ РУДНЁВКА, Д. 11, КВ. 199</t>
  </si>
  <si>
    <t>ООО АВТОМАРКЕТ+</t>
  </si>
  <si>
    <t>111141, РОССИЯ, Г.МОСКВА, ВН.ТЕР.Г. МУНИЦИПАЛЬНЫЙ ОКРУГ НОВОГИРЕЕВО, УЛ КУСКОВСКАЯ, Д. 20А, ПОМЕЩ. 1/1</t>
  </si>
  <si>
    <t>ООО ИНДУСТРИЯ СЕРВИС</t>
  </si>
  <si>
    <t>111622, РОССИЯ, Г.МОСКВА, ВН.ТЕР.Г. МУНИЦИПАЛЬНЫЙ ОКРУГ КОСИНО-УХТОМСКИЙ, УЛ ОРЕНБУРГСКАЯ, Д. 18</t>
  </si>
  <si>
    <t>ООО ТУНГОР</t>
  </si>
  <si>
    <t>111524, РОССИЯ, Г.МОСКВА, ВН.ТЕР.Г. МУНИЦИПАЛЬНЫЙ ОКРУГ ПЕРОВО, УЛ ЭЛЕКТРОДНАЯ, Д. 2, СТР. 34, ПОМЕЩ. 4/2</t>
  </si>
  <si>
    <t>ИП САПОЖНИКОВ МИХАИЛ ЮРЬЕВИЧ</t>
  </si>
  <si>
    <t>ИП ГАРАНИН СЕРГЕЙ АЛЕКСЕЕВИЧ</t>
  </si>
  <si>
    <t>ИП ЧИБИЗОВ ДМИТРИЙ ВИЧЕВИЧ</t>
  </si>
  <si>
    <t>ИП СОКОЛОВСКИЙ АРСЕНИЙ ИГОРЕВИЧ</t>
  </si>
  <si>
    <t>ИП КУВИН АНТОН АНДРЕЕВИЧ</t>
  </si>
  <si>
    <t>ИП БАРСЕГЯН ЕГИНЕ РАФИКОВНА</t>
  </si>
  <si>
    <t>ИП САВИНОВ АЛЕКСАНДР ЮРЬЕВИЧ</t>
  </si>
  <si>
    <t>ООО АВТО-ПАРТС</t>
  </si>
  <si>
    <t>127018, Г.МОСКВА, УЛ СКЛАДОЧНАЯ, Д. 1, СТР. 5, ПОМЕЩ. 3158</t>
  </si>
  <si>
    <t>ООО ЧАНЪАНЬ МОТОРС РУС</t>
  </si>
  <si>
    <t>117587, Г.МОСКВА, Ш ВАРШАВСКОЕ, Д. 118, К. 1, ЭТАЖ 15 ПОМЕЩЕНИЕ XLVII КОМНАТЫ 4 И 5</t>
  </si>
  <si>
    <t>ООО АВТОЦЕНТР НА ТАГАНКЕ-М</t>
  </si>
  <si>
    <t>109147, Г.МОСКВА, УЛ МАРКСИСТСКАЯ, Д. 34, К. 7, ЭТ 1 ПОМ XI КОМ 22</t>
  </si>
  <si>
    <t>ООО ПЭК:МОЛЛ</t>
  </si>
  <si>
    <t>109428, Г.МОСКВА, ПР-Д 1-Й ВЯЗОВСКИЙ, Д. 4, СТР. 19</t>
  </si>
  <si>
    <t>ООО БРЕНД АУТЛЕТ</t>
  </si>
  <si>
    <t>121467, Г.МОСКВА, ВН.ТЕР.Г. МУНИЦИПАЛЬНЫЙ ОКРУГ КУНЦЕВО, УЛ МОЛОДОГВАРДЕЙСКАЯ, Д. 2, К. 3, КВ. 71</t>
  </si>
  <si>
    <t>ООО БИОНИКС</t>
  </si>
  <si>
    <t>111024, Г.МОСКВА, УЛ ДУШИНСКАЯ, Д. 20, СТР. 2, ОФИС 8</t>
  </si>
  <si>
    <t>ООО СКАЛА</t>
  </si>
  <si>
    <t>109202, Г.МОСКВА, ВН.ТЕР.Г. МУНИЦИПАЛЬНЫЙ ОКРУГ НИЖЕГОРОДСКИЙ, УЛ 1-Я ФРЕЗЕРНАЯ, Д. 2/1, К. 2, ПОМЕЩ. 1Т</t>
  </si>
  <si>
    <t>109202, Г.МОСКВА, ВН.ТЕР.Г. МУНИЦИПАЛЬНЫЙ ОКРУГ НИЖЕГОРОДСКИЙ, УЛ 1-Я ФРЕЗЕРНАЯ, Д. 2/1, К. 2, ПОМЕЩ. 1/Т</t>
  </si>
  <si>
    <t>ООО МГС ТРЕЙД</t>
  </si>
  <si>
    <t>109428, Г.МОСКВА, ВН.ТЕР.Г. МУНИЦИПАЛЬНЫЙ ОКРУГ РЯЗАНСКИЙ, УЛ СТАХАНОВСКАЯ, Д. 25, СТР. 1</t>
  </si>
  <si>
    <t>ООО А-ТЕХ</t>
  </si>
  <si>
    <t>109052, Г.МОСКВА, ВН.ТЕР.Г. МУНИЦИПАЛЬНЫЙ ОКРУГ НИЖЕГОРОДСКИЙ, УЛ СМИРНОВСКАЯ, Д. 25, СТР. 8</t>
  </si>
  <si>
    <t>ООО ТД ПИК</t>
  </si>
  <si>
    <t>111024, Г.МОСКВА, УЛ 5-Я КАБЕЛЬНАЯ, Д. 2, СТР. 1, ЭТ 2 КАБ 9</t>
  </si>
  <si>
    <t>ООО ТД НМ</t>
  </si>
  <si>
    <t>117105, Г.МОСКВА, ВН.ТЕР.Г. МУНИЦИПАЛЬНЫЙ ОКРУГ НАГАТИНО-САДОВНИКИ, Ш ВАРШАВСКОЕ, Д. 35, СТР. 1, ЭТАЖ/ЧАСТЬ ОФИСА 6/П606</t>
  </si>
  <si>
    <t>ООО КОМПАНИЯ МАРКЕТ-ГРУПП</t>
  </si>
  <si>
    <t>111033, Г.МОСКВА, ПР-Д ТАМОЖЕННЫЙ, Д. 6, СТР. 7, ОФИС 15</t>
  </si>
  <si>
    <t>ООО МОТОРТЭК</t>
  </si>
  <si>
    <t>115516, Г.МОСКВА, ВН.ТЕР.Г. МУНИЦИПАЛЬНЫЙ ОКРУГ ЦАРИЦЫНО, УЛ БЕХТЕРЕВА, Д. 12</t>
  </si>
  <si>
    <t>ООО ТРЕЙД-БИЗНЕС</t>
  </si>
  <si>
    <t>117342, Г.МОСКВА, ВН.ТЕР.Г. МУНИЦИПАЛЬНЫЙ ОКРУГ КОНЬКОВО, УЛ БУТЛЕРОВА, Д. 17, ПОМЕЩ. 95/3</t>
  </si>
  <si>
    <t>ИП ВОЛКОВ РОМАН ДЖЕМАЛОВИЧ</t>
  </si>
  <si>
    <t>ИП БЕЛЯЛЕТДИНОВ НАДИР ХАЛИТОВИЧ</t>
  </si>
  <si>
    <t>ИП СЕВРЮГИН АНДРЕЙ ВЛАДИМИРОВИЧ</t>
  </si>
  <si>
    <t>ООО РИОНА</t>
  </si>
  <si>
    <t>115088, Г.МОСКВА, ВН.ТЕР.Г. МУНИЦИПАЛЬНЫЙ ОКРУГ ПЕЧАТНИКИ, ПРОЕЗД 3-Й УГРЕШСКИЙ, Д. 8А, СТР. 1, ЭТАЖ 2, ПОМЕЩ. 20</t>
  </si>
  <si>
    <t>ООО ФАСТ ИМПОРТ</t>
  </si>
  <si>
    <t>117216, Г.МОСКВА, УЛ ФЕОДОСИЙСКАЯ, Д. 1, К. 11, ЭТАЖ 2 ОФИС Г3</t>
  </si>
  <si>
    <t>ООО МОБИЛТРАНСАВТО</t>
  </si>
  <si>
    <t>109202, Г.МОСКВА, ВН.ТЕР.Г. МУНИЦИПАЛЬНЫЙ ОКРУГ НИЖЕГОРОДСКИЙ, УЛ 1-Я ФРЕЗЕРНАЯ, Д. 2/1, К. 2, ПОМЕЩ. 1/1</t>
  </si>
  <si>
    <t>ООО ТЕХСТРОЙ</t>
  </si>
  <si>
    <t>109451, Г.МОСКВА, УЛ ПЕРЕРВА, Д. 62, К. 2, КВ. 193</t>
  </si>
  <si>
    <t>109382, Г.МОСКВА, ПР-Д ЕГОРЬЕВСКИЙ, Д. 2А, СТР. 1А, ОФИС 1</t>
  </si>
  <si>
    <t>ООО БЕРГ ХОЛДИНГ</t>
  </si>
  <si>
    <t>115093, Г.МОСКВА, ПЕР 1-Й ЩИПКОВСКИЙ, Д. 1, ЭТАЖ 3 ПОМ. I КОМ. 8,9</t>
  </si>
  <si>
    <t>ООО АВТОГРАНД</t>
  </si>
  <si>
    <t>127238, Г.МОСКВА, УЛ ВЕРХНЕЛИХОБОРСКАЯ, Д.8А, КОМ8</t>
  </si>
  <si>
    <t>ИП МУРАНОВ ПАВЕЛ ИЛЬИЧ</t>
  </si>
  <si>
    <t>ООО ПЕТРОШИНСНАБ</t>
  </si>
  <si>
    <t>109382, Г.МОСКВА, УЛ КРАСНОДОНСКАЯ, Д. 39, КВ. 2</t>
  </si>
  <si>
    <t>ИП ИВАНОВ ЭДУАРД АЛЕКСАНДРОВИЧ</t>
  </si>
  <si>
    <t>ИП МАРКУШЕВСКИЙ ИГОРЬ ВИКТОРОВИЧ</t>
  </si>
  <si>
    <t>ООО ОЙЛ-МОТОРС</t>
  </si>
  <si>
    <t>115404, Г.МОСКВА, ВН.ТЕР.Г. МУНИЦИПАЛЬНЫЙ ОКРУГ БИРЮЛЕВО ВОСТОЧНОЕ, УЛ 6-Я РАДИАЛЬНАЯ, Д. 7А, СТР. 3, ПОМЕЩ. 1</t>
  </si>
  <si>
    <t>ИП МОРОЗОВ СТЕПАН ЮРЬЕВИЧ</t>
  </si>
  <si>
    <t>ООО НПО ЛИДЕР ГРУПП</t>
  </si>
  <si>
    <t>117405, Г.МОСКВА, УЛ КИРПИЧНЫЕ ВЫЕМКИ, Д. 2, К. 1, ПОМЕЩ. X</t>
  </si>
  <si>
    <t>ИП СУХОВ НИКОЛАЙ ВЛАДИМИРОВИЧ</t>
  </si>
  <si>
    <t>ИП ТОЛМАЧЁВ АЛЕКСЕЙ СЕРГЕЕВИЧ</t>
  </si>
  <si>
    <t>ИП КУЗНЕЦОВА ТАТЬЯНА ГЕННАДЬЕВНА</t>
  </si>
  <si>
    <t>ООО АВТОЛАБ+</t>
  </si>
  <si>
    <t>109052, Г.МОСКВА, ВН.ТЕР.Г. МУНИЦИПАЛЬНЫЙ ОКРУГ НИЖЕГОРОДСКИЙ, УЛ ПОДЪЁМНАЯ, Д. 14, СТР. 44, ПОМЕЩ. 324</t>
  </si>
  <si>
    <t>ИП АКСЕНЕНКО КОНСТАНТИН ИВАНОВИЧ</t>
  </si>
  <si>
    <t>ИП КОЗЫРЕВА АЛИНА АЛЕКСЕЕВНА</t>
  </si>
  <si>
    <t>ИП НИКИШИН АНДРЕЙ НИКОЛАЕВИЧ</t>
  </si>
  <si>
    <t>ИП КРИВИЦКИЙ АНДРЕЙ ВЛАДИМИРОВИЧ</t>
  </si>
  <si>
    <t>115582, Г.МОСКВА, УЛ ДОМОДЕДОВСКАЯ, Д.46, 274</t>
  </si>
  <si>
    <t>ООО ФЛУРАЛИТ СИНТЕЗ</t>
  </si>
  <si>
    <t>115477, Г.МОСКВА, УЛ КАНТЕМИРОВСКАЯ, Д.29, К.2</t>
  </si>
  <si>
    <t>117186, Г.МОСКВА, ВН.ТЕР.Г. МУНИЦИПАЛЬНЫЙ ОКРУГ КОТЛОВКА, УЛ НАГОРНАЯ, Д. 24, К. 9, ПОМЕЩ. 1/1</t>
  </si>
  <si>
    <t>ИП Павликова Оксана Ивановна</t>
  </si>
  <si>
    <t>ИП КИСЕЛЕВА МАРИНА ВЛАДИМИРОВНА</t>
  </si>
  <si>
    <t>ИП ПРОНИНА ОЛЬГА ГРИГОРЬЕВНА</t>
  </si>
  <si>
    <t>ООО ДЖИ СТОР</t>
  </si>
  <si>
    <t>143000, Г.МОСКВА, ПОС. СОСЕНСКОЕ, ТЕР ХОВАНСКАЯ ПРОМЗОНА, ВЛД. 3</t>
  </si>
  <si>
    <t>ИП САВЕЛЬЕВ НИКОЛАЙ АНАТОЛЬЕВИЧ</t>
  </si>
  <si>
    <t>ООО ЛЮМЕР</t>
  </si>
  <si>
    <t>121596, РОССИЯ, Г.МОСКВА, ВН.ТЕР.Г. МУНИЦИПАЛЬНЫЙ ОКРУГ МОЖАЙСКИЙ, УЛ ГОРБУНОВА, Д. 12, К. 2, СТР. 10</t>
  </si>
  <si>
    <t>ООО ЛН ДИСТРИБЬЮЦИЯ</t>
  </si>
  <si>
    <t>117587, РОССИЯ, Г.МОСКВА, ВН.ТЕР.Г. МУНИЦИПАЛЬНЫЙ ОКРУГ ЧЕРТАНОВО СЕВЕРНОЕ, Ш ВАРШАВСКОЕ, Д. 125Д, К. 1</t>
  </si>
  <si>
    <t>ИП ЛУШНИКОВ СЕРГЕЙ НИКОЛАЕВИЧ</t>
  </si>
  <si>
    <t>ООО МАСТЕР БЭРИНГ</t>
  </si>
  <si>
    <t>109428, РОССИЯ, Г.МОСКВА, ВН.ТЕР.Г. МУНИЦИПАЛЬНЫЙ ОКРУГ РЯЗАНСКИЙ, ПР-КТ РЯЗАНСКИЙ, Д. 22, К. 2, ПОМЕЩ. 1/1</t>
  </si>
  <si>
    <t>117420, Г.МОСКВА, ВН.ТЕР.Г. МУНИЦИПАЛЬНЫЙ ОКРУГ ЧЕРЕМУШКИ, УЛ НАМЁТКИНА, Д. 14, К. 2</t>
  </si>
  <si>
    <t>ИП ЗАИЧЕНКО МАКСИМ ЛЕОНИДОВИЧ</t>
  </si>
  <si>
    <t>ИП МИХЕЕВ АЛЕКСАНДР ВЛАДИМИРОВИЧ</t>
  </si>
  <si>
    <t>ООО КАД</t>
  </si>
  <si>
    <t>117546, РОССИЯ, Г.МОСКВА, ВН.ТЕР.Г. МУНИЦИПАЛЬНЫЙ ОКРУГ БИРЮЛЕВО ЗАПАДНОЕ, ПРОЕЗД СТУПИНСКИЙ, Д. 1, СТР. 20</t>
  </si>
  <si>
    <t>ИП Кузнецов Александр Евгеньевич</t>
  </si>
  <si>
    <t>ООО АКАДЕМИК</t>
  </si>
  <si>
    <t>ИП ЗАВГОРОДНЯЯ ЕЛЕНА АНАТОЛЬЕВНА</t>
  </si>
  <si>
    <t>ИП СОБОЛЕВА МАРГАРИТА МИХАЙЛОВНА</t>
  </si>
  <si>
    <t>ИП АЛЬГИН СЕРГЕЙ АЛЕКСАНДРОВИЧ</t>
  </si>
  <si>
    <t>ООО ТК АЛСЕР</t>
  </si>
  <si>
    <t>109382, Г.МОСКВА, ВН.ТЕР.Г. МУНИЦИПАЛЬНЫЙ ОКРУГ ЛЮБЛИНО, ПРОЕЗД ЕГОРЬЕВСКИЙ, Д. 3Ж, СТР. 6, ПОМЕЩ. 1/1</t>
  </si>
  <si>
    <t>ООО МТКАР</t>
  </si>
  <si>
    <t>117105, Г.МОСКВА, ВН.ТЕР.Г. МУНИЦИПАЛЬНЫЙ ОКРУГ ДОНСКОЙ, Ш ВАРШАВСКОЕ, Д. 1А, ЭТАЖ 3, КОМ./ОФИС 50/А9В</t>
  </si>
  <si>
    <t>АО ВНЕШНЕТОРГОВАЯ КОМПАНИЯ АЛЛВЕ</t>
  </si>
  <si>
    <t>109316, Г.МОСКВА, ПР-КТ ВОЛГОГРАДСКИЙ, Д.35</t>
  </si>
  <si>
    <t>ООО ИНДИГОЛАБ РУС</t>
  </si>
  <si>
    <t>115191, Г.МОСКВА, ВН.ТЕР.Г. МУНИЦИПАЛЬНЫЙ ОКРУГ ДОНСКОЙ, ПЕР ДУХОВСКОЙ, Д. 17, КОМ. 5-7</t>
  </si>
  <si>
    <t>ООО ВОСТОКМАШ СЕРВИС</t>
  </si>
  <si>
    <t>119334, Г.МОСКВА, ВН.ТЕР.Г. МУНИЦИПАЛЬНЫЙ ОКРУГ ДОНСКОЙ, ПРОЕЗД 5-Й ДОНСКОЙ, Д. 19</t>
  </si>
  <si>
    <t>115563, Г.МОСКВА, ВН.ТЕР.Г. МУНИЦИПАЛЬНЫЙ ОКРУГ ОРЕХОВО-БОРИСОВО СЕВЕРНОЕ, Ш КАШИРСКОЕ, Д. 61, К. 3А, ЭТАЖ 4</t>
  </si>
  <si>
    <t>ООО ДС-ТЕК</t>
  </si>
  <si>
    <t>108811, Г.МОСКВА, ВН.ТЕР.Г. МУНИЦИПАЛЬНЫЙ ОКРУГ СОЛНЦЕВО, Ш. КИЕВСКОЕ, КМ 22-Й, Д. 4, СТР. 1, БЛОК/ЭТ/ОФ А/8/805А</t>
  </si>
  <si>
    <t>ООО САНРАЙЗ ГРУПП</t>
  </si>
  <si>
    <t>115280, Г.МОСКВА, УЛ АВТОЗАВОДСКАЯ, Д. 21А, КОМ. 15</t>
  </si>
  <si>
    <t>ООО БИЗНЕС-ТРЕЙД</t>
  </si>
  <si>
    <t>ООО СФ-РУ</t>
  </si>
  <si>
    <t>115280, Г.МОСКВА, ВН.ТЕР.Г. МУНИЦИПАЛЬНЫЙ ОКРУГ ДАНИЛОВСКИЙ, УЛ ЛЕНИНСКАЯ СЛОБОДА, Д. 19, ЭТАЖ 6, КОМ. 9Ц</t>
  </si>
  <si>
    <t>ООО ЕВРОПАРТ РУС</t>
  </si>
  <si>
    <t>109382, РОССИЯ, Г.МОСКВА, ВН.ТЕР.Г. МУНИЦИПАЛЬНЫЙ ОКРУГ ЛЮБЛИНО, ПРОЕЗД ЕГОРЬЕВСКИЙ, Д. 2А, СТР. 2</t>
  </si>
  <si>
    <t>ООО ЭББОТТ ЛЭБОРАТОРИЗ</t>
  </si>
  <si>
    <t>125171, Г.МОСКВА, Ш ЛЕНИНГРАДСКОЕ, Д.16А, СТР.1</t>
  </si>
  <si>
    <t>ООО АЛЬЯНС МП</t>
  </si>
  <si>
    <t>123181, Г.МОСКВА, ВН.ТЕР.Г. МУНИЦИПАЛЬНЫЙ ОКРУГ СТРОГИНО, УЛ ИСАКОВСКОГО, Д. 33, К. 3, КВ. 19</t>
  </si>
  <si>
    <t>ИП БОРИСОВА НАТАЛЬЯ ВЛАДИМИРОВНА</t>
  </si>
  <si>
    <t>ООО СТЕЛЛАР МОТОР РУС</t>
  </si>
  <si>
    <t>115533, Г.МОСКВА, ПР-КТ АНДРОПОВА, Д. 22, ОФИС ЭТ 18 ПОМ 1 КОМ 38</t>
  </si>
  <si>
    <t>ООО СОВРЕМЕННЫЕ АВТОТЕХНОЛОГИИ</t>
  </si>
  <si>
    <t>109382, Г.МОСКВА, ВН.ТЕР.Г. МУНИЦИПАЛЬНЫЙ ОКРУГ ЛЮБЛИНО, УЛ СУДАКОВА, Д. 10</t>
  </si>
  <si>
    <t>ООО ВИГМА+</t>
  </si>
  <si>
    <t>117186, Г.МОСКВА, УЛ РЕМИЗОВА, Д.10, АПТЕКА</t>
  </si>
  <si>
    <t>ООО АВТОПАССАЖ</t>
  </si>
  <si>
    <t>117519, Г.МОСКВА, Ш ВАРШАВСКОЕ, Д. 138А</t>
  </si>
  <si>
    <t>ООО МОРИЛЛОН АВТО</t>
  </si>
  <si>
    <t>115191, Г.МОСКВА, ПЕР ДУХОВСКОЙ, Д. 17, ПОМЕЩ. I КОМНАТА 2А</t>
  </si>
  <si>
    <t>ИП АРТАМОНОВ АЛЕКСЕЙ ВАСИЛЬЕВИЧ</t>
  </si>
  <si>
    <t>ООО АВТОГРИЗ</t>
  </si>
  <si>
    <t>115230, Г.МОСКВА, ПР-Д ЭЛЕКТРОЛИТНЫЙ, Д. 1, К. 4, ЭТ/ПОМ/К/О 2/V/7/42</t>
  </si>
  <si>
    <t>ООО ВИНДЖЕЙ ОЙЛ</t>
  </si>
  <si>
    <t>115230, Г.МОСКВА, ПР-Д ЭЛЕКТРОЛИТНЫЙ, Д. 1, К. 4, ЭТ 2 ПОМ V К 7 О 41</t>
  </si>
  <si>
    <t>ООО ТРИКОЛОР-М</t>
  </si>
  <si>
    <t>117105, Г.МОСКВА, ВН.ТЕР.Г. МУНИЦИПАЛЬНЫЙ ОКРУГ НАГОРНЫЙ, Ш ВАРШАВСКОЕ, Д. 26, СТР. 10, ПОМЕЩ. 1А/2</t>
  </si>
  <si>
    <t>ООО ЛК ТРЕЙДИНГ ТРАНЗИТ</t>
  </si>
  <si>
    <t>125464, Г.МОСКВА, ВН.ТЕР.Г. МУНИЦИПАЛЬНЫЙ ОКРУГ МИТИНО, Ш ВОЛОКОЛАМСКОЕ, Д. 142, ЭТАЖ/ПОМЕЩ. 6/I, ЧАСТЬ КОМН./ОФИС 26/615</t>
  </si>
  <si>
    <t>ООО ПИКАРС</t>
  </si>
  <si>
    <t>117105, РОССИЯ, Г.МОСКВА, ВН.ТЕР.Г. МУНИЦИПАЛЬНЫЙ ОКРУГ ДОНСКОЙ, Ш ВАРШАВСКОЕ, Д. 33, СТР. 1, ПОМЕЩ. 13/8</t>
  </si>
  <si>
    <t>115191, РОССИЯ, Г.МОСКВА, ВН.ТЕР.Г. МУНИЦИПАЛЬНЫЙ ОКРУГ ДОНСКОЙ, ПЕР ДУХОВСКОЙ, Д. 17, СТР. 15, ЭТАЖ 2, КОМ./ОФИС 12/31-А</t>
  </si>
  <si>
    <t>ООО РУСЛАЙН</t>
  </si>
  <si>
    <t>119313, Г.МОСКВА, ПР-КТ ЛЕНИНСКИЙ, Д. 89/2, ЭТ ПОДВАЛ ПОМ XV КОМ 5</t>
  </si>
  <si>
    <t>ООО ТЕХСТРОЙКОМ</t>
  </si>
  <si>
    <t>117208, Г.МОСКВА, УЛ ЧЕРТАНОВСКАЯ, Д. 3, К. 1, КВ. 154</t>
  </si>
  <si>
    <t>ИП ДАНИЕЛЯН НОННА АЛЬБЕРТОВНА</t>
  </si>
  <si>
    <t>ИП ВАЛЬКО ЮРИЙ ГЕННАДЬЕВИЧ</t>
  </si>
  <si>
    <t>ИП ГАЛИЦКИЙ ДМИТРИЙ АЛЕКСАНДРОВИЧ</t>
  </si>
  <si>
    <t>ООО ФИТ БУТОВО</t>
  </si>
  <si>
    <t>117216, Г.МОСКВА, УЛ ФЕОДОСИЙСКАЯ, Д. 1, К. 11</t>
  </si>
  <si>
    <t>ООО КИП-АВТО</t>
  </si>
  <si>
    <t>117461, Г.МОСКВА, УЛ КАХОВКА, Д. 28, К. 2</t>
  </si>
  <si>
    <t>ООО БУТОВО ПЛЮС</t>
  </si>
  <si>
    <t>117042, Г.МОСКВА, УЛ БАРТЕНЕВСКАЯ, Д. 55</t>
  </si>
  <si>
    <t>ООО АВТОФУРГОН</t>
  </si>
  <si>
    <t>117041, Г.МОСКВА, УЛ АДМИРАЛА РУДНЕВА, Д. 4, ЭТАЖ 5 ОФИС 6Г</t>
  </si>
  <si>
    <t>ООО ТРАК-ДЕТЕЙЛ</t>
  </si>
  <si>
    <t>117418, Г.МОСКВА, ВН.ТЕР.Г. МУНИЦИПАЛЬНЫЙ ОКРУГ ЧЕРЕМУШКИ, УЛ ЗЮЗИНСКАЯ, Д. 6, К. 2, ПОМЕЩ. 1/П</t>
  </si>
  <si>
    <t>ООО ТЕХНОСЕРВИС</t>
  </si>
  <si>
    <t>117303, Г.МОСКВА, УЛ МАЛАЯ ЮШУНЬСКАЯ, Д. 1, К. 1, ЭТ/ПОМ/КОМ 2/I/30,30А</t>
  </si>
  <si>
    <t>ООО ДОСТИЖЕНИЕ</t>
  </si>
  <si>
    <t>117041, РОССИЯ, Г.МОСКВА, ВН.ТЕР.Г. МУНИЦИПАЛЬНЫЙ ОКРУГ ЮЖНОЕ БУТОВО, УЛ АДМИРАЛА РУДНЕВА, Д. 4, ЭТАЖ/ПОМЕЩ. 6/31, ОФИС 72</t>
  </si>
  <si>
    <t>ИП БАСИЛАДЗЕ ЛЕВАН КУКУРИЕВИЧ</t>
  </si>
  <si>
    <t>ИП СИНИЦЫН НИКОЛАЙ АЛЕКСАНДРОВИЧ</t>
  </si>
  <si>
    <t>ООО АЛЬТЕР БИ ЭЛЕМЕНТ</t>
  </si>
  <si>
    <t>117628, Г.МОСКВА, УЛ КУЛИКОВСКАЯ, Д. 12, ПОМЕЩ. 604</t>
  </si>
  <si>
    <t>ООО ДРИМ АВТО</t>
  </si>
  <si>
    <t>125445, Г.МОСКВА, УЛ БЕЛОМОРСКАЯ, Д. 40, СТРОЕНИЕ 1, ЭТ.3 ПОМ. 26,26А</t>
  </si>
  <si>
    <t>ООО ГАНЗ</t>
  </si>
  <si>
    <t>117042, Г.МОСКВА, ВН.ТЕР.Г. МУНИЦИПАЛЬНЫЙ ОКРУГ ЮЖНОЕ БУТОВО, УЛ ВЕНЁВСКАЯ, Д. 10, ПОМЕЩ. 2/П</t>
  </si>
  <si>
    <t>117418, Г.МОСКВА, ВН.ТЕР.Г. МУНИЦИПАЛЬНЫЙ ОКРУГ ЧЕРЕМУШКИ, УЛ ЗЮЗИНСКАЯ, Д. 6, К. 2, ПОМЕЩ. 1Б</t>
  </si>
  <si>
    <t>ООО ШТАРК</t>
  </si>
  <si>
    <t>117630, Г.МОСКВА, ВН.ТЕР.Г. МУНИЦИПАЛЬНЫЙ ОКРУГ ОБРУЧЕВСКИЙ, Ш СТАРОКАЛУЖСКОЕ, Д. 65, ПОМЕЩ. 1</t>
  </si>
  <si>
    <t>ИП СОКОЛОВ ГЛЕБ МИХАЙЛОВИЧ</t>
  </si>
  <si>
    <t>ООО АВТОРУСЬ ЛОГИСТИКА</t>
  </si>
  <si>
    <t>117186, Г.МОСКВА, УЛ НАГОРНАЯ, Д.33, К.1</t>
  </si>
  <si>
    <t>ООО ГЛОБАЛ ТРЕЙДИНГ</t>
  </si>
  <si>
    <t>117246, Г.МОСКВА, ВН.ТЕР.Г. МУНИЦИПАЛЬНЫЙ ОКРУГ ЧЕРЕМУШКИ, ПРОЕЗД НАУЧНЫЙ, Д. 8, СТР. 1</t>
  </si>
  <si>
    <t>ООО МОТОФЛОТ</t>
  </si>
  <si>
    <t>117342, Г.МОСКВА, ВН.ТЕР.Г. МУНИЦИПАЛЬНЫЙ ОКРУГ КОНЬКОВО, УЛ МИКЛУХО-МАКЛАЯ, Д. 42Б, ПОМЕЩ. 1/1/1</t>
  </si>
  <si>
    <t>ООО ТЕРМИНАЛ ПЛЮС</t>
  </si>
  <si>
    <t>117105, Г.МОСКВА, ВН.ТЕР.Г. МУНИЦИПАЛЬНЫЙ ОКРУГ ДОНСКОЙ, НАБ НОВОДАНИЛОВСКАЯ, Д. 4А, ПОМЕЩ. 11/1/6</t>
  </si>
  <si>
    <t>117246, Г.МОСКВА, ПР-Д НАУЧНЫЙ, Д. 19, ЭТ 2 КОМ 6Д ОФ 174</t>
  </si>
  <si>
    <t>ООО ТЕХОСМОТР</t>
  </si>
  <si>
    <t>117292, Г.МОСКВА, ПР-КТ НАХИМОВСКИЙ, Д. 52/27, ЭТ 1 КОМ Б ОФ 57</t>
  </si>
  <si>
    <t>ООО ФОБОСАВТО</t>
  </si>
  <si>
    <t>119421, Г.МОСКВА, ПР-КТ ЛЕНИНСКИЙ, Д. 111, К. 1, ЭТ 3 ПОМ 26 ОФ 29</t>
  </si>
  <si>
    <t>ИП МАТКАВА ГЕОРГИЙ ДЖОНИЕВИЧ</t>
  </si>
  <si>
    <t>ООО ГАЗПРОМНЕФТЬ -СМ</t>
  </si>
  <si>
    <t>117218, Г.МОСКВА, УЛ КРЖИЖАНОВСКОГО, Д. 14, К. 3, КАБИНЕТ 40</t>
  </si>
  <si>
    <t>ООО ТЕР ГРУПП</t>
  </si>
  <si>
    <t>125373, Г.МОСКВА, ВН.ТЕР.Г. МУНИЦИПАЛЬНЫЙ ОКРУГ ЮЖНОЕ ТУШИНО, ПР-Д ПОХОДНЫЙ, Д. 4, К. 1, ПОМЕЩ. 2/3</t>
  </si>
  <si>
    <t>ИП ГУТИЕВА ЛАУРА ВАЛЕРЬЕВНА</t>
  </si>
  <si>
    <t>ИП СМИРНОВ РОМАН ЕВГЕНЬЕВИЧ</t>
  </si>
  <si>
    <t>ООО ОПТХОЗТОРГ</t>
  </si>
  <si>
    <t>129090, Г.МОСКВА, ВН.ТЕР.Г. МУНИЦИПАЛЬНЫЙ ОКРУГ МЕЩАНСКИЙ, ПЕР АСТРАХАНСКИЙ, Д. 5, КВ. 92</t>
  </si>
  <si>
    <t>ИП ЦЫГАНОВ АНТОН АНДРЕЕВИЧ</t>
  </si>
  <si>
    <t>ИП ДАВЫДОВ АЛЕКСАНДР ВАЛЕРЬЕВИЧ</t>
  </si>
  <si>
    <t>ООО ЮНАЙТЕД ДИСТРИБЮШН</t>
  </si>
  <si>
    <t>117574, Г.МОСКВА, ВН.ТЕР.Г. МУНИЦИПАЛЬНЫЙ ОКРУГ ЯСЕНЕВО, ПРОЕЗД ОДОЕВСКОГО, Д. 2А, ПОМЕЩ. 1Ц</t>
  </si>
  <si>
    <t>ООО Ю-ТИ-ДЖИ ДОМОДЕДОВО</t>
  </si>
  <si>
    <t>117638, Г.МОСКВА, ВН.ТЕР.Г. МУНИЦИПАЛЬНЫЙ ОКРУГ ЗЮЗИНО, УЛ ОДЕССКАЯ, Д. 2, ЭТАЖ 18, КОМ. 38</t>
  </si>
  <si>
    <t>ООО ПРЕМИУМ СПОРТ</t>
  </si>
  <si>
    <t>119421, Г.МОСКВА, ПР-КТ ЛЕНИНСКИЙ, Д. 107, ПОМЕЩ. 50 (3 ЭТАЖ)</t>
  </si>
  <si>
    <t>ИП Сабрекова Ирина Евгеньевна</t>
  </si>
  <si>
    <t>ООО ТЕХМАШЮНИТ</t>
  </si>
  <si>
    <t>125315, Г.МОСКВА, ПР-Д 2-Й АМБУЛАТОРНЫЙ, Д. 10, ЭТАЖ 4 ПОМ 411</t>
  </si>
  <si>
    <t>ООО БТЛ</t>
  </si>
  <si>
    <t>117133, Г.МОСКВА, ВН.ТЕР.Г. МУНИЦИПАЛЬНЫЙ ОКРУГ ТЕПЛЫЙ СТАН, УЛ АКАДЕМИКА ВАРГИ, Д. 8, К. 1</t>
  </si>
  <si>
    <t>ИП АББАСОВА МАРИЯ ЧИНГИЗОВНА</t>
  </si>
  <si>
    <t>ООО ОЕМ АВТО ЭКСПЕРТ</t>
  </si>
  <si>
    <t>121354, Г.МОСКВА, УЛ ДОРОГОБУЖСКАЯ, Д. 14, СТР. 17, ПОМЕЩ. 7 ЭТАЖ 1</t>
  </si>
  <si>
    <t>ИП ХОНЧЕВ СЕРГЕЙ ВАСИЛЬЕВИЧ</t>
  </si>
  <si>
    <t>ООО ГК КОНКОРДИЯ</t>
  </si>
  <si>
    <t>117405, Г.МОСКВА, Ш ВАРШАВСКОЕ, Д. 141, СТР. 80, ЭТ 1 ОФ 110</t>
  </si>
  <si>
    <t>ООО АВТОПАССАЖ ПРЕМИУМ</t>
  </si>
  <si>
    <t>117519, Г.МОСКВА, Ш ВАРШАВСКОЕ, Д. 138А, Э 2 ПОМ №33</t>
  </si>
  <si>
    <t>ООО РОЛТ - СМ</t>
  </si>
  <si>
    <t>121059, Г.МОСКВА, НАБ БЕРЕЖКОВСКАЯ, Д. 12Г, ОФИС 201</t>
  </si>
  <si>
    <t>ООО АТП-МАРКЕТ</t>
  </si>
  <si>
    <t>109369, Г.МОСКВА, УЛ ЛЮБЛИНСКАЯ, Д. 112СТР3, ПАВ. 54</t>
  </si>
  <si>
    <t>ООО КАР АЦ</t>
  </si>
  <si>
    <t>115201, Г.МОСКВА, УЛ КОТЛЯКОВСКАЯ, Д. 3, СТР. 6, ЭТАЖ 2, ПОМ. 9</t>
  </si>
  <si>
    <t>ИП СТОЛЯРОВ ДМИТРИЙ ВЯЧЕСЛАВОВИЧ</t>
  </si>
  <si>
    <t>ООО ЭРСИ АВТОТРЕЙД</t>
  </si>
  <si>
    <t>117587, Г.МОСКВА, Ш ВАРШАВСКОЕ, Д. 125Ж, СТР. 2, ОФИС 2</t>
  </si>
  <si>
    <t>ООО ФАВ-ВОСТОЧНАЯ ЕВРОПА</t>
  </si>
  <si>
    <t>117485, Г.МОСКВА, ВН.ТЕР.Г. МУНИЦИПАЛЬНЫЙ ОКРУГ КОНЬКОВО, УЛ ОБРУЧЕВА, Д. 30/1, СТР. 2</t>
  </si>
  <si>
    <t>ООО ИСТКОНСАЛТ</t>
  </si>
  <si>
    <t>117587, Г.МОСКВА, Ш ВАРШАВСКОЕ, Д. 125Д, К. 2, ПОМЕЩ. 15И</t>
  </si>
  <si>
    <t>ООО АВТО-СТРАТЕГИЯ</t>
  </si>
  <si>
    <t>109316, Г.МОСКВА, ПР-КТ ВОЛГОГРАДСКИЙ, Д. 32, К. 8, ЭТАЖ 1, ПОМЕЩЕНИЕ 114</t>
  </si>
  <si>
    <t>ООО НЕОСКАН</t>
  </si>
  <si>
    <t>117152, Г.МОСКВА, Ш ЗАГОРОДНОЕ, Д. 7, К. 5 СТР. 1, КОМ 303</t>
  </si>
  <si>
    <t>ООО ИНТЕРАВТО-ЭВЕНТ</t>
  </si>
  <si>
    <t>115114, Г.МОСКВА, ВН.ТЕР.Г. МУНИЦИПАЛЬНЫЙ ОКРУГ ДАНИЛОВСКИЙ, НАБ ДЕРБЕНЕВСКАЯ, Д. 7, СТР. 22, КОМ. 69</t>
  </si>
  <si>
    <t>125284, Г.МОСКВА, ВН.ТЕР.Г. МУНИЦИПАЛЬНЫЙ ОКРУГ БЕГОВОЙ, ПР-КТ ЛЕНИНГРАДСКИЙ, Д. 35, СТР. 2, ЭТАЖ 12, ПОМЕЩ./КОМ. 230/1-9</t>
  </si>
  <si>
    <t>ООО АВТО-РМ</t>
  </si>
  <si>
    <t>108826, Г.МОСКВА, Р-Н КОММУНАРКА, П КОММУНАРКА, УЛ АЛЕКСАНДРЫ МОНАХОВОЙ, Д. 88, К. 2, КВ. 289</t>
  </si>
  <si>
    <t>117452, РОССИЯ, Г.МОСКВА, ВН.ТЕР.Г. МУНИЦИПАЛЬНЫЙ ОКРУГ ЗЮЗИНО, Б-Р ЧЕРНОМОРСКИЙ, Д. 17, К. 1, ПОМЕЩ. 4/2/5</t>
  </si>
  <si>
    <t>117461, РОССИЯ, Г.МОСКВА, ВН.ТЕР.Г. МУНИЦИПАЛЬНЫЙ ОКРУГ ЧЕРЕМУШКИ, УЛ КАХОВКА, Д. 31, ПОМЕЩ. V, КОМ. 7</t>
  </si>
  <si>
    <t>ООО КИТРОС</t>
  </si>
  <si>
    <t>117042, РОССИЯ, Г.МОСКВА, ВН.ТЕР.Г. МУНИЦИПАЛЬНЫЙ ОКРУГ ЮЖНОЕ БУТОВО, УЛ ЮЖНОБУТОВСКАЯ, Д. 139, ОФИС 24, ПОМЕЩ. II</t>
  </si>
  <si>
    <t>117149, Г.МОСКВА, УЛ БОЛОТНИКОВСКАЯ, Д. 18, К. 2, ОФИС 14 ЭТАЖ 1</t>
  </si>
  <si>
    <t>ИП КАЗАРЯН ДАВИД СЕРГЕЕВИЧ</t>
  </si>
  <si>
    <t>ООО НХК НЕРС+</t>
  </si>
  <si>
    <t>117216, Г.МОСКВА, УЛ ГРИНА, Д.1, К.1, 74</t>
  </si>
  <si>
    <t>ООО ЗИПДИП РУ</t>
  </si>
  <si>
    <t>123007, Г.МОСКВА, ВН.ТЕР.Г. МУНИЦИПАЛЬНЫЙ ОКРУГ ХОРОШЕВСКИЙ, УЛ 4-Я МАГИСТРАЛЬНАЯ, Д. 5, СТР. 5, ПОМЕЩ. 1, КОМ. 14</t>
  </si>
  <si>
    <t>ООО МРГ МОТОРС</t>
  </si>
  <si>
    <t>108813, Г.МОСКВА, ВН.ТЕР.Г. МУНИЦИПАЛЬНЫЙ ОКРУГ ФИЛИМОНКОВСКИЙ, Г. МОСКОВСКИЙ, УЛ РАДУЖНАЯ, Д. 19, К. 3</t>
  </si>
  <si>
    <t>ИП УСТИНОВ АЛЕКСЕЙ РУСЛАНОВИЧ</t>
  </si>
  <si>
    <t>ИП ПАНТЕЛЕЕВ МАКСИМ ГРИГОРЬЕВИЧ</t>
  </si>
  <si>
    <t>ООО КОМПУС</t>
  </si>
  <si>
    <t>117321, Г.МОСКВА, УЛ ОСТРОВИТЯНОВА, 26, 2, КВАРТИРА 184</t>
  </si>
  <si>
    <t>ООО ГРАНД ЛОГИСТИК</t>
  </si>
  <si>
    <t>117246, Г.МОСКВА, ВН.ТЕР.Г. МУНИЦИПАЛЬНЫЙ ОКРУГ ЧЕРЕМУШКИ, ПРОЕЗД НАУЧНЫЙ, Д. 8, СТР. 1, ОФИС 605</t>
  </si>
  <si>
    <t>ООО ВМ ЭКСТРИМ</t>
  </si>
  <si>
    <t>117342, Г.МОСКВА, УЛ БУТЛЕРОВА, Д. 17Б, ЭТ 2 ПОМ XI КОМ 58 (РМ 34)</t>
  </si>
  <si>
    <t>ООО РУСНЕФТЕГАЗ ТРЕЙДИНГ</t>
  </si>
  <si>
    <t>115487, Г.МОСКВА, ВН.ТЕР.Г. МУНИЦИПАЛЬНЫЙ ОКРУГ НАГАТИНО-САДОВНИКИ, УЛ НАГАТИНСКАЯ, Д. 16, ПОМЕЩ. 1/21В/10</t>
  </si>
  <si>
    <t>ООО ОКЕАН</t>
  </si>
  <si>
    <t>117246, Г.МОСКВА, ПР-Д НАУЧНЫЙ, Д. 12, ЭТ 1 КОМ 10</t>
  </si>
  <si>
    <t>117630, Г.МОСКВА, ВН.ТЕР.Г. МУНИЦИПАЛЬНЫЙ ОКРУГ ОБРУЧЕВСКИЙ, Ш СТАРОКАЛУЖСКОЕ, Д. 65, ПОМЕЩ. 2/1</t>
  </si>
  <si>
    <t>ООО СУПРИМ ЛУБРИКАНТС</t>
  </si>
  <si>
    <t>127273, Г.МОСКВА, ВН.ТЕР.Г. МУНИЦИПАЛЬНЫЙ ОКРУГ ОТРАДНОЕ, УЛ ОТРАДНАЯ, Д. 2Б, СТР. 9</t>
  </si>
  <si>
    <t>ООО АЛАСТАР</t>
  </si>
  <si>
    <t>108811, Г.МОСКВА, ВН.ТЕР.Г. МУНИЦИПАЛЬНЫЙ ОКРУГ КОММУНАРКА, УЛ. АДМИРАЛА КОРНИЛОВА, Д. 55, СТР. 1</t>
  </si>
  <si>
    <t>ООО АЛЛЕЯ ГРУПП</t>
  </si>
  <si>
    <t>117279, Г.МОСКВА, УЛ ПРОФСОЮЗНАЯ, Д. 93А, Э 4 ПОМ 1 КОМН 18В</t>
  </si>
  <si>
    <t>ООО ЛУБ ГРУПП</t>
  </si>
  <si>
    <t>117342, Г.МОСКВА, УЛ БУТЛЕРОВА, Д. 17, ЭТ 3 КОМ 158</t>
  </si>
  <si>
    <t>ООО АЛПАРТ</t>
  </si>
  <si>
    <t>117574, Г.МОСКВА, УЛ ВИЛЬНЮССКАЯ, Д. 7, К. 2, КВ. 353</t>
  </si>
  <si>
    <t>ООО АВАНТАЙМ</t>
  </si>
  <si>
    <t>117292, Г.МОСКВА, УЛ ДМИТРИЯ УЛЬЯНОВА, Д.7Б</t>
  </si>
  <si>
    <t>ООО РОКАДА</t>
  </si>
  <si>
    <t>107076, Г.МОСКВА, ПЕР КОЛОДЕЗНЫЙ, Д. 3, СТР. 25, ОФИС 5209</t>
  </si>
  <si>
    <t>ООО ВЕКТОР АВТО</t>
  </si>
  <si>
    <t>117303, Г.МОСКВА, УЛ КАХОВКА, Д. 11, К. 1</t>
  </si>
  <si>
    <t>ООО  АБС-АВТО СТОЛИЦА</t>
  </si>
  <si>
    <t>117342, Г.МОСКВА, ВН.ТЕР.Г. МУНИЦИПАЛЬНЫЙ ОКРУГ КОНЬКОВО, УЛ БУТЛЕРОВА, Д. 17, КОМ 118</t>
  </si>
  <si>
    <t>ООО ДОК</t>
  </si>
  <si>
    <t>117342, Г.МОСКВА, ВН.ТЕР.Г. МУНИЦИПАЛЬНЫЙ ОКРУГ КОНЬКОВО, УЛ БУТЛЕРОВА, Д. 17, ПОМЕЩ. 160/3</t>
  </si>
  <si>
    <t>ООО ЭКСЛТРЕЙД</t>
  </si>
  <si>
    <t>127495, Г.МОСКВА, ВН.ТЕР.Г. МУНИЦИПАЛЬНЫЙ ОКРУГ СЕВЕРНЫЙ, Ш ДМИТРОВСКОЕ, Д. 163А, К. 2</t>
  </si>
  <si>
    <t>117574, Г.МОСКВА, ПР-КТ НОВОЯСЕНЕВСКИЙ, ВЛД 4А, СТР.1</t>
  </si>
  <si>
    <t>ИП ПУЧКОВ ПАВЕЛ ЮРЬЕВИЧ</t>
  </si>
  <si>
    <t>ИП ОСТРЯКОВ АЛЕКСЕЙ ВАСИЛЬЕВИЧ</t>
  </si>
  <si>
    <t>ИП ВОЛОБУЕВА КАРИНА АЛЕКСАНДРОВНА</t>
  </si>
  <si>
    <t>ООО ИМПОРТ ОЙЛ ГРУПП</t>
  </si>
  <si>
    <t>121471, Г.МОСКВА, УЛ РЯБИНОВАЯ, Д. 28А, СТР. 1, ЭТ 3 ПОМ I КОМ 11,13</t>
  </si>
  <si>
    <t>ООО ДЕЛЬФИ-АВТО</t>
  </si>
  <si>
    <t>119633, Г.МОСКВА, ВН.ТЕР.Г. МУНИЦИПАЛЬНЫЙ ОКРУГ НОВО-ПЕРЕДЕЛКИНО, УЛ НОВОПЕРЕДЕЛКИНСКАЯ, Д. 6, КВ. 59</t>
  </si>
  <si>
    <t>ООО КИРЭЙ</t>
  </si>
  <si>
    <t>123112, Г.МОСКВА, ВН.ТЕР.Г. МУНИЦИПАЛЬНЫЙ ОКРУГ ПРЕСНЕНСКИЙ, НАБ ПРЕСНЕНСКАЯ, Д. 12, ПОМЕЩ. 8/17</t>
  </si>
  <si>
    <t>ООО МРСВ</t>
  </si>
  <si>
    <t>121165, Г.МОСКВА, УЛ СТУДЕНЧЕСКАЯ, Д. 26, ПОД. ПОМ. I КАБ.11</t>
  </si>
  <si>
    <t>ООО АБИКАР</t>
  </si>
  <si>
    <t>121596, Г.МОСКВА, ВН.ТЕР.Г. МУНИЦИПАЛЬНЫЙ ОКРУГ МОЖАЙСКИЙ, УЛ ГОРБУНОВА, Д. 2, СТР. 3, ЭТАЖ/ПОМЕЩЕНИЕ 3/II, КОМНАТА/ОФИС 19/А03</t>
  </si>
  <si>
    <t>ИП ХАЗИПОВ ВЛАДИМИР РАФАИЛОВИЧ</t>
  </si>
  <si>
    <t>ИП ШАКЛЕИН ИВАН КОНСТАНТИНОВИЧ</t>
  </si>
  <si>
    <t>119602, РОССИЯ, Г.МОСКВА, ВН.ТЕР.Г. МУНИЦИПАЛЬНЫЙ ОКРУГ ТРОПАРЕВО-НИКУЛИНО, УЛ ТРОПАРЁВСКАЯ, ВЛД. 4</t>
  </si>
  <si>
    <t>ООО АВИАФЛЮИД ИНТЕРНЕШНЛ</t>
  </si>
  <si>
    <t>125493, Г.МОСКВА, УЛ ФЛОТСКАЯ, Д.5, К.А, ОФ.514</t>
  </si>
  <si>
    <t>ООО ПОГРУЗЧИК</t>
  </si>
  <si>
    <t>115404, Г.МОСКВА, ВН.ТЕР.Г. МУНИЦИПАЛЬНЫЙ ОКРУГ БИРЮЛЕВО ВОСТОЧНОЕ, УЛ РЯЖСКАЯ, Д. 13, К. 1, ПОМЕЩ. I ЭТАЖ 2, КОМ. 45</t>
  </si>
  <si>
    <t>ООО СТАРКРАФТ ЦЕНТР</t>
  </si>
  <si>
    <t>121099, Г.МОСКВА, УЛ НОВЫЙ АРБАТ, Д. 31/12, КВ. 87</t>
  </si>
  <si>
    <t>ООО ЭДА</t>
  </si>
  <si>
    <t>115114, Г.МОСКВА, ВН.ТЕР.Г. МУНИЦИПАЛЬНЫЙ ОКРУГ ДАНИЛОВСКИЙ, НАБ ДЕРБЕНЕВСКАЯ, Д. 7, СТР. 22</t>
  </si>
  <si>
    <t>ООО АРЕС АВТО</t>
  </si>
  <si>
    <t>115142, Г.МОСКВА, ВН.ТЕР.Г. МУНИЦИПАЛЬНЫЙ ОКРУГ НАГАТИНСКИЙ ЗАТОН, УЛ РЕЧНИКОВ, Д. 29, СТР. 3, ПОМЕЩ. 5</t>
  </si>
  <si>
    <t>ООО ВИРЗИНД</t>
  </si>
  <si>
    <t>129226, Г.МОСКВА, ВН.ТЕР.Г. МУНИЦИПАЛЬНЫЙ ОКРУГ РОСТОКИНО, ПР-КТ МИРА, Д. 131, ПОМЕЩ. 3/1</t>
  </si>
  <si>
    <t>ИП КОТОВА ВИКТОРИЯ СЕРГЕЕВНА</t>
  </si>
  <si>
    <t>ИП МОРОЗОВ ДМИТРИЙ АЛЕКСАНДРОВИЧ</t>
  </si>
  <si>
    <t>ООО АРЕС ОЙЛ</t>
  </si>
  <si>
    <t>111673, Г.МОСКВА, ВН.ТЕР.Г. МУНИЦИПАЛЬНЫЙ ОКРУГ НОВОКОСИНО, УЛ СУЗДАЛЬСКАЯ, Д. 8, К. 1, КВ. 153</t>
  </si>
  <si>
    <t>ООО АВТО-МС</t>
  </si>
  <si>
    <t>115280, Г.МОСКВА, ПР-Д 1-Й АВТОЗАВОДСКИЙ, Д. 4, К. 1, ОФИС 10</t>
  </si>
  <si>
    <t>ООО ОПТТОРГ</t>
  </si>
  <si>
    <t>115114, Г.МОСКВА, ВН.ТЕР.Г. МУНИЦИПАЛЬНЫЙ ОКРУГ ДАНИЛОВСКИЙ, НАБ ДЕРБЕНЕВСКАЯ, Д. 7, СТР. 2, ЭТАЖ 3, ПОМЕЩ. I КОМН. 35 (РМ285)</t>
  </si>
  <si>
    <t>ООО СПЕЦПОШИВ</t>
  </si>
  <si>
    <t>117105, Г.МОСКВА, ВН.ТЕР.Г. МУНИЦИПАЛЬНЫЙ ОКРУГ ДОНСКОЙ, Ш ВАРШАВСКОЕ, Д. 25А, СТР. 6</t>
  </si>
  <si>
    <t>ИП САЗАНОВСКИЙ АНДРЕЙ СЕРГЕЕВИЧ</t>
  </si>
  <si>
    <t>ООО ЭКСЕЛЕНТ ТУЛС</t>
  </si>
  <si>
    <t>117149, Г.МОСКВА, УЛ АЗОВСКАЯ, Д. 6, К. 3, БЛОК 8/3</t>
  </si>
  <si>
    <t>ООО ДЖАПАНКАРС</t>
  </si>
  <si>
    <t>105066, Г.МОСКВА, ВН.ТЕР.Г. МУНИЦИПАЛЬНЫЙ ОКРУГ БАСМАННЫЙ, УЛ СТАРАЯ БАСМАННАЯ, Д. 22, К. А, СТР. 3, ПОМЕЩ. V, КОМ. 1</t>
  </si>
  <si>
    <t>117105, РОССИЯ, Г.МОСКВА, ВН.ТЕР.Г. МУНИЦИПАЛЬНЫЙ ОКРУГ ДОНСКОЙ, Ш ВАРШАВСКОЕ, Д. 1А, ЭТАЖ/ПОМЕЩ. -1/1, КОМ. 134В</t>
  </si>
  <si>
    <t>ИП БАЛЬБЕРЮС РОМАС КАЗЕВИЧ</t>
  </si>
  <si>
    <t>ООО АВТОРУС-М</t>
  </si>
  <si>
    <t>117587, Г.МОСКВА, Ш ВАРШАВСКОЕ, Д. 125, СТР. 1, КОМ. 33</t>
  </si>
  <si>
    <t>ООО  АКВАКЛИНИНГ ЦЕНТР</t>
  </si>
  <si>
    <t>111033, Г.МОСКВА, ВН.ТЕР.Г. МУНИЦИПАЛЬНЫЙ ОКРУГ ЛЕФОРТОВО, ПРОЕЗД ТАМОЖЕННЫЙ, Д. 6, СТР. 3</t>
  </si>
  <si>
    <t>АО ГПФК</t>
  </si>
  <si>
    <t>107078, Г.МОСКВА, ПЕР ДОКУЧАЕВ, Д.3, СТР.1</t>
  </si>
  <si>
    <t>ИП РОЩИН СЕРГЕЙ ВИКТОРОВИЧ</t>
  </si>
  <si>
    <t>ООО АВТОРУСЬ РИТЕЙЛ</t>
  </si>
  <si>
    <t>117186, Г.МОСКВА, ВН.ТЕР.Г. МУНИЦИПАЛЬНЫЙ ОКРУГ КОТЛОВКА, УЛ НАГОРНАЯ, Д. 33, К. 1, КОМ. 18 ЭТАЖ 2</t>
  </si>
  <si>
    <t>ОООТЕХНОСОЖ</t>
  </si>
  <si>
    <t>117628, Г.МОСКВА, УЛ КУЛИКОВСКАЯ, Д. 12, ОФИС 522</t>
  </si>
  <si>
    <t>ООО ЭЛЕМЕНТ-М</t>
  </si>
  <si>
    <t>117042, Г.МОСКВА, УЛ АДМИРАЛА РУДНЕВА, Д. 2, ПОМЕЩ. 17 КОМНАТА 605</t>
  </si>
  <si>
    <t>ИП СПИВАКОВА ИРИНА ВИКТОРОВНА</t>
  </si>
  <si>
    <t>ИП СЕНЬКИН ЮРИЙ ВЛАДИМИРОВИЧ</t>
  </si>
  <si>
    <t>ООО ТЕНДЕР СЕРВИС</t>
  </si>
  <si>
    <t>117628, Г.МОСКВА, УЛ РАТНАЯ, Д. 8, К. 2, Э 1 ПОМ I К 3А ОФ 2</t>
  </si>
  <si>
    <t>ООО КОСМОПАРТ</t>
  </si>
  <si>
    <t>121353, Г.МОСКВА, ВН.ТЕР.Г. МУНИЦИПАЛЬНЫЙ ОКРУГ МОЖАЙСКИЙ, КМ МКАД 53-Й, Д. 6</t>
  </si>
  <si>
    <t>ООО ИНПЛЕЙС ГРУПП</t>
  </si>
  <si>
    <t>117628, РОССИЯ, Г.МОСКВА, ВН.ТЕР.Г. МУНИЦИПАЛЬНЫЙ ОКРУГ СЕВЕРНОЕ БУТОВО, УЛ СТАРОБИТЦЕВСКАЯ, Д. 21, К. 1, КВ. 73</t>
  </si>
  <si>
    <t>105082, РОССИЯ, Г.МОСКВА, ВН.ТЕР.Г. МУНИЦИПАЛЬНЫЙ ОКРУГ БАСМАННЫЙ, ПЕР РУБЦОВ, Д. 4, ПОМЕЩ. 15П</t>
  </si>
  <si>
    <t>ООО ПЛАНЕТА-СМ</t>
  </si>
  <si>
    <t>129090, РОССИЯ, Г.МОСКВА, ВН.ТЕР.Г. МУНИЦИПАЛЬНЫЙ ОКРУГ МЕЩАНСКИЙ, УЛ ЩЕПКИНА, Д. 28, ПОМЕЩ. 2/5</t>
  </si>
  <si>
    <t>ИП ВОЛОСОВ ТИХОН АЛЕКСАНДРОВИЧ</t>
  </si>
  <si>
    <t>ООО МЕТАКУЛ</t>
  </si>
  <si>
    <t>117218, Г.МОСКВА, ВН.ТЕР.Г. МУНИЦИПАЛЬНЫЙ ОКРУГ АКАДЕМИЧЕСКИЙ, УЛ НОВОЧЕРЁМУШКИНСКАЯ, Д. 24, КВ. 117</t>
  </si>
  <si>
    <t>ООО ОПТИМУМ ТРЕЙДИНГ</t>
  </si>
  <si>
    <t>117452, Г.МОСКВА, ПР-КТ БАЛАКЛАВСКИЙ, Д. 26</t>
  </si>
  <si>
    <t>ИП ПОПОВ АЛЕКСАНДР АЛЕКСАНДРОВИЧ</t>
  </si>
  <si>
    <t>ООО КИМС</t>
  </si>
  <si>
    <t>117036, Г.МОСКВА, УЛ КЕДРОВА, Д. 15, ЭТ 1 ПОМ 3 КОМ 9</t>
  </si>
  <si>
    <t>ИП ТРЫШКИН АНДРЕЙ АЛЕКСАНДРОВИЧ</t>
  </si>
  <si>
    <t>ООО НПП ПЛАСМА</t>
  </si>
  <si>
    <t>115404, Г.МОСКВА, УЛ 1-Я СТЕКОЛЬНАЯ, Д.7, СТР.8А</t>
  </si>
  <si>
    <t>ИП ЖУЧКОВ АЛЕКСАНДР БОРИСОВИЧ</t>
  </si>
  <si>
    <t>ЧОУ ОО МШСО</t>
  </si>
  <si>
    <t>117485, Г.МОСКВА, УЛ ПРОФСОЮЗНАЯ, Д.92</t>
  </si>
  <si>
    <t>ИП ХАМИДУЛЛИН ТИМУР РАВИЛЬЕВИЧ</t>
  </si>
  <si>
    <t>ООО СМАРТПАРТС</t>
  </si>
  <si>
    <t>117630, Г.МОСКВА, ВН.ТЕР.Г. МУНИЦИПАЛЬНЫЙ ОКРУГ ОБРУЧЕВСКИЙ, Ш СТАРОКАЛУЖСКОЕ, Д. 62, ПОМЕЩ. 48/1/4</t>
  </si>
  <si>
    <t>ООО ГЕОЛИТ</t>
  </si>
  <si>
    <t>117437, Г.МОСКВА, ВН.ТЕР.Г. МУНИЦИПАЛЬНЫЙ ОКРУГ КОНЬКОВО, УЛ АКАДЕМИКА АРЦИМОВИЧА, Д. 17, ПОМЕЩ. 3/1</t>
  </si>
  <si>
    <t>ООО СТИНГЕР</t>
  </si>
  <si>
    <t>117198, Г.МОСКВА, УЛ МИКЛУХО-МАКЛАЯ, Д. 13, ЭТ 1 ПОМ I КОМ 1</t>
  </si>
  <si>
    <t>ООО  АВТОРУСЬ БУТОВО</t>
  </si>
  <si>
    <t>117042, Г.МОСКВА, ПР-Д ЧЕЧЁРСКИЙ, Д. 1</t>
  </si>
  <si>
    <t>ООО САНИ</t>
  </si>
  <si>
    <t>119421, Г.МОСКВА, ПР-КТ ЛЕНИНСКИЙ, Д. 105, К. 4, СЕКЦИЯ 3 КАБ 20</t>
  </si>
  <si>
    <t>ИП ДАВИДОВСКИЙ ДМИТРИЙ ЛЕОНИДОВИЧ</t>
  </si>
  <si>
    <t>ИП КУДРЯВЦЕВ ЕВГЕНИЙ ЮРЬЕВИЧ</t>
  </si>
  <si>
    <t>ООО ЗАПЧАСТИ.24</t>
  </si>
  <si>
    <t>117420, Г.МОСКВА, УЛ НАМЁТКИНА, Д. 14, К. 1, ПОМ/ЭТ/КОМ I/5/503</t>
  </si>
  <si>
    <t>АО ЧИП И ДИП</t>
  </si>
  <si>
    <t>129110, Г.МОСКВА, УЛ ГИЛЯРОВСКОГО, Д.39, СТР.1</t>
  </si>
  <si>
    <t>ООО ЭДВАНСОЙЛГРУПП</t>
  </si>
  <si>
    <t>119049, РОССИЯ, Г.МОСКВА, ВН.ТЕР.Г. МУНИЦИПАЛЬНЫЙ ОКРУГ ЯКИМАНКА, УЛ БОЛЬШАЯ ЯКИМАНКА, Д. 35, СТР. 1, ПОМЕЩ. 1/3</t>
  </si>
  <si>
    <t>ИП БОЛОТСКИХ ИВАН АЛЕКСАНДРОВИЧ</t>
  </si>
  <si>
    <t>ИП ЛАВНЕЕВА АННА АЛЕКСАНДРОВНА</t>
  </si>
  <si>
    <t>ООО ПОДОЛЬСКАЯ НЕФТЯНАЯ КОМПАНИЯ</t>
  </si>
  <si>
    <t>108824, Г.МОСКВА, ВН.ТЕР.Г. МУНИЦИПАЛЬНЫЙ ОКРУГ ЩЕРБИНКА, КВ-Л 91, Д. 5, СТР. 6</t>
  </si>
  <si>
    <t>ИП СМИРНОВА ТАТЬЯНА ГЕННАДЬЕВНА</t>
  </si>
  <si>
    <t>ИП ЕПИФАНОВ ВЛАДИСЛАВ СЕРГЕЕВИЧ</t>
  </si>
  <si>
    <t>АО АВТОФОРМУЛА</t>
  </si>
  <si>
    <t>117449, РОССИЯ, Г.МОСКВА, ВН.ТЕР.Г. МУНИЦИПАЛЬНЫЙ ОКРУГ АКАДЕМИЧЕСКИЙ, УЛ ШВЕРНИКА, Д. 18, К. 1, ПОМЕЩ. 3П</t>
  </si>
  <si>
    <t>ОООСПЕЦМАШЦЕНТР</t>
  </si>
  <si>
    <t>129226, Г.МОСКВА, ВН.ТЕР.Г. МУНИЦИПАЛЬНЫЙ ОКРУГ РОСТОКИНО, УЛ ВИЛЬГЕЛЬМА ПИКА, Д. 11, ПОМЕЩ. 1316</t>
  </si>
  <si>
    <t>ИП КУПЦОВ ДМИТРИЙ ВЛАДИМИРОВИЧ</t>
  </si>
  <si>
    <t>ИП АХУНЬЯНОВ ИЛЬФАТ МИРЗИЯНОВИЧ</t>
  </si>
  <si>
    <t>ИП ЯНЕНКО АЛЕКСАНДР ОЛЕГОВИЧ</t>
  </si>
  <si>
    <t>ИП ПИКАЛОВА ЕЛЕНА ИВАНОВНА</t>
  </si>
  <si>
    <t>ООО ФОРСАЖ ЮГ</t>
  </si>
  <si>
    <t>111024, РОССИЯ, Г.МОСКВА, ВН.ТЕР.Г. МУНИЦИПАЛЬНЫЙ ОКРУГ ЛЕФОРТОВО, УЛ АВИАМОТОРНАЯ, Д. 50, СТР. 2, ПОМЕЩ. 48/2</t>
  </si>
  <si>
    <t>ИП КАЗАНЦЕВА КСЕНИЯ ЮРЬЕВНА</t>
  </si>
  <si>
    <t>ИП ЗУЙКОВА ОЛЬГА ИВАНОВНА</t>
  </si>
  <si>
    <t>ИП НИЗАМОВ РУСЛАН КАРИМОВИЧ</t>
  </si>
  <si>
    <t>ИП ДЕККЕР ЛЮБОВЬ АЛЕКСАНДРОВНА</t>
  </si>
  <si>
    <t>ИП МАКАРЕНКОВ СЕРГЕЙ ВАСИЛЬЕВИЧ</t>
  </si>
  <si>
    <t>ИП КАУЛИНА ИРИНА АНДРЕЕВНА</t>
  </si>
  <si>
    <t>ИП САФИН ТИМУР РАИСОВИЧ</t>
  </si>
  <si>
    <t>ИП КОСТЕНКО АЛЕКСАНДР АЛЕКСАНДРОВИЧ</t>
  </si>
  <si>
    <t>ИП БРАЖИН АЛЕКСЕЙ ГЕННАДЬЕВИЧ</t>
  </si>
  <si>
    <t>ООО АВТОСАНТ</t>
  </si>
  <si>
    <t>119619, Г.МОСКВА, УЛ ПРОИЗВОДСТВЕННАЯ, Д. 23, СТР. 1, КОМ. 3</t>
  </si>
  <si>
    <t>ООО ОЙЛ-СТРИМ</t>
  </si>
  <si>
    <t>119607, Г.МОСКВА, УЛ РАМЕНКИ, Д. 9, К. 4, КВ. 653</t>
  </si>
  <si>
    <t>ООО ЭЛЕКТРОНИКА-СЕРВИС</t>
  </si>
  <si>
    <t>119330, Г.МОСКВА, УЛ ДРУЖБЫ, Д.10/32</t>
  </si>
  <si>
    <t>ООО ТОРК АВТО</t>
  </si>
  <si>
    <t>119619, Г.МОСКВА, ВН.ТЕР.Г. МУНИЦИПАЛЬНЫЙ ОКРУГ СОЛНЦЕВО, УЛ 2-Я КАРПАТСКАЯ, Д. 4, СТР. 3</t>
  </si>
  <si>
    <t>ИП БАСКОВ КОНСТАНТИН АЛЕКСАНДРОВИЧ</t>
  </si>
  <si>
    <t>ООО КОМПАНИЯ АВТОБАЗА-М</t>
  </si>
  <si>
    <t>124460, Г.МОСКВА, Г ЗЕЛЕНОГРАД, ПР-КТ ГЕНЕРАЛА АЛЕКСЕЕВА, Д. 3, СТР. 3, ПОМЕЩ. III</t>
  </si>
  <si>
    <t>ООО СОЮЗ СВ. ИОАННА ВОИНА</t>
  </si>
  <si>
    <t>119311, Г.МОСКВА, ВН.ТЕР.Г. МУНИЦИПАЛЬНЫЙ ОКРУГ РАМЕНКИ, ПР-КТ ВЕРНАДСКОГО, Д. 6</t>
  </si>
  <si>
    <t>ООО РЭС</t>
  </si>
  <si>
    <t>115191, Г.МОСКВА, ВН.ТЕР.Г. МУНИЦИПАЛЬНЫЙ ОКРУГ ДОНСКОЙ, ПЕР ДУХОВСКОЙ, Д. 17, СТР. 15, ПОМЕЩ. 12Н/2</t>
  </si>
  <si>
    <t>ООО ГРЕЙТ ВОЛЛ МОТОР РУС</t>
  </si>
  <si>
    <t>129226, Г.МОСКВА, ВН.ТЕР.Г. МУНИЦИПАЛЬНЫЙ ОКРУГ ОСТАНКИНСКИЙ, УЛ ВИЛЬГЕЛЬМА ПИКА, Д. 16</t>
  </si>
  <si>
    <t>ИП ПЕТРОВА НАТАЛЬЯ НИКОЛАЕВНА</t>
  </si>
  <si>
    <t>ООО АВТО-БУС-СЕРВИС</t>
  </si>
  <si>
    <t>121471, Г.МОСКВА, УЛ РЯБИНОВАЯ, Д. 19, ЭТ 4 ПОМ XI КОМ 5</t>
  </si>
  <si>
    <t>ООО АС ВЕКТОР</t>
  </si>
  <si>
    <t>121471, Г.МОСКВА, УЛ РЯБИНОВАЯ, Д. 55, СТР. 3</t>
  </si>
  <si>
    <t>ИП САПОЖНИКОВ ДМИТРИЙ АНДРЕЕВИЧ</t>
  </si>
  <si>
    <t>ООО НЕЙРОПРОДЖЕКТ</t>
  </si>
  <si>
    <t>127486, Г.МОСКВА, Ш КОРОВИНСКОЕ, Д. 10, СТР. 2, ЭТАЖ 1 ПОМ 101</t>
  </si>
  <si>
    <t>109004, Г.МОСКВА, ВН.ТЕР.Г. МУНИЦИПАЛЬНЫЙ ОКРУГ ТАГАНСКИЙ, УЛ АЛЕКСАНДРА СОЛЖЕНИЦЫНА, Д. 31, СТР. 1, ЭТАЖ 4,, ПОМЕЩ. I, КОМ. 5, ОФИС 403</t>
  </si>
  <si>
    <t>ООО СТАРТ ПРО</t>
  </si>
  <si>
    <t>123290, Г.МОСКВА, ТУП 1-Й МАГИСТРАЛЬНЫЙ, Д. 5А, ЭТАЖ 3 КОМН. 7</t>
  </si>
  <si>
    <t>ООО ЦЕНТАУРУС ЛУБРИКАНТС</t>
  </si>
  <si>
    <t>119285, Г.МОСКВА, ВН.ТЕР.Г. МУНИЦИПАЛЬНЫЙ ОКРУГ РАМЕНКИ, УЛ ПУДОВКИНА, Д. 4, ПОМЕЩ. 1/4</t>
  </si>
  <si>
    <t>ООО ЛМ РЕГИОН</t>
  </si>
  <si>
    <t>121059, Г.МОСКВА, НАБ БЕРЕЖКОВСКАЯ, Д. 16, К. 2, КОМ. 615</t>
  </si>
  <si>
    <t>ООО ШАКМАН РУС</t>
  </si>
  <si>
    <t>111672, РОССИЯ, Г.МОСКВА, ВН.ТЕР.Г. МУНИЦИПАЛЬНЫЙ ОКРУГ НОВОКОСИНО, УЛ СУЗДАЛЬСКАЯ, Д. 46</t>
  </si>
  <si>
    <t>ООО НПС СНАБЖЕНИЕ</t>
  </si>
  <si>
    <t>121087, РОССИЯ, Г.МОСКВА, ВН.ТЕР.Г. МУНИЦИПАЛЬНЫЙ ОКРУГ ФИЛЕВСКИЙ ПАРК, УЛ БАРКЛАЯ, Д. 6, СТР. 5, ПОМЕЩ. 1/8</t>
  </si>
  <si>
    <t>ООО МЕГАФОРЧ</t>
  </si>
  <si>
    <t>121087, РОССИЯ, Г.МОСКВА, ВН.ТЕР.Г. МУНИЦИПАЛЬНЫЙ ОКРУГ ФИЛЕВСКИЙ ПАРК, УЛ БАРКЛАЯ, Д. 6, СТР. 26</t>
  </si>
  <si>
    <t>ИП УСТИНОВ АЛЕКСАНДР ВЛАДИМИРОВИЧ</t>
  </si>
  <si>
    <t>ООО СПАРКА</t>
  </si>
  <si>
    <t>121351, Г.МОСКВА, ВН.ТЕР.Г. МУНИЦИПАЛЬНЫЙ ОКРУГ КУНЦЕВО, УЛ ЕКАТЕРИНЫ БУДАНОВОЙ, Д. 4, К. 1, ПОМЕЩ. 3П</t>
  </si>
  <si>
    <t>121614, Г.МОСКВА, УЛ КРЫЛАТСКАЯ, Д.33, К.2</t>
  </si>
  <si>
    <t>ООО ВОЛОТТЕХСТРОЙ</t>
  </si>
  <si>
    <t>121351, Г.МОСКВА, УЛ ИВАНА ФРАНКО, Д. 46, СТР. 4, ПОМЕЩ. I К 1-4 9-13</t>
  </si>
  <si>
    <t>ИП ХАЗИПОВ ЮРИЙ ВЛАДИМИРОВИЧ</t>
  </si>
  <si>
    <t>ИП МИРОШНИЧЕНКО АЛЁНА ВИКТОРОВНА</t>
  </si>
  <si>
    <t>ООО АВТОСТЕКЛОУСТАНОВКА</t>
  </si>
  <si>
    <t>111402, Г.МОСКВА, ВН.ТЕР.Г. МУНИЦИПАЛЬНЫЙ ОКРУГ ВЕШНЯКИ, УЛ КЕТЧЕРСКАЯ, Д. 13, КОМ. 14, ПОМЕЩ. 12,13</t>
  </si>
  <si>
    <t>ООО  КОЛТИ</t>
  </si>
  <si>
    <t>117403, Г.МОСКВА, ПР-Д ВОСТРЯКОВСКИЙ, Д. 10Б, СТР. 2, ЭТ 3 ПОМ 31</t>
  </si>
  <si>
    <t>ИП СМИРНОВ АЛЕКСЕЙ ЕВГЕНЬЕВИЧ</t>
  </si>
  <si>
    <t>ИП ЗИНОВЕНКОВ ВИКТОР ИВАНОВИЧ</t>
  </si>
  <si>
    <t>ИП САЗОНОВ СЕРГЕЙ ВЛАДИМИРОВИЧ</t>
  </si>
  <si>
    <t>ИП КОНОНЕНКО ЛЮДМИЛА ИВАНОВНА</t>
  </si>
  <si>
    <t>ИП ЮЖАКОВ ИГОРЬ ВАСИЛЬЕВИЧ</t>
  </si>
  <si>
    <t>ООО ОЙЛ-ЛЮБ</t>
  </si>
  <si>
    <t>125367, Г.МОСКВА, ПР-Д ПОЛЕССКИЙ, Д. 16, СТР. 1, ЭТАЖ 2; ОФИС 36</t>
  </si>
  <si>
    <t>ООО ТЕХСЕРВИС</t>
  </si>
  <si>
    <t>125222, Г.МОСКВА, ПЕР ВОЛОЦКОЙ, Д. 7</t>
  </si>
  <si>
    <t>ООО ПАРАДОКС</t>
  </si>
  <si>
    <t>117403, Г.МОСКВА, УЛ МЕЛИТОПОЛЬСКАЯ, Д. 1, К. 2, ЭТАЖ 4 ОФИС 408</t>
  </si>
  <si>
    <t>125363, Г.МОСКВА, ВН.ТЕР.Г. МУНИЦИПАЛЬНЫЙ ОКРУГ ЮЖНОЕ ТУШИНО, УЛ ФАБРИЦИУСА, Д. 30, ПОМЕЩ. 40</t>
  </si>
  <si>
    <t>125430, Г.МОСКВА, ПЕР 1-Й МИТИНСКИЙ, Д. 25, ЭТ ПОД КОМ 21</t>
  </si>
  <si>
    <t>ООО СВАНСЕР</t>
  </si>
  <si>
    <t>125367, РОССИЯ, Г.МОСКВА, ВН.ТЕР.Г. МУНИЦИПАЛЬНЫЙ ОКРУГ ПОКРОВСКОЕ-СТРЕШНЕВО, ПР-Д ПОЛЕССКИЙ, Д. 16, СТР. 1, ПОМЕЩ. 9/1/2</t>
  </si>
  <si>
    <t>ИП БОЛДЫРЕВ АНТОН ВИКТОРОВИЧ</t>
  </si>
  <si>
    <t>ИП ДЕРЮГИНА ЕКАТЕРИНА АЛЕКСАНДРОВНА</t>
  </si>
  <si>
    <t>ИП ЧИНИЛОВ СЕРГЕЙ ВИКТОРОВИЧ</t>
  </si>
  <si>
    <t>ООО ЭЙЧ ОУ-ХИПЕРЛАЙТ</t>
  </si>
  <si>
    <t>123098, Г.МОСКВА, УЛ МАКСИМОВА, Д.6, 120</t>
  </si>
  <si>
    <t>ИП ЧУХАСЬ АНДРЕЙ ИВАНОВИЧ</t>
  </si>
  <si>
    <t>ООО НПО ПРОХИМ</t>
  </si>
  <si>
    <t>123098, Г.МОСКВА, ВН.ТЕР.Г. МУНИЦИПАЛЬНЫЙ ОКРУГ ЩУКИНО, УЛ ГАМАЛЕИ, Д. 19, К. 2, ПОМЕЩ. 1/1</t>
  </si>
  <si>
    <t>ООО СДС</t>
  </si>
  <si>
    <t>123060, Г.МОСКВА, УЛ МАРШАЛА СОКОЛОВСКОГО, Д. 3, ЭТ 5 ПОМ I КОМ 3</t>
  </si>
  <si>
    <t>ИП КАРПОВ РОМАН АНДРЕЕВИЧ</t>
  </si>
  <si>
    <t>ИП ИВАНОВА СВЕТЛАНА АНАТОЛЬЕВНА</t>
  </si>
  <si>
    <t>ООО ВЕНТА ГРАНДЕ</t>
  </si>
  <si>
    <t>109559, Г.МОСКВА, ВН.ТЕР.Г. МУНИЦИПАЛЬНЫЙ ОКРУГ ЛЮБЛИНО, Б-Р ТИХОРЕЦКИЙ, Д. 1, СТР. 3, ЭТАЖ/КОМ 3/8</t>
  </si>
  <si>
    <t>121609, Г.МОСКВА, ВН.ТЕР.Г. МУНИЦИПАЛЬНЫЙ ОКРУГ КРЫЛАТСКОЕ, Ш РУБЛЁВСКОЕ, Д. 36, К. 2, ПОМЕЩ. 8/1</t>
  </si>
  <si>
    <t>ООО ПК АБСОЛЮТ</t>
  </si>
  <si>
    <t>121601, РОССИЯ, Г.МОСКВА, ВН.ТЕР.Г. МУНИЦИПАЛЬНЫЙ ОКРУГ ФИЛЕВСКИЙ ПАРК, Б-Р ФИЛЁВСКИЙ, Д. 40, ПОМЕЩ. 5А/1, ОФИС 1</t>
  </si>
  <si>
    <t>ООО ЛЕГАТ</t>
  </si>
  <si>
    <t>107497, Г.МОСКВА, УЛ ИРКУТСКАЯ, Д. 5/6, СТР. 1, ПОМЕЩ. 321</t>
  </si>
  <si>
    <t>ООО ПРОМТРУБСЕРВИС</t>
  </si>
  <si>
    <t>117342, Г.МОСКВА, УЛ ОСТРОВИТЯНОВА, Д. 41, К. 1, КВ. 399</t>
  </si>
  <si>
    <t>ИП МАКИЕВ ТЕЙМУРАЗ ВЛАДИМИРОВИЧ</t>
  </si>
  <si>
    <t>ИП ПАЛИЙ НАЗАР ВЯЧЕСЛАВОВИЧ</t>
  </si>
  <si>
    <t>ООО ПАРТС ИМПОРТ</t>
  </si>
  <si>
    <t>121353, Г.МОСКВА, ВН.ТЕР.Г. МУНИЦИПАЛЬНЫЙ ОКРУГ МОЖАЙСКИЙ, УЛ БЕЛОВЕЖСКАЯ, Д. 85, КВ. 198</t>
  </si>
  <si>
    <t>ООО ЭЙ ЭМ КВОЛИТИ</t>
  </si>
  <si>
    <t>121609, Г.МОСКВА, ВН.ТЕР.Г. МУНИЦИПАЛЬНЫЙ ОКРУГ КРЫЛАТСКОЕ, Б-Р ОСЕННИЙ, Д. 23</t>
  </si>
  <si>
    <t>ООО ЕВРОТЕК СЕРВИС</t>
  </si>
  <si>
    <t>127566, Г.МОСКВА, ВН.ТЕР.Г. МУНИЦИПАЛЬНЫЙ ОКРУГ ОТРАДНОЕ, ПРОЕЗД ВЫСОКОВОЛЬТНЫЙ, Д. 1, СТР. 49, ПОМЕЩ. 1/1</t>
  </si>
  <si>
    <t>ООО МЕБЕЛЬТОРГ</t>
  </si>
  <si>
    <t>121351, Г.МОСКВА, УЛ КУНЦЕВСКАЯ, Д.10</t>
  </si>
  <si>
    <t>ООО КОМТРАНС РИТЕЙЛ</t>
  </si>
  <si>
    <t>119602, Г.МОСКВА, ВН.ТЕР.Г. МУНИЦИПАЛЬНЫЙ ОКРУГ ТРОПАРЕВО-НИКУЛИНО, УЛ ТРОПАРЁВСКАЯ, Д. 4, СТР. 1, ПОМЕЩ. 6А/2</t>
  </si>
  <si>
    <t>ИП ГРИГОРЬЕВ АЛЕКСАНДР ВЛАДИМИРОВИЧ</t>
  </si>
  <si>
    <t>ООО ЭКОХИМТЕХ</t>
  </si>
  <si>
    <t>119311, Г.МОСКВА, ВН.ТЕР.Г. МУНИЦИПАЛЬНЫЙ ОКРУГ РАМЕНКИ, ПР-КТ ВЕРНАДСКОГО, Д. 8А</t>
  </si>
  <si>
    <t>ООО РЕНИССАНС</t>
  </si>
  <si>
    <t>125239, Г.МОСКВА, ВН.ТЕР.Г. МУНИЦИПАЛЬНЫЙ ОКРУГ КОПТЕВО, УЛ КОПТЕВСКАЯ, Д. 16, К. 2, ПОМЕЩ. IIA, КОМ. 3</t>
  </si>
  <si>
    <t>ИП КУТОВОЙ АЛЕКСЕЙ ВЛАДИМИРОВИЧ</t>
  </si>
  <si>
    <t>ИП ОСИПОВА ТАТЬЯНА ВИКТОРОВНА</t>
  </si>
  <si>
    <t>АО ВЕСТИНТЕРТРАНС</t>
  </si>
  <si>
    <t>127549, Г.МОСКВА, ВН.ТЕР.Г. МУНИЦИПАЛЬНЫЙ ОКРУГ АЛТУФЬЕВСКИЙ, УЛ БИБИРЕВСКАЯ, Д. 2, К. 1, ПОМЕЩ. 4</t>
  </si>
  <si>
    <t>ООО ФОРТРАКС</t>
  </si>
  <si>
    <t>125371, Г.МОСКВА, ВН.ТЕР.Г. МУНИЦИПАЛЬНЫЙ ОКРУГ ПОКРОВСКОЕ-СТРЕШНЕВО, ПР-Д 1-Й ТУШИНСКИЙ, Д. 6, К. 1, ПОМЕЩ. 3Ц</t>
  </si>
  <si>
    <t>ООО ТЕХНОСТРОЙ</t>
  </si>
  <si>
    <t>125424, Г.МОСКВА, Ш ВОЛОКОЛАМСКОЕ, Д. 73, ПОДВАЛ ПОМ. I КОМ. 96-99</t>
  </si>
  <si>
    <t>ООО ЭНЕРДЖИС</t>
  </si>
  <si>
    <t>125480, Г.МОСКВА, УЛ ВИЛИСА ЛАЦИСА, Д. 42, КВ. 70</t>
  </si>
  <si>
    <t>ООО ПЛАЦЕБО ПАРТС</t>
  </si>
  <si>
    <t>125310, Г.МОСКВА, УЛ БАРЫШИХА, Д. 50, КВ. 65</t>
  </si>
  <si>
    <t>ООО НДГС</t>
  </si>
  <si>
    <t>125363, РОССИЯ, Г.МОСКВА, ВН.ТЕР.Г. МУНИЦИПАЛЬНЫЙ ОКРУГ ЮЖНОЕ ТУШИНО, УЛ ЛОДОЧНАЯ, Д. 6, СТР. 5, ПОМЕЩ. 2/1</t>
  </si>
  <si>
    <t>ООО ФОРМУЛА ДВИЖЕНИЯ</t>
  </si>
  <si>
    <t>125222, РОССИЯ, Г.МОСКВА, ВН.ТЕР.Г. МУНИЦИПАЛЬНЫЙ ОКРУГ МИТИНО, УЛ ГЕНЕРАЛА БЕЛОБОРОДОВА, Д. 18, ПОМЕЩ. 2/1</t>
  </si>
  <si>
    <t>ООО НОВАТОР</t>
  </si>
  <si>
    <t>125367, РОССИЯ, Г.МОСКВА, ВН.ТЕР.Г. МУНИЦИПАЛЬНЫЙ ОКРУГ ПОКРОВСКОЕ-СТРЕШНЕВО, ПР-Д ПОЛЕССКИЙ, Д. 16, СТР. 1, ПОМЕЩ. 36/1/2</t>
  </si>
  <si>
    <t>ООО МОСТОПМАРКЕТ</t>
  </si>
  <si>
    <t>125362, РОССИЯ, Г.МОСКВА, ВН.ТЕР.Г. МУНИЦИПАЛЬНЫЙ ОКРУГ ЮЖНОЕ ТУШИНО, УЛ СВОБОДЫ, Д. 35, СТР. 43, ПОМЕЩ. 92/3</t>
  </si>
  <si>
    <t>ООО АВТОВАЙТ</t>
  </si>
  <si>
    <t>125367, РОССИЯ, Г.МОСКВА, ВН.ТЕР.Г. МУНИЦИПАЛЬНЫЙ ОКРУГ ПОКРОВСКОЕ-СТРЕШНЕВО, ПР-Д ВРАЧЕБНЫЙ, Д. 10, ПОМЕЩ. 1/1</t>
  </si>
  <si>
    <t>ООО НЕФТЕПРОМСЕРВИС</t>
  </si>
  <si>
    <t>125364, Г.МОСКВА, УЛ СВОБОДЫ, Д. 61, К. 1, ПОМЕЩ. 26В</t>
  </si>
  <si>
    <t>ООО КОМАЦУ СНГ</t>
  </si>
  <si>
    <t>123060, Г.МОСКВА, ПР-Д 1-Й ВОЛОКОЛАМСКИЙ, Д. 10</t>
  </si>
  <si>
    <t>107113, Г.МОСКВА, УЛ МАЛЕНКОВСКАЯ, Д. 32, СТР. 2</t>
  </si>
  <si>
    <t>ИП ШАЙДУЛИН ЯКОВ МАРАТОВИЧ</t>
  </si>
  <si>
    <t>ИП ПАНФИЛОВА ЕВГЕНИЯ ВАЛЕРЬЕВНА</t>
  </si>
  <si>
    <t>ИП ПАНФИЛОВ ПАВЕЛ ИГОРЕВИЧ</t>
  </si>
  <si>
    <t>125480, Г.МОСКВА, ВН.ТЕР.Г. МУНИЦИПАЛЬНЫЙ ОКРУГ СЕВЕРНОЕ ТУШИНО, УЛ ТУРИСТСКАЯ, Д. 20, К. 2, КВ. 146, КАБ. 3</t>
  </si>
  <si>
    <t>ООО МБКАР</t>
  </si>
  <si>
    <t>125424, Г.МОСКВА, Ш ВОЛОКОЛАМСКОЕ, Д. 108, ПОМЕЩ. VIII КОМ. 3 ОФИС 10</t>
  </si>
  <si>
    <t>ООО УТС</t>
  </si>
  <si>
    <t>125627, Г.МОСКВА, УЛ СОКОЛОВО-МЕЩЕРСКАЯ, Д. 34, 41</t>
  </si>
  <si>
    <t>ООО КОМПАНИЯ ТЕХНОТРЕЙД</t>
  </si>
  <si>
    <t>125476, Г.МОСКВА, УЛ ВАСИЛИЯ ПЕТУШКОВА, Д. 8, ЭТАЖ 3 ПОМЕЩ 340</t>
  </si>
  <si>
    <t>ИП КИРСАНОВ СЕРГЕЙ АЛЕКСАНДРОВИЧ</t>
  </si>
  <si>
    <t>ООО ТРЕКМАРК</t>
  </si>
  <si>
    <t>123007, Г.МОСКВА, ВН.ТЕР.Г. МУНИЦИПАЛЬНЫЙ ОКРУГ ХОРОШЕВСКИЙ, УЛ 1-Я МАГИСТРАЛЬНАЯ, Д. 18, СТР. 1</t>
  </si>
  <si>
    <t>ООО РАВТА ТРЕЙД</t>
  </si>
  <si>
    <t>108811, Г.МОСКВА, ВН.ТЕР.Г. МУНИЦИПАЛЬНЫЙ ОКРУГ СОЛНЦЕВО, Ш. КИЕВСКОЕ, КМ 22-Й, Д. 4, СТР. 1, БЛОК А, ОФИС 722А</t>
  </si>
  <si>
    <t>ООО БВБ-АЛЬЯНС-МОСКВА</t>
  </si>
  <si>
    <t>123308, Г.МОСКВА, ВН.ТЕР.Г. МУНИЦИПАЛЬНЫЙ ОКРУГ ХОРОШЕВО-МНЕВНИКИ, УЛ МНЁВНИКИ, Д. 6, ПОМЕЩ. 4/1</t>
  </si>
  <si>
    <t>121087, Г.МОСКВА, ВН.ТЕР.Г. МУНИЦИПАЛЬНЫЙ ОКРУГ ФИЛЕВСКИЙ ПАРК, УЛ БАРКЛАЯ, Д. 6, СТР. 5, ПОМЕЩ. 2А/4</t>
  </si>
  <si>
    <t>ООО НАГЕЛЬ</t>
  </si>
  <si>
    <t>123308, РОССИЯ, Г.МОСКВА, ВН.ТЕР.Г. МУНИЦИПАЛЬНЫЙ ОКРУГ ХОРОШЕВО-МНЕВНИКИ, УЛ 3-Я ХОРОШЁВСКАЯ, Д. 2, СТР. 1, ЭТАЖ 6/ПОМ. I/ОФИС 14</t>
  </si>
  <si>
    <t>ООО АНТАР КПП</t>
  </si>
  <si>
    <t>123298, РОССИЯ, Г.МОСКВА, ВН.ТЕР.Г. МУНИЦИПАЛЬНЫЙ ОКРУГ ХОРОШЕВО-МНЕВНИКИ, УЛ 3-Я ХОРОШЁВСКАЯ, Д. 18, К. 1</t>
  </si>
  <si>
    <t>ООО КАРСУ</t>
  </si>
  <si>
    <t>123181, РОССИЯ, Г.МОСКВА, ВН.ТЕР.Г. МУНИЦИПАЛЬНЫЙ ОКРУГ СТРОГИНО, ПР-Д НЕМАНСКИЙ, Д. 4, К. 2</t>
  </si>
  <si>
    <t>ООО МОТО-МАРКЕТ</t>
  </si>
  <si>
    <t>123423, Г.МОСКВА, УЛ НАРОДНОГО ОПОЛЧЕНИЯ, Д. 34, СТР. 1, ЭТАЖ 4 ОФИС 412</t>
  </si>
  <si>
    <t>ИП СУХИХ ГЕННАДИЙ АЛЕКСАНДРОВИЧ</t>
  </si>
  <si>
    <t>ИП БОРОДЯНСКИЙ ДМИТРИЙ БОРИСОВИЧ</t>
  </si>
  <si>
    <t>ИП МАНЬЖОВА ИРИНА ОЛЕГОВНА</t>
  </si>
  <si>
    <t>ИП Горбачев Юрий Валентинович</t>
  </si>
  <si>
    <t>ИП МУРАШОВА ГАЛИНА ВЛАДИМИРОВНА</t>
  </si>
  <si>
    <t>ИП СЕЛЕЗНЕВ АНДРЕЙ ГЕННАДИЕВИЧ</t>
  </si>
  <si>
    <t>ИП ШИШКИН ПАВЕЛ ВЛАДИМИРОВИЧ</t>
  </si>
  <si>
    <t>ИП РОЖКОВА ЕЛЕНА НИКОЛАЕВНА</t>
  </si>
  <si>
    <t>ООО ОЙЛРИВЕРЗ</t>
  </si>
  <si>
    <t>108809, РОССИЯ, Г.МОСКВА, ВН.ТЕР.Г. МУНИЦИПАЛЬНЫЙ ОКРУГ ВНУКОВО, П ТОЛСТОПАЛЬЦЕВО, УЛ ЧКАЛОВА, Д. 29А, СТР. 1</t>
  </si>
  <si>
    <t>ООО УК ОЛТЕКС</t>
  </si>
  <si>
    <t>119602, Г.МОСКВА, УЛ АКАДЕМИКА АНОХИНА, Д. 2, К. 2</t>
  </si>
  <si>
    <t>ООО СТ-ТРЕЙД</t>
  </si>
  <si>
    <t>115407, Г.МОСКВА, ВН.ТЕР.Г. МУНИЦИПАЛЬНЫЙ ОКРУГ НАГАТИНСКИЙ ЗАТОН, УЛ РЕЧНИКОВ, Д. 19</t>
  </si>
  <si>
    <t>ООО ЛОГЛАБ ФУЛФИЛМЕНТ</t>
  </si>
  <si>
    <t>127576, Г.МОСКВА, ВН.ТЕР.Г. МУНИЦИПАЛЬНЫЙ ОКРУГ ЛИАНОЗОВО, УЛ ИЛИМСКАЯ, Д. 5, К. 2</t>
  </si>
  <si>
    <t>ИП ГРИДНЕВ АНТОН ВЛАДИМИРОВИЧ</t>
  </si>
  <si>
    <t>ООО КОМПАНИЯ ЕВРОСМАЗ</t>
  </si>
  <si>
    <t>109387, Г.МОСКВА, УЛ ЛЮБЛИНСКАЯ, Д. 42, ЭТ 2 ОФ Л-201 КОМ 34</t>
  </si>
  <si>
    <t>ИП АЛИ-ЗАДЕ НОДИР НАСРОВИЧ</t>
  </si>
  <si>
    <t>ООО КУПИ НА ДАЧУ ЛОГИСТИК</t>
  </si>
  <si>
    <t>115114, Г.МОСКВА, ВН.ТЕР.Г. МУНИЦИПАЛЬНЫЙ ОКРУГ ДАНИЛОВСКИЙ, ПРОЕЗД 3-Й ПАВЕЛЕЦКИЙ, Д. 7, К. 1, ПОМ/ЭТАЖ VIII/ЦОКОЛЬ, ПОМЕЩ./КОМ. VIII/2</t>
  </si>
  <si>
    <t>ООО ТЕХНОМИР</t>
  </si>
  <si>
    <t>129281, Г.МОСКВА, ПР-Д ОЛОНЕЦКИЙ, Д. 4, К. 2, ЭТАЖ 4 КОМ 15</t>
  </si>
  <si>
    <t>ИП САПОЖНИКОВ АЛЕКСАНДР АНДРЕЕВИЧ</t>
  </si>
  <si>
    <t>ООО МТБР</t>
  </si>
  <si>
    <t>125171, Г.МОСКВА, ВН.ТЕР.Г. МУНИЦИПАЛЬНЫЙ ОКРУГ ВОЙКОВСКИЙ, Ш ЛЕНИНГРАДСКОЕ, Д. 16А, СТР. 3</t>
  </si>
  <si>
    <t>АО ЛАБКВЕСТ</t>
  </si>
  <si>
    <t>121059, Г.МОСКВА, НАБ БЕРЕЖКОВСКАЯ, Д. 20, СТР. 13</t>
  </si>
  <si>
    <t>ООО НВ 369</t>
  </si>
  <si>
    <t>119435, Г.МОСКВА, ВН.ТЕР.Г. МУНИЦИПАЛЬНЫЙ ОКРУГ ХАМОВНИКИ, ПЕР БОЛЬШОЙ САВВИНСКИЙ, Д. 12, СТР. 6</t>
  </si>
  <si>
    <t>ООО ФУДМАРТ</t>
  </si>
  <si>
    <t>117218, РОССИЯ, Г.МОСКВА, ВН.ТЕР.Г. МУНИЦИПАЛЬНЫЙ ОКРУГ АКАДЕМИЧЕСКИЙ, УЛ КРЖИЖАНОВСКОГО, Д. 15, К. 5, ЭТ/КОМ/ОФИС 2/201Б/ОФИС 2</t>
  </si>
  <si>
    <t>ООО ФАНЗИ КАРС</t>
  </si>
  <si>
    <t>121601, РОССИЯ, Г.МОСКВА, ВН.ТЕР.Г. МУНИЦИПАЛЬНЫЙ ОКРУГ ФИЛЕВСКИЙ ПАРК, Б-Р ФИЛЁВСКИЙ, Д. 10, К. 3</t>
  </si>
  <si>
    <t>ООО ЯСМА</t>
  </si>
  <si>
    <t>121151, РОССИЯ, Г.МОСКВА, ВН.ТЕР.Г. МУНИЦИПАЛЬНЫЙ ОКРУГ ДОРОГОМИЛОВО, УЛ БОЛЬШАЯ ДОРОГОМИЛОВСКАЯ, Д. 7, ПОМЕЩ. 10/1/6</t>
  </si>
  <si>
    <t>ООО ВИТАЛ</t>
  </si>
  <si>
    <t>121059, Г.МОСКВА, УЛ КИЕВСКАЯ, Д. 19, ЭТ 1 ПОМ I КОМ 29</t>
  </si>
  <si>
    <t>ООО ААРОН АВТО</t>
  </si>
  <si>
    <t>121087, Г.МОСКВА, ВН.ТЕР.Г. МУНИЦИПАЛЬНЫЙ ОКРУГ ФИЛЕВСКИЙ ПАРК, УЛ НОВОЗАВОДСКАЯ, Д. 12А, КОМ. 1</t>
  </si>
  <si>
    <t>ООО ПРИМУЛА</t>
  </si>
  <si>
    <t>119607, Г.МОСКВА, ПР-КТ МИЧУРИНСКИЙ, Д. 51, ЭТАЖ 4 ПОМЕЩЕНИЕ II КОМ 14</t>
  </si>
  <si>
    <t>ООО МК-ЭНЕРГОСЕТ</t>
  </si>
  <si>
    <t>121353, Г.МОСКВА, ВН.ТЕР.Г. МУНИЦИПАЛЬНЫЙ ОКРУГ МОЖАЙСКИЙ, Ш СКОЛКОВСКОЕ, Д. 31, СТР. 1</t>
  </si>
  <si>
    <t>121059, Г.МОСКВА, НАБ БЕРЕЖКОВСКАЯ, Д. 20, СТР. 19, ЭТ 2/ПОМ I/КОМ 10</t>
  </si>
  <si>
    <t>ООО АДС-АВТО</t>
  </si>
  <si>
    <t>121059, Г.МОСКВА, УЛ КИЕВСКАЯ, Д.14, СТР.1</t>
  </si>
  <si>
    <t>ООО ДИС</t>
  </si>
  <si>
    <t>121096, Г.МОСКВА, УЛ 2-Я ФИЛЕВСКАЯ, Д. 7, К. 6, ЭТАЖ 1, ПОМ.III, КОМ.6, Р.М.9</t>
  </si>
  <si>
    <t>ИП КАЗАКЕВИЧ ВАЛЕНТИН СЕРГЕЕВИЧ</t>
  </si>
  <si>
    <t>ИП ЕРМАКОВ НИКОЛАЙ НИКОЛАЕВИЧ</t>
  </si>
  <si>
    <t>ИП МАРАЕВ АНДРЕЙ СЕРГЕЕВИЧ</t>
  </si>
  <si>
    <t>ООО МБ ЗАПАД</t>
  </si>
  <si>
    <t>121357, Г.МОСКВА, УЛ ВЕРЕЙСКАЯ, Д. 29, СТР. 1, КОМ. 34</t>
  </si>
  <si>
    <t>ООО БАЙК ЛЕНД ИНЖИНИРИНГ</t>
  </si>
  <si>
    <t>121596, Г.МОСКВА, ВН.ТЕР.Г. МУНИЦИПАЛЬНЫЙ ОКРУГ МОЖАЙСКИЙ, УЛ ГОРБУНОВА, Д. 2, СТР. 3, ЭТАЖ/ПОМЕЩЕНИЕ 8/II, КОМНАТА/ОФИС 12/507</t>
  </si>
  <si>
    <t>АО  АВТОСТЕКЛОТРЕЙД</t>
  </si>
  <si>
    <t>123060, Г.МОСКВА, УЛ МАРШАЛА СОКОЛОВСКОГО, Д. 3, ЭТ/ПОМ/КОМ 3/I/21</t>
  </si>
  <si>
    <t>ИП ЛАПИН ЕГОР ВИТАЛЬЕВИЧ</t>
  </si>
  <si>
    <t>ООО АВТО-ТЕХ</t>
  </si>
  <si>
    <t>119619, Г.МОСКВА, ВН.ТЕР.Г. МУНИЦИПАЛЬНЫЙ ОКРУГ СОЛНЦЕВО, УЛ 2-Я КАРПАТСКАЯ, ДВЛД. 4, ЭТАЖ/ПОМЕЩЕНИЕ 2/III, КОМ. 25</t>
  </si>
  <si>
    <t>ИП БОЧКАРЕВ МИХАИЛ ВЛАДИМИРОВИЧ</t>
  </si>
  <si>
    <t>ООО ГЛОБАЛЬНЫЕ ТЕХНОЛОГИИ</t>
  </si>
  <si>
    <t>125363, Г.МОСКВА, ВН.ТЕР.Г. МУНИЦИПАЛЬНЫЙ ОКРУГ ЮЖНОЕ ТУШИНО, УЛ ЛОДОЧНАЯ, Д. 6, СТР. 1, ПОМЕЩ. 3Н</t>
  </si>
  <si>
    <t>ООО ОМНИКОММ СТОЛИЦА</t>
  </si>
  <si>
    <t>125466, Г.МОСКВА, ВН.ТЕР.Г. МУНИЦИПАЛЬНЫЙ ОКРУГ КУРКИНО, УЛ СОЛОВЬИНАЯ РОЩА, Д. 8, ПОМЕЩ. VI, КОМ. 1-5</t>
  </si>
  <si>
    <t>ООО ПС-11</t>
  </si>
  <si>
    <t>125368, Г.МОСКВА, УЛ БАРЫШИХА, Д. 25, К. 2, КВ. 278</t>
  </si>
  <si>
    <t>ООО ПУЛЬС</t>
  </si>
  <si>
    <t>125424, Г.МОСКВА, ВН.ТЕР.Г. МУНИЦИПАЛЬНЫЙ ОКРУГ ПОКРОВСКОЕ-СТРЕШНЕВО, Ш ВОЛОКОЛАМСКОЕ, Д. 71, К. 4, ПОМЕЩ. 70К</t>
  </si>
  <si>
    <t>ООО ПКТ</t>
  </si>
  <si>
    <t>125466, РОССИЯ, Г.МОСКВА, ВН.ТЕР.Г. МУНИЦИПАЛЬНЫЙ ОКРУГ КУРКИНО, УЛ РОДИОНОВСКАЯ, Д. 12, К. 1, ПОМЕЩ. 4/Ц</t>
  </si>
  <si>
    <t>ООО ДИГГЕР ПАРТС</t>
  </si>
  <si>
    <t>125362, РОССИЯ, Г.МОСКВА, ВН.ТЕР.Г. МУНИЦИПАЛЬНЫЙ ОКРУГ ЮЖНОЕ ТУШИНО, УЛ СВОБОДЫ, Д. 35, СТР. 5, ПОМЕЩ. 1/1</t>
  </si>
  <si>
    <t>ООО АВТО ПУЛЬС</t>
  </si>
  <si>
    <t>125481, РОССИЯ, Г.МОСКВА, ВН.ТЕР.Г. МУНИЦИПАЛЬНЫЙ ОКРУГ СЕВЕРНОЕ ТУШИНО, УЛ СВОБОДЫ, Д. 89, К. 5, ПОМЕЩ. 6/1</t>
  </si>
  <si>
    <t>ООО АЙМОЛ ЛУБРИКАНТС</t>
  </si>
  <si>
    <t>127434, Г.МОСКВА, УЛ БОЛЬШАЯ АКАДЕМИЧЕСКАЯ, Д. 44К2, ПОМЕЩ. 28Б</t>
  </si>
  <si>
    <t>ООО АТЛАНТ-М ТУШИНО</t>
  </si>
  <si>
    <t>117546, Г.МОСКВА, ПР-Д СТУПИНСКИЙ, Д. 1А, СТР. 1, ПОМ V ЭТ 2 КОМ 4</t>
  </si>
  <si>
    <t>ООО СЕВЕРНЫЙ ВЕТЕР</t>
  </si>
  <si>
    <t>125319, РОССИЯ, Г.МОСКВА, ВН.ТЕР.Г. МУНИЦИПАЛЬНЫЙ ОКРУГ АЭРОПОРТ, УЛ КОККИНАКИ, Д. 4, ПОМЕЩ. 2/1</t>
  </si>
  <si>
    <t>ИП СОЛОВЬЕВ ОЛЕГ ВАЛЕНТИНОВИЧ</t>
  </si>
  <si>
    <t>ИП ДУКО ВАЛЕРИЙ ВЛАДИМИРОВИЧ</t>
  </si>
  <si>
    <t>ИП САМАРЕЦ ЮЛИАНА ВЛАДИМИРОВНА</t>
  </si>
  <si>
    <t>ООО КОИНСИС</t>
  </si>
  <si>
    <t>125424, Г.МОСКВА, ВН.ТЕР.Г. МУНИЦИПАЛЬНЫЙ ОКРУГ ПОКРОВСКОЕ-СТРЕШНЕВО, Ш ВОЛОКОЛАМСКОЕ, Д. 73, ПОМЕЩ. 1/1</t>
  </si>
  <si>
    <t>ИП КОЛЕСНИЧЕНКО СЕРГЕЙ ИГОРЕВИЧ</t>
  </si>
  <si>
    <t>ИП СОЛОВКИН МИХАИЛ ВЛАДИМИРОВИЧ</t>
  </si>
  <si>
    <t>ИП ЛИПЧЕНОК ОЛЕГ ВЛАДИМИРОВИЧ</t>
  </si>
  <si>
    <t>ИП СЕМЕНОВА АННА СЕРГЕЕВНА</t>
  </si>
  <si>
    <t>ООО ПОРТО</t>
  </si>
  <si>
    <t>125195, Г.МОСКВА, УЛ ФЕСТИВАЛЬНАЯ, Д. 41, К. 4, ЭТ/ПОМ/КОМ 1 ПОМ II КОМ 9</t>
  </si>
  <si>
    <t>ООО ПРОЙЛ БИЗНЕС</t>
  </si>
  <si>
    <t>123098, Г.МОСКВА, УЛ ЖИВОПИСНАЯ, Д. 52, ПОДВ П II КОМ 5</t>
  </si>
  <si>
    <t>ООО ЭВОЛЮЦИОННЫЕ ТЕХНОЛОГИИ</t>
  </si>
  <si>
    <t>121552, РОССИЯ, Г.МОСКВА, ВН.ТЕР.Г. МУНИЦИПАЛЬНЫЙ ОКРУГ КРЫЛАТСКОЕ, УЛ КРЫЛАТСКАЯ, Д. 2, К. 4, ЭТАЖ 2, ПОМЕЩ. 4</t>
  </si>
  <si>
    <t>ООО ХАЙТЕК</t>
  </si>
  <si>
    <t>117418, РОССИЯ, Г.МОСКВА, ВН.ТЕР.Г. МУНИЦИПАЛЬНЫЙ ОКРУГ ЧЕРЕМУШКИ, УЛ ПРОФСОЮЗНАЯ, Д. 25А, ПОМЕЩ. 1/3</t>
  </si>
  <si>
    <t>ООО ВЕКСПАРТС</t>
  </si>
  <si>
    <t>123060, РОССИЯ, Г.МОСКВА, ВН.ТЕР.Г. МУНИЦИПАЛЬНЫЙ ОКРУГ ЩУКИНО, УЛ МАРШАЛА РЫБАЛКО, Д. 2, К. 6, ОФИС 502</t>
  </si>
  <si>
    <t>ИП КОСОЛАПОВА НАДЕЖДА ГРИГОРЬЕВНА</t>
  </si>
  <si>
    <t>ООО РАВЕНОЛ РУССЛАНД</t>
  </si>
  <si>
    <t>117418, РОССИЯ, Г.МОСКВА, ВН.ТЕР.Г. МУНИЦИПАЛЬНЫЙ ОКРУГ ЧЕРЕМУШКИ, УЛ ЦЮРУПЫ, Д. 28, ПОМЕЩ. 1/2</t>
  </si>
  <si>
    <t>ООО ПВ-ЦЕНТР</t>
  </si>
  <si>
    <t>127106, Г.МОСКВА, ВН.ТЕР.Г. МУНИЦИПАЛЬНЫЙ ОКРУГ ОТРАДНОЕ, ПРОЕЗД НОВОВЛАДЫКИНСКИЙ, Д. 8, СТР. 5</t>
  </si>
  <si>
    <t>ИП ХИТРОВА НАТАЛЬЯ ВЛАДИМИРОВНА</t>
  </si>
  <si>
    <t>ООО СТУДИЯ-24БИТ</t>
  </si>
  <si>
    <t>117624, РОССИЯ, Г.МОСКВА, ВН.ТЕР.Г. МУНИЦИПАЛЬНЫЙ ОКРУГ ЮЖНОЕ БУТОВО, УЛ ПОЛЯНЫ, Д. 5, ПОМЕЩ. 54/2</t>
  </si>
  <si>
    <t>ИП РЫЖОВ ИВАН ГЕННАДЬЕВИЧ</t>
  </si>
  <si>
    <t>ООО НАРИН</t>
  </si>
  <si>
    <t>125480, РОССИЯ, Г.МОСКВА, ВН.ТЕР.Г. МУНИЦИПАЛЬНЫЙ ОКРУГ СЕВЕРНОЕ ТУШИНО, УЛ ВИЛИСА ЛАЦИСА, Д. 15, ПОМЕЩ. 2/1</t>
  </si>
  <si>
    <t>ООО АЛГОЛ ДВ</t>
  </si>
  <si>
    <t>125315, Г.МОСКВА, ПР-Д 2-Й АМБУЛАТОРНЫЙ, Д. 10, ЭТАЖ 2 ПОМ 207</t>
  </si>
  <si>
    <t>ООО АВТОБИЗ</t>
  </si>
  <si>
    <t>121609, РОССИЯ, Г.МОСКВА, ВН.ТЕР.Г. МУНИЦИПАЛЬНЫЙ ОКРУГ КРЫЛАТСКОЕ, УЛ ОСЕННЯЯ, Д. 23, КОМ. 114А</t>
  </si>
  <si>
    <t>ООО ГОФАРУ ИНЖИНИРИНГ</t>
  </si>
  <si>
    <t>105005, РОССИЯ, Г.МОСКВА, ВН.ТЕР.Г. МУНИЦИПАЛЬНЫЙ ОКРУГ БАСМАННЫЙ, УЛ ФРИДРИХА ЭНГЕЛЬСА, Д. 25, СТР. 7, ПОМЕЩ. 1/3</t>
  </si>
  <si>
    <t>ООО ДИСКПАРТС</t>
  </si>
  <si>
    <t>123103, РОССИЯ, Г.МОСКВА, ВН.ТЕР.Г. МУНИЦИПАЛЬНЫЙ ОКРУГ ХОРОШЕВО-МНЕВНИКИ, УЛ ЖИВОПИСНАЯ, Д. 4, К. 1, КВ. 39</t>
  </si>
  <si>
    <t>ООО ДОБРОЛЕУМ</t>
  </si>
  <si>
    <t>123592, РОССИЯ, Г.МОСКВА, ВН.ТЕР.Г. МУНИЦИПАЛЬНЫЙ ОКРУГ СТРОГИНО, УЛ КУЛАКОВА, Д. 20, СТР. 1А</t>
  </si>
  <si>
    <t>123060, РОССИЯ, Г.МОСКВА, ВН.ТЕР.Г. МУНИЦИПАЛЬНЫЙ ОКРУГ ЩУКИНО, УЛ МАРШАЛА СОКОЛОВСКОГО, Д. 3, ПОМЕЩ. 4/2</t>
  </si>
  <si>
    <t>ООО СКАЙ НОРД</t>
  </si>
  <si>
    <t>127247, Г.МОСКВА, УЛ СОФЬИ КОВАЛЕВСКОЙ, Д. 1, СТР. 2, ЭТАЖ 2 КОМНАТА 1</t>
  </si>
  <si>
    <t>ООО МЕЙСТАРСРУС</t>
  </si>
  <si>
    <t>105066, Г.МОСКВА, ПЕР ДЕНИСОВСКИЙ, Д. 8/14, КВ. 20</t>
  </si>
  <si>
    <t>ИП ГИРНЯК МИХАИЛ ЯРОСЛАВОВИЧ</t>
  </si>
  <si>
    <t>ИП ГОЛОВИН АЛЕКСЕЙ АЛЕКСЕЕВИЧ</t>
  </si>
  <si>
    <t>ООО ИНТЕРЭМ</t>
  </si>
  <si>
    <t>124527, Г.МОСКВА, Г ЗЕЛЕНОГРАД, К. 828, КВ. 5</t>
  </si>
  <si>
    <t>ОООНИК-АВТО</t>
  </si>
  <si>
    <t>124460, Г.МОСКВА, Г ЗЕЛЕНОГРАД, ПР-Д 4801-Й, Д. 5</t>
  </si>
  <si>
    <t>ООО АВТОПАРТ</t>
  </si>
  <si>
    <t>124489, Г.МОСКВА, Г ЗЕЛЕНОГРАД, К. 710, КВ. 58</t>
  </si>
  <si>
    <t>ООО ГЭЛАКСИ ДИСТРИБЬЮШН</t>
  </si>
  <si>
    <t>124498, Г.МОСКВА, ВН.ТЕР.Г. МУНИЦИПАЛЬНЫЙ ОКРУГ СТАРОЕ КРЮКОВО, Г ЗЕЛЕНОГРАД, ПР-КТ ГЕОРГИЕВСКИЙ, Д. 5, СТР. 1, ПОМЕЩ. 1, ЭТАЖ 2, КОМНАТА 28</t>
  </si>
  <si>
    <t>ООО АВТОЛ</t>
  </si>
  <si>
    <t>124365, РОССИЯ, Г.МОСКВА, ВН.ТЕР.Г. МУНИЦИПАЛЬНЫЙ ОКРУГ КРЮКОВО, Г ЗЕЛЕНОГРАД, ПРОЕЗД 687-Й ПРОЕКТИРУЕМЫЙ, Д. 2, СТР. 1</t>
  </si>
  <si>
    <t>ООО ЗСЛ</t>
  </si>
  <si>
    <t>124460, РОССИЯ, Г.МОСКВА, ВН.ТЕР.Г. МУНИЦИПАЛЬНЫЙ ОКРУГ МАТУШКИНО, Г ЗЕЛЕНОГРАД, ПР-КТ ПАНФИЛОВСКИЙ, Д. 10, ПОМЕЩ. 1Н/2</t>
  </si>
  <si>
    <t>ООО МАГРОКС</t>
  </si>
  <si>
    <t>124460, РОССИЯ, Г.МОСКВА, ВН.ТЕР.Г. МУНИЦИПАЛЬНЫЙ ОКРУГ МАТУШКИНО, Г ЗЕЛЕНОГРАД, УЛ КОНСТРУКТОРА ГУСЬКОВА, Д. 8, СТР. 11, ПОМЕЩ. 7</t>
  </si>
  <si>
    <t>ИП НИПАРКО ДМИТРИЙ АНАТОЛЬЕВИЧ</t>
  </si>
  <si>
    <t>ИП КУТУЗОВА МАРИЯ СЕРГЕЕВНА</t>
  </si>
  <si>
    <t>ИП РАБИНОВИЧ БОРИС ЮРЬЕВИЧ</t>
  </si>
  <si>
    <t>ИП БЕРНАЦКИЙ ПАВЕЛ ИГОРЕВИЧ</t>
  </si>
  <si>
    <t>ООО ИСТЛАЙНСЕВЕН</t>
  </si>
  <si>
    <t>108811, Г.МОСКВА, КМ 22-Й (КИЕВСКОЕ Ш.), Д. 4, СТР. 5, ЭТ 6 БЛ Е ОФ 621Е</t>
  </si>
  <si>
    <t>119313, РОССИЯ, Г.МОСКВА, ВН.ТЕР.Г. МУНИЦИПАЛЬНЫЙ ОКРУГ ЛОМОНОСОВСКИЙ, ПР-КТ ЛЕНИНСКИЙ, Д. 86, ПОМЕЩ. 21П</t>
  </si>
  <si>
    <t>ООО СКМ</t>
  </si>
  <si>
    <t>108811, РОССИЯ, Г.МОСКВА, ВН.ТЕР.Г. МУНИЦИПАЛЬНЫЙ ОКРУГ СОЛНЦЕВО, Ш. КИЕВСКОЕ, КМ 22-Й, Д. 4, СТР. 2</t>
  </si>
  <si>
    <t>ООО ГРУППА А</t>
  </si>
  <si>
    <t>119331, РОССИЯ, Г.МОСКВА, ВН.ТЕР.Г. МУНИЦИПАЛЬНЫЙ ОКРУГ ЛОМОНОСОВСКИЙ, ПР-КТ ВЕРНАДСКОГО, Д. 29, ПОМЕЩ. 30/19</t>
  </si>
  <si>
    <t>ООО ИННЛАБ</t>
  </si>
  <si>
    <t>117449, РОССИЯ, Г.МОСКВА, ВН.ТЕР.Г. МУНИЦИПАЛЬНЫЙ ОКРУГ АКАДЕМИЧЕСКИЙ, УЛ КАРЬЕР, Д. 2, СТР. 10</t>
  </si>
  <si>
    <t>ООО КИМТ - ВЕКТОР</t>
  </si>
  <si>
    <t>119331, Г.МОСКВА, УЛ КРУПСКОЙ, Д.19/17</t>
  </si>
  <si>
    <t>ООО ЦЕНТАУРУС</t>
  </si>
  <si>
    <t>119285, Г.МОСКВА, ВН.ТЕР.Г. МУНИЦИПАЛЬНЫЙ ОКРУГ РАМЕНКИ, УЛ ПУДОВКИНА, Д. 4</t>
  </si>
  <si>
    <t>ИП БРУСЕНЦОВ ИГОРЬ ВЛАДИМИРОВИЧ</t>
  </si>
  <si>
    <t>ОООТРИТОН-ИМПОРТ</t>
  </si>
  <si>
    <t>117292, Г.МОСКВА, УЛ КРЖИЖАНОВСКОГО, Д. 3, ПОМЕЩ. I КОМ. 6 ЭТАЖ 1</t>
  </si>
  <si>
    <t>ИП ЗУЙКОВ ОЛЕГ ВЯЧЕСЛАВОВИЧ</t>
  </si>
  <si>
    <t>ООО ПРОМО ПЛАТФОРМА</t>
  </si>
  <si>
    <t>109202, Г.МОСКВА, ВН.ТЕР.Г. МУНИЦИПАЛЬНЫЙ ОКРУГ НИЖЕГОРОДСКИЙ, Ш ПЕРОВСКОЕ, Д. 12, ПОМЕЩ. 2/1</t>
  </si>
  <si>
    <t>ИП ИВАНОВ МИХАИЛ НИКОЛАЕВИЧ</t>
  </si>
  <si>
    <t>ИП НАУМОВА СВЕТЛАНА ВИКТОРОВНА</t>
  </si>
  <si>
    <t>ООО ФАТТУРА</t>
  </si>
  <si>
    <t>127018, Г.МОСКВА, ВН.ТЕР.Г. МУНИЦИПАЛЬНЫЙ ОКРУГ МАРЬИНА РОЩА, ПРОЕЗД МАРЬИНОЙ РОЩИ 3-Й, Д. 40, СТР. 1, ПОМЕЩ. 22/22</t>
  </si>
  <si>
    <t>ООО РМГ</t>
  </si>
  <si>
    <t>125212, РОССИЯ, Г.МОСКВА, ВН.ТЕР.Г. МУНИЦИПАЛЬНЫЙ ОКРУГ ГОЛОВИНСКИЙ, Ш ГОЛОВИНСКОЕ, Д. 5, К. 1, ПОМЕЩ. 181</t>
  </si>
  <si>
    <t>ООО ГОФАРУ</t>
  </si>
  <si>
    <t>105005, РОССИЯ, Г.МОСКВА, ВН.ТЕР.Г. МУНИЦИПАЛЬНЫЙ ОКРУГ БАСМАННЫЙ, УЛ ФРИДРИХА ЭНГЕЛЬСА, Д. 27</t>
  </si>
  <si>
    <t>ООО ГК ОКТЕН</t>
  </si>
  <si>
    <t>125445, РОССИЯ, Г.МОСКВА, ВН.ТЕР.Г. МУНИЦИПАЛЬНЫЙ ОКРУГ ХОВРИНО, УЛ СМОЛЬНАЯ, Д. 24А, ПОМЕЩ. 1/9</t>
  </si>
  <si>
    <t>125445, Г.МОСКВА, УЛ ПРАВОБЕРЕЖНАЯ, Д.1</t>
  </si>
  <si>
    <t>ООО АТАК</t>
  </si>
  <si>
    <t>125635, Г.МОСКВА, УЛ АНГАРСКАЯ, Д. 13</t>
  </si>
  <si>
    <t>ООО Ф.А. ЛОГИСТИК</t>
  </si>
  <si>
    <t>125413, Г.МОСКВА, ПР-Д СОЛНЕЧНОГОРСКИЙ, Д.4</t>
  </si>
  <si>
    <t>ООО ХЕЛИ-ТЕХ</t>
  </si>
  <si>
    <t>105118, Г.МОСКВА, УЛ ВОЛЬНАЯ, Д. 13, ЭТАЖ/ПОМ 4/30-37,38А</t>
  </si>
  <si>
    <t>ООО КВАРТА-СМ</t>
  </si>
  <si>
    <t>115516, Г.МОСКВА, ВН.ТЕР.Г. МУНИЦИПАЛЬНЫЙ ОКРУГ ЦАРИЦЫНО, УЛ ПРОМЫШЛЕННАЯ, Д. 11, СТР. 8, ПОМЕЩ. 1/2</t>
  </si>
  <si>
    <t>ООО СТРОИТЕЛЬОПТ</t>
  </si>
  <si>
    <t>108841, Г.МОСКВА, Г ТРОИЦК, МКР В, Д. 52, КВ. 137</t>
  </si>
  <si>
    <t>108811, Г.МОСКВА, ВН.ТЕР.Г. МУНИЦИПАЛЬНЫЙ ОКРУГ СОЛНЦЕВО, Ш. КИЕВСКОЕ, КМ 22-Й, Д. 4, СТР. 1</t>
  </si>
  <si>
    <t>ООО 7745 ГЛОБАЛ</t>
  </si>
  <si>
    <t>108809, РОССИЯ, Г.МОСКВА, ВН.ТЕР.Г. МУНИЦИПАЛЬНЫЙ ОКРУГ ВНУКОВО, КВ-Л 63, Д. 1А, СТР. 6</t>
  </si>
  <si>
    <t>ООО ТОПМАУНТ</t>
  </si>
  <si>
    <t>108820, РОССИЯ, Г.МОСКВА, ВН.ТЕР.Г. МУНИЦИПАЛЬНЫЙ ОКРУГ КОММУНАРКА, П ЗАВОДА МОСРЕНТГЕН, Д. 33Г, СТР. 8, ПОМЕЩ. 5</t>
  </si>
  <si>
    <t>ООО ФИТ КОММУНАРКА</t>
  </si>
  <si>
    <t>108814, РОССИЯ, Г.МОСКВА, ВН.ТЕР.Г. МУНИЦИПАЛЬНЫЙ ОКРУГ КОММУНАРКА, П КОММУНАРКА, УЛ СОСЕНСКИЙ СТАН, Д. 7, СТР. 1, КОМ. 3</t>
  </si>
  <si>
    <t>ООО МХРУС</t>
  </si>
  <si>
    <t>108831, РОССИЯ, Г.МОСКВА, ВН.ТЕР.Г. МУНИЦИПАЛЬНЫЙ ОКРУГ ЩЕРБИНКА, Г ЩЕРБИНКА, УЛ ИНДУСТРИАЛЬНАЯ, Д. 7, КВ. 14</t>
  </si>
  <si>
    <t>ООО ГАЭМ КОМПЛЕКСНОЕ ОСНАЩЕНИЕ</t>
  </si>
  <si>
    <t>108828, РОССИЯ, Г.МОСКВА, ВН.ТЕР.Г. МУНИЦИПАЛЬНЫЙ ОКРУГ КРАСНОПАХОРСКИЙ, Д СОФЬИНО, УЛ СОЛНЕЧНАЯ, Д. 4</t>
  </si>
  <si>
    <t>ООО СПАРТА</t>
  </si>
  <si>
    <t>108852, РОССИЯ, Г.МОСКВА, ВН.ТЕР.Г. МУНИЦИПАЛЬНЫЙ ОКРУГ ЩЕРБИНКА, Ш ОСТАФЬЕВСКОЕ, Д. 12, К. 1, КВ. 147</t>
  </si>
  <si>
    <t>ООО МАШИНОТЕХНИКА</t>
  </si>
  <si>
    <t>108802, РОССИЯ, Г.МОСКВА, ВН.ТЕР.Г. МУНИЦИПАЛЬНЫЙ ОКРУГ КОММУНАРКА, ПР-КТ МАГЕЛЛАНА, Д. 29, ПОМЕЩ. 2К</t>
  </si>
  <si>
    <t>ЗАО ПЕТРО-ОЙЛ</t>
  </si>
  <si>
    <t>108831, Г.МОСКВА, Г ЩЕРБИНКА, ТУП БУТОВСКИЙ, Д. 3, КОМ 12</t>
  </si>
  <si>
    <t>ИП САФРОНОВ АЛЕКСАНДР НИКОЛАЕВИЧ</t>
  </si>
  <si>
    <t>ИП РЫШКОВ ПАВЕЛ ВЛАДИМИРОВИЧ</t>
  </si>
  <si>
    <t>ИП ФИНКЕВИЧ ДМИТРИЙ АЛЕКСАНДРОВИЧ</t>
  </si>
  <si>
    <t>ООО ДИАТРОН</t>
  </si>
  <si>
    <t>111123, Г.МОСКВА, ВН.ТЕР.Г. МУНИЦИПАЛЬНЫЙ ОКРУГ ПЕРОВО, УЛ 1-Я ВЛАДИМИРСКАЯ, Д. 18, К. 1, ЭТАЖ/ПОМЕЩ. ПОДВАЛ/11А</t>
  </si>
  <si>
    <t>ООО МРС-КА</t>
  </si>
  <si>
    <t>117105, Г.МОСКВА, ВН.ТЕР.Г. МУНИЦИПАЛЬНЫЙ ОКРУГ ДОНСКОЙ, Ш ВАРШАВСКОЕ, Д. 1А, ПОМЕЩ. 33К/6</t>
  </si>
  <si>
    <t>ООО ТД ЛАРУСС</t>
  </si>
  <si>
    <t>115432, Г.МОСКВА, ПР-Д 2-Й ЮЖНОПОРТОВЫЙ, Д. 10, СТР. 43, ЭТАЖ 2 ПОМ 11</t>
  </si>
  <si>
    <t>ООО ДСВ</t>
  </si>
  <si>
    <t>ООО ДЖАЗ МОТОРС</t>
  </si>
  <si>
    <t>119311, Г.МОСКВА, УЛ СТРОИТЕЛЕЙ, Д. 6, К. 2, КВ. 22</t>
  </si>
  <si>
    <t>ИП ЦВЕТКОВ МИХАИЛ ВЛАДИМИРОВИЧ</t>
  </si>
  <si>
    <t>ИП СУРКОВА ЕКАТЕРИНА ВЯЧЕСЛАВОВНА</t>
  </si>
  <si>
    <t>ИП ПЕТРИКИН СЕРГЕЙ МИХАЙЛОВИЧ</t>
  </si>
  <si>
    <t>ИП ДАВЫДОВ ЕВГЕНИЙ ВАЛЕРИАНОВИЧ</t>
  </si>
  <si>
    <t>ИП ДЕЕВ ИЛЬЯ ВЛАДИМИРОВИЧ</t>
  </si>
  <si>
    <t>ИП ВАКУЛОВ АНТОН ЮРЬЕВИЧ</t>
  </si>
  <si>
    <t>ООО М-ПАУЭР ГРУП</t>
  </si>
  <si>
    <t>125445, Г.МОСКВА, УЛ СМОЛЬНАЯ, Д. 63 Б, ОФИС 38</t>
  </si>
  <si>
    <t>ООО ТОРГОВЫЙ ДОМ ПРАЙД</t>
  </si>
  <si>
    <t>125438, Г.МОСКВА, УЛ АВТОМОТОРНАЯ, Д. 8</t>
  </si>
  <si>
    <t>ИП ШАДЧИНА ГАЛИНА ВАСИЛЬЕВНА</t>
  </si>
  <si>
    <t>ИП ТЕРЕХОВА ДАРЬЯ АНДРЕЕВНА</t>
  </si>
  <si>
    <t>125080, Г.МОСКВА, Ш ВОЛОКОЛАМСКОЕ, Д. 1, СТР. 1, Э 5 ПОМ VI К 30Б ОФ 99</t>
  </si>
  <si>
    <t>ООО АЛЬФА-ТРАК</t>
  </si>
  <si>
    <t>127495, Г.МОСКВА, ВН.ТЕР.Г. МУНИЦИПАЛЬНЫЙ ОКРУГ СЕВЕРНЫЙ, Ш ДМИТРОВСКОЕ, Д. 163, СТР. 16, ЭТАЖ 1, КОМ. 2</t>
  </si>
  <si>
    <t>ООО КРАФТОИЛ</t>
  </si>
  <si>
    <t>125493, РОССИЯ, Г.МОСКВА, ВН.ТЕР.Г. МУНИЦИПАЛЬНЫЙ ОКРУГ ЛЕВОБЕРЕЖНЫЙ, УЛ ФЛОТСКАЯ, Д. 5, К. А, ПОМЕЩ. 2/3</t>
  </si>
  <si>
    <t>125635, Г.МОСКВА, УЛ АНГАРСКАЯ, Д. 10</t>
  </si>
  <si>
    <t>ООО ТЕБОЙЛ РУС</t>
  </si>
  <si>
    <t>125196, Г.МОСКВА, УЛ ЛЕСНАЯ, Д. 9, ЭТАЖ 3</t>
  </si>
  <si>
    <t>ООО ИСТ ВЕСТ МОТОРС</t>
  </si>
  <si>
    <t>125445, Г.МОСКВА, ВН.ТЕР.Г. МУНИЦИПАЛЬНЫЙ ОКРУГ ЛЕВОБЕРЕЖНЫЙ, Ш ЛЕНИНГРАДСКОЕ, Д. 69, К. 2, ПОМЕЩ. 7Н</t>
  </si>
  <si>
    <t>ООО М-10</t>
  </si>
  <si>
    <t>111020, Г.МОСКВА, ВН.ТЕР.Г. МУНИЦИПАЛЬНЫЙ ОКРУГ ЛЕФОРТОВО, ПЕР ЮРЬЕВСКИЙ, ВЛД. 17, СТР. 1</t>
  </si>
  <si>
    <t>ООО РИТЕЙЛ ПРОПЕРТИ 6</t>
  </si>
  <si>
    <t>125445, Г.МОСКВА, Ш ЛЕНИНГРАДСКОЕ, Д. 71Г</t>
  </si>
  <si>
    <t>ИП ВОЛОДИНА ТАТЬЯНА ЮРЬЕВНА</t>
  </si>
  <si>
    <t>ООО ТК МОДУЛЬ</t>
  </si>
  <si>
    <t>125310, Г.МОСКВА, УЛ МИТИНСКАЯ, Д. 55, К. 1, ЭТ 2 ПОМ 1 КОМ 38</t>
  </si>
  <si>
    <t>ООО КУПИ НА ДАЧУ</t>
  </si>
  <si>
    <t>109469, Г.МОСКВА, ВН.ТЕР.Г. МУНИЦИПАЛЬНЫЙ ОКРУГ МАРЬИНО, УЛ БРАТИСЛАВСКАЯ, Д. 31, К. 3, ПОМЕЩ. 2/1</t>
  </si>
  <si>
    <t>ООО АВТОМОБИЛЬНЫЕ СМАЗОЧНЫЕ МАТЕРИАЛЫ</t>
  </si>
  <si>
    <t>108851, Г.МОСКВА, Г ЩЕРБИНКА, УЛ ЮЖНАЯ, Д. 14, КАБИНЕТ 206</t>
  </si>
  <si>
    <t>108811, Г.МОСКВА, ВН.ТЕР.Г. МУНИЦИПАЛЬНЫЙ ОКРУГ СОЛНЦЕВО, Ш. КИЕВСКОЕ, КМ 22-Й, Д. 4, СТР. 5</t>
  </si>
  <si>
    <t>ООО РАВТАТЕХ</t>
  </si>
  <si>
    <t>ООО КИНГОЙЛ</t>
  </si>
  <si>
    <t>ООО БТМК</t>
  </si>
  <si>
    <t>108851, Г.МОСКВА, ВН.ТЕР.Г. МУНИЦИПАЛЬНЫЙ ОКРУГ ЩЕРБИНКА, КВ-Л 110, Д. 1, СТР. 5, ПОМЕЩ. 1</t>
  </si>
  <si>
    <t>101000, РОССИЯ, Г.МОСКВА, ВН.ТЕР.Г. МУНИЦИПАЛЬНЫЙ ОКРУГ БАСМАННЫЙ, ПЕР ХОХЛОВСКИЙ, Д. 7-9, СТР. 2</t>
  </si>
  <si>
    <t>ООО ТД СИНЕГОРЬЕ</t>
  </si>
  <si>
    <t>108819, РОССИЯ, Г.МОСКВА, ВН.ТЕР.Г. МУНИЦИПАЛЬНЫЙ ОКРУГ ФИЛИМОНКОВСКИЙ, Г. МОСКОВСКИЙ, МКР. 3-Й, Д. 5, ЭТАЖ 1, ПОМЕЩ. 138</t>
  </si>
  <si>
    <t>ООО СИНОРОС</t>
  </si>
  <si>
    <t>108814, РОССИЯ, Г.МОСКВА, ВН.ТЕР.Г. МУНИЦИПАЛЬНЫЙ ОКРУГ КОММУНАРКА, П КОММУНАРКА, УЛ БАЧУРИНСКАЯ, Д. 9А, К. 2, ПОМЕЩ. 20Н</t>
  </si>
  <si>
    <t>ООО РАМСНАБ</t>
  </si>
  <si>
    <t>108824, РОССИЯ, Г.МОСКВА, ВН.ТЕР.Г. МУНИЦИПАЛЬНЫЙ ОКРУГ ЩЕРБИНКА, УЛ ЛОГИНОВА, Д. 7, К. 1, КВ. 333</t>
  </si>
  <si>
    <t>ООО АУТОПАРТС</t>
  </si>
  <si>
    <t>108826, РОССИЯ, Г.МОСКВА, ВН.ТЕР.Г. МУНИЦИПАЛЬНЫЙ ОКРУГ КОММУНАРКА, П КОММУНАРКА, УЛ ПОТАПОВСКАЯ РОЩА, Д. 4, К. 4, ПОМЕЩ. 86П</t>
  </si>
  <si>
    <t>ОООКОНТИНЕНТАЛЬ</t>
  </si>
  <si>
    <t>108834, РОССИЯ, Г.МОСКВА, ВН.ТЕР.Г. МУНИЦИПАЛЬНЫЙ ОКРУГ КОММУНАРКА, П КОММУНАРКА, УЛ ПОТАПОВСКАЯ РОЩА, Д. 16, К. 1, ПОМЕЩ. 5П</t>
  </si>
  <si>
    <t>ООО БИТПАРТС</t>
  </si>
  <si>
    <t>108818, РОССИЯ, Г.МОСКВА, ВН.ТЕР.Г. МУНИЦИПАЛЬНЫЙ ОКРУГ КОММУНАРКА, КВ-Л 123, СООР. 69, СТР. 2</t>
  </si>
  <si>
    <t>ООО КАРГЛОБУС</t>
  </si>
  <si>
    <t>108850, РОССИЯ, Г.МОСКВА, ВН.ТЕР.Г. МУНИЦИПАЛЬНЫЙ ОКРУГ ВНУКОВО, УЛ АВИАКОНСТРУКТОРА ПЕТЛЯКОВА, Д. 5, ПОМЕЩ. 3/1</t>
  </si>
  <si>
    <t>108809, РОССИЯ, Г.МОСКВА, ВН.ТЕР.Г. МУНИЦИПАЛЬНЫЙ ОКРУГ ВНУКОВО, УЛ АЭРОСТАТНАЯ, Д. 6, К. 2, ПОМЕЩ. 4Н</t>
  </si>
  <si>
    <t>ООО АВТОЗАПЧАСТИ НАШИ</t>
  </si>
  <si>
    <t>108833, РОССИЯ, Г.МОСКВА, ВН.ТЕР.Г. МУНИЦИПАЛЬНЫЙ ОКРУГ КРАСНОПАХОРСКИЙ, Д ТЕРЕХОВО, Д. 57/1</t>
  </si>
  <si>
    <t>ИП КОШАРА НАТАЛЬЯ ГРИГОРЬЕВНА</t>
  </si>
  <si>
    <t>ИП КУБИКОВА НАТАЛЬЯ ВЛАДИМИРОВНА</t>
  </si>
  <si>
    <t>ИП ЧЕВЫЧЕЛОВ ИГОРЬ НИКОЛАЕВИЧ</t>
  </si>
  <si>
    <t>ИП МАТАСОВА ТАТЬЯНА ВАЛЕРИЕВНА</t>
  </si>
  <si>
    <t>ООО СЛАВЯНСКИЙ БЕРЕГ</t>
  </si>
  <si>
    <t>111024, РОССИЯ, Г.МОСКВА, ВН.ТЕР.Г. МУНИЦИПАЛЬНЫЙ ОКРУГ ПЕРОВО, УЛ 2-Я ЭНТУЗИАСТОВ, Д. 5, ПОМЕЩ. 2/Н</t>
  </si>
  <si>
    <t>ООО ДВ-ОЙЛ</t>
  </si>
  <si>
    <t>111123, РОССИЯ, Г.МОСКВА, ВН.ТЕР.Г. МУНИЦИПАЛЬНЫЙ ОКРУГ СОКОЛИНАЯ ГОРА, ПРОЕЗД ЭЛЕКТРОДНЫЙ, Д. 6, СТР. 1, ПОМЕЩ. 5/5</t>
  </si>
  <si>
    <t>ООО НИВОЙЛ</t>
  </si>
  <si>
    <t>111524, РОССИЯ, Г.МОСКВА, ВН.ТЕР.Г. МУНИЦИПАЛЬНЫЙ ОКРУГ ПЕРОВО, УЛ ЭЛЕКТРОДНАЯ, Д. 2, СТР. 12, ПОМЕЩ. 6Н</t>
  </si>
  <si>
    <t>ООО ЭФТРИС</t>
  </si>
  <si>
    <t>123592, РОССИЯ, Г.МОСКВА, ВН.ТЕР.Г. МУНИЦИПАЛЬНЫЙ ОКРУГ СТРОГИНО, УЛ МАРШАЛА КАТУКОВА, Д. 22, К. 2, ПОМЕЩ. 10</t>
  </si>
  <si>
    <t>123060, РОССИЯ, Г.МОСКВА, ВН.ТЕР.Г. МУНИЦИПАЛЬНЫЙ ОКРУГ ЩУКИНО, УЛ МАРШАЛА РЫБАЛКО, Д. 2, К. 3, ПОМЕЩ. 17Н/4</t>
  </si>
  <si>
    <t>ООО КОЛЕСА ДАРОМ</t>
  </si>
  <si>
    <t>127015, РОССИЯ, Г.МОСКВА, ВН.ТЕР.Г. МУНИЦИПАЛЬНЫЙ ОКРУГ БУТЫРСКИЙ, УЛ БОЛЬШАЯ НОВОДМИТРОВСКАЯ, Д. 36, СТР. 1, ПОМЕЩ. 2/3</t>
  </si>
  <si>
    <t>ООО ВДВ-КОНСАЛТИНГ</t>
  </si>
  <si>
    <t>123060, Г.МОСКВА, ВН.ТЕР.Г. МУНИЦИПАЛЬНЫЙ ОКРУГ ЩУКИНО, УЛ МАРШАЛА СОКОЛОВСКОГО, Д. 3, ПОМЕЩ. 4/2</t>
  </si>
  <si>
    <t>ООО АКА</t>
  </si>
  <si>
    <t>123060, Г.МОСКВА, УЛ МАРШАЛА РЫБАЛКО, Д.11, ПОМЕЩЕНИЕ I КОМНАТА 3;4;5</t>
  </si>
  <si>
    <t>ООО ТАВРИДАНЕФТЕПРОДУКТ</t>
  </si>
  <si>
    <t>123308, Г.МОСКВА, ПР-КТ МАРШАЛА ЖУКОВА, Д.2, ПОМЕЩЕНИЕ 1; ОФИС 35</t>
  </si>
  <si>
    <t>ИП КРОШКИН ДМИТРИЙ АЛЕКСАНДРОВИЧ</t>
  </si>
  <si>
    <t>ИП АНТИПОВ СЕРГЕЙ ВЛАДИМИРОВИЧ</t>
  </si>
  <si>
    <t>ИП МАЗАЕВ СЕРГЕЙ ВИКТОРОВИЧ</t>
  </si>
  <si>
    <t>ИП ШЕВРЕКУКО ГРИГОРИЙ ЮРЬЕВИЧ</t>
  </si>
  <si>
    <t>ООО ЦЕРЕБРУМ</t>
  </si>
  <si>
    <t>124482, Г.МОСКВА, Г ЗЕЛЕНОГРАД, ПР-Д САВЁЛКИНСКИЙ, Д. 4, Э/ПОМ/К/ОФ 13/XXI/4/4К</t>
  </si>
  <si>
    <t>ООО ДЖИБИ МАРКЕТ</t>
  </si>
  <si>
    <t>124482, РОССИЯ, Г.МОСКВА, ВН.ТЕР.Г. МУНИЦИПАЛЬНЫЙ ОКРУГ САВЕЛКИ, Г ЗЕЛЕНОГРАД, ПРОЕЗД САВЁЛКИНСКИЙ, Д. 4, ПОМЕЩ. 4/21</t>
  </si>
  <si>
    <t>ООО ЕМЕХ-АВТО</t>
  </si>
  <si>
    <t>124365, РОССИЯ, Г.МОСКВА, ВН.ТЕР.Г. МУНИЦИПАЛЬНЫЙ ОКРУГ КРЮКОВО, Г ЗЕЛЕНОГРАД, УЛ ЗАВОДСКАЯ, Д. 18, СТР. 1, ЭТАЖ 1, ПОМЕЩ. 13</t>
  </si>
  <si>
    <t>ИП КАМЫШЕВА ИРИНА СЕРГЕЕВНА</t>
  </si>
  <si>
    <t>ИП БАГДАСАРЯН ТИГРАН ЗАВЕНОВИЧ</t>
  </si>
  <si>
    <t>ИП КАЛИТУРИНА ЕКАТЕРИНА ИВАНОВНА</t>
  </si>
  <si>
    <t>ИП ПАКУНОВ НИКОЛАЙ НИКОЛАЕВИЧ</t>
  </si>
  <si>
    <t>ООО КОМПАНИЯ КОНТУР-ОЙЛ ГРУПП</t>
  </si>
  <si>
    <t>117630, Г.МОСКВА, УЛ ВОРОНЦОВСКИЕ ПРУДЫ, ВЛАД.1, СТР.1</t>
  </si>
  <si>
    <t>ООО ПАРТС-МОЛЛ СНГ</t>
  </si>
  <si>
    <t>117420, Г.МОСКВА, ВН.ТЕР.Г. МУНИЦИПАЛЬНЫЙ ОКРУГ ЧЕРЕМУШКИ, УЛ ПРОФСОЮЗНАЯ, Д. 57, ПОМЕЩ. 1/3</t>
  </si>
  <si>
    <t>ООО ПРЯМОЙ КОНТРАКТ</t>
  </si>
  <si>
    <t>117218, Г.МОСКВА, ВН.ТЕР.Г. МУНИЦИПАЛЬНЫЙ ОКРУГ АКАДЕМИЧЕСКИЙ, УЛ КРЖИЖАНОВСКОГО, Д. 15, К. 5, ОФИС 505</t>
  </si>
  <si>
    <t>ООО ТЕХНОВЕНТУС</t>
  </si>
  <si>
    <t>119261, РОССИЯ, Г.МОСКВА, ВН.ТЕР.Г. МУНИЦИПАЛЬНЫЙ ОКРУГ ГАГАРИНСКИЙ, ПР-КТ ЛЕНИНСКИЙ, Д. 72/2, ПОМЕЩ. 20П</t>
  </si>
  <si>
    <t>ИП ПОНОМАРЕВА ИННА ИВАНОВНА</t>
  </si>
  <si>
    <t>ИП ЛУКЬЯНОВ ДМИТРИЙ АНАТОЛЬЕВИЧ</t>
  </si>
  <si>
    <t>ООО АЛЛЕС СУПЕР</t>
  </si>
  <si>
    <t>115612, Г.МОСКВА, ВН.ТЕР.Г. МУНИЦИПАЛЬНЫЙ ОКРУГ БРАТЕЕВО, УЛ БРАТЕЕВСКАЯ, Д. 10, К. 4, ПОМЕЩ. 4/1</t>
  </si>
  <si>
    <t>ООО АЛЬФАТРАНСНЕФТЬ</t>
  </si>
  <si>
    <t>125239, Г.МОСКВА, УЛ КОПТЕВСКАЯ, Д. 67, ЭТ 1 ПОМ 12,13 ОФ В</t>
  </si>
  <si>
    <t>ООО ОФИС МАСТЕР</t>
  </si>
  <si>
    <t>125412, Г.МОСКВА, УЛ ТАЛДОМСКАЯ, Д. 2, К. Г, КОМ. 101</t>
  </si>
  <si>
    <t>ИП АРИФУЛИН РАМИЛЬ МИГДЕТОВИЧ</t>
  </si>
  <si>
    <t>ООО НЬЮПАРТС</t>
  </si>
  <si>
    <t>125195, Г.МОСКВА, УЛ БЕЛОМОРСКАЯ, Д. 20, К. 2, Э 1 ПОМ VI К 6 ОФ 06</t>
  </si>
  <si>
    <t>ООО РИМ ЭКСПОРТ+</t>
  </si>
  <si>
    <t>125195, Г.МОСКВА, Ш ЛЕНИНГРАДСКОЕ, Д. 59, ОФИС 17</t>
  </si>
  <si>
    <t>ООО ЦЕНТРУМ</t>
  </si>
  <si>
    <t>125475, Г.МОСКВА, УЛ ДЫБЕНКО, Д. 38, К. 1, ЭТ 2 ПОМ XLII КОМ 25</t>
  </si>
  <si>
    <t>ООО РБА-ВТО</t>
  </si>
  <si>
    <t>141431, РОССИЯ, Г.МОСКВА, ВН.ТЕР.Г. МУНИЦИПАЛЬНЫЙ ОКРУГ МОЛЖАНИНОВСКИЙ, УЛ КОМСОМОЛЬСКАЯ, Д. 3А, СТР. 2</t>
  </si>
  <si>
    <t>ООО ГЕРАТ РУС</t>
  </si>
  <si>
    <t>125438, РОССИЯ, Г.МОСКВА, ВН.ТЕР.Г. МУНИЦИПАЛЬНЫЙ ОКРУГ ГОЛОВИНСКИЙ, УЛ АВТОМОТОРНАЯ, Д. 1/3, СТР. 2, ПОМЕЩ. 1, КОМ. 20,НРМ 1</t>
  </si>
  <si>
    <t>ООО АВТОПРЕСТУС-МОДА</t>
  </si>
  <si>
    <t>125371, РОССИЯ, Г.МОСКВА, ВН.ТЕР.Г. МУНИЦИПАЛЬНЫЙ ОКРУГ ПОКРОВСКОЕ-СТРЕШНЕВО, ПР-Д 1-Й ТУШИНСКИЙ, Д. 8, К. 1, ПОМЕЩ. 2/Ц</t>
  </si>
  <si>
    <t>ООО АТН-РУС</t>
  </si>
  <si>
    <t>125080, РОССИЯ, Г.МОСКВА, ВН.ТЕР.Г. МУНИЦИПАЛЬНЫЙ ОКРУГ СОКОЛ, Ш ВОЛОКОЛАМСКОЕ, Д. 1, СТР. 1, ПОМЕЩ. 8/5</t>
  </si>
  <si>
    <t>ООО ВДА</t>
  </si>
  <si>
    <t>125493, РОССИЯ, Г.МОСКВА, ВН.ТЕР.Г. МУНИЦИПАЛЬНЫЙ ОКРУГ ГОЛОВИНСКИЙ, УЛ СМОЛЬНАЯ, Д. 2, ПОМЕЩ. 2/5</t>
  </si>
  <si>
    <t>ООО ЯМАХА МОТОР СИ-АЙ-ЭС</t>
  </si>
  <si>
    <t>125047, Г.МОСКВА, ВН.ТЕР.Г. МУНИЦИПАЛЬНЫЙ ОКРУГ ТВЕРСКОЙ, УЛ БУТЫРСКИЙ ВАЛ, Д. 10</t>
  </si>
  <si>
    <t>АО ЧЕРИ АВТОМОБИЛИ РУС</t>
  </si>
  <si>
    <t>125171, Г.МОСКВА, ВН.ТЕР.Г. МУНИЦИПАЛЬНЫЙ ОКРУГ ВОЙКОВСКИЙ, Ш ЛЕНИНГРАДСКОЕ, Д. 16А, СТР. 2</t>
  </si>
  <si>
    <t>ООО МАЗДА МОТОР РУС</t>
  </si>
  <si>
    <t>125171, Г.МОСКВА, Ш ЛЕНИНГРАДСКОЕ, Д. 16А, СТР. 2</t>
  </si>
  <si>
    <t>ООО АНГ АВТО-Р</t>
  </si>
  <si>
    <t>125130, Г.МОСКВА, ПР-Д СТАРОПЕТРОВСКИЙ, Д.11Б</t>
  </si>
  <si>
    <t>ООО ЕВРОЗАПЧАСТЬ</t>
  </si>
  <si>
    <t>121099, Г.МОСКВА, ВН.ТЕР.Г. МУНИЦИПАЛЬНЫЙ ОКРУГ АРБАТ, ПЕР МАЛЫЙ КАКОВИНСКИЙ, Д. 1/8, СТР. 2, ПОМЕЩ. 1/1</t>
  </si>
  <si>
    <t>ИП ГРЯЗНОВ ДМИТРИЙ АЛЕКСЕЕВИЧ</t>
  </si>
  <si>
    <t>ООО КС СЕРВИС</t>
  </si>
  <si>
    <t>125599, Г.МОСКВА, УЛ ИЖОРСКАЯ, Д. 5</t>
  </si>
  <si>
    <t>ООО  ОНЛОГ СИСТЕМ</t>
  </si>
  <si>
    <t>117638, Г.МОСКВА, ВН.ТЕР.Г. МУНИЦИПАЛЬНЫЙ ОКРУГ ЗЮЗИНО, УЛ ОДЕССКАЯ, Д. 2, ЭТАЖ 9, ПОМЕЩ. 5</t>
  </si>
  <si>
    <t>ООО АМ-ГРУПП</t>
  </si>
  <si>
    <t>119330, Г.МОСКВА, ВН.ТЕР.Г. МУНИЦИПАЛЬНЫЙ ОКРУГ РАМЕНКИ, УЛ МОСФИЛЬМОВСКАЯ, Д. 17Б, ПОМЕЩ. 52</t>
  </si>
  <si>
    <t>108851, Г.МОСКВА, Г ЩЕРБИНКА, УЛ СПОРТИВНАЯ, Д. 7, ЭТ 2 КОМ 66</t>
  </si>
  <si>
    <t>ООО ОИЛКУЛ</t>
  </si>
  <si>
    <t>108809, Г.МОСКВА, ПОС. МАРУШКИНСКОЕ, Д МАРУШКИНО, УЛ ОКТЯБРЬСКАЯ, Д. 19</t>
  </si>
  <si>
    <t>ООО ИНТЕР-АВТО</t>
  </si>
  <si>
    <t>119361, Г.МОСКВА, ВН.ТЕР.Г. МУНИЦИПАЛЬНЫЙ ОКРУГ ОЧАКОВО-МАТВЕЕВСКОЕ, ПЕР. 2-Й ОЧАКОВСКИЙ, Д. 7, ПОМЕЩ. 26П</t>
  </si>
  <si>
    <t>ООО ГАЭМ-ОПТОВЫЕ ПРОДАЖИ</t>
  </si>
  <si>
    <t>108828, Г.МОСКВА, ВН.ТЕР.Г. МУНИЦИПАЛЬНЫЙ ОКРУГ КРАСНОПАХОРСКИЙ, Д СОФЬИНО, УЛ СОЛНЕЧНАЯ, Д. 4</t>
  </si>
  <si>
    <t>108817, РОССИЯ, Г.МОСКВА, ВН.ТЕР.Г. МУНИЦИПАЛЬНЫЙ ОКРУГ ВНУКОВО, Д ЛИКОВА, ВЛД. 85, СТР. 1, ЭТАЖ ЦОКОЛЬНЫЙ, ПОМЕЩ. 33</t>
  </si>
  <si>
    <t>ООО ЕВРАЗИЯ МОТОРС</t>
  </si>
  <si>
    <t>109235, РОССИЯ, Г.МОСКВА, ВН.ТЕР.Г. МУНИЦИПАЛЬНЫЙ ОКРУГ ПЕЧАТНИКИ, НАБ. КУРЬЯНОВСКАЯ, Д. 6, СТР. 2</t>
  </si>
  <si>
    <t>ООО АВТОАЛЬЯНС</t>
  </si>
  <si>
    <t>108813, РОССИЯ, Г.МОСКВА, ВН.ТЕР.Г. МУНИЦИПАЛЬНЫЙ ОКРУГ ФИЛИМОНКОВСКИЙ, Г. МОСКОВСКИЙ, УЛ СОЛНЕЧНАЯ, Д. 3А, СТР. 1, ЭТАЖ/ОФИС 2/20</t>
  </si>
  <si>
    <t>ООО СД-ТАИР</t>
  </si>
  <si>
    <t>108808, РОССИЯ, Г.МОСКВА, ВН.ТЕР.Г. МУНИЦИПАЛЬНЫЙ ОКРУГ ФИЛИМОНКОВСКИЙ, П ПЕРВОМАЙСКОЕ, УЛ ЦЕНТРАЛЬНАЯ, Д. 30, ПОМЕЩ. 4-9 53П ЭТАЖ ПОДВАЛ</t>
  </si>
  <si>
    <t>ООО МОТОР-ПЛЕЙС</t>
  </si>
  <si>
    <t>108809, РОССИЯ, Г.МОСКВА, ВН.ТЕР.Г. МУНИЦИПАЛЬНЫЙ ОКРУГ ВНУКОВО, Д ШАРАПОВО, УЛ ПРИДОРОЖНАЯ, Д. 1, СТР. 1, ПОМЕЩ. 58</t>
  </si>
  <si>
    <t>ООО ДЕЛЬТА КОМПАНИ</t>
  </si>
  <si>
    <t>117042, РОССИЯ, Г.МОСКВА, ВН.ТЕР.Г. МУНИЦИПАЛЬНЫЙ ОКРУГ ЩЕРБИНКА, ПРОЕЗД ЧЕЧЁРСКИЙ, Д. 122, К. 3, КВ. 366</t>
  </si>
  <si>
    <t>ООО ТЕХДЕТАЛЬ М</t>
  </si>
  <si>
    <t>108801, РОССИЯ, Г.МОСКВА, ВН.ТЕР.Г. МУНИЦИПАЛЬНЫЙ ОКРУГ КОММУНАРКА, Б-Р СКАНДИНАВСКИЙ, Д. 6, КВ. 444</t>
  </si>
  <si>
    <t>ООО ИТС</t>
  </si>
  <si>
    <t>115093, Г.МОСКВА, ВН.ТЕР.Г. МУНИЦИПАЛЬНЫЙ ОКРУГ ДАНИЛОВСКИЙ, ПЕР ПАРТИЙНЫЙ, Д. 1, К. 58, СТР. 3</t>
  </si>
  <si>
    <t>108851, Г.МОСКВА, Г ЩЕРБИНКА, Ш ВАРШАВСКОЕ, Д. 237А</t>
  </si>
  <si>
    <t>ИП ХАРИТОНОВА ИННА ЮРЬЕВНА</t>
  </si>
  <si>
    <t>ИП КОЗЛОВ ЕГОР ВИТАЛЬЕВИЧ</t>
  </si>
  <si>
    <t>ИП БАРСУКОВ ЕВГЕНИЙ МИХАЙЛОВИЧ</t>
  </si>
  <si>
    <t>108802, РОССИЯ, Г.МОСКВА, ВН.ТЕР.Г. МУНИЦИПАЛЬНЫЙ ОКРУГ КОММУНАРКА, УЛ ЛОБАНОВСКИЙ ЛЕС, Д. 11, КВ. 717</t>
  </si>
  <si>
    <t>ИП КРАСНОВА КРИСТИНА ВЛАДИМИРОВНА</t>
  </si>
  <si>
    <t>ИП ПОПОВКИНА ЕЛЕНА СТАНИСЛАВНА</t>
  </si>
  <si>
    <t>ИП ОРЛОВА КРИСТИНЭ МЕРУЖАНОВНА</t>
  </si>
  <si>
    <t>ООО ЭВОЛЮЦИЯ</t>
  </si>
  <si>
    <t>115230, РОССИЯ, Г.МОСКВА, ВН.ТЕР.Г. МУНИЦИПАЛЬНЫЙ ОКРУГ НАГАТИНО-САДОВНИКИ, ПРОЕЗД ХЛЕБОЗАВОДСКИЙ, Д. 7, СТР. 9, ПОМЕЩ. 40/10</t>
  </si>
  <si>
    <t>ООО МАШУМА-РУС</t>
  </si>
  <si>
    <t>123112, РОССИЯ, Г.МОСКВА, ВН.ТЕР.Г. МУНИЦИПАЛЬНЫЙ ОКРУГ ПРЕСНЕНСКИЙ, НАБ ПРЕСНЕНСКАЯ, Д. 10, СТР. 2, ПОМЕЩ. 5Н</t>
  </si>
  <si>
    <t>ИП НИЗАМОВА ВАЛЕРИЯ СЕРГЕЕВНА</t>
  </si>
  <si>
    <t>ИП ФЕДЕНЕВА ТАТЬЯНА ВАСИЛЬЕВНА</t>
  </si>
  <si>
    <t>ИП Сухоруков Денис Александрович</t>
  </si>
  <si>
    <t>ООО МОТОМ ЦЕНТР</t>
  </si>
  <si>
    <t>125480, РОССИЯ, Г.МОСКВА, ВН.ТЕР.Г. МУНИЦИПАЛЬНЫЙ ОКРУГ СЕВЕРНОЕ ТУШИНО, УЛ ГЕРОЕВ ПАНФИЛОВЦЕВ, Д. 16, К. 1, ПОМЕЩ. 8/3П</t>
  </si>
  <si>
    <t>ИП ДАВЫДОВСКИЙ АЛЕКСЕЙ МИХАЙЛОВИЧ</t>
  </si>
  <si>
    <t>ООО СПЕЦТЕХСНАБ</t>
  </si>
  <si>
    <t>108815, РОССИЯ, Г.МОСКВА, ВН.ТЕР.Г. МУНИЦИПАЛЬНЫЙ ОКРУГ ФИЛИМОНКОВСКИЙ, Д МАРЬИНО, УЛ ЖЕМЧУЖНАЯ, Д. 1, К. 1, ПОМЕЩ. 29К</t>
  </si>
  <si>
    <t>ИП БОРИСОВА ТАТЬЯНА АЛЕКСЕЕВНА</t>
  </si>
  <si>
    <t>ООО ТРЕВУС</t>
  </si>
  <si>
    <t>115114, РОССИЯ, Г.МОСКВА, ВН.ТЕР.Г. МУНИЦИПАЛЬНЫЙ ОКРУГ ДАНИЛОВСКИЙ, ПРОЕЗД 2-Й ПАВЕЛЕЦКИЙ, Д. 5, СТР. 1, ПОМЕЩ. 10/3</t>
  </si>
  <si>
    <t>ИП АВАГИМЯН СЕВАК ЗАВЕНОВИЧ</t>
  </si>
  <si>
    <t>ИП МАЛЮК НАТАЛЬЯ МИХАЙЛОВНА</t>
  </si>
  <si>
    <t>ИП БАЛЬГИШИЕВ АНВАРБЕК СЕЙДАХМЕТОВИЧ</t>
  </si>
  <si>
    <t>ИП ФИЛИППОВ ОЛЕГ НИКОЛАЕВИЧ</t>
  </si>
  <si>
    <t>ИП ХОХЛОВ ГЕОРГИЙ ВИКТОРОВИЧ</t>
  </si>
  <si>
    <t>ООО СОКОЛ-АВТО</t>
  </si>
  <si>
    <t>123308, Г.МОСКВА, ВН.ТЕР.Г. МУНИЦИПАЛЬНЫЙ ОКРУГ ХОРОШЕВО-МНЕВНИКИ, ПР-Д 2-Й СИЛИКАТНЫЙ, Д. 14, К. 2, СТР. 14</t>
  </si>
  <si>
    <t>ИП ДЖУККАЕВ ИЛЬЯС БОРИСБИЕВИЧ</t>
  </si>
  <si>
    <t>ИП Сажина Наталия Борисовна</t>
  </si>
  <si>
    <t>ИП СОСНОВ ВЛАДИМИР ЕВГЕНЬЕВИЧ</t>
  </si>
  <si>
    <t>ООО ЕНИСЕЙ-СЕРВИС</t>
  </si>
  <si>
    <t>117420, Г.МОСКВА, ВН.ТЕР.Г. МУНИЦИПАЛЬНЫЙ ОКРУГ ЧЕРЕМУШКИ, УЛ НАМЁТКИНА, Д. 10А, ПОМЕЩ. 2/2</t>
  </si>
  <si>
    <t>ИП ТРЕГУБЕНКО ДМИТРИЙ НИКОЛАЕВИЧ</t>
  </si>
  <si>
    <t>ООО ВОСТОК ЛАЙН</t>
  </si>
  <si>
    <t>121357, РОССИЯ, Г.МОСКВА, ВН.ТЕР.Г. МУНИЦИПАЛЬНЫЙ ОКРУГ МОЖАЙСКИЙ, УЛ ВЕРЕЙСКАЯ, Д. 29, СТР. 134, ПОМЕЩ. 4Н/4</t>
  </si>
  <si>
    <t>ООО НЕВТРАНССЕРВИС</t>
  </si>
  <si>
    <t>117208, РОССИЯ, Г.МОСКВА, ВН.ТЕР.Г. МУНИЦИПАЛЬНЫЙ ОКРУГ ЧЕРТАНОВО СЕВЕРНОЕ, УЛ ЧЕРТАНОВСКАЯ, Д. 7А, ПОМЕЩ. 15Н/2</t>
  </si>
  <si>
    <t>ООО АВТОЧАСТЬ</t>
  </si>
  <si>
    <t>121596, Г.МОСКВА, ВН.ТЕР.Г. МУНИЦИПАЛЬНЫЙ ОКРУГ МОЖАЙСКИЙ, УЛ ГОРБУНОВА, Д. 12, К. 2</t>
  </si>
  <si>
    <t>ИП ЖУЦЗЫГУЛИ АБУДУВАЙЛИ</t>
  </si>
  <si>
    <t>ИП АСАДОВ САРХАН ЭЛЬХАН ОГЛЫ</t>
  </si>
  <si>
    <t>ИП ГРИНЮК ИЛЬЯ ВАЛЕРИЕВИЧ</t>
  </si>
  <si>
    <t>ИП ВАРГАНОВ СЕРГЕЙ АЛЕКСАНДРОВИЧ</t>
  </si>
  <si>
    <t>ИП ВАСИЛЬЕВА ДАРЬЯ АЛЕКСАНДРОВНА</t>
  </si>
  <si>
    <t>ООО УМНЫЙ РИТЕЙЛ</t>
  </si>
  <si>
    <t>121087, РОССИЯ, Г.МОСКВА, ВН.ТЕР.Г. МУНИЦИПАЛЬНЫЙ ОКРУГ ФИЛЕВСКИЙ ПАРК, УЛ БАРКЛАЯ, Д. 6, СТР. 3, ПОМЕЩ. 8Н/4</t>
  </si>
  <si>
    <t>ИП ГАБУЗЯН СУРЕН РОБЕРТОВИЧ</t>
  </si>
  <si>
    <t>ИП РЫЧКО НАТАЛЬЯ ВЛАДИМИРОВНА</t>
  </si>
  <si>
    <t>ИП БЛИНОВА ВИКТОРИЯ МИХАЙЛОВНА</t>
  </si>
  <si>
    <t>ИП БАРИНОВ АЛЕКСЕЙ АЛЕКСЕЕВИЧ</t>
  </si>
  <si>
    <t>ИП ЧУМАКОВА ОЛЕСЯ ОЛЕГОВНА</t>
  </si>
  <si>
    <t>ИП МАРТИРОСЯН ЭЛЕОНОРА МИХАЙЛОВНА</t>
  </si>
  <si>
    <t>ООО СПЕЦЗАЩИТА</t>
  </si>
  <si>
    <t>115191, Г.МОСКВА, УЛ БОЛЬШАЯ ТУЛЬСКАЯ, Д. 2, Э/ПОМ/К/ОФ 1/XV/1/2А</t>
  </si>
  <si>
    <t>ООО ПКП ПРОТЭК-РЕГИОН</t>
  </si>
  <si>
    <t>107078, РОССИЯ, Г.МОСКВА, ВН.ТЕР.Г. МУНИЦИПАЛЬНЫЙ ОКРУГ КРАСНОСЕЛЬСКИЙ, УЛ САДОВАЯ-СПАССКАЯ, Д. 21/1, ПОМЕЩ. 4Н</t>
  </si>
  <si>
    <t>ИП СТЕПАНЯН СЕВАК АМАЯКОВИЧ</t>
  </si>
  <si>
    <t>ООО МКСМ</t>
  </si>
  <si>
    <t>115054, Г.МОСКВА, ПЕР 3-Й МОНЕТЧИКОВСКИЙ, Д. 15, КВ. 68</t>
  </si>
  <si>
    <t>ИП ГРЕЦКИЙ АЛЕКСАНДР ИВАНОВИЧ</t>
  </si>
  <si>
    <t>ООО ГЕНЕРАЦИЯ</t>
  </si>
  <si>
    <t>115172, Г.МОСКВА, НАБ КРАСНОХОЛМСКАЯ, Д. 1/15, ПОМЕЩ. 5 ОФИС 3В</t>
  </si>
  <si>
    <t>ООО СТРОЙБЕРГ</t>
  </si>
  <si>
    <t>117534, РОССИЯ, Г.МОСКВА, ВН.ТЕР.Г. МУНИЦИПАЛЬНЫЙ ОКРУГ ЧЕРТАНОВО ЮЖНОЕ, Ш ВАРШАВСКОЕ, Д. 150, К. 2, ПОМЕЩ. 20/66</t>
  </si>
  <si>
    <t>ООО ТАТНЕФТЬ-АЗС-ЗАПАД</t>
  </si>
  <si>
    <t>121205, Г.МОСКВА, ТЕР СКОЛКОВО ИННОВАЦИОННОГО ЦЕНТРА, Б-Р БОЛЬШОЙ, Д. 62, ЭТАЖ 2 ПОМ 56</t>
  </si>
  <si>
    <t>ИП ЕРМАКОВА МАРИНА МИХАЙЛОВНА</t>
  </si>
  <si>
    <t>115404, РОССИЯ, Г.МОСКВА, ВН.ТЕР.Г. МУНИЦИПАЛЬНЫЙ ОКРУГ БИРЮЛЕВО ВОСТОЧНОЕ, УЛ РЯЖСКАЯ, Д. 13, К. 1</t>
  </si>
  <si>
    <t>ООО ИЗМАЙЛОВО-ПРЕМИУМ</t>
  </si>
  <si>
    <t>129128, Г.МОСКВА, УЛ БАЖОВА, Д. 17, СТР. 14, ПОМЕЩ. I КОМНАТА 5</t>
  </si>
  <si>
    <t>ИП ТИМОФЕЕВА НАДЕЖДА ПАВЛОВНА</t>
  </si>
  <si>
    <t>ИП ГРЕЦКИЙ АЛЕКСЕЙ АЛЕКСАНДРОВИЧ</t>
  </si>
  <si>
    <t>ИП ГЛАЗКОВ ИВАН ЛЕОНИДОВИЧ</t>
  </si>
  <si>
    <t>ИП ГУЛЯМШАЕВ СЕРГЕЙ АМЗАЕВИЧ</t>
  </si>
  <si>
    <t>ООО  ОБУХОВ АВТОСЕРВИС</t>
  </si>
  <si>
    <t>108811, Г.МОСКВА, ВН.ТЕР.Г. МУНИЦИПАЛЬНЫЙ ОКРУГ КОММУНАРКА, КВ-Л 80, Д. 11, СТР. 2, КОМ. 2213</t>
  </si>
  <si>
    <t>ООО СПЕЦЭНЕРГОТРЕЙД</t>
  </si>
  <si>
    <t>119619, Г.МОСКВА, ВН.ТЕР.Г. МУНИЦИПАЛЬНЫЙ ОКРУГ СОЛНЦЕВО, УЛ 2-Я КАРПАТСКАЯ, Д. 4, СТР. 1</t>
  </si>
  <si>
    <t>ООО РИЧ</t>
  </si>
  <si>
    <t>117216, РОССИЯ, Г.МОСКВА, ВН.ТЕР.Г. МУНИЦИПАЛЬНЫЙ ОКРУГ СЕВЕРНОЕ БУТОВО, УЛ ФЕОДОСИЙСКАЯ, Д. 1, К. 11, ЭТАЖ 2, КОМ. 06</t>
  </si>
  <si>
    <t>ООО ГРУППА КОМПАНИЙ ВАЛДАЙ</t>
  </si>
  <si>
    <t>117519, РОССИЯ, Г.МОСКВА, ВН.ТЕР.Г. МУНИЦИПАЛЬНЫЙ ОКРУГ ЧЕРТАНОВО ЦЕНТРАЛЬНОЕ, Ш ВАРШАВСКОЕ, Д. 132, СТР. 8</t>
  </si>
  <si>
    <t>ИП ВАСИЛЬЕВА ВИКТОРИЯ ОЛЕГОВНА</t>
  </si>
  <si>
    <t>ИП ЛАПШИН ВАЛЕРИЙ ВАЛЕРЬЕВИЧ</t>
  </si>
  <si>
    <t>ИП ПРИБЫЛОВ ВИКТОР ВИКТОРОВИЧ</t>
  </si>
  <si>
    <t>ИП ВАСИЛЬЕВА ЗОЯ ЛЕОНИДОВНА</t>
  </si>
  <si>
    <t>ООО ТЕХНОЛОГИИ БУДУЩЕГО</t>
  </si>
  <si>
    <t>125413, РОССИЯ, Г.МОСКВА, ВН.ТЕР.Г. МУНИЦИПАЛЬНЫЙ ОКРУГ ГОЛОВИНСКИЙ, УЛ СОЛНЕЧНОГОРСКАЯ, Д. 12, КВ. 45</t>
  </si>
  <si>
    <t>ООО ДВИЖЕНИЕ-КОМИ</t>
  </si>
  <si>
    <t>105005, РОССИЯ, Г.МОСКВА, ВН.ТЕР.Г. МУНИЦИПАЛЬНЫЙ ОКРУГ БАСМАННЫЙ, УЛ БАУМАНСКАЯ, Д. 7, СТР. 1, ПОМЕЩ. 22/1</t>
  </si>
  <si>
    <t>ИП КАРПОВА АНАСТАСИЯ СЕРГЕЕВНА</t>
  </si>
  <si>
    <t>ИП ПЕНЬКОВА ЛОЛИТА ПАВЛОВНА</t>
  </si>
  <si>
    <t>ООО АДДИНОЛ МОСКВА</t>
  </si>
  <si>
    <t>121596, Г.МОСКВА, ВН.ТЕР.Г. МУНИЦИПАЛЬНЫЙ ОКРУГ МОЖАЙСКИЙ, УЛ ГОРБУНОВА, Д. 2, СТР. 3, ПОМЕЩ. 35/8</t>
  </si>
  <si>
    <t>ИП ФЕДОСОВ АНДРЕЙ ЕВГЕНЬЕВИЧ</t>
  </si>
  <si>
    <t>ИП ЧИНЯЕВ АНДРЕЙ ГЕОРГИЕВИЧ</t>
  </si>
  <si>
    <t>ИП РЫБАКОВ ИГОРЬ СЕРГЕЕВИЧ</t>
  </si>
  <si>
    <t>ИП Загайнова Елена Алексеевна</t>
  </si>
  <si>
    <t>ООО МДВ ГРУПП</t>
  </si>
  <si>
    <t>115184, РОССИЯ, Г.МОСКВА, ВН.ТЕР.Г. МУНИЦИПАЛЬНЫЙ ОКРУГ ЗАМОСКВОРЕЧЬЕ, УЛ МАЛАЯ ОРДЫНКА, Д. 27/5-3, СТР. 1, ПОМЕЩ. 1/1</t>
  </si>
  <si>
    <t>ИП АРУТЮНЯН СУСАНА ВЛАДИМИРОВНА</t>
  </si>
  <si>
    <t>ИП ПАШКОВА ОКСАНА ГЕННАДЬЕВНА</t>
  </si>
  <si>
    <t>ООО СИЛЬВЕР-АВТО ПРАЙМ</t>
  </si>
  <si>
    <t>117545, РОССИЯ, Г.МОСКВА, ВН.ТЕР.Г. МУНИЦИПАЛЬНЫЙ ОКРУГ ЧЕРТАНОВО ЦЕНТРАЛЬНОЕ, УЛ ДОРОЖНАЯ, Д. 3, К. 5Б</t>
  </si>
  <si>
    <t>109028, РОССИЯ, Г.МОСКВА, ВН.ТЕР.Г. МУНИЦИПАЛЬНЫЙ ОКРУГ БАСМАННЫЙ, ПЕР ХОХЛОВСКИЙ, Д. 15, ПОМЕЩ. 1В/П</t>
  </si>
  <si>
    <t>ООО ИМПОРТ ЛУБРИКАНТС</t>
  </si>
  <si>
    <t>125493, РОССИЯ, Г.МОСКВА, ВН.ТЕР.Г. МУНИЦИПАЛЬНЫЙ ОКРУГ ГОЛОВИНСКИЙ, УЛ СМОЛЬНАЯ, Д. 2, ПОМЕЩ. 1Н/7</t>
  </si>
  <si>
    <t>ООО АВТО ЦЕНТР САМАРАГД</t>
  </si>
  <si>
    <t>123290, РОССИЯ, Г.МОСКВА, ВН.ТЕР.Г. МУНИЦИПАЛЬНЫЙ ОКРУГ ХОРОШЕВО-МНЕВНИКИ, НАБ ШЕЛЕПИХИНСКАЯ, Д. 34, К. 2, КВ. 1222</t>
  </si>
  <si>
    <t>ИП ВЕРЕВКИН МАКСИМ ВАЛЕРЬЕВИЧ</t>
  </si>
  <si>
    <t>ИП ЛОГИНОВА ЛИДИЯ ВИКТОРОВНА</t>
  </si>
  <si>
    <t>ИП ХУДАЯРОВ ТИМУР АБДУРАШИДОВИЧ</t>
  </si>
  <si>
    <t>117105, РОССИЯ, Г.МОСКВА, ВН.ТЕР.Г. МУНИЦИПАЛЬНЫЙ ОКРУГ НАГАТИНО-САДОВНИКИ, ПРОЕЗД НАГАТИНСКИЙ 1-Й, Д. 2, СТР. 7, ПОМЕЩ. 8/3</t>
  </si>
  <si>
    <t>ООО СИГУД</t>
  </si>
  <si>
    <t>119530, РОССИЯ, Г.МОСКВА, ВН.ТЕР.Г. МУНИЦИПАЛЬНЫЙ ОКРУГ ОЧАКОВО-МАТВЕЕВСКОЕ, Ш. ОЧАКОВСКОЕ, Д. 34, ПОМЕЩ. 11/6</t>
  </si>
  <si>
    <t>ИП ГОЛУБОВА МАРИНА АЛЕКСАНДРОВНА</t>
  </si>
  <si>
    <t>ИП РЫБАКОВ РОМАН СЕРГЕЕВИЧ</t>
  </si>
  <si>
    <t>ИП БОРОЗДИНА АЛЕКСАНДРА ФЕДОРОВНА</t>
  </si>
  <si>
    <t>ООО ЕВРОСМАЗ</t>
  </si>
  <si>
    <t>108810, Г.МОСКВА, ВН.ТЕР.Г. МУНИЦИПАЛЬНЫЙ ОКРУГ ВНУКОВО, П СОВХОЗА КРЁКШИНО, УЛ ОЗЕРНАЯ, Д. 5, СТР. 1, ПОМЕЩ. 27</t>
  </si>
  <si>
    <t>ООО АВТО ОК</t>
  </si>
  <si>
    <t>117303, Г.МОСКВА, ВН.ТЕР.Г. МУНИЦИПАЛЬНЫЙ ОКРУГ ЗЮЗИНО, УЛ БОЛЬШАЯ ЮШУНЬСКАЯ, Д. 1А, К. 3, ОФИС №1504</t>
  </si>
  <si>
    <t>ООО ЭКСПО-ПАРТС</t>
  </si>
  <si>
    <t>117186, РОССИЯ, Г.МОСКВА, ВН.ТЕР.Г. МУНИЦИПАЛЬНЫЙ ОКРУГ КОТЛОВКА, УЛ НАГОРНАЯ, Д. 24, К. 9, ПОМЕЩ. 1/1</t>
  </si>
  <si>
    <t>ООО СЛАВА МОТОРС РУС</t>
  </si>
  <si>
    <t>127018, РОССИЯ, Г.МОСКВА, ВН.ТЕР.Г. МУНИЦИПАЛЬНЫЙ ОКРУГ МАРЬИНА РОЩА, УЛ ДВИНЦЕВ, Д. 12, К. 1, ПОМЕЩ. 1/1</t>
  </si>
  <si>
    <t>ИП КОПЕЙКИН АНДРЕЙ НИКОЛАЕВИЧ</t>
  </si>
  <si>
    <t>ООО ПС СТ</t>
  </si>
  <si>
    <t>115191, Г.МОСКВА, ВН.ТЕР.Г. МУНИЦИПАЛЬНЫЙ ОКРУГ ДАНИЛОВСКИЙ, ПЕР ХОЛОДИЛЬНЫЙ, Д. 3</t>
  </si>
  <si>
    <t>ООО АЛЬТА-СОФТ</t>
  </si>
  <si>
    <t>115409, Г.МОСКВА, ВН.ТЕР.Г. МУНИЦИПАЛЬНЫЙ ОКРУГ МОСКВОРЕЧЬЕ-САБУРОВО, Ш КАШИРСКОЕ, Д. 70, К. 3</t>
  </si>
  <si>
    <t>ООО КАЛИБР</t>
  </si>
  <si>
    <t>129085, Г.МОСКВА, ПР-КТ МИРА, Д. 101В, СТР. 1, ЭТ 4 ПОМ III КОМ 7</t>
  </si>
  <si>
    <t>ИП ВОЙНОВА ВАЛЕРИЯ АЛЕКСАНДРОВНА</t>
  </si>
  <si>
    <t>ООО СИЛЬВЕР-АВТО ПЛЮС</t>
  </si>
  <si>
    <t>107564, РОССИЯ, Г.МОСКВА, ВН.ТЕР.Г. МУНИЦИПАЛЬНЫЙ ОКРУГ БОГОРОДСКОЕ, УЛ КРАСНОБОГАТЫРСКАЯ, Д. 38, СТР. 2, ПОМЕЩ. 1/Н</t>
  </si>
  <si>
    <t>ООО ДТК</t>
  </si>
  <si>
    <t>115583, Г.МОСКВА, Ш КАШИРСКОЕ, Д. 65, К. 3, КВ. 99</t>
  </si>
  <si>
    <t>ИП ОЗОЛИН ВАДИМ ВИКТОРОВИЧ</t>
  </si>
  <si>
    <t>ИП ПОЗДНЯКОВ АЛЕКСЕЙ ВАЛЕНТИНОВИЧ</t>
  </si>
  <si>
    <t>ИП СЕМЕНОВА ОЛЬГА ВЛАДИМИРОВНА</t>
  </si>
  <si>
    <t>ИП ВОРОШИЛОВ АЛЕКСАНДР ВАСИЛЬЕВИЧ</t>
  </si>
  <si>
    <t>ИП РУБЦОВ СЕРГЕЙ ВЛАДИМИРОВИЧ</t>
  </si>
  <si>
    <t>ИП Вельш Елена Геннадьевна</t>
  </si>
  <si>
    <t>ИП КОПТЕВА АННА ВЛАДИМИРОВНА</t>
  </si>
  <si>
    <t>ИП ЩЕРБАКОВА НАТАЛЬЯ ПЕТРОВНА</t>
  </si>
  <si>
    <t>ИП НАУМОВА ГАЛИНА ИГОРЕВНА</t>
  </si>
  <si>
    <t>ИП Шлапак Константин Васильевич</t>
  </si>
  <si>
    <t>ООО АВТО ИМПОРТ</t>
  </si>
  <si>
    <t>125476, Г.МОСКВА, УЛ ВАСИЛИЯ ПЕТУШКОВА, Д. 3, СТР. 1, ЭТАЖ 3 ПОМ 49</t>
  </si>
  <si>
    <t>ИП Беляева Людмила Викторовна</t>
  </si>
  <si>
    <t>117452, Г.МОСКВА, ВН.ТЕР.Г. МУНИЦИПАЛЬНЫЙ ОКРУГ ЗЮЗИНО, Б-Р ЧЕРНОМОРСКИЙ, Д. 17, К. 1, ПОМЕЩ. 5/3/5</t>
  </si>
  <si>
    <t>123242, Г.МОСКВА, УЛ БОЛЬШАЯ ГРУЗИНСКАЯ, Д. 20, ПОМЕЩ. 3 К.6</t>
  </si>
  <si>
    <t>121596, РОССИЯ, Г.МОСКВА, ВН.ТЕР.Г. МУНИЦИПАЛЬНЫЙ ОКРУГ МОЖАЙСКИЙ, УЛ ГОРБУНОВА, Д. 2, СТР. 3, ПОМЕЩ. II, ЭТАЖ 3, КОМ. 43</t>
  </si>
  <si>
    <t>ИП БЕРКУТ СВЕТЛАНА ВИКТОРОВНА</t>
  </si>
  <si>
    <t>ИП ЗАГОРОДНИЙ ЕВГЕНИЙ АЛЕКСАНДРОВИЧ</t>
  </si>
  <si>
    <t>ИП ГРИШКЕВИЧ ЕВГЕНИЙ ВИКТОРОВИЧ</t>
  </si>
  <si>
    <t>ООО МАСТЕР ПЛЮС</t>
  </si>
  <si>
    <t>108811, Г.МОСКВА, КМ 22-Й (КИЕВСКОЕ Ш.), Д. 4, СТР. 2, ОФИС 615В</t>
  </si>
  <si>
    <t>ООО  АВТОГЕРМЕС-ЗАПАД</t>
  </si>
  <si>
    <t>109444, Г.МОСКВА, УЛ СОРМОВСКАЯ, Д.21А, СТРОЕНИЕ 9</t>
  </si>
  <si>
    <t>ИП Чернявский Глеб Игоревич</t>
  </si>
  <si>
    <t>ИП ЗИНЧЕНКО ИГОРЬ АЛЕКСЕЕВИЧ</t>
  </si>
  <si>
    <t>ООО АВТОТРАКОПТ</t>
  </si>
  <si>
    <t>105082, Г.МОСКВА, ВН.ТЕР.Г. МУНИЦИПАЛЬНЫЙ ОКРУГ БАСМАННЫЙ, УЛ ФРИДРИХА ЭНГЕЛЬСА, Д. 75, СТР. 21, ЭТАЖ Т, ОФИС 906Б</t>
  </si>
  <si>
    <t>ООО АИР-ТЕК</t>
  </si>
  <si>
    <t>125252, РОССИЯ, Г.МОСКВА, ВН.ТЕР.Г. МУНИЦИПАЛЬНЫЙ ОКРУГ СОКОЛ, УЛ НОВОПЕСЧАНАЯ, Д. 17, К. 3, ПОМЕЩ. 1П</t>
  </si>
  <si>
    <t>ИП МАНЕШИНА ЕЛЕНА ВЯЧЕСЛАВОВНА</t>
  </si>
  <si>
    <t>ООО НАТАСТОРИ</t>
  </si>
  <si>
    <t>108811, Г.МОСКВА, ПОС. ВНУКОВСКОЕ, УЛ САМУИЛА МАРШАКА, Д. 12, КВ. 91</t>
  </si>
  <si>
    <t>ИП ЗАГОРНОВ ВИТАЛИЙ ВЛАДИМИРОВИЧ</t>
  </si>
  <si>
    <t>ИП РОЖКОВА ОКСАНА ГЕННАДЬЕВНА</t>
  </si>
  <si>
    <t>ИП ПЕТРОВ АЛЕКСЕЙ АЛЕКСАНДРОВИЧ</t>
  </si>
  <si>
    <t>ИП МАТИЕВ ВАСИЛИЙ ИГОРЕВИЧ</t>
  </si>
  <si>
    <t>ООО БТЛ-СЕРВИС</t>
  </si>
  <si>
    <t>117342, Г.МОСКВА, ВН.ТЕР.Г. МУНИЦИПАЛЬНЫЙ ОКРУГ КОНЬКОВО, УЛ БУТЛЕРОВА, Д. 17Б, ПОМЕЩ. 60Б/11/2</t>
  </si>
  <si>
    <t>ООО ТД МТЦ</t>
  </si>
  <si>
    <t>109380, РОССИЯ, Г.МОСКВА, ВН.ТЕР.Г. МУНИЦИПАЛЬНЫЙ ОКРУГ ЛЮБЛИНО, УЛ ЧАГИНСКАЯ, Д. 4, СТР. 13, ПОМЕЩ. 6/2</t>
  </si>
  <si>
    <t>ИП ЗОЛИН АЛЕКСАНДР АНДРЕЕВИЧ</t>
  </si>
  <si>
    <t>ИП Долгих Дмитрий Геннадьевич</t>
  </si>
  <si>
    <t>ИП КЛАНЦ ВЛАДИМИР ВАЛЕРЬЕВИЧ</t>
  </si>
  <si>
    <t>ИП АНОСОВА НАТАЛЬЯ МИХАЙЛОВНА</t>
  </si>
  <si>
    <t>ООО ТК ДИЗЕЛЬ-ГАРАНТ</t>
  </si>
  <si>
    <t>119620, РОССИЯ, Г.МОСКВА, ВН.ТЕР.Г. МУНИЦИПАЛЬНЫЙ ОКРУГ СОЛНЦЕВО, ПР-КТ СОЛНЦЕВСКИЙ, Д. 11, ПОМЕЩ. 1/1</t>
  </si>
  <si>
    <t>ИП БЕРКИНОВ ДМИТРИЙ ДМИТРИЕВИЧ</t>
  </si>
  <si>
    <t>ООО ТД АВЕРС</t>
  </si>
  <si>
    <t>107045, РОССИЯ, Г.МОСКВА, ВН.ТЕР.Г. МУНИЦИПАЛЬНЫЙ ОКРУГ КРАСНОСЕЛЬСКИЙ, ПЕР ДАЕВ, Д. 20</t>
  </si>
  <si>
    <t>ИП ПОЛУХИН МАКСИМ ОЛЕГОВИЧ</t>
  </si>
  <si>
    <t>ООО АБСОЛЮТ СВ</t>
  </si>
  <si>
    <t>105066, РОССИЯ, Г.МОСКВА, ВН.ТЕР.Г. МУНИЦИПАЛЬНЫЙ ОКРУГ КРАСНОСЕЛЬСКИЙ, УЛ ОЛЬХОВСКАЯ, Д. 45, СТР. 1</t>
  </si>
  <si>
    <t>ООО КОРН-ТРЕЙД</t>
  </si>
  <si>
    <t>109044, РОССИЯ, Г.МОСКВА, ВН.ТЕР.Г. МУНИЦИПАЛЬНЫЙ ОКРУГ ТАГАНСКИЙ, ПЕР ВОРОНЦОВСКИЙ, Д. 5/7, ПОМЕЩ. 2/2</t>
  </si>
  <si>
    <t>ИП Смирнова Екатерина Вячеславовна</t>
  </si>
  <si>
    <t>ИП КОБЕРНИК РУСЛАН ВАСИЛЬЕВИЧ</t>
  </si>
  <si>
    <t>ИП ЛЕОНТЬЕВ АНТОН ВАЛЕРЬЕВИЧ</t>
  </si>
  <si>
    <t>ООО УРАЛ-ЭНЕРГО</t>
  </si>
  <si>
    <t>129110, РОССИЯ, Г.МОСКВА, ВН.ТЕР.Г. МУНИЦИПАЛЬНЫЙ ОКРУГ МЕЩАНСКИЙ, УЛ ГИЛЯРОВСКОГО, Д. 57, СТР. 1</t>
  </si>
  <si>
    <t>ООО БРИФФ ВЭЛД</t>
  </si>
  <si>
    <t>129344, Г.МОСКВА, ВН.ТЕР.Г. МУНИЦИПАЛЬНЫЙ ОКРУГ БАБУШКИНСКИЙ, УЛ ВЕРХОЯНСКАЯ, Д. 10, ПОМЕЩ. 1П</t>
  </si>
  <si>
    <t>ООО ТПК ИСБЕЛТ</t>
  </si>
  <si>
    <t>111020, Г.МОСКВА, ВН.ТЕР.Г. МУНИЦИПАЛЬНЫЙ ОКРУГ ЛЕФОРТОВО, УЛ 2-Я СИНИЧКИНА, Д. 9А, СТР. 4, ПОМЕЩ. 1Н/3</t>
  </si>
  <si>
    <t>АО КОНТРАКТ</t>
  </si>
  <si>
    <t>129090, Г.МОСКВА, УЛ МЕЩАНСКАЯ, Д. 7, СТР. 1, ОФИС 15</t>
  </si>
  <si>
    <t>ООО АВМ ПЕТРОЛИУМ</t>
  </si>
  <si>
    <t>129345, Г.МОСКВА, УЛ ОСТАШКОВСКАЯ, Д.18А</t>
  </si>
  <si>
    <t>ООО ЛУКАВТО</t>
  </si>
  <si>
    <t>115035, Г.МОСКВА, ВН.ТЕР.Г. МУНИЦИПАЛЬНЫЙ ОКРУГ ЗАМОСКВОРЕЧЬЕ, УЛ БОЛЬШАЯ ОРДЫНКА, Д. 1</t>
  </si>
  <si>
    <t>ООО АТЕКС</t>
  </si>
  <si>
    <t>115280, Г.МОСКВА, ВН.ТЕР.Г. МУНИЦИПАЛЬНЫЙ ОКРУГ ДАНИЛОВСКИЙ, УЛ ЛЕНИНСКАЯ СЛОБОДА, Д. 19, ПОМЕЩ. 62/1</t>
  </si>
  <si>
    <t>ООО ЛЛК-ИНТЕРНЕШНЛ</t>
  </si>
  <si>
    <t>115035, Г.МОСКВА, ВН.ТЕР.Г. МУНИЦИПАЛЬНЫЙ ОКРУГ ЗАМОСКВОРЕЧЬЕ, УЛ САДОВНИЧЕСКАЯ, Д. 75</t>
  </si>
  <si>
    <t>ООО ОПТИТЭК АГРО</t>
  </si>
  <si>
    <t>123376, Г.МОСКВА, УЛ РОЧДЕЛЬСКАЯ, Д. 15, СТР. 1, ЭТ/ПОМ/КОМ 5/1/42</t>
  </si>
  <si>
    <t>ООО СОТТИС</t>
  </si>
  <si>
    <t>119017, Г.МОСКВА, УЛ ПЯТНИЦКАЯ, Д. 37, ПОМЕЩ. I КОМ. 1 ЭТ. 2</t>
  </si>
  <si>
    <t>ООО МОБИС ПАРТС СНГ</t>
  </si>
  <si>
    <t>123112, Г.МОСКВА, НАБ ПРЕСНЕНСКАЯ, Д. 6, СТР. 2</t>
  </si>
  <si>
    <t>ООО СКЭНР</t>
  </si>
  <si>
    <t>123112, Г.МОСКВА, УЛ ТЕСТОВСКАЯ, Д. 10, ОФИС 1302</t>
  </si>
  <si>
    <t>ООО ПРАЙМ ГРУПП</t>
  </si>
  <si>
    <t>125167, Г.МОСКВА, УЛ 4-Я 8 МАРТА, Д. 6А, ПОМЕЩ. 14</t>
  </si>
  <si>
    <t>ООО ЦМТО1</t>
  </si>
  <si>
    <t>109428, Г.МОСКВА, ВН.ТЕР.Г. МУНИЦИПАЛЬНЫЙ ОКРУГ РЯЗАНСКИЙ, ПР-КТ РЯЗАНСКИЙ, Д. 22, К. 2, ПОМЕЩ. 1/1</t>
  </si>
  <si>
    <t>ООО АИ</t>
  </si>
  <si>
    <t>105122, Г.МОСКВА, ВН.ТЕР.Г. МУНИЦИПАЛЬНЫЙ ОКРУГ ГОЛЬЯНОВО, Ш ЩЁЛКОВСКОЕ, Д. 9, ПОМЕЩ. 1П</t>
  </si>
  <si>
    <t>ООО КШТЭ ВОСТОК</t>
  </si>
  <si>
    <t>115114, Г.МОСКВА, НАБ ДЕРБЕНЕВСКАЯ, Д. 7, СТР. 4</t>
  </si>
  <si>
    <t>ООО СУЗУКИ МОТОР РУС</t>
  </si>
  <si>
    <t>129323, Г.МОСКВА, УЛ СНЕЖНАЯ, Д. 26</t>
  </si>
  <si>
    <t>ООО ГРК МИР</t>
  </si>
  <si>
    <t>119034, Г.МОСКВА, ВН.ТЕР.Г. МУНИЦИПАЛЬНЫЙ ОКРУГ ХАМОВНИКИ, ПЕР 2-Й ОБЫДЕНСКИЙ, Д. 1А, ПОМЕЩ. 1/2</t>
  </si>
  <si>
    <t>ИП СОРОКИНА ОЛЕСЯ ВАСИЛЬЕВНА</t>
  </si>
  <si>
    <t>ИП ТРОФИМОВ ВЛАДИМИР ВЛАДИМИРОВИЧ</t>
  </si>
  <si>
    <t>ООО ОЛИВА</t>
  </si>
  <si>
    <t>119019, Г.МОСКВА, УЛ НОВЫЙ АРБАТ, Д. 10, ЭТАЖ 1 ПОМ. I КОМНАТА 5</t>
  </si>
  <si>
    <t>АО ЦСТЭ (ХОЛДИНГ)</t>
  </si>
  <si>
    <t>115054, Г.МОСКВА, НАБ ОЗЕРКОВСКАЯ, Д. 50, СТР. 1, ЭТАЖ 4 ПОМ.I  КОМ.3А</t>
  </si>
  <si>
    <t>АО АВИЛОН АГ</t>
  </si>
  <si>
    <t>109316, Г.МОСКВА, ПР-КТ ВОЛГОГРАДСКИЙ, Д. 41, К. 1, ОФИС ПРАВЛЕНИЕ</t>
  </si>
  <si>
    <t>ООО АДЕО.ПРО</t>
  </si>
  <si>
    <t>115114, Г.МОСКВА, ВН.ТЕР.Г. МУНИЦИПАЛЬНЫЙ ОКРУГ ДАНИЛОВСКИЙ, ПЕР 2-Й КОЖЕВНИЧЕСКИЙ, Д. 1, ПОМЕЩЕНИЕ/ОФИС 8/1</t>
  </si>
  <si>
    <t>ООО БИНА ГРУПП</t>
  </si>
  <si>
    <t>107023, Г.МОСКВА, ВН.ТЕР.Г. МУНИЦИПАЛЬНЫЙ ОКРУГ ПРЕОБРАЖЕНСКОЕ, УЛ ЭЛЕКТРОЗАВОДСКАЯ, Д. 27, СТР. 8</t>
  </si>
  <si>
    <t>АО МБ РУС</t>
  </si>
  <si>
    <t>125167, Г.МОСКВА, ПР-КТ ЛЕНИНГРАДСКИЙ, Д. 39А</t>
  </si>
  <si>
    <t>ЗАО Р И А ПАРТНЕР КОНСАЛТИНГ</t>
  </si>
  <si>
    <t>123056, Г.МОСКВА, ПЕР ГРУЗИНСКИЙ, Д.3, СТР.1</t>
  </si>
  <si>
    <t>ООО НПП АВТОКОНИНВЕСТ</t>
  </si>
  <si>
    <t>125047, Г.МОСКВА, УЛ ЛЕСНАЯ, Д. 20, СТР. 1</t>
  </si>
  <si>
    <t>ООО БСГ АВТО ПАРТС</t>
  </si>
  <si>
    <t>125195, Г.МОСКВА, Ш ЛЕНИНГРАДСКОЕ, Д. 59, ЭТ 2 КОРП Г ПОМ V КОМН 1,1А,2,2А,2Б,2В</t>
  </si>
  <si>
    <t>127006, Г.МОСКВА, ВН.ТЕР.Г. МУНИЦИПАЛЬНЫЙ ОКРУГ ТВЕРСКОЙ, УЛ КРАСНОПРОЛЕТАРСКАЯ, Д. 7, ПОМЕЩ. 4/П</t>
  </si>
  <si>
    <t>АО ХТК РЕСУРС</t>
  </si>
  <si>
    <t>101000, Г.МОСКВА, УЛ БОЛЬШАЯ ЛУБЯНКА, Д. 22, ЭТ 1 ПОМ III КОМ 21</t>
  </si>
  <si>
    <t>ООО ЭНИ-ЦЕНТР</t>
  </si>
  <si>
    <t>107140, Г.МОСКВА, ПЛ КОМСОМОЛЬСКАЯ, Д. 6, ПОМ/КОМ/ОФ I/105Б/8</t>
  </si>
  <si>
    <t>ИП ДЖУР АЛЕКСАНДР ВЛАДИМИРОВИЧ</t>
  </si>
  <si>
    <t>ИП СУРКОВ АНДРЕЙ СЕРГЕЕВИЧ</t>
  </si>
  <si>
    <t>ООО ВП-ОЙЛ</t>
  </si>
  <si>
    <t>129344, РОССИЯ, Г.МОСКВА, ВН.ТЕР.Г. МУНИЦИПАЛЬНЫЙ ОКРУГ БАБУШКИНСКИЙ, УЛ ЕНИСЕЙСКАЯ, Д. 5, ПОМЕЩ. 4/1</t>
  </si>
  <si>
    <t>ИП СВИРИДОК АНФИСА ЭДУАРДОВНА</t>
  </si>
  <si>
    <t>ИП СТЕПАНЮК АЛЕНА ВЛАДИМИРОВНА</t>
  </si>
  <si>
    <t>ИП СЕМЕНОВА ЕЛЕНА ВИКТОРОВНА</t>
  </si>
  <si>
    <t>ИП ВАРЛАМОВА НАТАЛЬЯ ИВАНОВНА</t>
  </si>
  <si>
    <t>ООО АКСИОМА</t>
  </si>
  <si>
    <t>105187, Г.МОСКВА, ВН.ТЕР.Г. МУНИЦИПАЛЬНЫЙ ОКРУГ ИЗМАЙЛОВО, УЛ ВЕРНИСАЖНАЯ, Д. 13</t>
  </si>
  <si>
    <t>ИП КУШНИРЕНКО ДЕНИС АЛЕКСАНДРОВИЧ</t>
  </si>
  <si>
    <t>ИП ДЕМИДОВ ДМИТРИЙ МИХАЙЛОВИЧ</t>
  </si>
  <si>
    <t>108824, РОССИЯ, Г.МОСКВА, ВН.ТЕР.Г. МУНИЦИПАЛЬНЫЙ ОКРУГ ЩЕРБИНКА, С ОСТАФЬЕВО, УЛ ЗЕЛЁНОВКА, Д. 114</t>
  </si>
  <si>
    <t>ИП САФАРЬЯНЦ РОМАН АНДРЕЕВИЧ</t>
  </si>
  <si>
    <t>ООО ГЕННИС ГРУПП</t>
  </si>
  <si>
    <t>115551, РОССИЯ, Г.МОСКВА, ВН.ТЕР.Г. МУНИЦИПАЛЬНЫЙ ОКРУГ ОРЕХОВО-БОРИСОВО СЕВЕРНОЕ, ПРОЕЗД ШИПИЛОВСКИЙ, Д. 47, ПОМЕЩ. 10Н</t>
  </si>
  <si>
    <t>ИП ХАПЧЕНКОВ АНДРЕЙ МИХАЙЛОВИЧ</t>
  </si>
  <si>
    <t>АО ВЮРТ-РУСЬ</t>
  </si>
  <si>
    <t>105082, Г.МОСКВА, УЛ ФРИДРИХА ЭНГЕЛЬСА, Д.75, СТР.3, КОМНАТА 10</t>
  </si>
  <si>
    <t>ООО ЛУКОЙЛ-ЦЕНТРНЕФТЕПРОДУКТ</t>
  </si>
  <si>
    <t>129110, Г.МОСКВА, ВН.ТЕР.Г. МУНИЦИПАЛЬНЫЙ ОКРУГ МЕЩАНСКИЙ, ПР-КТ ОЛИМПИЙСКИЙ, Д. 5, СТР. 1</t>
  </si>
  <si>
    <t>ООО МОСКВОРЕЧЬЕ ТРЕЙДИНГ</t>
  </si>
  <si>
    <t>111524, Г.МОСКВА, ВН.ТЕР.Г. МУНИЦИПАЛЬНЫЙ ОКРУГ ПЕРОВО, УЛ ЭЛЕКТРОДНАЯ, Д. 2, СТР. 12, ПОМЕЩ. 11</t>
  </si>
  <si>
    <t>ООО ГЛИКСОБ</t>
  </si>
  <si>
    <t>109380, Г.МОСКВА, ВН.ТЕР.Г. МУНИЦИПАЛЬНЫЙ ОКРУГ ЛЮБЛИНО, УЛ ЧАГИНСКАЯ, Д. 4, СТР. 13, ЭТАЖ 2, КОМ./ОФИС 28/48</t>
  </si>
  <si>
    <t>ООО НОВУС</t>
  </si>
  <si>
    <t>121354, Г.МОСКВА, ВН.ТЕР.Г. МУНИЦИПАЛЬНЫЙ ОКРУГ МОЖАЙСКИЙ, УЛ ДОРОГОБУЖСКАЯ, Д. 14, СТР. 16</t>
  </si>
  <si>
    <t>ИП Панов Станислав Владимирович</t>
  </si>
  <si>
    <t>ИП ВОЛКОВ АРТЕМ АЛЕКСАНДРОВИЧ</t>
  </si>
  <si>
    <t>ООО ПХК-СПЕЦПРОДУКТЫ</t>
  </si>
  <si>
    <t>121069, Г.МОСКВА, ПЕР СТОЛОВЫЙ, Д. 6, КОМ. 413, ЭТАЖ 4</t>
  </si>
  <si>
    <t>ООО ЦЕНТР ПЛАНИРОВАНИЯ И УПРАВЛЕНИЯ МТР</t>
  </si>
  <si>
    <t>109004, Г.МОСКВА, УЛ ЗЕМЛЯНОЙ ВАЛ, Д. 59, СТР. 2, ПОМЕЩ. 318</t>
  </si>
  <si>
    <t>ООО ФАВОРИТХОФ НА ВАРШАВКЕ</t>
  </si>
  <si>
    <t>117545, Г.МОСКВА, ПР-Д 1-Й ДОРОЖНЫЙ, Д. 4, К. 1</t>
  </si>
  <si>
    <t>ИП МАНЬКО ДЕНИС РОМАНОВИЧ</t>
  </si>
  <si>
    <t>ООО СКАРОБЕЙ-М</t>
  </si>
  <si>
    <t>107014, Г.МОСКВА, УЛ ЖЕБРУНОВА, Д.4</t>
  </si>
  <si>
    <t>АО ЮМП</t>
  </si>
  <si>
    <t>109147, Г.МОСКВА, УЛ МАРКСИСТСКАЯ, Д. 34, К. 10, ЭТАЖ 7 ПОМЕЩ 2</t>
  </si>
  <si>
    <t>ООО ИНТЕРНЕТ РЕШЕНИЯ</t>
  </si>
  <si>
    <t>123112, Г.МОСКВА, НАБ ПРЕСНЕНСКАЯ, Д. 10, ПОМЕЩ. I ЭТ 41 КОМН 6</t>
  </si>
  <si>
    <t>ООО МЕТРО КЭШ ЭНД КЕРРИ</t>
  </si>
  <si>
    <t>125445, Г.МОСКВА, Ш ЛЕНИНГРАДСКОЕ, Д.71Г</t>
  </si>
  <si>
    <t>ООО САКМИ МОСКВА</t>
  </si>
  <si>
    <t>119048, Г.МОСКВА, УЛ ЕФРЕМОВА, Д. 14, ПОМЕЩ. IV, КОМН. 1, ЭТАЖ 1</t>
  </si>
  <si>
    <t>ООО АПТРЕЙД</t>
  </si>
  <si>
    <t>121099, Г.МОСКВА, ВН.ТЕР.Г. МУНИЦИПАЛЬНЫЙ ОКРУГ АРБАТ, ПЛ СМОЛЕНСКАЯ, Д. 5</t>
  </si>
  <si>
    <t>115142, Г.МОСКВА, УЛ РЕЧНИКОВ, Д. 29, К. 3, ОФИС 1А</t>
  </si>
  <si>
    <t>ООО РУСАВТОСБЫТ</t>
  </si>
  <si>
    <t>117519, Г.МОСКВА, УЛ КИРОВОГРАДСКАЯ, Д.32, 37</t>
  </si>
  <si>
    <t>107113, Г.МОСКВА, ПР-К 1-Й ЛУЧЕВОЙ, Д. 7, СТР. 3</t>
  </si>
  <si>
    <t>ООО СП БИЗНЕС КАР</t>
  </si>
  <si>
    <t>117452, Г.МОСКВА, ПР-КТ БАЛАКЛАВСКИЙ, Д.26</t>
  </si>
  <si>
    <t>ООО РОСА-1</t>
  </si>
  <si>
    <t>115093, Г.МОСКВА, ПЕР 1-Й ЩИПКОВСКИЙ, Д.30</t>
  </si>
  <si>
    <t>ООО ОЙЛПАРТС</t>
  </si>
  <si>
    <t>115230, Г.МОСКВА, ПР-Д ЭЛЕКТРОЛИТНЫЙ, Д. 1, К. 3, Э 3 П X КОМ 1 ОФ 3Б</t>
  </si>
  <si>
    <t>ООО РУСИМПОРТСНАБ</t>
  </si>
  <si>
    <t>127591, Г.МОСКВА, Ш ДМИТРОВСКОЕ, Д. 100, К. 2, ЭТАЖ 4 ОФ 657</t>
  </si>
  <si>
    <t>ООО СЮЙГУН РУ</t>
  </si>
  <si>
    <t>119619, Г.МОСКВА, ПР-Д НОВОМЕЩЕРСКИЙ, Д. 9, СТР. 1, ЭТ 1 ПОМ V КОМ 21</t>
  </si>
  <si>
    <t>ИП ФЕКЛИЧЕВ ДМИТРИЙ ЕВГЕНЬЕВИЧ</t>
  </si>
  <si>
    <t>АО РН-МОСКВА</t>
  </si>
  <si>
    <t>119071, Г.МОСКВА, ВН.ТЕР.Г. МУНИЦИПАЛЬНЫЙ ОКРУГ ДОНСКОЙ, УЛ МАЛАЯ КАЛУЖСКАЯ, Д. 15, СТР. 28, ПОМЕЩ. 1/1</t>
  </si>
  <si>
    <t>АО НПЦ СПЕЦНЕФТЬПРОДУКТ</t>
  </si>
  <si>
    <t>121069, Г.МОСКВА, ПЕР ХЛЕБНЫЙ, Д. 19А, ЭТАЖ 8 ПОМ. I КОМ. 1-11</t>
  </si>
  <si>
    <t>ООО АВТОСВ</t>
  </si>
  <si>
    <t>115114, Г.МОСКВА, ВН.ТЕР.Г. МУНИЦИПАЛЬНЫЙ ОКРУГ ДАНИЛОВСКИЙ, ПЕР 2-Й КОЖЕВНИЧЕСКИЙ, Д. 1, ПОМЕЩ. 4А/1</t>
  </si>
  <si>
    <t>ИП КУЛАКОВ ВЛАДИСЛАВ АЛЕКСЕЕВИЧ</t>
  </si>
  <si>
    <t>ООО КАТЮША</t>
  </si>
  <si>
    <t>127055, Г.МОСКВА, ПЕР УГЛОВОЙ, Д. 2, ЭТ 10 ПОМ I КОМ 1, РМ1А</t>
  </si>
  <si>
    <t>ООО ПОЛЮС ХИМ</t>
  </si>
  <si>
    <t>123112, Г.МОСКВА, ВН.ТЕР.Г. МУНИЦИПАЛЬНЫЙ ОКРУГ ПРЕСНЕНСКИЙ, НАБ ПРЕСНЕНСКАЯ, Д. 10, СТР. 2, ПОМЕЩ. 5Н, ОФИС 313</t>
  </si>
  <si>
    <t>ООО С-ТРЕЙД</t>
  </si>
  <si>
    <t>107031, Г.МОСКВА, УЛ ДМИТРОВКА Б., Д. 32, СТР. 9, ЭТ 2 ПОМ III КОМ 12</t>
  </si>
  <si>
    <t>ИП КОТЕЛЕВСКИЙ СТАНИСЛАВ ВЛАДИМИРОВИЧ</t>
  </si>
  <si>
    <t>ООО ПЕЖО СИТРОЕН РУС</t>
  </si>
  <si>
    <t>105120, Г.МОСКВА, ВН.ТЕР.Г. МУНИЦИПАЛЬНЫЙ ОКРУГ ТАГАНСКИЙ, ПЕР 2-Й СЫРОМЯТНИЧЕСКИЙ, Д. 1, ЭТАЖ 9, ПОМЕЩ. I К. 112</t>
  </si>
  <si>
    <t>ООО ТОРГОВОЕ ПРЕДПРИЯТИЕ ХИМИПЛАСТ-XXI</t>
  </si>
  <si>
    <t>115404, Г.МОСКВА, УЛ 1-Я СТЕКОЛЬНАЯ, Д. 7, СТР. 8</t>
  </si>
  <si>
    <t>ООО КОМПЛЕКТСТРОЙ</t>
  </si>
  <si>
    <t>109428, Г.МОСКВА, ПР-КТ РЯЗАНСКИЙ, Д. 22, К. 2, ЭТ 8 ПОМ XIV КОМ 15</t>
  </si>
  <si>
    <t>ИП ИВАНИЦКИЙ АЛЕКСАНДР СЕРГЕЕВИЧ</t>
  </si>
  <si>
    <t>123100, Г.МОСКВА, УЛ ЧЕРНОГРЯЗСКАЯ 2-Я, Д.3, 14</t>
  </si>
  <si>
    <t>ООО МАЙНТЕК МАШИНЕРИ</t>
  </si>
  <si>
    <t>119435, Г.МОСКВА, ПЕР БОЛЬШОЙ САВВИНСКИЙ, Д. 12, СТР. 18, ОФИС 304</t>
  </si>
  <si>
    <t>119435, Г.МОСКВА, ВН.ТЕР.Г. МУНИЦИПАЛЬНЫЙ ОКРУГ ХАМОВНИКИ, ПЕР БОЛЬШОЙ САВВИНСКИЙ, Д. 9, СТР. 1</t>
  </si>
  <si>
    <t>ООО ФЕНИКС ЛУБРИКАНТС</t>
  </si>
  <si>
    <t>125284, Г.МОСКВА, ВН.ТЕР.Г. МУНИЦИПАЛЬНЫЙ ОКРУГ БЕГОВОЙ, ПР-КТ ЛЕНИНГРАДСКИЙ, Д. 35, СТР. 1, ПОМЕЩ. 19Д/2</t>
  </si>
  <si>
    <t>ИП ПУКОЛЬЦЕВ ЕВГЕНИЙ МИХАЙЛОВИЧ</t>
  </si>
  <si>
    <t>ООО ПОЗИТИВНАЯ ЭНЕРГИЯ</t>
  </si>
  <si>
    <t>127055, Г.МОСКВА, УЛ ЛЕСНАЯ, Д. 30, КОМ. 13,14</t>
  </si>
  <si>
    <t>ООО ТЕХМЕТ</t>
  </si>
  <si>
    <t>107140, Г.МОСКВА, УЛ ВЕРХНЯЯ КРАСНОСЕЛЬСКАЯ, Д. 34, ПОМ V КОМ 1А</t>
  </si>
  <si>
    <t>ИП ТАРТЫНСКИЙ КОНСТАНТИН ИВАНОВИЧ</t>
  </si>
  <si>
    <t>ООО СТРОЙПРОМКАПИТАЛ</t>
  </si>
  <si>
    <t>109028, Г.МОСКВА, ВН.ТЕР.Г. МУНИЦИПАЛЬНЫЙ ОКРУГ БАСМАННЫЙ, ПЕР ХОХЛОВСКИЙ, Д. 15, ПОМЕЩ. 1В/П</t>
  </si>
  <si>
    <t>АО ФАБРИКА ИМ.СОВЕТСКОЙ АРМИИ</t>
  </si>
  <si>
    <t>109028, Г.МОСКВА, Б-Р ЯУЗСКИЙ, Д.13, К.3</t>
  </si>
  <si>
    <t>ООО ПРАКТИКА</t>
  </si>
  <si>
    <t>109202, Г.МОСКВА, УЛ 1-Я ФРЕЗЕРНАЯ, Д. 2/1, СТР 6, ЭТАЖ 2, ПОМ IV, КОМН 1</t>
  </si>
  <si>
    <t>АНО ГОНКА ГЕРОЕВ</t>
  </si>
  <si>
    <t>119435, Г.МОСКВА, ВН.ТЕР.Г. МУНИЦИПАЛЬНЫЙ ОКРУГ ХАМОВНИКИ, НАБ САВВИНСКАЯ, Д. 23, СТР. 1, ПОМЕЩ. 28</t>
  </si>
  <si>
    <t>ООО ГАСТРОФАБРИКА</t>
  </si>
  <si>
    <t>127550, Г.МОСКВА, УЛ ПРЯНИШНИКОВА, Д. 19А, СТР. 1, ЭТАЖ 2 ПОМ II КОМН 15-18</t>
  </si>
  <si>
    <t>ООО БОНКАР</t>
  </si>
  <si>
    <t>127299, РОССИЯ, Г.МОСКВА, ВН.ТЕР.Г. МУНИЦИПАЛЬНЫЙ ОКРУГ КОПТЕВО, УЛ БОЛЬШАЯ АКАДЕМИЧЕСКАЯ, Д. 5, ПОМЕЩ. 2/1</t>
  </si>
  <si>
    <t>127434, РОССИЯ, Г.МОСКВА, ВН.ТЕР.Г. МУНИЦИПАЛЬНЫЙ ОКРУГ ТИМИРЯЗЕВСКИЙ, Ш ДМИТРОВСКОЕ, Д. 5, К. 1, КВ. 104</t>
  </si>
  <si>
    <t>ООО ПРЕОЛ</t>
  </si>
  <si>
    <t>107023, Г.МОСКВА, ВН.ТЕР.Г. МУНИЦИПАЛЬНЫЙ ОКРУГ ПРЕОБРАЖЕНСКОЕ, УЛ СУВОРОВСКАЯ, Д. 10, КВ. 7</t>
  </si>
  <si>
    <t>ИП ХРЕНОВ АЛЕКСАНДР АЛЕКСАНДРОВИЧ</t>
  </si>
  <si>
    <t>ООО МЕРКУРИЙ М</t>
  </si>
  <si>
    <t>127287, Г.МОСКВА, ПР-Д ПЕТРОВСКО-РАЗУМОВСКИЙ, Д.18, СТР.1</t>
  </si>
  <si>
    <t>ООО ФРОЗА МСК</t>
  </si>
  <si>
    <t>115201, Г.МОСКВА, УЛ КОТЛЯКОВСКАЯ, Д. 1, СТР. 2, ЭТАЖ 2, ПОМ. II-1</t>
  </si>
  <si>
    <t>ООО ГАЛЕОН ТРЕЙД</t>
  </si>
  <si>
    <t>115184, Г.МОСКВА, ВН.ТЕР.Г. МУНИЦИПАЛЬНЫЙ ОКРУГ ЗАМОСКВОРЕЧЬЕ, ПЕР 1-Й НОВОКУЗНЕЦКИЙ, Д. 13, ПОМЕЩ. 1П</t>
  </si>
  <si>
    <t>ООО БОРИСХОФ ХОЛДИНГ</t>
  </si>
  <si>
    <t>123290, Г.МОСКВА, ВН.ТЕР.Г. МУНИЦИПАЛЬНЫЙ ОКРУГ ХОРОШЕВСКИЙ, УЛ 2-Я МАГИСТРАЛЬНАЯ, Д. 18, СТР. 22</t>
  </si>
  <si>
    <t>ООО МАРК</t>
  </si>
  <si>
    <t>127411, Г.МОСКВА, Ш ДМИТРОВСКОЕ, Д.159Д, СТР.1</t>
  </si>
  <si>
    <t>ООО АР-ДИСТРИБЬЮШЕН</t>
  </si>
  <si>
    <t>127576, Г.МОСКВА, УЛ НОВГОРОДСКАЯ, Д. 1, СТР/КОРПУС 5/Б, ЭТАЖ/ПОМ. 4/403</t>
  </si>
  <si>
    <t>ИП ИСРАЕЛЯН ВИТАЛИЙ АРМЕНОВИЧ</t>
  </si>
  <si>
    <t>ООО ФАРБОРС-СЕВЕР</t>
  </si>
  <si>
    <t>127254, Г.МОСКВА, УЛ РУСТАВЕЛИ, Д.1/2</t>
  </si>
  <si>
    <t>ИП ДУБОВКИН СТАНИСЛАВ ГЕННАДИЕВИЧ</t>
  </si>
  <si>
    <t>ООО ЦОТН</t>
  </si>
  <si>
    <t>127410, Г.МОСКВА, ВН.ТЕР.Г. МУНИЦИПАЛЬНЫЙ ОКРУГ ОТРАДНОЕ, Ш АЛТУФЬЕВСКОЕ, Д. 41А, СТР. 1</t>
  </si>
  <si>
    <t>ИП ЯКИРЕВИЧ ДМИТРИЙ ИГОРЕВИЧ</t>
  </si>
  <si>
    <t>ООО ЭНИКС</t>
  </si>
  <si>
    <t>107023, Г.МОСКВА, ВН.ТЕР.Г. МУНИЦИПАЛЬНЫЙ ОКРУГ ПРЕОБРАЖЕНСКОЕ, УЛ ЭЛЕКТРОЗАВОДСКАЯ, Д. 24, ПОМЕЩ. 1/1</t>
  </si>
  <si>
    <t>ООО БЭККЕРИ КОМПАНИ</t>
  </si>
  <si>
    <t>105568, Г.МОСКВА, ВН.ТЕР.Г. МУНИЦИПАЛЬНЫЙ ОКРУГ ИВАНОВСКОЕ, УЛ ЧЕЧУЛИНА, Д. 11, К. 2, ПОМЕЩ. 4П</t>
  </si>
  <si>
    <t>ИП ПЕРЕКЛАД АНДРЕЙ ВАСИЛЬЕВИЧ</t>
  </si>
  <si>
    <t>ИП БУТОВ СЕРГЕЙ НИКОЛАЕВИЧ</t>
  </si>
  <si>
    <t>ООО СК ЭЛИТ</t>
  </si>
  <si>
    <t>111524, Г.МОСКВА, УЛ ЭЛЕКТРОДНАЯ, Д. 11, СТР. 15, ПОМЕЩ. 06</t>
  </si>
  <si>
    <t>ИП КИМ АНДРЕЙ СЕРГЕЕВИЧ</t>
  </si>
  <si>
    <t>ИП ДУБОВИК ДМИТРИЙ ВЛАДИМИРОВИЧ</t>
  </si>
  <si>
    <t>ИП КУЛИКОВ ВИКТОР ВАЛЕРЬЕВИЧ</t>
  </si>
  <si>
    <t>ИП ЛЁВИН АНДРЕЙ МИХАЙЛОВИЧ</t>
  </si>
  <si>
    <t>ИП НЮ ДМИТРИЙ ЯКОВЛЕВИЧ</t>
  </si>
  <si>
    <t>ИП КРЫГИНА КРИСТИНА МИХАЙЛОВНА</t>
  </si>
  <si>
    <t>ООО ТУНАП РУС</t>
  </si>
  <si>
    <t>121596, Г.МОСКВА, УЛ ГОРБУНОВА, Д. 12, К. 2, ОФИС  А315</t>
  </si>
  <si>
    <t>ИП СУХАРЕВ ИГОРЬ ЕВГЕНЬЕВИЧ</t>
  </si>
  <si>
    <t>ООО ГАЗПРОМНЕФТЬ - ЦЕНТР</t>
  </si>
  <si>
    <t>117246, Г.МОСКВА, ПР-Д НАУЧНЫЙ, Д. 17, ЭТАЖ 12</t>
  </si>
  <si>
    <t>ООО ДИКСИ-ТРЕЙД</t>
  </si>
  <si>
    <t>109147, Г.МОСКВА, УЛ МАРКСИСТСКАЯ, Д. 34, К. 7</t>
  </si>
  <si>
    <t>ООО АВЕНСИС</t>
  </si>
  <si>
    <t>121471, Г.МОСКВА, УЛ РЯБИНОВАЯ, Д. 17А ВЛД, СТР. 3</t>
  </si>
  <si>
    <t>ООО ЛУКОЙЛ-РЕЗЕРВНЕФТЕПРОДУКТ</t>
  </si>
  <si>
    <t>115035, Г.МОСКВА, УЛ БОЛЬШАЯ ОРДЫНКА, Д. 1</t>
  </si>
  <si>
    <t>ООО АВТОЦЕНТР НА ТАГАНКЕ</t>
  </si>
  <si>
    <t>109147, Г.МОСКВА, УЛ МАРКСИСТСКАЯ, Д. 34, К. 7, ЭТ 1 ПОМ XI КОМ 14</t>
  </si>
  <si>
    <t>ООО ЭФФЕКТИВНЫЙ ЭЛЕМЕНТ</t>
  </si>
  <si>
    <t>109147, Г.МОСКВА, УЛ МАРКСИСТСКАЯ, Д. 22, СТР. 1, ОФИС 515/1, ПОМЕЩЕНИЕ 2</t>
  </si>
  <si>
    <t>ООО ДЖАК АВТОМОБИЛЬ</t>
  </si>
  <si>
    <t>117534, Г.МОСКВА, ВН.ТЕР.Г. МУНИЦИПАЛЬНЫЙ ОКРУГ ЧЕРТАНОВО ЮЖНОЕ, УЛ КИРОВОГРАДСКАЯ, Д. 23А</t>
  </si>
  <si>
    <t>ООО УРАЛЭНЕРГО-ТРЕЙД</t>
  </si>
  <si>
    <t>117246, Г.МОСКВА, ПР-Д НАУЧНЫЙ, Д. 19, ЭТ ТЕХНИЧЕСКИЙ КОМ 97</t>
  </si>
  <si>
    <t>ИП СУРОВ ЮРИЙ ЮРЬЕВИЧ</t>
  </si>
  <si>
    <t>ПАО МГТС</t>
  </si>
  <si>
    <t>127030, Г.МОСКВА, ВН.ТЕР.Г. МУНИЦИПАЛЬНЫЙ ОКРУГ ТВЕРСКОЙ, УЛ НОВОСЛОБОДСКАЯ, Д. 29, СТР. 2</t>
  </si>
  <si>
    <t>ООО СИНИКОН</t>
  </si>
  <si>
    <t>108840, Г.МОСКВА, Г ТРОИЦК, УЛ ПРОМЫШЛЕННАЯ, Д. 11</t>
  </si>
  <si>
    <t>ООО ХОНДА МОТОР РУС</t>
  </si>
  <si>
    <t>108809, Г.МОСКВА, Р-Н ВНУКОВО, Д ШАРАПОВО, УЛ ПРИДОРОЖНАЯ, Д. 1, СТР. 1</t>
  </si>
  <si>
    <t>ИП НЕКРАСОВ АЛЕКСАНДР НИКОЛАЕВИЧ</t>
  </si>
  <si>
    <t>ИП БОРТНИКОВ ПАВЕЛ АНАТОЛЬЕВИЧ</t>
  </si>
  <si>
    <t>АО ТОРГОВЫЙ ДОМ АВТОХИМ</t>
  </si>
  <si>
    <t>123592, Г.МОСКВА, УЛ КУЛАКОВА, Д. 20, СТР. 1А, ПОМ XX ЭТ 6 КОМ 5</t>
  </si>
  <si>
    <t>ООО СПИК МАСТЕР'</t>
  </si>
  <si>
    <t>127412, Г.МОСКВА, Ш КОРОВИНСКОЕ, Д.22, 10</t>
  </si>
  <si>
    <t>ООО МАКЦ-ГАРАНТ-СЕРВИС</t>
  </si>
  <si>
    <t>127247, Г.МОСКВА, Ш ДМИТРОВСКОЕ, Д. 98, СТР 1, АНТРЕСОЛЬ 1 ПОМ III КОМНАТА 4</t>
  </si>
  <si>
    <t>ООО ЦЕСМА</t>
  </si>
  <si>
    <t>127486, Г.МОСКВА, ВН.ТЕР.Г. МУНИЦИПАЛЬНЫЙ ОКРУГ БЕСКУДНИКОВСКИЙ, Ш КОРОВИНСКОЕ, Д. 10, СТР. 2</t>
  </si>
  <si>
    <t>ООО ТОЧНАЯ СУММА</t>
  </si>
  <si>
    <t>123056, Г.МОСКВА, УЛ БОЛЬШАЯ ГРУЗИНСКАЯ, Д. 42, ЭТ 1 ПОМ II КОМ 1Б ОФ 32Д</t>
  </si>
  <si>
    <t>ООО БТАВТО.РУ</t>
  </si>
  <si>
    <t>127591, Г.МОСКВА, Ш ДМИТРОВСКОЕ, Д. 108Б, СТР. 1, ЭТ/ПОМ 2/1</t>
  </si>
  <si>
    <t>ООО ВМ ТЕХНОЛОГИИ</t>
  </si>
  <si>
    <t>127238, Г.МОСКВА, ВН.ТЕР.Г. МУНИЦИПАЛЬНЫЙ ОКРУГ ТИМИРЯЗЕВСКИЙ, Ш ДМИТРОВСКОЕ, Д. 56, ЭТАЖ/ОФИС 2/11</t>
  </si>
  <si>
    <t>ООО ФРЕЙ</t>
  </si>
  <si>
    <t>115088, Г.МОСКВА, ВН.ТЕР.Г. МУНИЦИПАЛЬНЫЙ ОКРУГ ПЕЧАТНИКИ, УЛ УГРЕШСКАЯ, Д. 14, СТР. 2</t>
  </si>
  <si>
    <t>ООО БОРИСХОФ 1</t>
  </si>
  <si>
    <t>129337, Г.МОСКВА, Ш ЯРОСЛАВСКОЕ, Д.36</t>
  </si>
  <si>
    <t>ИП МИЧУЛИТ АНДРЕЙ ПЕТРОВИЧ</t>
  </si>
  <si>
    <t>ООО ГИЛЬХАРИ</t>
  </si>
  <si>
    <t>127411, Г.МОСКВА, УЛ СОФЬИ КОВАЛЕВСКОЙ, Д. 1, СТР. 2, ЭТАЖ 1, ЧАСТЬ КОМНАТЫ 18</t>
  </si>
  <si>
    <t>111402, Г.МОСКВА, УЛ КЕТЧЕРСКАЯ, Д. 13, СТР. 2, ЭТ 2 ПОМ I КОМ 9</t>
  </si>
  <si>
    <t>ИП ЧЕРЕДНИК АЛЕКСАНДР НИКОЛАЕВИЧ</t>
  </si>
  <si>
    <t>ООО СУБАРУ МОТОР</t>
  </si>
  <si>
    <t>115280, Г.МОСКВА, УЛ АВТОЗАВОДСКАЯ, Д. 21А, ЭТАЖ 2</t>
  </si>
  <si>
    <t>119421, Г.МОСКВА, ВН.ТЕР.Г. МУНИЦИПАЛЬНЫЙ ОКРУГ ОБРУЧЕВСКИЙ, ПР-КТ ЛЕНИНСКИЙ, Д. 107</t>
  </si>
  <si>
    <t>ООО ДАРИКС</t>
  </si>
  <si>
    <t>125319, РОССИЯ, Г.МОСКВА, ВН.ТЕР.Г. МУНИЦИПАЛЬНЫЙ ОКРУГ АЭРОПОРТ, УЛ ЧЕРНЯХОВСКОГО, Д. 16</t>
  </si>
  <si>
    <t>АО АВТОДОМ</t>
  </si>
  <si>
    <t>125252, Г.МОСКВА, УЛ ЗОРГЕ, Д. 17А, СТР. 1</t>
  </si>
  <si>
    <t>ИП ГОРЯЕВ РОСТИСЛАВ АЛЕКСАНДРОВИЧ</t>
  </si>
  <si>
    <t>ИП ФИЛИН АЛЕКСАНДР ОЛЕГОВИЧ</t>
  </si>
  <si>
    <t>ИП КОСОЛАПОВ ТИМОФЕЙ НИКОЛАЕВИЧ</t>
  </si>
  <si>
    <t>ООО ФАВОРИТ МОТОРС СЗ</t>
  </si>
  <si>
    <t>125167, Г.МОСКВА, ПР-Д СТАРЫЙ ПЕТРОВСКО-РАЗУМОВСКИЙ, Д. 10</t>
  </si>
  <si>
    <t>ООО ПЕТРАБЕЛЬ</t>
  </si>
  <si>
    <t>127287, Г.МОСКВА, ВН.ТЕР.Г. МУНИЦИПАЛЬНЫЙ ОКРУГ САВЕЛОВСКИЙ, ПЕР 4-Й ВЯТСКИЙ, Д. 10, ПОМЕЩ./КОМ. I/10</t>
  </si>
  <si>
    <t>ИП МАКСИМЕНКО СЕРГЕЙ ЮРЬЕВИЧ</t>
  </si>
  <si>
    <t>ИП ДЗЮБЕНКО МАКСИМ ВЯЧЕСЛАВОВИЧ</t>
  </si>
  <si>
    <t>ЮНГХАЙНРИХ ПОДЪЕМНО-ПОГРУЗОЧНАЯ ТЕХНИКА ООО</t>
  </si>
  <si>
    <t>127018, Г.МОСКВА, УЛ ПОЛКОВАЯ, Д. 3, СТР. 5, ЭТАЖ 2А КОМ 9</t>
  </si>
  <si>
    <t>ООО ТРАНСКУЛ</t>
  </si>
  <si>
    <t>127106, Г.МОСКВА, ВН.ТЕР.Г. МУНИЦИПАЛЬНЫЙ ОКРУГ ОТРАДНОЕ, ПРОЕЗД НОВОВЛАДЫКИНСКИЙ, Д. 8, СТР. 4, ЭТАЖ 4, ОФИС 416</t>
  </si>
  <si>
    <t>ИП АСТАХОВ АЛЕКСАНДР АЛЕКСАНДРОВИЧ</t>
  </si>
  <si>
    <t>ИП ИМАНОВ ТУРАН РАФИГ ОГЛЫ</t>
  </si>
  <si>
    <t>127322, Г.МОСКВА, УЛ ДОБРОЛЮБОВА, Д. 29/16, ЭТ 2 ПОМ 35 ОФ 3</t>
  </si>
  <si>
    <t>111123, Г.МОСКВА, УЛ 1-Я ВЛАДИМИРСКАЯ, Д. 10А, ЧО/ПОМ/ЧП 12/8/11, 12, 14</t>
  </si>
  <si>
    <t>ООО АВТОКАРАТ</t>
  </si>
  <si>
    <t>123308, Г.МОСКВА, ПР-Д 2-Й СИЛИКАТНЫЙ, Д. 34, СТР. 1, ЭТ 2 ПОМ III КОМ 31-33</t>
  </si>
  <si>
    <t>ИП КАРПОВА АНАСТАСИЯ АЛЕКСАНДРОВНА</t>
  </si>
  <si>
    <t>ИП ЧАЛОВКА АЛЕКСАНДР МИХАЙЛОВИЧ</t>
  </si>
  <si>
    <t>ИП БЛОХИН ВЛАДИМИР ВЯЧЕСЛАВОВИЧ</t>
  </si>
  <si>
    <t>ИП ПОПОВ АЛЕКСЕЙ АЛЕКСАНДРОВИЧ</t>
  </si>
  <si>
    <t>ООО НЕКССОЛ РУС</t>
  </si>
  <si>
    <t>125284, РОССИЯ, Г.МОСКВА, ВН.ТЕР.Г. МУНИЦИПАЛЬНЫЙ ОКРУГ ХОРОШЕВСКИЙ, Ш ХОРОШЁВСКОЕ, Д. 12, К. 1, КВ. 1571</t>
  </si>
  <si>
    <t>ИП ДЕРЕВЯНЧЕНКО БОРИС ВЯЧЕСЛАВОВИЧ</t>
  </si>
  <si>
    <t>ИП ЩЕРБАКОВ СЕРГЕЙ ВЛАДИМИРОВИЧ</t>
  </si>
  <si>
    <t>ОООПРОМСЕРВИС-ЦЕНТР</t>
  </si>
  <si>
    <t>108823, Г.МОСКВА, ВН.ТЕР.Г. МУНИЦИПАЛЬНЫЙ ОКРУГ ЩЕРБИНКА, Ш. РЯЗАНОВСКОЕ, Д. 30, СТР. 4</t>
  </si>
  <si>
    <t>ИП ИГРЕЦОВ ДМИТРИЙ ВИКТОРОВИЧ</t>
  </si>
  <si>
    <t>ИП ЗАРУХОВИЧ ЕЛЕНА ВАСИЛЬЕВНА</t>
  </si>
  <si>
    <t>ИП МАНОХИН АЛЕКСЕЙ СЕРГЕЕВИЧ</t>
  </si>
  <si>
    <t>ИП ЧУРСАНОВ АЛЕКСАНДР ВЛАДИМИРОВИЧ</t>
  </si>
  <si>
    <t>ООО АЛЕКС АВТО ПЛЮС</t>
  </si>
  <si>
    <t>108828, Г.МОСКВА, Р-Н КРАСНОПАХОРСКИЙ, С БЫЛОВО, Д. 5, 21</t>
  </si>
  <si>
    <t>ООО ВСКД ПРЕМИУМ</t>
  </si>
  <si>
    <t>141411, Г.МОСКВА, Ш МЕЖДУНАРОДНОЕ, Д.28Б, СТРОЕНИЕ 2</t>
  </si>
  <si>
    <t>ООО НВ ТЕХНИК</t>
  </si>
  <si>
    <t>125319, РОССИЯ, Г.МОСКВА, ВН.ТЕР.Г. МУНИЦИПАЛЬНЫЙ ОКРУГ АЭРОПОРТ, УЛ КОККИНАКИ, Д. 4</t>
  </si>
  <si>
    <t>ООО МОТОРВАГЕН</t>
  </si>
  <si>
    <t>123060, РОССИЯ, Г.МОСКВА, ВН.ТЕР.Г. МУНИЦИПАЛЬНЫЙ ОКРУГ ЩУКИНО, УЛ МАРШАЛА РЫБАЛКО, Д. 2, К. 8, ПОМЕЩ. 306</t>
  </si>
  <si>
    <t>ООО РТДС АВТО</t>
  </si>
  <si>
    <t>117342, РОССИЯ, Г.МОСКВА, ВН.ТЕР.Г. МУНИЦИПАЛЬНЫЙ ОКРУГ ОБРУЧЕВСКИЙ, УЛ ОБРУЧЕВА, Д. 54</t>
  </si>
  <si>
    <t>ООО ЗЕЛЬГРОС</t>
  </si>
  <si>
    <t>117546, Г.МОСКВА, ВН.ТЕР.Г. МУНИЦИПАЛЬНЫЙ ОКРУГ БИРЮЛЕВО ЗАПАДНОЕ, УЛ ПОДОЛЬСКИХ КУРСАНТОВ, Д. 26, СТР. 1</t>
  </si>
  <si>
    <t>ИП РОМАНТЕЕВ АЛЕКСАНДР ВАСИЛЬЕВИЧ</t>
  </si>
  <si>
    <t>ИП ЧЕЛНОКОВА НАТАЛЬЯ МИХАЙЛОВНА</t>
  </si>
  <si>
    <t>ИП ТАРАСОВ ЕВГЕНИЙ АЛЕКСАНДРОВИЧ</t>
  </si>
  <si>
    <t>ООО ПОЗИТИВНЫЙ ЗАРЯД</t>
  </si>
  <si>
    <t>127055, РОССИЯ, Г.МОСКВА, ВН.ТЕР.Г. МУНИЦИПАЛЬНЫЙ ОКРУГ ТВЕРСКОЙ, УЛ ЛЕСНАЯ, Д. 30, ОФИС 4</t>
  </si>
  <si>
    <t>123242, РОССИЯ, Г.МОСКВА, ВН.ТЕР.Г. МУНИЦИПАЛЬНЫЙ ОКРУГ ПРЕСНЕНСКИЙ, ПЛ КУДРИНСКАЯ, Д. 1, ПОМЕЩ. 5А</t>
  </si>
  <si>
    <t>109004, Г.МОСКВА, ВН.ТЕР.Г. МУНИЦИПАЛЬНЫЙ ОКРУГ ТАГАНСКИЙ, ПЕР ТЕТЕРИНСКИЙ, Д. 18, СТР. 2, ПОМЕЩ. 2/3</t>
  </si>
  <si>
    <t>125310, Г.МОСКВА, ВН.ТЕР.Г. МУНИЦИПАЛЬНЫЙ ОКРУГ МИТИНО, УЛ МУРАВСКАЯ, Д. 38, К. 1, КВ. 590</t>
  </si>
  <si>
    <t>ЗАО ТРАНСАЗС</t>
  </si>
  <si>
    <t>107140, Г.МОСКВА, ВН.ТЕР.Г. МУНИЦИПАЛЬНЫЙ ОКРУГ КРАСНОСЕЛЬСКИЙ, ТУП КРАСНОСЕЛЬСКИЙ, Д. 4, СТР. 9</t>
  </si>
  <si>
    <t>ИП ФИРСОВ СЕРГЕЙ АНАТОЛЬЕВИЧ</t>
  </si>
  <si>
    <t>ООО ПИНГО ДИСТРИБЬЮТОРЗ</t>
  </si>
  <si>
    <t>115230, Г.МОСКВА, ВН.ТЕР.Г. МУНИЦИПАЛЬНЫЙ ОКРУГ НАГОРНЫЙ, ПРОЕЗД ЭЛЕКТРОЛИТНЫЙ, Д. 3А, СТР. 3, ЭТАЖ/КОМ. 3/4</t>
  </si>
  <si>
    <t>ООО АМКАПИТАЛ</t>
  </si>
  <si>
    <t>107497, Г.МОСКВА, УЛ ИРКУТСКАЯ, Д. 5/6, СТР. 1, ЭТ/ПОМ 2/218</t>
  </si>
  <si>
    <t>ООО Н-ДРЮ</t>
  </si>
  <si>
    <t>129347, Г.МОСКВА, ВН.ТЕР.Г. МУНИЦИПАЛЬНЫЙ ОКРУГ ЯРОСЛАВСКИЙ, УЛ ХОЛМОГОРСКАЯ, Д. 2, К. 1, СТР. 2, ЭТАЖ/ПОМЕЩ. 1/II, КОМ. 9</t>
  </si>
  <si>
    <t>ООО БОРФИ</t>
  </si>
  <si>
    <t>109147, Г.МОСКВА, УЛ МАРКСИСТСКАЯ, Д. 22, СТР. 1, ОФИС 515/1 ПОМЕЩЕНИЕ I</t>
  </si>
  <si>
    <t>ООО АВТОМ</t>
  </si>
  <si>
    <t>115088, Г.МОСКВА, ВН.ТЕР.Г. МУНИЦИПАЛЬНЫЙ ОКРУГ ПЕЧАТНИКИ, ПРОЕЗД 3-Й УГРЕШСКИЙ, Д. 6, СТР. 5</t>
  </si>
  <si>
    <t>ООО МИТЛИС</t>
  </si>
  <si>
    <t>109147, Г.МОСКВА, УЛ МАРКСИСТСКАЯ, Д. 22, СТР. 1, ОФИС 515/2</t>
  </si>
  <si>
    <t>ООО АТФ</t>
  </si>
  <si>
    <t>109147, Г.МОСКВА, УЛ МАРКСИСТСКАЯ, Д. 22, СТР. 1, ОФИС 515/1</t>
  </si>
  <si>
    <t>ИП ЛОМАКИН АНДРЕЙ ВИКТОРОВИЧ</t>
  </si>
  <si>
    <t>ООО НЬЮ КО</t>
  </si>
  <si>
    <t>125047, Г.МОСКВА, ВН.ТЕР.Г. МУНИЦИПАЛЬНЫЙ ОКРУГ ТВЕРСКОЙ, УЛ 1-Я БРЕСТСКАЯ, Д. 33, СТР. 1, ПОМЕЩЕНИЕ/КОМНАТА I/2</t>
  </si>
  <si>
    <t>ООО БЕЛНЕФТЕХИМ-РОС</t>
  </si>
  <si>
    <t>127015, Г.МОСКВА, УЛ БОЛЬШАЯ НОВОДМИТРОВСКАЯ, Д. 23, СТР. 3, ЭТАЖ 8 КОМНАТА 1</t>
  </si>
  <si>
    <t>ООО КЛЮ-РУСЬ</t>
  </si>
  <si>
    <t>129343, РОССИЯ, Г.МОСКВА, ВН.ТЕР.Г. МУНИЦИПАЛЬНЫЙ ОКРУГ СВИБЛОВО, ПРОЕЗД СЕРЕБРЯКОВА, Д. 14, СТР. 15, ЭТ/ПОМ/ОФ 3/4Б/В</t>
  </si>
  <si>
    <t>ООО ЛЕОМС</t>
  </si>
  <si>
    <t>125080, Г.МОСКВА, Ш ВОЛОКОЛАМСКОЕ, Д.7</t>
  </si>
  <si>
    <t>ООО АВТОТЕХЦЕНТР МАКЦ-ГАРАНТ</t>
  </si>
  <si>
    <t>127247, Г.МОСКВА, Ш ДМИТРОВСКОЕ, Д. 98, СТР 1, КОМ. 77</t>
  </si>
  <si>
    <t>ООО ХАНВАЛ РУС</t>
  </si>
  <si>
    <t>127422, Г.МОСКВА, УЛ ТИМИРЯЗЕВСКАЯ, Д. 1, СТР. 2, КОМ. 36,37,38,39,40</t>
  </si>
  <si>
    <t>127644, Г.МОСКВА, ВН.ТЕР.Г. МУНИЦИПАЛЬНЫЙ ОКРУГ ДМИТРОВСКИЙ, УЛ ЛОБНЕНСКАЯ, Д. 21, ПОМЕЩ. 1/1</t>
  </si>
  <si>
    <t>ООО М ПАРТС</t>
  </si>
  <si>
    <t>117418, Г.МОСКВА, ВН.ТЕР.Г. МУНИЦИПАЛЬНЫЙ ОКРУГ ЧЕРЕМУШКИ, УЛ ПРОФСОЮЗНАЯ, Д. 25А, ПОМЕЩ. 1/3</t>
  </si>
  <si>
    <t>ООО ТК ТЭКО</t>
  </si>
  <si>
    <t>127238, Г.МОСКВА, УЛ ЛИНИИ ОКТЯБРЬСКОЙ ЖЕЛЕЗНОЙ ДОРОГИ, Д. 4А, КВ. 26</t>
  </si>
  <si>
    <t>ООО МОРЕНА</t>
  </si>
  <si>
    <t>127591, Г.МОСКВА, УЛ ДУБНИНСКАЯ, Д.79А</t>
  </si>
  <si>
    <t>ООО МОТОЙЛ</t>
  </si>
  <si>
    <t>123060, Г.МОСКВА, УЛ РАСПЛЕТИНА, Д. 24, ЭТ 2 ПОМ I КОМН 21</t>
  </si>
  <si>
    <t>ООО САННЕН РУС</t>
  </si>
  <si>
    <t>125414, Г.МОСКВА, ВН.ТЕР.Г. МУНИЦИПАЛЬНЫЙ ОКРУГ ХОВРИНО, УЛ КЛИНСКАЯ, Д. 6</t>
  </si>
  <si>
    <t>ООО ПАРТСРУ</t>
  </si>
  <si>
    <t>117545, Г.МОСКВА, ВН.ТЕР.Г. МУНИЦИПАЛЬНЫЙ ОКРУГ ЧЕРТАНОВО ЦЕНТРАЛЬНОЕ, ПРОЕЗД 1-Й ДОРОЖНЫЙ, Д. 5</t>
  </si>
  <si>
    <t>ИП ЛАРЮШИНА ЕЛЕНА АНАТОЛЬЕВНА</t>
  </si>
  <si>
    <t>ООО ИНТЕРНЕШНЛ МАРКЕТИНГ ГРУПП</t>
  </si>
  <si>
    <t>127411, Г.МОСКВА, Ш ДМИТРОВСКОЕ, Д. 110, СТР. 3, ЭТ/ПОМ/КОМ 3/I/47</t>
  </si>
  <si>
    <t>ИП ВЕРИН АНТОН ВЛАДИМИРОВИЧ</t>
  </si>
  <si>
    <t>ЗАО НП АВТОМИР</t>
  </si>
  <si>
    <t>107497, Г.МОСКВА, УЛ ИРКУТСКАЯ, Д.5/6, СТР.1, ПОМ.321</t>
  </si>
  <si>
    <t>ООО АВТОРИТЭЙЛ М</t>
  </si>
  <si>
    <t>123007, Г.МОСКВА, ПР-Д 3-Й ХОРОШЁВСКИЙ, Д. 1, СТР. 1, КОМ. 1 (ПОМ.VIII, ЭТАЖ 5)</t>
  </si>
  <si>
    <t>ООО ЦФ ПАРТС</t>
  </si>
  <si>
    <t>ООО ЮРАЛ</t>
  </si>
  <si>
    <t>117246, Г.МОСКВА, ВН.ТЕР.Г. МУНИЦИПАЛЬНЫЙ ОКРУГ ЧЕРЕМУШКИ, ПРОЕЗД НАУЧНЫЙ, Д. 17, ПОМЕЩ. 40/16</t>
  </si>
  <si>
    <t>ООО  ПРОФРЕСУРС</t>
  </si>
  <si>
    <t>125424, Г.МОСКВА, Ш ВОЛОКОЛАМСКОЕ, Д. 71, К. 2, КВ. 404</t>
  </si>
  <si>
    <t>ИП ЛАЗАРЕВА МАРИНА БОРИСОВНА</t>
  </si>
  <si>
    <t>ИП ЖМАКОВА ЛЮБОВЬ ГРИГОРЬЕВНА</t>
  </si>
  <si>
    <t>ИП КАРАМНОВА ЛЮБОВЬ НИКОЛАЕВНА</t>
  </si>
  <si>
    <t>ИП ЕГОРОВ ДМИТРИЙ ВЛАДИМИРОВИЧ</t>
  </si>
  <si>
    <t>ИП КОНАХИН ТИМУР КЛИМЕНТЬЕВИЧ</t>
  </si>
  <si>
    <t>ООО ИСТ ИНВЕСТМЕНТС</t>
  </si>
  <si>
    <t>109129, Г.МОСКВА, УЛ 8-Я ТЕКСТИЛЬЩИКОВ, Д. 11, ЭТ/П/К/ОФ МАНСАРДА/1/16А/611</t>
  </si>
  <si>
    <t>ИП Седых Владимир Леонидович</t>
  </si>
  <si>
    <t>ИП ГОЛОФАЕВ РОМАН ИГОРЕВИЧ</t>
  </si>
  <si>
    <t>ИП КРЫЛОВ СЕРГЕЙ ГРИГОРЬЕВИЧ</t>
  </si>
  <si>
    <t>ООО ГЕОС</t>
  </si>
  <si>
    <t>107553, Г.МОСКВА, УЛ БОЛЬШАЯ ЧЕРКИЗОВСКАЯ, Д. 24А, СТР. 1, ПОМЕЩ. 76</t>
  </si>
  <si>
    <t>АО НХК АРИКОН</t>
  </si>
  <si>
    <t>115114, Г.МОСКВА, НАБ ПАВЕЛЕЦКАЯ, Д. 2, СТР 2, Э 4 ПОМ 73</t>
  </si>
  <si>
    <t>ООО ЗОЛОТАЯ СЕРЕДИНА</t>
  </si>
  <si>
    <t>125040, РОССИЯ, Г.МОСКВА, ВН.ТЕР.Г. МУНИЦИПАЛЬНЫЙ ОКРУГ БЕГОВОЙ, УЛ СКАКОВАЯ, Д. 34, К. 1, ПОМЕЩ. 1П</t>
  </si>
  <si>
    <t>ООО ПРОМТЕХСНАБ</t>
  </si>
  <si>
    <t>123154, Г.МОСКВА, ПР-КТ МАРШАЛА ЖУКОВА, Д. 51</t>
  </si>
  <si>
    <t>107031, Г.МОСКВА, ВН.ТЕР.Г. МУНИЦИПАЛЬНЫЙ ОКРУГ МЕЩАНСКИЙ, УЛ РОЖДЕСТВЕНКА, Д. 5/7, СТР. 2, ПОМЕЩ. 4/5/3, ОФИС 358</t>
  </si>
  <si>
    <t>ООО ЛАБ ИНДАСТРИЗ</t>
  </si>
  <si>
    <t>123112, Г.МОСКВА, ВН.ТЕР.Г. МУНИЦИПАЛЬНЫЙ ОКРУГ ПРЕСНЕНСКИЙ, УЛ ТЕСТОВСКАЯ, Д. 10, ПОМЕЩ. 1/16</t>
  </si>
  <si>
    <t>ООО ГРЕЙС ЛУБРИКАНТС</t>
  </si>
  <si>
    <t>127238, Г.МОСКВА, ПР-Д ЛОКОМОТИВНЫЙ, Д. 21, ОФИС 315</t>
  </si>
  <si>
    <t>ООО ПАУЭР ИНТЕРНЭШНЛ-ШИНЫ</t>
  </si>
  <si>
    <t>129515, Г.МОСКВА, УЛ АКАДЕМИКА КОРОЛЕВА, Д.8, К.3</t>
  </si>
  <si>
    <t>ООО ПРАКТИКОН</t>
  </si>
  <si>
    <t>115280, Г.МОСКВА, ВН.ТЕР.Г. МУНИЦИПАЛЬНЫЙ ОКРУГ ДАНИЛОВСКИЙ, УЛ ЛЕНИНСКАЯ СЛОБОДА, Д. 19, КОМН. 41Х1Д, ОФИС В3Т</t>
  </si>
  <si>
    <t>ООО ХИНО МОТОРС</t>
  </si>
  <si>
    <t>125464, Г.МОСКВА, ВН.ТЕР.Г. МУНИЦИПАЛЬНЫЙ ОКРУГ МИТИНО, Ш ВОЛОКОЛАМСКОЕ, Д. 142, ЭТАЖ 6 ПОМЕЩ. I, КОМ. 1</t>
  </si>
  <si>
    <t>ООО ФИЛИПС</t>
  </si>
  <si>
    <t>123022, Г.МОСКВА, УЛ СЕРГЕЯ МАКЕЕВА, Д. 13</t>
  </si>
  <si>
    <t>ООО ЛИБХЕРР-РУСЛАНД</t>
  </si>
  <si>
    <t>121059, Г.МОСКВА, УЛ 1-Я БОРОДИНСКАЯ, Д.5</t>
  </si>
  <si>
    <t>ООО ЛИВАРС</t>
  </si>
  <si>
    <t>125239, Г.МОСКВА, Б-Р КОПТЕВСКИЙ, Д. 11А, КВ. 22</t>
  </si>
  <si>
    <t>ООО ПРОМЕТЕЙ</t>
  </si>
  <si>
    <t>119002, Г.МОСКВА, УЛ АРБАТ, Д. 20, ЭТАЖ 1 ПОМ VII КОМ 2 ОФ 10</t>
  </si>
  <si>
    <t>ООО АЛТЕЯ-ТЕХНОЛОДЖИС</t>
  </si>
  <si>
    <t>119019, Г.МОСКВА, ВН.ТЕР.Г. МУНИЦИПАЛЬНЫЙ ОКРУГ АРБАТ, УЛ НОВЫЙ АРБАТ, Д. 21, ПОМЕЩ. 1</t>
  </si>
  <si>
    <t>ИП НИКИТИН АЛЕКСАНДР АЛЕКСАНДРОВИЧ</t>
  </si>
  <si>
    <t>ООО КЕРХЕР</t>
  </si>
  <si>
    <t>125195, Г.МОСКВА, Ш ЛЕНИНГРАДСКОЕ, Д. 47, СТР. 2, ЭТ 2 ПОМ VI КОМ 8</t>
  </si>
  <si>
    <t>125212, Г.МОСКВА, ВН.ТЕР.Г. МУНИЦИПАЛЬНЫЙ ОКРУГ ГОЛОВИНСКИЙ, Ш ГОЛОВИНСКОЕ, Д. 5, К. 1, ПОМЕЩ. 141</t>
  </si>
  <si>
    <t>ООО РОУПВЕЙС РАША</t>
  </si>
  <si>
    <t>119017, Г.МОСКВА, ПЕР 1-Й КАЗАЧИЙ, Д. 7, ЭТАЖ/КОМ 4/2</t>
  </si>
  <si>
    <t>ООО ЮНИВЕРСАЛ МОТОРС</t>
  </si>
  <si>
    <t>117342, Г.МОСКВА, ВН.ТЕР.Г. МУНИЦИПАЛЬНЫЙ ОКРУГ КОНЬКОВО, УЛ БУТЛЕРОВА, Д. 17Б, ПОМЕЩ. 1Б/5</t>
  </si>
  <si>
    <t>АО АМГ</t>
  </si>
  <si>
    <t>119049, Г.МОСКВА, УЛ ДОНСКАЯ, Д. 6, СТР. 1, ЭТ ПОДВАЛ ПОМ 1 КОМ 20</t>
  </si>
  <si>
    <t>АО МРТС</t>
  </si>
  <si>
    <t>117292, Г.МОСКВА, УЛ НОВОЧЕРЁМУШКИНСКАЯ, Д.18</t>
  </si>
  <si>
    <t>ООО  ВЕЛЛЕ</t>
  </si>
  <si>
    <t>119180, Г.МОСКВА, ВН.ТЕР.Г. МУНИЦИПАЛЬНЫЙ ОКРУГ ЯКИМАНКА, УЛ БОЛЬШАЯ ПОЛЯНКА, Д. 42, СТР. 1, ПОМЕЩ. 4/1</t>
  </si>
  <si>
    <t>ООО УСКОРЕНИЕ БИЗНЕСА</t>
  </si>
  <si>
    <t>119180, Г.МОСКВА, УЛ БОЛЬШАЯ ПОЛЯНКА, Д. 51А/9, ЭТАЖ 8 ПОМ I КОМ 1</t>
  </si>
  <si>
    <t>ООО СТРОЙКОМПЛЕКТ-МЕХАНИЗАЦИЯ</t>
  </si>
  <si>
    <t>117513, Г.МОСКВА, ВН.ТЕР.Г. МУНИЦИПАЛЬНЫЙ ОКРУГ ТЕПЛЫЙ СТАН, ПР-КТ ЛЕНИНСКИЙ, Д. 135, К. 1, КВ. 641</t>
  </si>
  <si>
    <t>ООО АПЕКС-ГРУПП</t>
  </si>
  <si>
    <t>119180, Г.МОСКВА, УЛ БОЛЬШАЯ ПОЛЯНКА, Д. 7/10, СТР. 3, ЭТ 1 ПОМ 2 КОМ 17(РММЗ)</t>
  </si>
  <si>
    <t>ООО ДЖЕНГА ГРУПП</t>
  </si>
  <si>
    <t>127055, Г.МОСКВА, УЛ ЛЕСНАЯ, Д. 30, ЭТ 5 ПОМ 11</t>
  </si>
  <si>
    <t>ООО СТРОНГ ТЕХНИК</t>
  </si>
  <si>
    <t>111394, Г.МОСКВА, УЛ ПЕРОВСКАЯ, Д. 61/2, СТР. 1</t>
  </si>
  <si>
    <t>ИП БУЛДЫГЕРОВА КСЕНИЯ АЛЕКСАНДРОВНА</t>
  </si>
  <si>
    <t>ООО ВИС-АКТИВ</t>
  </si>
  <si>
    <t>109431, Г.МОСКВА, УЛ АВИАКОНСТРУКТОРА МИЛЯ, Д. 15, К. 1</t>
  </si>
  <si>
    <t>ООО А.П.Р.</t>
  </si>
  <si>
    <t>109428, Г.МОСКВА, УЛ ЗАРАЙСКАЯ, Д. 21, КОМ. 306</t>
  </si>
  <si>
    <t>ООО ПРОМСМАЗКИ</t>
  </si>
  <si>
    <t>117545, Г.МОСКВА, ВН.ТЕР.Г. МУНИЦИПАЛЬНЫЙ ОКРУГ ЧЕРТАНОВО ЦЕНТРАЛЬНОЕ, УЛ ДОРОЖНАЯ, Д. 8, К. 1</t>
  </si>
  <si>
    <t>ООО РУСБЫТХИМ</t>
  </si>
  <si>
    <t>115114, Г.МОСКВА, ВН.ТЕР.Г. МУНИЦИПАЛЬНЫЙ ОКРУГ ЗАМОСКВОРЕЧЬЕ, УЛ ЛЕТНИКОВСКАЯ, Д. 10, СТР. 2, ПОМЕЩ. 2/8</t>
  </si>
  <si>
    <t>ООО ФИРМА АНТРИБ</t>
  </si>
  <si>
    <t>127495, Г.МОСКВА, Ш ДМИТРОВСКОЕ, Д. 163, СТР. 21</t>
  </si>
  <si>
    <t>ИП МИЛЮКОВ АНТОН ИГОРЕВИЧ</t>
  </si>
  <si>
    <t>ООО ОЙЛ-ФОРБИ</t>
  </si>
  <si>
    <t>127238, Г.МОСКВА, ПР-Д 3-Й НИЖНЕЛИХОБОРСКИЙ, Д. 1А, ЭТ АНТ1 ПОМ IVА К 2</t>
  </si>
  <si>
    <t>ООО ТРАНСРЕЛИЗ</t>
  </si>
  <si>
    <t>109387, Г.МОСКВА, УЛ ЛЕТНЯЯ, Д. 6, ЭТ М, ПОМ VI, КОМ 6</t>
  </si>
  <si>
    <t>ИП ЯКОВЛЕВ АЛЕКСЕЙ ЕВГЕНЬЕВИЧ</t>
  </si>
  <si>
    <t>ООО РУСФИЛЬТР</t>
  </si>
  <si>
    <t>ИП ЛЫКОВА ЕЛЕНА АНАТОЛЬЕВНА</t>
  </si>
  <si>
    <t>115487, Г.МОСКВА, УЛ САДОВНИКИ, Д.11А, СТР 3</t>
  </si>
  <si>
    <t>ИП ЕВДОКИМОВ ДЕНИС ВАДИМОВИЧ</t>
  </si>
  <si>
    <t>ООО ИКС ВАЙТ</t>
  </si>
  <si>
    <t>117105, Г.МОСКВА, Ш ВАРШАВСКОЕ, Д. 1А, ЭТ -1 ОФ В005 ПОМ 12А</t>
  </si>
  <si>
    <t>ООО ДЖИ ЭН ВИ ОЙЛ ГРУПП</t>
  </si>
  <si>
    <t>117105, Г.МОСКВА, Ш ВАРШАВСКОЕ, Д. 1А, ЭТ -1/ОФ В005/КОМ 3А</t>
  </si>
  <si>
    <t>ООО АВ ПАРТС</t>
  </si>
  <si>
    <t>117105, Г.МОСКВА, ВН.ТЕР.Г. МУНИЦИПАЛЬНЫЙ ОКРУГ ДОНСКОЙ, Ш ВАРШАВСКОЕ, Д. 1А, ПОМЕЩ. 2/П</t>
  </si>
  <si>
    <t>ИП БИРЮКОВ СЕРГЕЙ ВИКТОРОВИЧ</t>
  </si>
  <si>
    <t>ООО ДЕТАЛЬ</t>
  </si>
  <si>
    <t>117628, Г.МОСКВА, ВН.ТЕР.Г. МУНИЦИПАЛЬНЫЙ ОКРУГ СЕВЕРНОЕ БУТОВО, УЛ КУЛИКОВСКАЯ, Д. 12</t>
  </si>
  <si>
    <t>ООО ВИНДОК</t>
  </si>
  <si>
    <t>109316, Г.МОСКВА, ВН.ТЕР.Г. МУНИЦИПАЛЬНЫЙ ОКРУГ ТЕКСТИЛЬЩИКИ, ПР-КТ ВОЛГОГРАДСКИЙ, Д. 45, СТР. 1, ПОМЕЩ. 1Н/3</t>
  </si>
  <si>
    <t>ООО ПОЛИМАКС</t>
  </si>
  <si>
    <t>111402, Г.МОСКВА, ВН.ТЕР.Г. МУНИЦИПАЛЬНЫЙ ОКРУГ ВЕШНЯКИ, УЛ КЕТЧЕРСКАЯ, ВЛД. 5, КАБИНЕТ 3</t>
  </si>
  <si>
    <t>ИП ПЕТРОВ ВИКТОР ВАЛЕРЬЕВИЧ</t>
  </si>
  <si>
    <t>ИП РУПЫШЕВ КИРИЛЛ ВАЛЕРЬЕВИЧ</t>
  </si>
  <si>
    <t>ООО СПОРТМАСТЕР</t>
  </si>
  <si>
    <t>117437, Г.МОСКВА, УЛ МИКЛУХО-МАКЛАЯ, Д.18, К.2, КОМН. 102</t>
  </si>
  <si>
    <t>ООО МЕЛИТЭК</t>
  </si>
  <si>
    <t>119571, Г.МОСКВА, ВН.ТЕР.Г. МУНИЦИПАЛЬНЫЙ ОКРУГ ОБРУЧЕВСКИЙ, ПР-КТ ЛЕНИНСКИЙ, Д. 119А, ПОМЕЩ. 9Н</t>
  </si>
  <si>
    <t>ИП КРЫЛОВ АНДРЕЙ ВЛАДИСЛАВОВИЧ</t>
  </si>
  <si>
    <t>ООО МАРНИКС</t>
  </si>
  <si>
    <t>129128, Г.МОСКВА, ВН.ТЕР.Г. МУНИЦИПАЛЬНЫЙ ОКРУГ РОСТОКИНО, УЛ МАЛАХИТОВАЯ, ВЛД. 27, СТР. 1</t>
  </si>
  <si>
    <t>ООО АСА-АЛЬЯНС</t>
  </si>
  <si>
    <t>ООО ГЛОБУСАВТО</t>
  </si>
  <si>
    <t>121596, Г.МОСКВА, УЛ ГОРБУНОВА, Д. 12, К. 2 СТР. 8, ЭТ 3 КОМ 10 ОФ А302</t>
  </si>
  <si>
    <t>ООО УНЗЕР ОЙЛ ГРУПП</t>
  </si>
  <si>
    <t>121087, Г.МОСКВА, ВН.ТЕР.Г. МУНИЦИПАЛЬНЫЙ ОКРУГ ФИЛЕВСКИЙ ПАРК, УЛ БАРКЛАЯ, Д. 6, СТР. 5, ПОМЕЩ. 8/2</t>
  </si>
  <si>
    <t>ООО АМИМПОРТ</t>
  </si>
  <si>
    <t>107497, Г.МОСКВА, ВН.ТЕР.Г. МУНИЦИПАЛЬНЫЙ ОКРУГ ГОЛЬЯНОВО, УЛ ИРКУТСКАЯ, Д. 5/6, СТР. 1, ЭТАЖ 2, ПОМЕЩ. 203</t>
  </si>
  <si>
    <t>ООО АВТОМИР-ТРЕЙД</t>
  </si>
  <si>
    <t>ООО ЮРАЛС КЭПИТАЛ</t>
  </si>
  <si>
    <t>119607, Г.МОСКВА, ВН.ТЕР.Г. МУНИЦИПАЛЬНЫЙ ОКРУГ РАМЕНКИ, Б-Р РАМЕНСКИЙ, Д. 1, СТР. 1</t>
  </si>
  <si>
    <t>ООО АТЛАС-М</t>
  </si>
  <si>
    <t>115533, Г.МОСКВА, УЛ ВЫСОКАЯ, Д. 4, КВ. 59</t>
  </si>
  <si>
    <t>121596, Г.МОСКВА, ВН.ТЕР.Г. МУНИЦИПАЛЬНЫЙ ОКРУГ МОЖАЙСКИЙ, УЛ ГОРБУНОВА, Д. 12, К. 2, СТР. 8, КОМ. 18, А209</t>
  </si>
  <si>
    <t>ООО ТЕХДОМ</t>
  </si>
  <si>
    <t>121596, Г.МОСКВА, ВН.ТЕР.Г. МУНИЦИПАЛЬНЫЙ ОКРУГ МОЖАЙСКИЙ, УЛ ГОРБУНОВА, Д. 12, К. 2, СТР. 8, ПОМЕЩ. А312</t>
  </si>
  <si>
    <t>ИП КОЛОДКО ОЛЕГ НИКОЛАЕВИЧ</t>
  </si>
  <si>
    <t>ООО ЦЕНТРНЕФТЕСБЫТ</t>
  </si>
  <si>
    <t>125480, Г.МОСКВА, УЛ ВИЛИСА ЛАЦИСА, Д. 6, К. 1, ЭТ 1 КОМН 13</t>
  </si>
  <si>
    <t>ООО САМОСПАС</t>
  </si>
  <si>
    <t>125373, Г.МОСКВА, ПР-Д ПОХОДНЫЙ, Д. 14, ЭТАЖ 3 ПОМ I КОМ 3 ОФ R-303</t>
  </si>
  <si>
    <t>ИП КРАСНОВА ОЛЬГА АЛЬБЕРТОВНА</t>
  </si>
  <si>
    <t>ООО КВАНТ-АВТО ПЛЮС</t>
  </si>
  <si>
    <t>123060, РОССИЯ, Г.МОСКВА, ВН.ТЕР.Г. МУНИЦИПАЛЬНЫЙ ОКРУГ ЩУКИНО, УЛ МАРШАЛА БИРЮЗОВА, Д. 30, КВ. 46</t>
  </si>
  <si>
    <t>ИП ДОЛГОПОЛОВ СЕРГЕЙ СЕРГЕЕВИЧ</t>
  </si>
  <si>
    <t>ООО ГЛОБАЛ ТРАК СЕРВИС</t>
  </si>
  <si>
    <t>105082, Г.МОСКВА, УЛ БОЛЬШАЯ ПОЧТОВАЯ, Д. 22, К. 5, ЭТАЖ 3 ПОМЕЩЕНИЕ 8-9</t>
  </si>
  <si>
    <t>ИП ГОРЯЧЕВА НАТАЛЬЯ ЕВГЕНЬЕВНА</t>
  </si>
  <si>
    <t>ИП АБДУЛЛАЕВ ИЛКИН АЛИФОВИЧ</t>
  </si>
  <si>
    <t>ООО ТД АТЛАНТ-ХИМ-СЕРВИС</t>
  </si>
  <si>
    <t>115280, РОССИЯ, Г.МОСКВА, ВН.ТЕР.Г. МУНИЦИПАЛЬНЫЙ ОКРУГ ДАНИЛОВСКИЙ, УЛ АВТОЗАВОДСКАЯ, Д. 23А, К. 2, ЭТ. 6, ОФИС 602</t>
  </si>
  <si>
    <t>ООО ДАВАН</t>
  </si>
  <si>
    <t>119331, РОССИЯ, Г.МОСКВА, ВН.ТЕР.Г. МУНИЦИПАЛЬНЫЙ ОКРУГ ЛОМОНОСОВСКИЙ, ПР-КТ ВЕРНАДСКОГО, Д. 29, ПОМЕЩ. 5Н/5</t>
  </si>
  <si>
    <t>ИП СТАВИЦКИЙ ВЛАДИМИР ЕВГЕНЬЕВИЧ</t>
  </si>
  <si>
    <t>125445, Г.МОСКВА, УЛ ПРАВОБЕРЕЖНАЯ, Д. 2Б, СТР. 1, КОМ. 1</t>
  </si>
  <si>
    <t>129281, Г.МОСКВА, ВН.ТЕР.Г. МУНИЦИПАЛЬНЫЙ ОКРУГ ЛОСИНООСТРОВСКИЙ, УЛ ЛЁТЧИКА БАБУШКИНА, Д. 32, К. 2, ПОМЕЩ. 1, ЭТАЖ 1, КОМ. 14, ОФИС 52</t>
  </si>
  <si>
    <t>ООО МАТЕКУС</t>
  </si>
  <si>
    <t>125362, Г.МОСКВА, ВН.ТЕР.Г. МУНИЦИПАЛЬНЫЙ ОКРУГ ПОКРОВСКОЕ-СТРЕШНЕВО, УЛ ТУШИНСКАЯ, Д. 8, ПОМЕЩ. 1.2</t>
  </si>
  <si>
    <t>ООО БОРИСХОФ Т</t>
  </si>
  <si>
    <t>108811, Г.МОСКВА, Р-Н НОВО-ПЕРЕДЕЛКИНО, КВ-Л 2, Д. 2, СТР. 1</t>
  </si>
  <si>
    <t>ООО АВТОХИМИЯ-ИНВЕСТ</t>
  </si>
  <si>
    <t>119454, Г.МОСКВА, ВН.ТЕР.Г. МУНИЦИПАЛЬНЫЙ ОКРУГ ПРОСПЕКТ ВЕРНАДСКОГО, УЛ КОШТОЯНЦА, Д. 12, ЭТАЖ 1, ПОМЕЩЕНИЕ IIБ, КОМ. 4</t>
  </si>
  <si>
    <t>ООО БС</t>
  </si>
  <si>
    <t>125581, Г.МОСКВА, УЛ ФЛОТСКАЯ, Д. 7, ЭТАЖ 3 ПОМЕЩЕНИЕ 11</t>
  </si>
  <si>
    <t>ООО АС ТЕХНИК</t>
  </si>
  <si>
    <t>119421, Г.МОСКВА, ПР-КТ ЛЕНИНСКИЙ, Д. 111, К. 1, ЭТ 3 ПОМ 26 ОФ 49</t>
  </si>
  <si>
    <t>ООО АЛЬФА ПАРТС</t>
  </si>
  <si>
    <t>142111, РОССИЯ, Г.МОСКВА, ВН.ТЕР.Г. МУНИЦИПАЛЬНЫЙ ОКРУГ ЩЕРБИНКА, Г ЩЕРБИНКА, УЛ КУТУЗОВА, Д. 12</t>
  </si>
  <si>
    <t>ООО МАСЛОФФ ОЙЛ</t>
  </si>
  <si>
    <t>108802, РОССИЯ, Г.МОСКВА, ВН.ТЕР.Г. МУНИЦИПАЛЬНЫЙ ОКРУГ КОММУНАРКА, УЛ БОЛЬШОЕ ПОНИЗОВЬЕ, Д. 1, ПОМЕЩ. 4Н</t>
  </si>
  <si>
    <t>108820, РОССИЯ, Г.МОСКВА, ВН.ТЕР.Г. МУНИЦИПАЛЬНЫЙ ОКРУГ КОММУНАРКА, Ш. КАЛУЖСКОЕ, КМ 21-Й, Д. 3</t>
  </si>
  <si>
    <t>ИП КАЗАКОВ ДМИТРИЙ ВЛАДИМИРОВИЧ</t>
  </si>
  <si>
    <t>АО АЛЬЯНС-АВТО</t>
  </si>
  <si>
    <t>119021, Г.МОСКВА, ВН.ТЕР.Г. МУНИЦИПАЛЬНЫЙ ОКРУГ ХАМОВНИКИ, УЛ ЛЬВА ТОЛСТОГО, Д. 5, СТР. 1, ЭТАЖ 4, ПОМЕЩ./КОМ. 2/№9(Б-421)</t>
  </si>
  <si>
    <t>ИП ДЕРИНГ ОЛЕСЯ ЮРЬЕВНА</t>
  </si>
  <si>
    <t>ИП АРТЁМЕНКОВ АЛЕКСАНДР ЮРЬЕВИЧ</t>
  </si>
  <si>
    <t>ООО СТАР-С</t>
  </si>
  <si>
    <t>109451, Г.МОСКВА, ВН.ТЕР.Г. МУНИЦИПАЛЬНЫЙ ОКРУГ МАРЬИНО, УЛ ПЕРЕРВА, Д. 65, СТР. 1</t>
  </si>
  <si>
    <t>ИП ЛАВРЕНОВ АЛЕКСЕЙ ЮРЬЕВИЧ</t>
  </si>
  <si>
    <t>ООО АВТОБАЙ</t>
  </si>
  <si>
    <t>108809, РОССИЯ, Г.МОСКВА, ВН.ТЕР.Г. МУНИЦИПАЛЬНЫЙ ОКРУГ ВНУКОВО, КВ-Л 63, Д. 1, СТР. 2</t>
  </si>
  <si>
    <t>ИП ПАНКРАТОВИЧ ХРИСТИНА АЛЕКСАНДРОВНА</t>
  </si>
  <si>
    <t>ООО КОМПАНИЯ АЛЬФА</t>
  </si>
  <si>
    <t>117303, Г.МОСКВА, ВН.ТЕР.Г. МУНИЦИПАЛЬНЫЙ ОКРУГ ЗЮЗИНО, УЛ МАЛАЯ ЮШУНЬСКАЯ, Д. 1, К. 1, ПОМЕЩ. 1/Ц</t>
  </si>
  <si>
    <t>ИП КУЛЬЧЕНКОВ ВИТАЛИЙ ИВАНОВИЧ</t>
  </si>
  <si>
    <t>ИП БАРИНОВА НАТАЛЬЯ ВЛАДИМИРОВНА</t>
  </si>
  <si>
    <t>ООО СТАЛЬНОЙ КАНАТ</t>
  </si>
  <si>
    <t>119192, Г.МОСКВА, УЛ МОСФИЛЬМОВСКАЯ, Д. 88, К. 4, КВ. 233</t>
  </si>
  <si>
    <t>ИП МОНАКО СЕРГЕЙ ВЛАДИМИРОВИЧ</t>
  </si>
  <si>
    <t>ИП БЫЛКОВ СЕРГЕЙ АНАТОЛЬЕВИЧ</t>
  </si>
  <si>
    <t>ИП ДЬЯЧКИНА МАРИЯ АЛЕКСАНДРОВНА</t>
  </si>
  <si>
    <t>ИП КСЕНЗ ЕВГЕНИЙ ВИТАЛЬЕВИЧ</t>
  </si>
  <si>
    <t>ИП ЛЯШЕВА ОЛЬГА ГЕОРГИЕВНА</t>
  </si>
  <si>
    <t>129128, Г.МОСКВА, УЛ БАЖОВА, Д. 17, СТР. 1, ПОМЕЩ. V КОМНАТА 3</t>
  </si>
  <si>
    <t>ООО ХАЙТЕД-СЕРВИС</t>
  </si>
  <si>
    <t>129329, Г.МОСКВА, ВН.ТЕР.Г. МУНИЦИПАЛЬНЫЙ ОКРУГ БАБУШКИНСКИЙ, УЛ КОЛЬСКАЯ, Д. 2, К. 4</t>
  </si>
  <si>
    <t>ООО ЮВИА ГРУПП</t>
  </si>
  <si>
    <t>129128, Г.МОСКВА, ПЛАТФ СЕВЕРЯНИН, Д.9, СТР.1</t>
  </si>
  <si>
    <t>ООО ЦЕНТР ЛЮБЕРЦЫ</t>
  </si>
  <si>
    <t>129128, Г.МОСКВА, УЛ БАЖОВА, Д. 17, СТР. 14, ПОМЕЩ. I КОМНАТА 1</t>
  </si>
  <si>
    <t>ООО МТК-ОВЕРСИЗ</t>
  </si>
  <si>
    <t>105082, Г.МОСКВА, ВН.ТЕР.Г. МУНИЦИПАЛЬНЫЙ ОКРУГ БАСМАННЫЙ, ПЕР НАЛЕСНЫЙ, Д. 9/11, ПОМЕЩ. 1/П</t>
  </si>
  <si>
    <t>ООО СМАЗКОМ</t>
  </si>
  <si>
    <t>129329, Г.МОСКВА, ВН.ТЕР.Г. МУНИЦИПАЛЬНЫЙ ОКРУГ БАБУШКИНСКИЙ, УЛ КОЛЬСКАЯ, Д. 14, СТР. 6</t>
  </si>
  <si>
    <t>ООО КЭМ ЗИП</t>
  </si>
  <si>
    <t>129329, Г.МОСКВА, УЛ ВЕРЕСКОВАЯ, Д. 10, ЭТ/ПОМ/КОМ 1/II/8</t>
  </si>
  <si>
    <t>ООО АВТОПЛАНЕТА</t>
  </si>
  <si>
    <t>129301, РОССИЯ, Г.МОСКВА, ВН.ТЕР.Г. МУНИЦИПАЛЬНЫЙ ОКРУГ АЛЕКСЕЕВСКИЙ, ПР-КТ МИРА, Д. 186, К. 1, ЭТАЖ 1, ПОМЕЩ. 15 КОМНАТА 5 ОФИС 2</t>
  </si>
  <si>
    <t>ООО ГЕТОЙЛ</t>
  </si>
  <si>
    <t>121471, РОССИЯ, Г.МОСКВА, ВН.ТЕР.Г. МУНИЦИПАЛЬНЫЙ ОКРУГ ОЧАКОВО-МАТВЕЕВСКОЕ, УЛ РЯБИНОВАЯ, Д. 55, СТР. 29</t>
  </si>
  <si>
    <t>ООО КРИОЗАП</t>
  </si>
  <si>
    <t>129327, РОССИЯ, Г.МОСКВА, ВН.ТЕР.Г. МУНИЦИПАЛЬНЫЙ ОКРУГ БАБУШКИНСКИЙ, УЛ КОМИНТЕРНА, Д. 13/4, ПОМЕЩ. 8П</t>
  </si>
  <si>
    <t>ООО СЕЙЛПАРТС</t>
  </si>
  <si>
    <t>127576, Г.МОСКВА, УЛ ИЛИМСКАЯ, Д. 3А, СТР. 1, ЭТ/ОФИС 2/ОФИС</t>
  </si>
  <si>
    <t>129515, Г.МОСКВА, ВН.ТЕР.Г. МУНИЦИПАЛЬНЫЙ ОКРУГ ОСТАНКИНСКИЙ, УЛ АКАДЕМИКА КОРОЛЕВА, Д. 5, ПОМЕЩ. 14П</t>
  </si>
  <si>
    <t>ООО ВАРИОЛА</t>
  </si>
  <si>
    <t>107078, Г.МОСКВА, ВН.ТЕР.Г. МУНИЦИПАЛЬНЫЙ ОКРУГ КРАСНОСЕЛЬСКИЙ, ПЕР ОРЛИКОВ, Д. 5, СТР. 1А, ЭТАЖ 1, КОМ. 176</t>
  </si>
  <si>
    <t>ИП МАКЕЕВА ИННА ВИКТОРОВНА</t>
  </si>
  <si>
    <t>ИП СКОТНИКОВ ИЛЬЯ МИХАЙЛОВИЧ</t>
  </si>
  <si>
    <t>ИП СЕЛЯНЧУК СЕРГЕЙ ВИКТОРОВИЧ</t>
  </si>
  <si>
    <t>ООО САДОВАЯ ТЕХНИКА И ИНСТРУМЕНТЫ</t>
  </si>
  <si>
    <t>105082, Г.МОСКВА, ВН.ТЕР.Г. МУНИЦИПАЛЬНЫЙ ОКРУГ БАСМАННЫЙ, УЛ БОЛЬШАЯ ПОЧТОВАЯ, Д. 40, СТР. 1</t>
  </si>
  <si>
    <t>ИП ТОМИЛИН АЛЕКСАНДР СЕРГЕЕВИЧ</t>
  </si>
  <si>
    <t>ИП ЯРЕМКО РОМАН ИГОРЕВИЧ</t>
  </si>
  <si>
    <t>ИП КНЯЗЕВ ЮРИЙ АЛЕКСАНДРОВИЧ</t>
  </si>
  <si>
    <t>ООО БАРТ-АВТО</t>
  </si>
  <si>
    <t>119002, Г.МОСКВА, ПЕР СТАРОКОНЮШЕННЫЙ, Д. 26, ПОМ/КОМН III/3</t>
  </si>
  <si>
    <t>ИП МАТВЕЕВА ЮЛИЯ ОЛЕГОВНА</t>
  </si>
  <si>
    <t>ООО МПО АГ</t>
  </si>
  <si>
    <t>107258, Г.МОСКВА, Б-Р МАРШАЛА РОКОССОВСКОГО, Д.30, 79</t>
  </si>
  <si>
    <t>ООО ШАРМ РУС ДИСТРИБЬЮШН</t>
  </si>
  <si>
    <t>107140, Г.МОСКВА, ВН.ТЕР.Г. МУНИЦИПАЛЬНЫЙ ОКРУГ КРАСНОСЕЛЬСКИЙ, УЛ РУСАКОВСКАЯ, Д. 13</t>
  </si>
  <si>
    <t>ИП ОРЛОВ ЮРИЙ ЛЕОНИДОВИЧ</t>
  </si>
  <si>
    <t>ООО ЮНИТРЕЙД</t>
  </si>
  <si>
    <t>105568, Г.МОСКВА, УЛ ЧЕЛЯБИНСКАЯ, Д. 21, КВ. 90</t>
  </si>
  <si>
    <t>ООО СМ-МОТОРС</t>
  </si>
  <si>
    <t>107076, Г.МОСКВА, ПЕР КОЛОДЕЗНЫЙ, Д. 2А, СТР. 1, ПОМ. VI ЭТ. А1 К 1</t>
  </si>
  <si>
    <t>ООО КАРГО-ДОК</t>
  </si>
  <si>
    <t>124498, Г.МОСКВА, Г ЗЕЛЕНОГРАД, ПР-КТ ГЕОРГИЕВСКИЙ, Д. 37, К. 2, КВ. 280</t>
  </si>
  <si>
    <t>ООО ГАЗКОМПЛЕКТ</t>
  </si>
  <si>
    <t>109542, РОССИЯ, Г.МОСКВА, ВН.ТЕР.Г. МУНИЦИПАЛЬНЫЙ ОКРУГ ВЫХИНО-ЖУЛЕБИНО, ПР-КТ РЯЗАНСКИЙ, Д. 91, К. 1, ПОМЕЩ. 11, КОМ./ОФИС 1/В-12</t>
  </si>
  <si>
    <t>ИП СТАСЕВИЧ ДЕНИС ИГОРЕВИЧ</t>
  </si>
  <si>
    <t>ИП КРУПИН ЕВГЕНИЙ НИКОЛАЕВИЧ</t>
  </si>
  <si>
    <t>ООО СПЕКТРОПЛАСТ</t>
  </si>
  <si>
    <t>111123, Г.МОСКВА, УЛ 2-Я ВЛАДИМИРСКАЯ, Д. 11</t>
  </si>
  <si>
    <t>ООО ВИК ПЛАСТ</t>
  </si>
  <si>
    <t>ИП РЫБАКОВ АНДРЕЙ СЕРГЕЕВИЧ</t>
  </si>
  <si>
    <t>ООО РБКНГРУПП</t>
  </si>
  <si>
    <t>111524, Г.МОСКВА, ВН.ТЕР.Г. МУНИЦИПАЛЬНЫЙ ОКРУГ ПЕРОВО, УЛ ЭЛЕКТРОДНАЯ, Д. 10, ПОМЕЩ. VIII, КОМ. 72, ЭТАЖ 5</t>
  </si>
  <si>
    <t>ООО ГИС</t>
  </si>
  <si>
    <t>115563, Г.МОСКВА, ВН.ТЕР.Г. МУНИЦИПАЛЬНЫЙ ОКРУГ ОРЕХОВО-БОРИСОВО СЕВЕРНОЕ, Ш КАШИРСКОЕ, Д. 61, К. 4, СТР. 1</t>
  </si>
  <si>
    <t>ООО АА ИНДАСТРИАЛ</t>
  </si>
  <si>
    <t>105187, Г.МОСКВА, ВН.ТЕР.Г. МУНИЦИПАЛЬНЫЙ ОКРУГ СОКОЛИНАЯ ГОРА, УЛ ЩЕРБАКОВСКАЯ, Д. 53, К. 4, ЭТАЖ 4, КОМ. 405</t>
  </si>
  <si>
    <t>ООО СТРОЙТЕХСНАБ</t>
  </si>
  <si>
    <t>111524, Г.МОСКВА, ВН.ТЕР.Г. МУНИЦИПАЛЬНЫЙ ОКРУГ ПЕРОВО, УЛ ЭЛЕКТРОДНАЯ, Д. 11, СТР. 8, ЭТАЖ 2, ПОМЕЩ. 20</t>
  </si>
  <si>
    <t>105082, Г.МОСКВА, УЛ БОЛЬШАЯ ПОЧТОВАЯ, Д. 26 В, СТР. 1, КОМ. 502-1</t>
  </si>
  <si>
    <t>ООО ТПК ЭКСПРЕСС-КАРТ</t>
  </si>
  <si>
    <t>127411, Г.МОСКВА, ВН.ТЕР.Г. МУНИЦИПАЛЬНЫЙ ОКРУГ ДМИТРОВСКИЙ, Ш ДМИТРОВСКОЕ, Д. 149, ПОМЕЩ. 10/1</t>
  </si>
  <si>
    <t>ИП ИВАНОВ МАКСИМ АНДРЕЕВИЧ</t>
  </si>
  <si>
    <t>ИП МИРОШНИЧЕНКО ИВАН СЕРГЕЕВИЧ</t>
  </si>
  <si>
    <t>ООО КОМПАНИЯ АЛЬВИКОМ</t>
  </si>
  <si>
    <t>111555, Г.МОСКВА, ПР-КТ СВОБОДНЫЙ, Д. 11, К. 3, КВ. 547</t>
  </si>
  <si>
    <t>ООО КВАЗАР</t>
  </si>
  <si>
    <t>111524, РОССИЯ, Г.МОСКВА, ВН.ТЕР.Г. МУНИЦИПАЛЬНЫЙ ОКРУГ ПЕРОВО, УЛ ЭЛЕКТРОДНАЯ, Д. 2, СТР. 12-13-14, ЭТАЖ/ПОМЕЩ./КОМ./ОФИС 3/IV/1/327Б</t>
  </si>
  <si>
    <t>ООО ВКБ</t>
  </si>
  <si>
    <t>117624, РОССИЯ, Г.МОСКВА, ВН.ТЕР.Г. МУНИЦИПАЛЬНЫЙ ОКРУГ ЮЖНОЕ БУТОВО, УЛ ИЗЮМСКАЯ, Д. 39, К. 2, ПОМЕЩ. 5Н</t>
  </si>
  <si>
    <t>ООО ЛОЙСО</t>
  </si>
  <si>
    <t>111524, РОССИЯ, Г.МОСКВА, ВН.ТЕР.Г. МУНИЦИПАЛЬНЫЙ ОКРУГ ПЕРОВО, УЛ ЭЛЕКТРОДНАЯ, Д. 2, СТР. 34, ПОМЕЩ. 54Н/3</t>
  </si>
  <si>
    <t>ООО СИМВОЛПАРТС</t>
  </si>
  <si>
    <t>111531, РОССИЯ, Г.МОСКВА, ВН.ТЕР.Г. МУНИЦИПАЛЬНЫЙ ОКРУГ ИВАНОВСКОЕ, Ш ЭНТУЗИАСТОВ, Д. 96, К. 4, КВ. 684</t>
  </si>
  <si>
    <t>АО ЭКОЛАБ</t>
  </si>
  <si>
    <t>115114, Г.МОСКВА, УЛ ЛЕТНИКОВСКАЯ, Д. 10, СТР. 4, КОМНАТЫ 1-46, ЭТАЖ 6</t>
  </si>
  <si>
    <t>ИП МОТАКОВА АННА МИХАЙЛОВНА</t>
  </si>
  <si>
    <t>ИП ХУДАЙБЕРДИН РАМИЛЬ РУШАНОВИЧ</t>
  </si>
  <si>
    <t>ООО АВТО МОЛЛ БЕЛГОРОД</t>
  </si>
  <si>
    <t>117574, РОССИЯ, Г.МОСКВА, ВН.ТЕР.Г. МУНИЦИПАЛЬНЫЙ ОКРУГ ЯСЕНЕВО, ПР-КТ НОВОЯСЕНЕВСКИЙ, Д. 8А</t>
  </si>
  <si>
    <t>ИП ФЕДОРИЩЕНКО СЕРГЕЙ ВАЛЕНТИНОВИЧ</t>
  </si>
  <si>
    <t>ЗАО ИНСТИТУТ ГИДРОТРАНСПРОЕКТ</t>
  </si>
  <si>
    <t>123290, Г.МОСКВА, ВН.ТЕР.Г. МУНИЦИПАЛЬНЫЙ ОКРУГ ХОРОШЕВСКИЙ, ТУП 1-Й МАГИСТРАЛЬНЫЙ, Д. 5А, ЭТАЖ 6, КОМ. 22</t>
  </si>
  <si>
    <t>ИП ВАСЯЕВА НИНА НИКОЛАЕВНА</t>
  </si>
  <si>
    <t>ООО МАКСИ-МАС</t>
  </si>
  <si>
    <t>117186, РОССИЯ, Г.МОСКВА, ВН.ТЕР.Г. МУНИЦИПАЛЬНЫЙ ОКРУГ КОТЛОВКА, УЛ НАГОРНАЯ, Д. 15, К. 8, ПОМЕЩ. 1/1</t>
  </si>
  <si>
    <t>ИП ЧОБАНЯН ГАРЕГИН ГРИГОРОВИЧ</t>
  </si>
  <si>
    <t>ООО РПТК</t>
  </si>
  <si>
    <t>119607, Г.МОСКВА, ВН.ТЕР.Г. МУНИЦИПАЛЬНЫЙ ОКРУГ РАМЕНКИ, ПР-КТ МИЧУРИНСКИЙ, Д. 49</t>
  </si>
  <si>
    <t>ООО СТАНД</t>
  </si>
  <si>
    <t>129327, Г.МОСКВА, ПР-Д АНАДЫРСКИЙ, Д. 21, ПОМЕЩ. VI КОМНАТА 6</t>
  </si>
  <si>
    <t>ТВ АД РУСС И КО</t>
  </si>
  <si>
    <t>109147, Г.МОСКВА, ВН.ТЕР.Г. МУНИЦИПАЛЬНЫЙ ОКРУГ ТАГАНСКИЙ, УЛ ВОРОНЦОВСКАЯ, Д. 17</t>
  </si>
  <si>
    <t>ООО ДЖИЛИ-МОТОРС</t>
  </si>
  <si>
    <t>127018, Г.МОСКВА, ВН.ТЕР.Г. МУНИЦИПАЛЬНЫЙ ОКРУГ МАРЬИНА РОЩА, УЛ ДВИНЦЕВ, Д. 12, К. 1, ЭТАЖ 5, ПОМ/КОМ I/8</t>
  </si>
  <si>
    <t>129337, Г.МОСКВА, ВН.ТЕР.Г. МУНИЦИПАЛЬНЫЙ ОКРУГ ЯРОСЛАВСКИЙ, Ш ЯРОСЛАВСКОЕ, Д. 26, СТР. 4</t>
  </si>
  <si>
    <t>ООО ЦЕНТР СМАЗОК</t>
  </si>
  <si>
    <t>129085, Г.МОСКВА, ВН.ТЕР.Г. МУНИЦИПАЛЬНЫЙ ОКРУГ ОСТАНКИНСКИЙ, ПР-КТ МИРА, Д. 95, ПОМЕЩ. 235</t>
  </si>
  <si>
    <t>ООО ХАЙТЕД-ЭНЕРГЕТИКА</t>
  </si>
  <si>
    <t>129329, Г.МОСКВА, ВН.ТЕР.Г. МУНИЦИПАЛЬНЫЙ ОКРУГ БАБУШКИНСКИЙ, УЛ КОЛЬСКАЯ, Д. 2, К. 4, ЭТАЖ 7, ПОМЕЩ. 2</t>
  </si>
  <si>
    <t>ИП СОЛОВЬЕВ ВЛАДИСЛАВ ВЛАДИМИРОВИЧ</t>
  </si>
  <si>
    <t>ООО НЕО</t>
  </si>
  <si>
    <t>105082, Г.МОСКВА, ВН.ТЕР.Г. МУНИЦИПАЛЬНЫЙ ОКРУГ БАСМАННЫЙ, ПЕР ПЕРЕВЕДЕНОВСКИЙ, Д. 13, СТР. 18, ПОМЕЩ. 34Н/5</t>
  </si>
  <si>
    <t>ООО МЕДИАБОЛИД</t>
  </si>
  <si>
    <t>127081, Г.МОСКВА, ВН.ТЕР.Г. МУНИЦИПАЛЬНЫЙ ОКРУГ ЮЖНОЕ МЕДВЕДКОВО, УЛ МОЛОДЦОВА, Д. 19, К. 2, КВ. 304</t>
  </si>
  <si>
    <t>ИП КРЮКОВ ЯРОСЛАВ ВАДИМИРОВИЧ</t>
  </si>
  <si>
    <t>108820, Г.МОСКВА, Р-Н КОММУНАРКА, П ЗАВОДА МОСРЕНТГЕН, Д. 33Г, СТР. 6, ЭТАЖ 2 ПОМ 15</t>
  </si>
  <si>
    <t>ИП КОМИССАРОВА ВАЛЕНТИНА ЮРЬЕВНА</t>
  </si>
  <si>
    <t>ООО МАКИТА</t>
  </si>
  <si>
    <t>127006, Г.МОСКВА, ВН.ТЕР.Г. МУНИЦИПАЛЬНЫЙ ОКРУГ ТВЕРСКОЙ, УЛ КРАСНОПРОЛЕТАРСКАЯ, Д. 4, ЭТАЖ 1, КОМ. 115</t>
  </si>
  <si>
    <t>ООО ИНВЕСТ КАПИТАЛ</t>
  </si>
  <si>
    <t>111524, Г.МОСКВА, ВН.ТЕР.Г. МУНИЦИПАЛЬНЫЙ ОКРУГ ПЕРОВО, УЛ ЭЛЕКТРОДНАЯ, Д. 2, СТР. 12-13-14, ЭТАЖ/ПОМЕЩ. 4/VII, КОМ. 6</t>
  </si>
  <si>
    <t>ООО ПРИНТ-ЭДЖЕНСИ</t>
  </si>
  <si>
    <t>107553, Г.МОСКВА, ВН.ТЕР.Г. МУНИЦИПАЛЬНЫЙ ОКРУГ ПРЕОБРАЖЕНСКОЕ, УЛ 1-Я ПУГАЧЕВСКАЯ, Д. 25</t>
  </si>
  <si>
    <t>ООО НПП АСТРОХИМ</t>
  </si>
  <si>
    <t>107241, Г.МОСКВА, УЛ БАЙКАЛЬСКАЯ, Д.1/3</t>
  </si>
  <si>
    <t>ИП АСОЕВ СЕРГЕЙ ВЛАДИМИРОВИЧ</t>
  </si>
  <si>
    <t>ООО ПЕТРОВСКИЙ</t>
  </si>
  <si>
    <t>107076, Г.МОСКВА, ПЕР КОЛОДЕЗНЫЙ, Д. 14, ОФИС 636</t>
  </si>
  <si>
    <t>ООО АВТОСТРУКТУРА ЛОГИСТИК</t>
  </si>
  <si>
    <t>115142, РОССИЯ, Г.МОСКВА, ВН.ТЕР.Г. МУНИЦИПАЛЬНЫЙ ОКРУГ НАГАТИНСКИЙ ЗАТОН, УЛ КОЛОМЕНСКАЯ, Д. 1, ПОМЕЩ. 5/1</t>
  </si>
  <si>
    <t>ООО СИТИЛИНК</t>
  </si>
  <si>
    <t>105122, Г.МОСКВА, Ш ЩЁЛКОВСКОЕ, Д. 7, СТР. 1, ЭТАЖ ,ПОМЕЩЕНИЕ, КОМНАТА 1, I, 51</t>
  </si>
  <si>
    <t>ИП АРСЕНИЙЧУК СЕРГЕЙ БОРИСОВИЧ</t>
  </si>
  <si>
    <t>ИП ШУЛЯК ВАСИЛИЙ ДМИТРИЕВИЧ</t>
  </si>
  <si>
    <t>ООО ПАСКЕР ЛТД</t>
  </si>
  <si>
    <t>107199, Г.МОСКВА, ПР-Д ЧЕРНИЦЫНСКИЙ, Д. 3, СТР. 1, ЭТАЖ 2 ОФИС 121</t>
  </si>
  <si>
    <t>ООО ОБД</t>
  </si>
  <si>
    <t>107023, Г.МОСКВА, ВН.ТЕР.Г. МУНИЦИПАЛЬНЫЙ ОКРУГ СОКОЛИНАЯ ГОРА, ПЕР МАЖОРОВ, Д. 8, СТР. 2, ПОМЕЩ. 1Н</t>
  </si>
  <si>
    <t>ООО АТЛАС ТРЕЙД</t>
  </si>
  <si>
    <t>105523, Г.МОСКВА, ВН.ТЕР.Г. МУНИЦИПАЛЬНЫЙ ОКРУГ СЕВЕРНОЕ ИЗМАЙЛОВО, КМ МКАД 104-Й, Д. 8А</t>
  </si>
  <si>
    <t>ООО РСГ</t>
  </si>
  <si>
    <t>117133, Г.МОСКВА, ВН.ТЕР.Г. МУНИЦИПАЛЬНЫЙ ОКРУГ ТЕПЛЫЙ СТАН, УЛ АКАДЕМИКА ВАРГИ, Д. 8, К. 1, ЭТ ОФИС 4 428/2/WP</t>
  </si>
  <si>
    <t>ООО АВТОЛЭНД</t>
  </si>
  <si>
    <t>127273, Г.МОСКВА, ВН.ТЕР.Г. МУНИЦИПАЛЬНЫЙ ОКРУГ ОТРАДНОЕ, ПРОЕЗД СИГНАЛЬНЫЙ, ВЛД. 18, ПОМЕЩ. 6А/1</t>
  </si>
  <si>
    <t>ООО ОПТИМИСТ</t>
  </si>
  <si>
    <t>129085, Г.МОСКВА, ВН.ТЕР.Г. МУНИЦИПАЛЬНЫЙ ОКРУГ ОСТАНКИНСКИЙ, ПР-КТ МИРА, Д. 95, СТР. 1</t>
  </si>
  <si>
    <t>ИП СМИРНОВА АННА АЛЕКСАНДРОВНА</t>
  </si>
  <si>
    <t>ИП ЧЕРКАСОВ МАКСИМ ВАЛЕРЬЕВИЧ</t>
  </si>
  <si>
    <t>ИП ЧУЛОК КОНСТАНТИН ВЛАДИМИРОВИЧ</t>
  </si>
  <si>
    <t>ИП ВАРЛАМОВА ИРИНА НИКОЛАЕВНА</t>
  </si>
  <si>
    <t>ИП ИВАНОВА ОЛЕСЯ МИХАЙЛОВНА</t>
  </si>
  <si>
    <t>ООО КОМПАНИЯ ФИНМАСЛА</t>
  </si>
  <si>
    <t>111673, Г.МОСКВА, ВН.ТЕР.Г. МУНИЦИПАЛЬНЫЙ ОКРУГ КОСИНО-УХТОМСКИЙ, УЛ САЛТЫКОВСКАЯ, Д. 8, ЭТАЖ 1, ПОМЕЩ. 104</t>
  </si>
  <si>
    <t>ООО МОЙ КЛУБ</t>
  </si>
  <si>
    <t>111123, Г.МОСКВА, Ш ЭНТУЗИАСТОВ, Д. 31, СТР. 40, ПОМЕЩ. I КОМНАТА 1,2</t>
  </si>
  <si>
    <t>ООО НПК ГАЗМЕДЛИЗИНГ</t>
  </si>
  <si>
    <t>111524, Г.МОСКВА, УЛ ЭЛЕКТРОДНАЯ, Д. 2, СТР. 12-13-14, ОФИС 203</t>
  </si>
  <si>
    <t>ООО МПА-М</t>
  </si>
  <si>
    <t>111524, Г.МОСКВА, УЛ ЭЛЕКТРОДНАЯ, Д. 10, ЭТ 5 ПОМ VIII КОМ 47</t>
  </si>
  <si>
    <t>ООО БПАРТС</t>
  </si>
  <si>
    <t>111538, Г.МОСКВА, УЛ КОСИНСКАЯ, Д. 11А, СТР. 1, ОФИС 538А</t>
  </si>
  <si>
    <t>ООО ИНТЕРКАР АВТО</t>
  </si>
  <si>
    <t>117342, Г.МОСКВА, ВН.ТЕР.Г. МУНИЦИПАЛЬНЫЙ ОКРУГ КОНЬКОВО, УЛ БУТЛЕРОВА, Д. 17Б, ПОМЕЩ. 86А/12/3</t>
  </si>
  <si>
    <t>ООО КЛЕВЕРЕНС СОФТ</t>
  </si>
  <si>
    <t>117105, Г.МОСКВА, ВН.ТЕР.Г. МУНИЦИПАЛЬНЫЙ ОКРУГ НАГАТИНО-САДОВНИКИ, Ш ВАРШАВСКОЕ, Д. 37А, ПОМЕЩ. 702,7 ЭТАЖ</t>
  </si>
  <si>
    <t>ООО СМС-М</t>
  </si>
  <si>
    <t>111141, Г.МОСКВА, УЛ ПЛЕХАНОВА, Д.12, СТР.1</t>
  </si>
  <si>
    <t>ООО МИТ</t>
  </si>
  <si>
    <t>111524, Г.МОСКВА, УЛ ЭЛЕКТРОДНАЯ, Д. 2, СТР. 12-13-14, ЭТАЖ 5, ПОМ. I, КОМН. 12</t>
  </si>
  <si>
    <t>ООО АВИЦЕННА</t>
  </si>
  <si>
    <t>125424, Г.МОСКВА, ТУП СХОДНЕНСКИЙ, Д. 4, ЭТАЖ 4 ОФИС 410</t>
  </si>
  <si>
    <t>ООО ИНКОМПАРТС</t>
  </si>
  <si>
    <t>109382, Г.МОСКВА, ПР-Д ЕГОРЬЕВСКИЙ, Д. 2А, СТР. 19, ОФИС 14</t>
  </si>
  <si>
    <t>107023, Г.МОСКВА, ВН.ТЕР.Г. МУНИЦИПАЛЬНЫЙ ОКРУГ ПРЕОБРАЖЕНСКОЕ, УЛ ЭЛЕКТРОЗАВОДСКАЯ, Д. 27, СТР. 7</t>
  </si>
  <si>
    <t>ПАО КИФА</t>
  </si>
  <si>
    <t>125438, Г.МОСКВА, НАБ ЛИХОБОРСКАЯ, Д. 3, СТР. 9, ПОМ. II ЭТАЖ 2, КОМН. 3</t>
  </si>
  <si>
    <t>ООО АВТОПРАГМАТИК</t>
  </si>
  <si>
    <t>105275, Г.МОСКВА, УЛ СОКОЛИНОЙ ГОРЫ 5-Я, Д. 16, К. 2, ПОМ II</t>
  </si>
  <si>
    <t>ИП РУДНИЦКИЙ СТАНИСЛАВ НИКОЛАЕВИЧ</t>
  </si>
  <si>
    <t>ООО СТАЛЬНОЙ ХАРАКТЕР</t>
  </si>
  <si>
    <t>111675, РОССИЯ, Г.МОСКВА, ВН.ТЕР.Г. МУНИЦИПАЛЬНЫЙ ОКРУГ КОСИНО-УХТОМСКИЙ, УЛ РУДНЁВКА, Д. 43, КВ. 37</t>
  </si>
  <si>
    <t>ООО СНАБТРЕЙД</t>
  </si>
  <si>
    <t>111402, РОССИЯ, Г.МОСКВА, ВН.ТЕР.Г. МУНИЦИПАЛЬНЫЙ ОКРУГ ВЕШНЯКИ, УЛ СТАРЫЙ ГАЙ, Д. 8А, ЭТАЖ ПОДВАЛ, КОМ. 35</t>
  </si>
  <si>
    <t>ООО МГЛ-ПАРТС</t>
  </si>
  <si>
    <t>105118, РОССИЯ, Г.МОСКВА, ВН.ТЕР.Г. МУНИЦИПАЛЬНЫЙ ОКРУГ ПЕРОВО, Ш ЭНТУЗИАСТОВ, Д. 34, ОФИС E.3.5</t>
  </si>
  <si>
    <t>ИП ШОЛОХОВА ИРИНА МИХАЙЛОВНА</t>
  </si>
  <si>
    <t>ООО А/С ЗОЛОТОЙ ПОЛЮС</t>
  </si>
  <si>
    <t>119034, Г.МОСКВА, ПЕР 2-Й ОБЫДЕНСКИЙ, Д. 1А, ЭТ 2 ПОМ II КОМ 1</t>
  </si>
  <si>
    <t>ИП Маркин Олег Владимирович</t>
  </si>
  <si>
    <t>ООО ВВС</t>
  </si>
  <si>
    <t>117218, РОССИЯ, Г.МОСКВА, ВН.ТЕР.Г. МУНИЦИПАЛЬНЫЙ ОКРУГ АКАДЕМИЧЕСКИЙ, УЛ КРЖИЖАНОВСКОГО, Д. 15, К. 5, ЭТАЖ 5, ОФИС 524</t>
  </si>
  <si>
    <t>ООО ЛИКВИТЭК</t>
  </si>
  <si>
    <t>127055, РОССИЯ, Г.МОСКВА, ВН.ТЕР.Г. МУНИЦИПАЛЬНЫЙ ОКРУГ ТВЕРСКОЙ, ПЕР УГЛОВОЙ, Д. 2, ПОМЕЩ. I ЭТАЖ 10, КОМ. 1 РМ2Ж</t>
  </si>
  <si>
    <t>ООО СВВ ИМПОРТ</t>
  </si>
  <si>
    <t>121609, РОССИЯ, Г.МОСКВА, ВН.ТЕР.Г. МУНИЦИПАЛЬНЫЙ ОКРУГ КРЫЛАТСКОЕ, Ш РУБЛЁВСКОЕ, Д. 36, К. 2, ПОМЕЩ. 8/1</t>
  </si>
  <si>
    <t>ООО ОДИН ГРУПП ТРЕЙД</t>
  </si>
  <si>
    <t>127055, РОССИЯ, Г.МОСКВА, ВН.ТЕР.Г. МУНИЦИПАЛЬНЫЙ ОКРУГ ТВЕРСКОЙ, УЛ БУТЫРСКИЙ ВАЛ, Д. 68/70, СТР. 2, ПОМЕЩ. 1/1</t>
  </si>
  <si>
    <t>ООО ПЕТРОЛ ПЛЮС</t>
  </si>
  <si>
    <t>111625, Г.МОСКВА, УЛ КАСКАДНАЯ, Д. 21</t>
  </si>
  <si>
    <t>ООО ВЭЛТЕКС</t>
  </si>
  <si>
    <t>127055, Г.МОСКВА, УЛ НОВОСЛОБОДСКАЯ, Д. 55, КАБИНЕТ 3-Д</t>
  </si>
  <si>
    <t>ООО СИВАЛ</t>
  </si>
  <si>
    <t>111394, Г.МОСКВА, УЛ ПЕРОВСКАЯ, Д. 68Б</t>
  </si>
  <si>
    <t>ООО А-МАП</t>
  </si>
  <si>
    <t>107140, Г.МОСКВА, ТУП БОЛЬШОЙ КРАСНОПРУДНЫЙ, Д. 8/12, ЭТ 0 ПОМ 2 КОМ 2Г</t>
  </si>
  <si>
    <t>ООО ГАЗКОМТРАНС</t>
  </si>
  <si>
    <t>121609, Г.МОСКВА, ВН.ТЕР.Г. МУНИЦИПАЛЬНЫЙ ОКРУГ КРЫЛАТСКОЕ, УЛ ОСЕННЯЯ, Д. 23, ЭТ/КОМН/ОФ 9/114А/4А</t>
  </si>
  <si>
    <t>ООО ФАТ</t>
  </si>
  <si>
    <t>121351, Г.МОСКВА, УЛ МОЛОДОГВАРДЕЙСКАЯ, Д. 57, СТР 5</t>
  </si>
  <si>
    <t>ООО СТАР ГЕЙТ</t>
  </si>
  <si>
    <t>121467, Г.МОСКВА, ВН.ТЕР.Г. МУНИЦИПАЛЬНЫЙ ОКРУГ КУНЦЕВО, УЛ МОЛДАВСКАЯ, Д. 5</t>
  </si>
  <si>
    <t>АО ЖТК</t>
  </si>
  <si>
    <t>107078, Г.МОСКВА, УЛ НОВОРЯЗАНСКАЯ, Д. 12</t>
  </si>
  <si>
    <t>АО МАЗ МОСКВИЧ</t>
  </si>
  <si>
    <t>109316, Г.МОСКВА, ПР-КТ ВОЛГОГРАДСКИЙ, Д. 42, К. 36</t>
  </si>
  <si>
    <t>ООО СУМИТЕК ИНТЕРНЕЙШНЛ</t>
  </si>
  <si>
    <t>119017, Г.МОСКВА, ВН.ТЕР.Г. МУНИЦИПАЛЬНЫЙ ОКРУГ ЯКИМАНКА, УЛ БОЛЬШАЯ ОРДЫНКА, Д. 40, СТР. 2, ЭТАЖ 3, ПОМЕЩ. 1</t>
  </si>
  <si>
    <t>ООО СИНКАТ</t>
  </si>
  <si>
    <t>109147, Г.МОСКВА, УЛ МАРКСИСТСКАЯ, Д. 22, СТР. 1, ОФИС 515/2 ПОМЕЩЕНИЕ 1</t>
  </si>
  <si>
    <t>ООО САНРАЙС АВТО</t>
  </si>
  <si>
    <t>105120, Г.МОСКВА, ВН.ТЕР.Г. МУНИЦИПАЛЬНЫЙ ОКРУГ ТАГАНСКИЙ, ПЕР ХЛЕБНИКОВ, Д. 7, СТР. 3, ПОМЕЩ. 1/3</t>
  </si>
  <si>
    <t>ООО АВТО - ТАЙЛЕ</t>
  </si>
  <si>
    <t>109147, Г.МОСКВА, ВН.ТЕР.Г. МУНИЦИПАЛЬНЫЙ ОКРУГ ТАГАНСКИЙ, УЛ МАРКСИСТСКАЯ, Д. 34, К. 5, ПОМЕЩ. 1, КОМ. 3</t>
  </si>
  <si>
    <t>ООО ЛИКВИ МОЛИ РУССЛАНД</t>
  </si>
  <si>
    <t>121471, Г.МОСКВА, ВН.ТЕР.Г. МУНИЦИПАЛЬНЫЙ ОКРУГ ОЧАКОВО-МАТВЕЕВСКОЕ, УЛ РЯБИНОВАЯ, Д. 44, ЭТАЖ 3, КОМ. 41</t>
  </si>
  <si>
    <t>ООО ИНФИНИТИ-СКЛАД</t>
  </si>
  <si>
    <t>107078, Г.МОСКВА, ВН.ТЕР.Г. МУНИЦИПАЛЬНЫЙ ОКРУГ КРАСНОСЕЛЬСКИЙ, ПЕР ОРЛИКОВ, Д. 5, СТР. 1А, ЭТАЖ 1, КОМ. 169</t>
  </si>
  <si>
    <t>ООО НИТАВТО</t>
  </si>
  <si>
    <t>117623, Г.МОСКВА, ВН.ТЕР.Г. МУНИЦИПАЛЬНЫЙ ОКРУГ ЮЖНОЕ БУТОВО, УЛ 2-Я МЕЛИТОПОЛЬСКАЯ, Д. 21, К. 2, ПОМЕЩ. 3/1</t>
  </si>
  <si>
    <t>АО АВТО-ЕВРО</t>
  </si>
  <si>
    <t>ООО БМВ РУСЛАНД ТРЕЙДИНГ</t>
  </si>
  <si>
    <t>125315, Г.МОСКВА, ВН.ТЕР.Г. МУНИЦИПАЛЬНЫЙ ОКРУГ АЭРОПОРТ, ПР-КТ ЛЕНИНГРАДСКИЙ, Д. 70</t>
  </si>
  <si>
    <t>ИП ДОРОФЕЕВ АЛЕКСЕЙ ВЛАДИМИРОВИЧ</t>
  </si>
  <si>
    <t>ООО ВНЕШМАЛЬТИГРАФ</t>
  </si>
  <si>
    <t>127247, Г.МОСКВА, Ш ДМИТРОВСКОЕ, Д. 100, ЭТ 6 ПОМ I КОМ 32</t>
  </si>
  <si>
    <t>ООО МИЛЛЕНИУМ</t>
  </si>
  <si>
    <t>127411, Г.МОСКВА, Ш ДМИТРОВСКОЕ, Д. 157, СТР. 9, ЭТАЖ 4 ОФИС В</t>
  </si>
  <si>
    <t>ООО ТЕКА+</t>
  </si>
  <si>
    <t>127474, Г.МОСКВА, Б-Р БЕСКУДНИКОВСКИЙ, Д. 6, К. 3, ЭТАЖ 1 ПОМ XVIII КОМ 1</t>
  </si>
  <si>
    <t>ООО ВМС</t>
  </si>
  <si>
    <t>127282, Г.МОСКВА, ВН.ТЕР.Г. МУНИЦИПАЛЬНЫЙ ОКРУГ СЕВЕРНОЕ МЕДВЕДКОВО, УЛ ТИХОМИРОВА, Д. 17, К. 1, ПОМЕЩ. 14/1</t>
  </si>
  <si>
    <t>ООО ЗИП ЭКСПРЕСС-АВТО</t>
  </si>
  <si>
    <t>127411, Г.МОСКВА, Ш ДМИТРОВСКОЕ, Д. 157, ЭТ 1 ПОМ 12 ОФ В</t>
  </si>
  <si>
    <t>ООО ДАКТОР ОТРАДНОЕ</t>
  </si>
  <si>
    <t>127566, Г.МОСКВА, ВН.ТЕР.Г. МУНИЦИПАЛЬНЫЙ ОКРУГ ОТРАДНОЕ, УЛ РИМСКОГО-КОРСАКОВА, Д. 3, СТР. 1, ПОМЕЩ. 1/1</t>
  </si>
  <si>
    <t>ООО ЗАП ГРУПП</t>
  </si>
  <si>
    <t>127299, РОССИЯ, Г.МОСКВА, ВН.ТЕР.Г. МУНИЦИПАЛЬНЫЙ ОКРУГ КОПТЕВО, УЛ БОЛЬШАЯ АКАДЕМИЧЕСКАЯ, Д. 4, СТР. 1, ПОМЕЩ. 1/П</t>
  </si>
  <si>
    <t>ООО ЭВРИКА</t>
  </si>
  <si>
    <t>115230, Г.МОСКВА, ПР-Д ЭЛЕКТРОЛИТНЫЙ, Д. 3Б, СТР. 3, ОФИС 5</t>
  </si>
  <si>
    <t>ИП АНДРЕЕЧКИН НИКИТА МИХАЙЛОВИЧ</t>
  </si>
  <si>
    <t>ИП АНТРОПОВА НАДЕЖДА ВЛАДИМИРОВНА</t>
  </si>
  <si>
    <t>ИП ШОПЫГИН СЕРГЕЙ ЮРЬЕВИЧ</t>
  </si>
  <si>
    <t>ООО ВЕГО РУС</t>
  </si>
  <si>
    <t>123592, Г.МОСКВА, ВН.ТЕР.Г. МУНИЦИПАЛЬНЫЙ ОКРУГ СТРОГИНО, УЛ КУЛАКОВА, Д. 20, СТР. 1Л, ЭТАЖ 7 ПОМЕЩ. VIII, КОМ. 3</t>
  </si>
  <si>
    <t>ИП ГАВРИЛОВ КОНСТАНТИН ЮРЬЕВИЧ</t>
  </si>
  <si>
    <t>ИП МАГЕРРАМОВ ЭЛЬВИН ЭЛЬМАН ОГЛЫ</t>
  </si>
  <si>
    <t>ИП ЧЕРНЫШ ДАНИЛА ВЛАДИМИРОВИЧ</t>
  </si>
  <si>
    <t>АО ТВВД</t>
  </si>
  <si>
    <t>127287, Г.МОСКВА, ПР-Д ПЕТРОВСКО-РАЗУМОВСКИЙ, Д. 16, ЭТ 1 ПОМ VI КОМ 2-6</t>
  </si>
  <si>
    <t>ООО ТРАНСАВТОЛЮБ</t>
  </si>
  <si>
    <t>123007, Г.МОСКВА, ВН.ТЕР.Г. МУНИЦИПАЛЬНЫЙ ОКРУГ ХОРОШЕВСКИЙ, УЛ 5-Я МАГИСТРАЛЬНАЯ, Д. 12, ПОМЕЩ. Х, КОМ. 33</t>
  </si>
  <si>
    <t>ООО ПОРТАЛ АВТО</t>
  </si>
  <si>
    <t>125315, РОССИЯ, Г.МОСКВА, ВН.ТЕР.Г. МУНИЦИПАЛЬНЫЙ ОКРУГ АЭРОПОРТ, ПР-КТ ЛЕНИНГРАДСКИЙ, Д. 66, ПОМЕЩ. 1H</t>
  </si>
  <si>
    <t>ИП ЖДАНОВ МИХАИЛ АЛЕКСАНДРОВИЧ</t>
  </si>
  <si>
    <t>ИП БЫШЕВ ДАНИИЛ АЛЕКСАНДРОВИЧ</t>
  </si>
  <si>
    <t>ООО ПРОМСПЕЦСЕРВИС</t>
  </si>
  <si>
    <t>127287, Г.МОСКВА, УЛ БАШИЛОВСКАЯ, Д. 34, ЭТ 1 ПОМ I КОМ 3</t>
  </si>
  <si>
    <t>ООО ХИТ МАШИНЕРИ</t>
  </si>
  <si>
    <t>129110, Г.МОСКВА, ВН.ТЕР.Г. МУНИЦИПАЛЬНЫЙ ОКРУГ МЕЩАНСКИЙ, УЛ ЩЕПКИНА, Д. 58, СТР. 3, ЭТАЖ 2, ПОМЕЩ. IV ОФИС 205</t>
  </si>
  <si>
    <t>ООО АВАНТА ПРАЙМАРИ</t>
  </si>
  <si>
    <t>125438, Г.МОСКВА, ВН.ТЕР.Г. МУНИЦИПАЛЬНЫЙ ОКРУГ ГОЛОВИНСКИЙ, УЛ АВТОМОТОРНАЯ, Д. 4А, СТР. 21, ПОМЕЩ. 6П</t>
  </si>
  <si>
    <t>ИП СУВОРОВ НИКОЛАЙ НИКОЛАЕВИЧ</t>
  </si>
  <si>
    <t>ИП МИХАЙЛОВ АЛЕКСАНДР АЛЕКСАНДРОВИЧ</t>
  </si>
  <si>
    <t>ИП СУРОВИЦКИЙ АЛЕКСЕЙ ВАЛЕРЬЕВИЧ</t>
  </si>
  <si>
    <t>ООО ЛАЗЕРХАНТ</t>
  </si>
  <si>
    <t>127299, Г.МОСКВА, ВН.ТЕР.Г. МУНИЦИПАЛЬНЫЙ ОКРУГ КОПТЕВО, УЛ КЛАРЫ ЦЕТКИН, Д. 18, К. 6</t>
  </si>
  <si>
    <t>ИП ОБУХОВ ДМИТРИЙ АЛЕКСАНДРОВИЧ</t>
  </si>
  <si>
    <t>ООО ММС РУС</t>
  </si>
  <si>
    <t>ООО ДИЛС-АВТО</t>
  </si>
  <si>
    <t>127254, Г.МОСКВА, УЛ ДОБРОЛЮБОВА, ВЛД. 1, СТР. 1, ПОМЕЩ. 12 ЭТАЖ 1</t>
  </si>
  <si>
    <t>ООО СИНОПЕК ИНТЕРНЕЙШНЛ КОМПАНИ РУС</t>
  </si>
  <si>
    <t>117342, Г.МОСКВА, ВН.ТЕР.Г. МУНИЦИПАЛЬНЫЙ ОКРУГ КОНЬКОВО, УЛ ПРОФСОЮЗНАЯ, Д. 65, К. 1, ПОМЕЩ. 2/17</t>
  </si>
  <si>
    <t>ИП ШИЛКИН ВЯЧЕСЛАВ СЕРГЕЕВИЧ</t>
  </si>
  <si>
    <t>ИП КОВАЛЬСКАЯ НАТАЛЬЯ ГЕННАДЬЕВНА</t>
  </si>
  <si>
    <t>ИП ФОМИН СЕРГЕЙ ВЛАДИМИРОВИЧ</t>
  </si>
  <si>
    <t>ООО ЛР ГРУПП</t>
  </si>
  <si>
    <t>117186, Г.МОСКВА, УЛ НАГОРНАЯ, Д. 24, К. 9, ЭТ 1 ПОМ II КОМ 3Д</t>
  </si>
  <si>
    <t>117218, Г.МОСКВА, УЛ КРЖИЖАНОВСКОГО, Д. 15, К. 5, ОФИС 504, ЭТАЖ 5</t>
  </si>
  <si>
    <t>123308, Г.МОСКВА, ВН.ТЕР.Г. МУНИЦИПАЛЬНЫЙ ОКРУГ ХОРОШЕВО-МНЕВНИКИ, УЛ МНЁВНИКИ, Д. 6, ПОМЕЩ. 2/1</t>
  </si>
  <si>
    <t>ООО ГРЕЙТЕК</t>
  </si>
  <si>
    <t>109651, Г.МОСКВА, УЛ ДОНЕЦКАЯ, Д. 10, К. 1, ЭТ 2 ПОМ XIII КОМ 1</t>
  </si>
  <si>
    <t>ООО АЗИМУТ МОТОРС</t>
  </si>
  <si>
    <t>125599, Г.МОСКВА, КМ МКАД 78-Й, Д. 14, К. 1, ПОМЕЩ. 1,ЭТ.3,КОМ.29(ЧАСТЬ)</t>
  </si>
  <si>
    <t>ИП КАЗАНОВ АНТОН ВАЛЕРЬЕВИЧ</t>
  </si>
  <si>
    <t>ИП ТАБОЛИН АНДРЕЙ АЛЕКСАНДРОВИЧ</t>
  </si>
  <si>
    <t>ИП ТИМАШОВА ЮЛИЯ АЛЕКСЕЕВНА</t>
  </si>
  <si>
    <t>ООО РБА-МБ</t>
  </si>
  <si>
    <t>125130, Г.МОСКВА, ВН.ТЕР.Г. МУНИЦИПАЛЬНЫЙ ОКРУГ ВОЙКОВСКИЙ, УЛ ВЫБОРГСКАЯ, Д. 22, СТР. 3</t>
  </si>
  <si>
    <t>ООО КУППЕР</t>
  </si>
  <si>
    <t>129085, Г.МОСКВА, УЛ ГОДОВИКОВА, Д. 9, СТР. 5, ПОД 5.9 ЭТ 1 ПОМ 1.8</t>
  </si>
  <si>
    <t>ИП ГРАНКИН ДМИТРИЙ СЕРГЕЕВИЧ</t>
  </si>
  <si>
    <t>ООО ВЕЛИКАН-ЛБ</t>
  </si>
  <si>
    <t>129128, Г.МОСКВА, УЛ БАЖОВА, Д. 17, СТР. 14, ПОМЕЩ. I, КОМНАТА 1</t>
  </si>
  <si>
    <t>ООО ФАРАТОН</t>
  </si>
  <si>
    <t>129327, Г.МОСКВА, ПР-Д АНАДЫРСКИЙ, Д. 21, ПОМ V КОМ 1 РМ 40</t>
  </si>
  <si>
    <t>ИП МУСИНА НАДЕЖДА ИВАНОВНА</t>
  </si>
  <si>
    <t>ООО ИНСТРУМ</t>
  </si>
  <si>
    <t>125438, Г.МОСКВА, УЛ АВТОМОТОРНАЯ, Д. 8, ЭТАЖ 4 КОМН 9</t>
  </si>
  <si>
    <t>ООО АКФИКС-РУС</t>
  </si>
  <si>
    <t>127282, РОССИЯ, Г.МОСКВА, ВН.ТЕР.Г. МУНИЦИПАЛЬНЫЙ ОКРУГ СЕВЕРНОЕ МЕДВЕДКОВО, ПРОЕЗД ЧЕРМЯНСКИЙ, Д. 7, ПОМЕЩ. 1/2</t>
  </si>
  <si>
    <t>ИП СУХОВЕРСКИЙ ИВАН ИГОРЕВИЧ</t>
  </si>
  <si>
    <t>ООО ТСК ТЕХНИКА</t>
  </si>
  <si>
    <t>129301, Г.МОСКВА, ПР-КТ МИРА, Д. 186, К. 1, Э 5 ПОМ 13 К 1 ОФ 16</t>
  </si>
  <si>
    <t>ООО ГК СМ-ОЙЛ</t>
  </si>
  <si>
    <t>123060, Г.МОСКВА, ВН.ТЕР.Г. МУНИЦИПАЛЬНЫЙ ОКРУГ ЩУКИНО, УЛ МАРШАЛА РЫБАЛКО, Д. 2, К. 6, ПОМЕЩ. 28Б/11</t>
  </si>
  <si>
    <t>ООО АДМ-ЛИФТС</t>
  </si>
  <si>
    <t>129327, РОССИЯ, Г.МОСКВА, ВН.ТЕР.Г. МУНИЦИПАЛЬНЫЙ ОКРУГ ЛОСИНООСТРОВСКИЙ, ПРОЕЗД АНАДЫРСКИЙ, Д. 21, ПОМЕЩ. 5П</t>
  </si>
  <si>
    <t>ООО РЕГАР</t>
  </si>
  <si>
    <t>129327, РОССИЯ, Г.МОСКВА, ВН.ТЕР.Г. МУНИЦИПАЛЬНЫЙ ОКРУГ БАБУШКИНСКИЙ, УЛ ЛЕНСКАЯ, Д. 2/21, ПОМЕЩ. 1/1П</t>
  </si>
  <si>
    <t>ООО ТСОЙЛ</t>
  </si>
  <si>
    <t>129343, РОССИЯ, Г.МОСКВА, ВН.ТЕР.Г. МУНИЦИПАЛЬНЫЙ ОКРУГ СВИБЛОВО, ПРОЕЗД СЕРЕБРЯКОВА, Д. 6</t>
  </si>
  <si>
    <t>ООО СПЕЦТОРГЦЕНТР</t>
  </si>
  <si>
    <t>129327, РОССИЯ, Г.МОСКВА, ВН.ТЕР.Г. МУНИЦИПАЛЬНЫЙ ОКРУГ БАБУШКИНСКИЙ, УЛ ЛЕНСКАЯ, Д. 2/21, ПОМЕЩ. 9/2</t>
  </si>
  <si>
    <t>ООО СПЕЦТРАНС</t>
  </si>
  <si>
    <t>129085, Г.МОСКВА, Б-Р ЗВЁЗДНЫЙ, Д. 21, СТР. 2</t>
  </si>
  <si>
    <t>ИП АСОЕВА МАДОНА ВЛАДИМИРОВНА</t>
  </si>
  <si>
    <t>ООО БАСТИОН ФИНАНС</t>
  </si>
  <si>
    <t>127051, Г.МОСКВА, Б-Р ПЕТРОВСКИЙ, Д. 11, ЭТАЖ/КАБ 3/303(Б)</t>
  </si>
  <si>
    <t>ИП КУЧЕРЕНКО ВИКТОРИЯ ВИТАЛЬЕВНА</t>
  </si>
  <si>
    <t>ООО СПЕЦТРЕЙД</t>
  </si>
  <si>
    <t>107497, Г.МОСКВА, ВН.ТЕР.Г. МУНИЦИПАЛЬНЫЙ ОКРУГ ГОЛЬЯНОВО, УЛ БИРЮСИНКА, Д. 7, СТР. 1</t>
  </si>
  <si>
    <t>ООО ЭЛИТПОСТАВКА</t>
  </si>
  <si>
    <t>107370, Г.МОСКВА, Ш ОТКРЫТОЕ, Д. 12, СТР. 35</t>
  </si>
  <si>
    <t>ИП ГУСЬКОВА ОЛЬГА НИКОЛАЕВНА</t>
  </si>
  <si>
    <t>ИП ОРЛОВА СВЕТЛАНА ВАСИЛЬЕВНА</t>
  </si>
  <si>
    <t>ИП ФИЛОНИН АЛЕКСЕЙ ВАЛЕРЬЕВИЧ</t>
  </si>
  <si>
    <t>ООО РОЛЛИНГ МОТО</t>
  </si>
  <si>
    <t>107076, Г.МОСКВА, ВН.ТЕР.Г. МУНИЦИПАЛЬНЫЙ ОКРУГ СОКОЛЬНИКИ, ПЕР КОЛОДЕЗНЫЙ, Д. 2А, СТР. 1, ЭТАЖ А2, КОМ. 9</t>
  </si>
  <si>
    <t>107023, Г.МОСКВА, ВН.ТЕР.Г. МУНИЦИПАЛЬНЫЙ ОКРУГ ПРЕОБРАЖЕНСКОЕ, УЛ СУВОРОВСКАЯ, Д. 8, ОФИС 35</t>
  </si>
  <si>
    <t>АО ЭНЕРГИЯ</t>
  </si>
  <si>
    <t>107497, Г.МОСКВА, УЛ ИРКУТСКАЯ, Д. 11, К. 2, ПОМЕЩ. 92</t>
  </si>
  <si>
    <t>ООО МЕРКАДО ТРЕЙДИНГ</t>
  </si>
  <si>
    <t>105043, Г.МОСКВА, ВН.ТЕР.Г. МУНИЦИПАЛЬНЫЙ ОКРУГ ИЗМАЙЛОВО, УЛ 6-Я ПАРКОВАЯ, Д. 19, ПОМЕЩ. 6П</t>
  </si>
  <si>
    <t>ООО РАМ ГРУП</t>
  </si>
  <si>
    <t>105275, Г.МОСКВА, ПР-Д ОКРУЖНОЙ, Д. 34, К. 3, КВ. 42</t>
  </si>
  <si>
    <t>ООО ИРБИС 73</t>
  </si>
  <si>
    <t>107497, Г.МОСКВА, ВН.ТЕР.Г. МУНИЦИПАЛЬНЫЙ ОКРУГ ГОЛЬЯНОВО, УЛ МОНТАЖНАЯ, Д. 9, СТР. 1, ПОМЕЩ. 13Н/3</t>
  </si>
  <si>
    <t>ООО СНВ КАРГО</t>
  </si>
  <si>
    <t>129329, Г.МОСКВА, УЛ КОЛЬСКАЯ, 1 СТР 1, ЭТАЖ 3 ПОМ1 К25</t>
  </si>
  <si>
    <t>ИП ЦУКАНОВ СЕРГЕЙ МИХАЙЛОВИЧ</t>
  </si>
  <si>
    <t>ООО СТАРОЙЛС</t>
  </si>
  <si>
    <t>107564, Г.МОСКВА, ВН.ТЕР.Г. МУНИЦИПАЛЬНЫЙ ОКРУГ БОГОРОДСКОЕ, УЛ КРАСНОБОГАТЫРСКАЯ, Д. 38, СТР. 2, ПОМЕЩ. 5/3</t>
  </si>
  <si>
    <t>ИП БУЛДЫГЕРОВ АЛЕКСАНДР МИХАЙЛОВИЧ</t>
  </si>
  <si>
    <t>АО НК РОСНЕФТЬ - МЗ НЕФТЕПРОДУКТ</t>
  </si>
  <si>
    <t>105118, Г.МОСКВА, Ш ЭНТУЗИАСТОВ, Д. 40</t>
  </si>
  <si>
    <t>ИП РУМЯНЦЕВ АНТОН АЛЕКСАНДРОВИЧ</t>
  </si>
  <si>
    <t>ООО АВТОГРАД-П</t>
  </si>
  <si>
    <t>111524, Г.МОСКВА, УЛ ЭЛЕКТРОДНАЯ, Д. 14, СТР. 1, ПОМЕЩ. V</t>
  </si>
  <si>
    <t>ООО БИЗНЕСТРАНС КГ</t>
  </si>
  <si>
    <t>111024, Г.МОСКВА, ВН.ТЕР.Г. МУНИЦИПАЛЬНЫЙ ОКРУГ ПЕРОВО, УЛ 2-Я ЭНТУЗИАСТОВ, Д. 5, ПОМЕЩ. 1/4</t>
  </si>
  <si>
    <t>ООО АВТОКЛАСТЕР</t>
  </si>
  <si>
    <t>108802, Г.МОСКВА, ВН.ТЕР.Г. МУНИЦИПАЛЬНЫЙ ОКРУГ КОММУНАРКА, УЛ НИКОЛО-ХОВАНСКАЯ, Д. 32, КВ. 19</t>
  </si>
  <si>
    <t>ИП ПАРХОМЕНКО АЛЕКСАНДР ВИКТОРОВИЧ</t>
  </si>
  <si>
    <t>ООО АГ АЛЬЯНС</t>
  </si>
  <si>
    <t>111123, Г.МОСКВА, УЛ 1-Я ВЛАДИМИРСКАЯ, Д. 10А, ЭТАЖ 2, ОФИС N 8А</t>
  </si>
  <si>
    <t>ООО ЛР-АВТО</t>
  </si>
  <si>
    <t>111558, Г.МОСКВА, ВН.ТЕР.Г. МУНИЦИПАЛЬНЫЙ ОКРУГ НОВОГИРЕЕВО, ПР-КТ СВОБОДНЫЙ, Д. 21/2, ПОМЕЩ. 1/1</t>
  </si>
  <si>
    <t>ООО АНРОК</t>
  </si>
  <si>
    <t>111394, Г.МОСКВА, УЛ КУСКОВСКАЯ, Д.26А, СТР.4-4А</t>
  </si>
  <si>
    <t>ООО АВТО-ВИД</t>
  </si>
  <si>
    <t>111123, Г.МОСКВА, Ш ЭНТУЗИАСТОВ, Д. 56, СТРОЕНИЕ 1,ЭТ 2 ПОМ 220</t>
  </si>
  <si>
    <t>ИП ШЕМРАЕВ ЕВГЕНИЙ МИХАЙЛОВИЧ</t>
  </si>
  <si>
    <t>ООО АТОК</t>
  </si>
  <si>
    <t>105275, Г.МОСКВА, УЛ СОКОЛИНОЙ ГОРЫ 5-Я, Д.16, К.2</t>
  </si>
  <si>
    <t>ООО ПАРУСА</t>
  </si>
  <si>
    <t>111524, Г.МОСКВА, ВН.ТЕР.Г. МУНИЦИПАЛЬНЫЙ ОКРУГ ПЕРОВО, УЛ ЭЛЕКТРОДНАЯ, Д. 2, СТР. 34, ПОМЕЩ. 4/2</t>
  </si>
  <si>
    <t>АО НЕО ТРЕЙД</t>
  </si>
  <si>
    <t>111024, РОССИЯ, Г.МОСКВА, ВН.ТЕР.Г. МУНИЦИПАЛЬНЫЙ ОКРУГ ПЕРОВО, УЛ 2-Я ЭНТУЗИАСТОВ, Д. 5, К. 40, ПОМЕЩ. 2/3</t>
  </si>
  <si>
    <t>ИП ГУДКОВ АЛЕКСАНДР АНДРЕЕВИЧ</t>
  </si>
  <si>
    <t>ООО ЦС</t>
  </si>
  <si>
    <t>111524, РОССИЯ, Г.МОСКВА, ВН.ТЕР.Г. МУНИЦИПАЛЬНЫЙ ОКРУГ ПЕРОВО, УЛ ПЕРОВСКАЯ, Д. 1, СТР. 2А</t>
  </si>
  <si>
    <t>ООО ДЕЛИВЕРИ КАР</t>
  </si>
  <si>
    <t>123104, РОССИЯ, Г.МОСКВА, ВН.ТЕР.Г. МУНИЦИПАЛЬНЫЙ ОКРУГ ПРЕСНЕНСКИЙ, ПЕР КОЗИХИНСКИЙ Б., Д. 7, СТР. 2, ПОМЕЩ. 2/2</t>
  </si>
  <si>
    <t>105082, РОССИЯ, Г.МОСКВА, ВН.ТЕР.Г. МУНИЦИПАЛЬНЫЙ ОКРУГ БАСМАННЫЙ, УЛ БОЛЬШАЯ ПОЧТОВАЯ, Д. 1/33, СТР. 1, ПОМЕЩ. 4/Ц</t>
  </si>
  <si>
    <t>ООО МПК</t>
  </si>
  <si>
    <t>105082, РОССИЯ, Г.МОСКВА, ВН.ТЕР.Г. МУНИЦИПАЛЬНЫЙ ОКРУГ БАСМАННЫЙ, ПЕР НАЛЕСНЫЙ, Д. 9/11, ПОМЕЩ. 1/П</t>
  </si>
  <si>
    <t>ООО ОЙЛРЕСУРС</t>
  </si>
  <si>
    <t>115054, РОССИЯ, Г.МОСКВА, ВН.ТЕР.Г. МУНИЦИПАЛЬНЫЙ ОКРУГ ЗАМОСКВОРЕЧЬЕ, УЛ ДУБИНИНСКАЯ, Д. 11/17, СТР. 3, ПОМЕЩ. 10Б/П</t>
  </si>
  <si>
    <t>ООО ВАЛВОЛИН ЕВРАЗИЯ</t>
  </si>
  <si>
    <t>119049, РОССИЯ, Г.МОСКВА, ВН.ТЕР.Г. МУНИЦИПАЛЬНЫЙ ОКРУГ ЯКИМАНКА, УЛ КРЫМСКИЙ ВАЛ, Д. 3, СТР. 2, ОФИС 507</t>
  </si>
  <si>
    <t>ООО ТРЕЙД ВОСТОК</t>
  </si>
  <si>
    <t>109004, РОССИЯ, Г.МОСКВА, ВН.ТЕР.Г. МУНИЦИПАЛЬНЫЙ ОКРУГ ТАГАНСКИЙ, ПЕР ШЕЛАПУТИНСКИЙ, Д. 1, ПОМЕЩ. 1Б</t>
  </si>
  <si>
    <t>ООО СТО ДОРОГ АСТАРТ</t>
  </si>
  <si>
    <t>127566, РОССИЯ, Г.МОСКВА, ВН.ТЕР.Г. МУНИЦИПАЛЬНЫЙ ОКРУГ АЛТУФЬЕВСКИЙ, Ш АЛТУФЬЕВСКОЕ, Д. 48, К. 1, ПОМЕЩ. 31/3</t>
  </si>
  <si>
    <t>ООО ОКТОПРАЙМ</t>
  </si>
  <si>
    <t>121596, РОССИЯ, Г.МОСКВА, ВН.ТЕР.Г. МУНИЦИПАЛЬНЫЙ ОКРУГ МОЖАЙСКИЙ, УЛ ГОРБУНОВА, Д. 2, СТР. 3, ПОМЕЩ. 258</t>
  </si>
  <si>
    <t>АО КРЕУСС</t>
  </si>
  <si>
    <t>129337, РОССИЯ, Г.МОСКВА, ВН.ТЕР.Г. МУНИЦИПАЛЬНЫЙ ОКРУГ ЯРОСЛАВСКИЙ, Ш ЯРОСЛАВСКОЕ, Д. 1, СТР. 1</t>
  </si>
  <si>
    <t>ООО ЕВЛАРТ</t>
  </si>
  <si>
    <t>129626, РОССИЯ, Г.МОСКВА, ВН.ТЕР.Г. МУНИЦИПАЛЬНЫЙ ОКРУГ АЛЕКСЕЕВСКИЙ, ПР-КТ МИРА, Д. 102, К. 1, ЭТАЖ 8, КОМ. 807, ОФИС 312</t>
  </si>
  <si>
    <t>ООО УНИВЕРСАЛ СТАНДАРТ</t>
  </si>
  <si>
    <t>129085, РОССИЯ, Г.МОСКВА, ВН.ТЕР.Г. МУНИЦИПАЛЬНЫЙ ОКРУГ ОСТАНКИНСКИЙ, ПР-КТ МИРА, Д. 101, СТР. 1, ПОМЕЩ. 1/4</t>
  </si>
  <si>
    <t>ООО АВТОГУД</t>
  </si>
  <si>
    <t>107564, Г.МОСКВА, УЛ КРАСНОБОГАТЫРСКАЯ, Д. 13, ПОМЕЩ. XX КОМНАТА 1</t>
  </si>
  <si>
    <t>109117, РОССИЯ, Г.МОСКВА, ВН.ТЕР.Г. МУНИЦИПАЛЬНЫЙ ОКРУГ КУЗЬМИНКИ, ПР-КТ ВОЛГОГРАДСКИЙ, Д. 117, К. 1, ПОМЕЩ. IX, КОМ. 2</t>
  </si>
  <si>
    <t>ООО ФОРТОЙЛС</t>
  </si>
  <si>
    <t>111677, РОССИЯ, Г.МОСКВА, ВН.ТЕР.Г. МУНИЦИПАЛЬНЫЙ ОКРУГ НЕКРАСОВКА, УЛ ПОКРОВСКАЯ, Д. 17А, К. 3, КВ. 247</t>
  </si>
  <si>
    <t>ООО КИТКАР</t>
  </si>
  <si>
    <t>117246, РОССИЯ, Г.МОСКВА, ВН.ТЕР.Г. МУНИЦИПАЛЬНЫЙ ОКРУГ ЧЕРЕМУШКИ, УЛ ХЕРСОНСКАЯ, Д. 41А</t>
  </si>
  <si>
    <t>ООО АРАКХ</t>
  </si>
  <si>
    <t>109156, РОССИЯ, Г.МОСКВА, ВН.ТЕР.Г. МУНИЦИПАЛЬНЫЙ ОКРУГ ВЫХИНО-ЖУЛЕБИНО, УЛ АВИАКОНСТРУКТОРА МИЛЯ, Д. 1, ПОМЕЩ. 2/1</t>
  </si>
  <si>
    <t>109542, РОССИЯ, Г.МОСКВА, ВН.ТЕР.Г. МУНИЦИПАЛЬНЫЙ ОКРУГ ВЫХИНО-ЖУЛЕБИНО, ПР-КТ РЯЗАНСКИЙ, Д. 91, К. 1, ПОМЕЩ. 11Н</t>
  </si>
  <si>
    <t>ООО ТИМСВОРТ</t>
  </si>
  <si>
    <t>111024, РОССИЯ, Г.МОСКВА, ВН.ТЕР.Г. МУНИЦИПАЛЬНЫЙ ОКРУГ ЛЕФОРТОВО, УЛ АВИАМОТОРНАЯ, Д. 50, СТР. 2, ПОМЕЩ. 9/Н</t>
  </si>
  <si>
    <t>ООО КРИСТАЛ РИТЭЙЛ</t>
  </si>
  <si>
    <t>109651, РОССИЯ, Г.МОСКВА, ВН.ТЕР.Г. МУНИЦИПАЛЬНЫЙ ОКРУГ МАРЬИНО, УЛ ПЕРЕРВА, Д. 16, ПОМЕЩ. 16П</t>
  </si>
  <si>
    <t>115408, РОССИЯ, Г.МОСКВА, ВН.ТЕР.Г. МУНИЦИПАЛЬНЫЙ ОКРУГ БРАТЕЕВО, УЛ БРАТЕЕВСКАЯ, Д. 16, К. 6, ЭТАЖ/ПОМЕЩЕНИЕ 1/VII, КОМНАТА/ОФИС 1/48</t>
  </si>
  <si>
    <t>ООО БАРБАРИС</t>
  </si>
  <si>
    <t>117342, РОССИЯ, Г.МОСКВА, ВН.ТЕР.Г. МУНИЦИПАЛЬНЫЙ ОКРУГ КОНЬКОВО, УЛ БУТЛЕРОВА, Д. 17, ПОМЕЩ. 95/3</t>
  </si>
  <si>
    <t>ООО МБ ТРЕЙД</t>
  </si>
  <si>
    <t>123112, Г.МОСКВА, ВН.ТЕР.Г. МУНИЦИПАЛЬНЫЙ ОКРУГ ПРЕСНЕНСКИЙ, НАБ ПРЕСНЕНСКАЯ, Д. 12, ПОМЕЩ. 7/46</t>
  </si>
  <si>
    <t>ООО ДЮКЪ</t>
  </si>
  <si>
    <t>119071, РОССИЯ, Г.МОСКВА, ВН.ТЕР.Г. МУНИЦИПАЛЬНЫЙ ОКРУГ ДОНСКОЙ, УЛ ОРДЖОНИКИДЗЕ, Д. 12</t>
  </si>
  <si>
    <t>ООО ЭНЕРГО РЕСУРС ГРУПП</t>
  </si>
  <si>
    <t>117342, РОССИЯ, Г.МОСКВА, ВН.ТЕР.Г. МУНИЦИПАЛЬНЫЙ ОКРУГ КОНЬКОВО, УЛ БУТЛЕРОВА, Д. 17, ПОМЕЩ. 74/1</t>
  </si>
  <si>
    <t>ООО НПП ВАРИАНТ ГРУПП</t>
  </si>
  <si>
    <t>105005, РОССИЯ, Г.МОСКВА, ВН.ТЕР.Г. МУНИЦИПАЛЬНЫЙ ОКРУГ БАСМАННЫЙ, УЛ БАУМАНСКАЯ, Д. 43/1, СТР. 1, ПОМЕЩ. 1/2</t>
  </si>
  <si>
    <t>ООО МЕГА-ПРОМ</t>
  </si>
  <si>
    <t>121354, РОССИЯ, Г.МОСКВА, ВН.ТЕР.Г. МУНИЦИПАЛЬНЫЙ ОКРУГ МОЖАЙСКИЙ, УЛ ГРИШИНА, Д. 3, КВ. 35</t>
  </si>
  <si>
    <t>ООО ОЙЛКРАФТ</t>
  </si>
  <si>
    <t>127273, РОССИЯ, Г.МОСКВА, ВН.ТЕР.Г. МУНИЦИПАЛЬНЫЙ ОКРУГ ОТРАДНОЕ, УЛ ОТРАДНАЯ, Д. 2Б, СТР. 9</t>
  </si>
  <si>
    <t>ООО ФАБЕРМОТОРС</t>
  </si>
  <si>
    <t>105094, Г.МОСКВА, ВН.ТЕР.Г. МУНИЦИПАЛЬНЫЙ ОКРУГ БАСМАННЫЙ, УЛ ГОСПИТАЛЬНЫЙ ВАЛ, Д. 5, К. 18, ПОМЕЩ. 1/23/1</t>
  </si>
  <si>
    <t>ООО АРТЕМ ТУЛС</t>
  </si>
  <si>
    <t>121609, Г.МОСКВА, УЛ ОСЕННЯЯ, Д. 23, ЭТ 9 П I-957 К 34 ОФ 18</t>
  </si>
  <si>
    <t>ООО АВТОАРМИКА</t>
  </si>
  <si>
    <t>105082, Г.МОСКВА, УЛ БОЛЬШАЯ ПОЧТОВАЯ, Д. 26В, СТР. 2, АН/ПОМ/КАБ 3/I/5</t>
  </si>
  <si>
    <t>ООО КОНСАЛТ ГРУПП</t>
  </si>
  <si>
    <t>105064, Г.МОСКВА, ВН.ТЕР.Г. МУНИЦИПАЛЬНЫЙ ОКРУГ БАСМАННЫЙ, ПЕР ЯКОВОАПОСТОЛЬСКИЙ, Д. 7, СТР. 2</t>
  </si>
  <si>
    <t>105066, РОССИЯ, Г.МОСКВА, ВН.ТЕР.Г. МУНИЦИПАЛЬНЫЙ ОКРУГ БАСМАННЫЙ, ПЕР ТОКМАКОВ, Д. 16, СТР. 2, ПОМЕЩ. 1/3</t>
  </si>
  <si>
    <t>ООО КАР ОЙЛ</t>
  </si>
  <si>
    <t>101000, РОССИЯ, Г.МОСКВА, ВН.ТЕР.Г. МУНИЦИПАЛЬНЫЙ ОКРУГ БАСМАННЫЙ, Б-Р ЧИСТОПРУДНЫЙ, Д. 5</t>
  </si>
  <si>
    <t>ООО ОПТИПАРТ</t>
  </si>
  <si>
    <t>105318, Г.МОСКВА, ВН.ТЕР.Г. МУНИЦИПАЛЬНЫЙ ОКРУГ СОКОЛИНАЯ ГОРА, УЛ ЩЕРБАКОВСКАЯ, Д. 41А, ПОМЕЩ. 1/4</t>
  </si>
  <si>
    <t>ООО ПОТОК ЗАПЧАСТЕЙ</t>
  </si>
  <si>
    <t>107045, РОССИЯ, Г.МОСКВА, ВН.ТЕР.Г. МУНИЦИПАЛЬНЫЙ ОКРУГ МЕЩАНСКИЙ, Б-Р РОЖДЕСТВЕНСКИЙ, Д. 9, СТР. 1, ЭТАЖ/ПОМЕЩ. 4/1, КОМ. 26</t>
  </si>
  <si>
    <t>ООО ЭМПИСИДИ - ЦЕНТР</t>
  </si>
  <si>
    <t>107031, РОССИЯ, Г.МОСКВА, ВН.ТЕР.Г. МУНИЦИПАЛЬНЫЙ ОКРУГ МЕЩАНСКИЙ, УЛ РОЖДЕСТВЕНКА, Д. 5/7, СТР. 2, ПОМЕЩ. 4А/5</t>
  </si>
  <si>
    <t>ООО ИВАЛАДА</t>
  </si>
  <si>
    <t>123557, РОССИЯ, Г.МОСКВА, ВН.ТЕР.Г. МУНИЦИПАЛЬНЫЙ ОКРУГ ПРЕСНЕНСКИЙ, УЛ МАЛАЯ ГРУЗИНСКАЯ, Д. 28, ПОМЕЩ. 10/14</t>
  </si>
  <si>
    <t>ООО РУССЛО</t>
  </si>
  <si>
    <t>123104, РОССИЯ, Г.МОСКВА, ВН.ТЕР.Г. МУНИЦИПАЛЬНЫЙ ОКРУГ ПРЕСНЕНСКИЙ, УЛ БРОННАЯ М., Д. 21/13, СТР. 2, ПОМЕЩ. 2/1</t>
  </si>
  <si>
    <t>ООО СЕМПАЧЕ РУС</t>
  </si>
  <si>
    <t>121069, РОССИЯ, Г.МОСКВА, ВН.ТЕР.Г. МУНИЦИПАЛЬНЫЙ ОКРУГ ПРЕСНЕНСКИЙ, УЛ МАЛАЯ НИКИТСКАЯ, Д. 16/5, ПОМЕЩ. 14П</t>
  </si>
  <si>
    <t>ООО ТРЕЙДМАРК</t>
  </si>
  <si>
    <t>119021, Г.МОСКВА, ВН.ТЕР.Г. МУНИЦИПАЛЬНЫЙ ОКРУГ ХАМОВНИКИ, УЛ ЛЬВА ТОЛСТОГО, Д. 23, СТР. 3</t>
  </si>
  <si>
    <t>ООО ИСТК</t>
  </si>
  <si>
    <t>119002, РОССИЯ, Г.МОСКВА, ВН.ТЕР.Г. МУНИЦИПАЛЬНЫЙ ОКРУГ АРБАТ, ПЕР КАЛОШИН, Д. 4, СТР. 1, ПОМЕЩ. IV-7</t>
  </si>
  <si>
    <t>ООО ПРОФИТОРГ</t>
  </si>
  <si>
    <t>119021, РОССИЯ, Г.МОСКВА, ВН.ТЕР.Г. МУНИЦИПАЛЬНЫЙ ОКРУГ ХАМОВНИКИ, УЛ ЛЬВА ТОЛСТОГО, Д. 5, СТР. 2, ПОМЕЩ. 1/Н</t>
  </si>
  <si>
    <t>ООО ОЛЕУМ МОТОР</t>
  </si>
  <si>
    <t>123458, РОССИЯ, Г.МОСКВА, ВН.ТЕР.Г. МУНИЦИПАЛЬНЫЙ ОКРУГ СТРОГИНО, УЛ ЛЫКОВСКАЯ 2-Я, Д. 63, СТР. 10</t>
  </si>
  <si>
    <t>ООО ВАЛСАР</t>
  </si>
  <si>
    <t>121099, РОССИЯ, Г.МОСКВА, ВН.ТЕР.Г. МУНИЦИПАЛЬНЫЙ ОКРУГ АРБАТ, ПЕР 2-Й СМОЛЕНСКИЙ, Д. 1/4, ПОМЕЩ. 4/6/5</t>
  </si>
  <si>
    <t>ООО АКСИОС</t>
  </si>
  <si>
    <t>121099, РОССИЯ, Г.МОСКВА, ВН.ТЕР.Г. МУНИЦИПАЛЬНЫЙ ОКРУГ АРБАТ, УЛ НОВЫЙ АРБАТ, Д. 30/9, ПОМЕЩ. 2Н</t>
  </si>
  <si>
    <t>117342, Г.МОСКВА, УЛ ВВЕДЕНСКОГО, Д. 23А, СТР. 3, Э 6 ПОМ XX К 62 ОФ 47</t>
  </si>
  <si>
    <t>ООО ИДП</t>
  </si>
  <si>
    <t>121596, Г.МОСКВА, ВН.ТЕР.Г. МУНИЦИПАЛЬНЫЙ ОКРУГ МОЖАЙСКИЙ, УЛ ГОРБУНОВА, Д. 12, К. 2, СТР. 8, ПОМЕЩ. I, КОМ 25</t>
  </si>
  <si>
    <t>ООО КИБЕРФЛОТ</t>
  </si>
  <si>
    <t>129226, РОССИЯ, Г.МОСКВА, ВН.ТЕР.Г. МУНИЦИПАЛЬНЫЙ ОКРУГ ОСТАНКИНСКИЙ, УЛ ВИЛЬГЕЛЬМА ПИКА, Д. 16</t>
  </si>
  <si>
    <t>ООО ИЛИЖЭН ЭНТУПРАЙЗИЗ</t>
  </si>
  <si>
    <t>119017, РОССИЯ, Г.МОСКВА, ВН.ТЕР.Г. МУНИЦИПАЛЬНЫЙ ОКРУГ ЗАМОСКВОРЕЧЬЕ, УЛ ПЯТНИЦКАЯ, Д. 37, ПОМЕЩ. 1/1</t>
  </si>
  <si>
    <t>ООО ЦАЙШЕНЬ</t>
  </si>
  <si>
    <t>115114, РОССИЯ, Г.МОСКВА, ВН.ТЕР.Г. МУНИЦИПАЛЬНЫЙ ОКРУГ ЗАМОСКВОРЕЧЬЕ, УЛ ЛЕТНИКОВСКАЯ, Д. 10, СТР. 2, ПОМЕЩ. 18/10</t>
  </si>
  <si>
    <t>ООО ОБСИДИАН</t>
  </si>
  <si>
    <t>115035, РОССИЯ, Г.МОСКВА, ВН.ТЕР.Г. МУНИЦИПАЛЬНЫЙ ОКРУГ ЗАМОСКВОРЕЧЬЕ, НАБ КОСМОДАМИАНСКАЯ, Д. 4/22, К. Б, ПОМЕЩ. 8Н</t>
  </si>
  <si>
    <t>ООО ЗМ-СЕРВИС</t>
  </si>
  <si>
    <t>119180, РОССИЯ, Г.МОСКВА, ВН.ТЕР.Г. МУНИЦИПАЛЬНЫЙ ОКРУГ ЯКИМАНКА, УЛ МАЛАЯ ПОЛЯНКА, Д. 11, СТР. 1</t>
  </si>
  <si>
    <t>ООО НЭКСУСПИОНИР</t>
  </si>
  <si>
    <t>119180, РОССИЯ, Г.МОСКВА, ВН.ТЕР.Г. МУНИЦИПАЛЬНЫЙ ОКРУГ ЯКИМАНКА, УЛ БОЛЬШАЯ ПОЛЯНКА, Д. 42, СТР. 1, ПОМЕЩ. 4/1</t>
  </si>
  <si>
    <t>ООО СЭТРАНС</t>
  </si>
  <si>
    <t>101000, Г.МОСКВА, ВН.ТЕР.Г. МУНИЦИПАЛЬНЫЙ ОКРУГ КРАСНОСЕЛЬСКИЙ, ПЕР МИЛЮТИНСКИЙ, Д. 10, СТР. 4</t>
  </si>
  <si>
    <t>ООО КОМПЛЕКТ АЙС</t>
  </si>
  <si>
    <t>129272, Г.МОСКВА, УЛ СУЩЁВСКИЙ ВАЛ, Д. 64, ЭТ 1 ПОМ II КОМ 7</t>
  </si>
  <si>
    <t>ООО ВОСТОК ВЕТЕР РУС</t>
  </si>
  <si>
    <t>109028, РОССИЯ, Г.МОСКВА, ВН.ТЕР.Г. МУНИЦИПАЛЬНЫЙ ОКРУГ БАСМАННЫЙ, УЛ СОЛЯНКА, Д. 3, СТР. 3, КОМ. 502</t>
  </si>
  <si>
    <t>ООО ВЕНТА ЛОГИСТИК</t>
  </si>
  <si>
    <t>101000, РОССИЯ, Г.МОСКВА, ВН.ТЕР.Г. МУНИЦИПАЛЬНЫЙ ОКРУГ БАСМАННЫЙ, ПЕР ЛЯЛИН, Д. 16</t>
  </si>
  <si>
    <t>ООО МАРКЕТПЛЕЙС</t>
  </si>
  <si>
    <t>ОООАВТООЛЛ</t>
  </si>
  <si>
    <t>105094, Г.МОСКВА, ВН.ТЕР.Г. МУНИЦИПАЛЬНЫЙ ОКРУГ БАСМАННЫЙ, НАБ СЕМЕНОВСКАЯ, Д. 2/1, СТР. 1, ПОМЕЩ. 4/1</t>
  </si>
  <si>
    <t>ООО РУМ</t>
  </si>
  <si>
    <t>101000, РОССИЯ, Г.МОСКВА, ВН.ТЕР.Г. МУНИЦИПАЛЬНЫЙ ОКРУГ БАСМАННЫЙ, УЛ МАШКОВА, Д. 11, СТР. 1, КВ. 8</t>
  </si>
  <si>
    <t>105094, РОССИЯ, Г.МОСКВА, ВН.ТЕР.Г. МУНИЦИПАЛЬНЫЙ ОКРУГ БАСМАННЫЙ, УЛ ГОЛЬЯНОВСКАЯ, Д. 7А, К. 4, ПОМЕЩ. 2Н</t>
  </si>
  <si>
    <t>ООО ХАЙ-ЛАЙН ХОЛДИНГ</t>
  </si>
  <si>
    <t>105066, РОССИЯ, Г.МОСКВА, ВН.ТЕР.Г. МУНИЦИПАЛЬНЫЙ ОКРУГ БАСМАННЫЙ, ПЕР ДЕНИСОВСКИЙ, Д. 3/5, ПОМЕЩ. 24П</t>
  </si>
  <si>
    <t>АО ФК ТРАНС</t>
  </si>
  <si>
    <t>129110, РОССИЯ, Г.МОСКВА, ВН.ТЕР.Г. МУНИЦИПАЛЬНЫЙ ОКРУГ МЕЩАНСКИЙ, УЛ ГИЛЯРОВСКОГО, Д. 39, СТР. 3, ПОМЕЩ. I |/30, ЭТАЖ 2</t>
  </si>
  <si>
    <t>ООО МГ СТОЛИЦА</t>
  </si>
  <si>
    <t>ООО ИНФИНЭТИ ПАРТНЕРЗ</t>
  </si>
  <si>
    <t>129110, РОССИЯ, Г.МОСКВА, ВН.ТЕР.Г. МУНИЦИПАЛЬНЫЙ ОКРУГ МЕЩАНСКИЙ, УЛ СРЕДНЯЯ ПЕРЕЯСЛАВСКАЯ, Д. 27, СТР. 1, ПОМЕЩ. 16П</t>
  </si>
  <si>
    <t>ООО СТМ</t>
  </si>
  <si>
    <t>123112, РОССИЯ, Г.МОСКВА, ВН.ТЕР.Г. МУНИЦИПАЛЬНЫЙ ОКРУГ ПРЕСНЕНСКИЙ, НАБ ПРЕСНЕНСКАЯ, Д. 12, ПОМЕЩ. 4/44</t>
  </si>
  <si>
    <t>ООО АКФ КОСМЕТИКА</t>
  </si>
  <si>
    <t>111250, РОССИЯ, Г.МОСКВА, ВН.ТЕР.Г. МУНИЦИПАЛЬНЫЙ ОКРУГ ЛЕФОРТОВО, ПРОЕЗД ЗАВОДА СЕРП И МОЛОТ, Д. 10, ПОМЕЩ. 41Н/9</t>
  </si>
  <si>
    <t>ООО ДИДИКО ЭКСПРЕСС</t>
  </si>
  <si>
    <t>123100, РОССИЯ, Г.МОСКВА, ВН.ТЕР.Г. МУНИЦИПАЛЬНЫЙ ОКРУГ ПРЕСНЕНСКИЙ, УЛ СЕРГЕЯ МАКЕЕВА, Д. 1, ПОМЕЩ. 15А/2</t>
  </si>
  <si>
    <t>ООО ПЕРСПЕКТИВА-М</t>
  </si>
  <si>
    <t>121293, Г.МОСКВА, ВН.ТЕР.Г. МУНИЦИПАЛЬНЫЙ ОКРУГ ДОРОГОМИЛОВО, УЛ НЕВЕРОВСКОГО, Д. 10/3, ПОМЕЩ. 8/5</t>
  </si>
  <si>
    <t>ООО ТЕДЕКС</t>
  </si>
  <si>
    <t>123610, РОССИЯ, Г.МОСКВА, ВН.ТЕР.Г. МУНИЦИПАЛЬНЫЙ ОКРУГ ПРЕСНЕНСКИЙ, НАБ КРАСНОПРЕСНЕНСКАЯ, Д. 12, ЭТАЖ 19, ПОДЪЕЗД 3, ПОМЕЩ. IД, КОМ. 6-8, 8А-8В</t>
  </si>
  <si>
    <t>ООО СТРИМ ЗАП</t>
  </si>
  <si>
    <t>121069, РОССИЯ, Г.МОСКВА, ВН.ТЕР.Г. МУНИЦИПАЛЬНЫЙ ОКРУГ АРБАТ, Б-Р НОВИНСКИЙ, Д. 18, К. 2, ПОМЕЩ. 1/1</t>
  </si>
  <si>
    <t>ООО ФПК-МСК</t>
  </si>
  <si>
    <t>119021, РОССИЯ, Г.МОСКВА, ВН.ТЕР.Г. МУНИЦИПАЛЬНЫЙ ОКРУГ ХАМОВНИКИ, УЛ ЛЬВА ТОЛСТОГО, Д. 5, СТР. 1, ПОМЕЩ. 2/1, КОМ. 36,37</t>
  </si>
  <si>
    <t>ООО ХАЙ-ЛАЙН ЛУБРИКАНТС</t>
  </si>
  <si>
    <t>115172, Г.МОСКВА, НАБ КРАСНОХОЛМСКАЯ, Д. 1/15, ПОМЕЩ 5 ОФИС 3А</t>
  </si>
  <si>
    <t>ООО ЭРА</t>
  </si>
  <si>
    <t>115172, Г.МОСКВА, ПР-Д САРИНСКИЙ, Д. 2, КВ. 69</t>
  </si>
  <si>
    <t>115054, Г.МОСКВА, УЛ БОЛЬШАЯ ПИОНЕРСКАЯ, Д. 15, СТР. 1, ЭТ 1 ПОМ II ОФ 5Р</t>
  </si>
  <si>
    <t>ООО ЭЛ-ТРЕЙД</t>
  </si>
  <si>
    <t>115035, РОССИЯ, Г.МОСКВА, ВН.ТЕР.Г. МУНИЦИПАЛЬНЫЙ ОКРУГ ЗАМОСКВОРЕЧЬЕ, УЛ САДОВНИЧЕСКАЯ, Д. 72, СТР. 1, ПОМЕЩ. 2/1</t>
  </si>
  <si>
    <t>ООО КСП ГРУПП</t>
  </si>
  <si>
    <t>115035, РОССИЯ, Г.МОСКВА, ВН.ТЕР.Г. МУНИЦИПАЛЬНЫЙ ОКРУГ ЗАМОСКВОРЕЧЬЕ, УЛ САДОВНИЧЕСКАЯ, Д. 41, СТР. 1</t>
  </si>
  <si>
    <t>ООО ЮНИТ</t>
  </si>
  <si>
    <t>ООО ЛИГ</t>
  </si>
  <si>
    <t>ООО СЕРВИСНЫЙ ЦЕНТР АВТОМАСТЕР</t>
  </si>
  <si>
    <t>119180, РОССИЯ, Г.МОСКВА, ВН.ТЕР.Г. МУНИЦИПАЛЬНЫЙ ОКРУГ ЯКИМАНКА, УЛ БОЛЬШАЯ ПОЛЯНКА, Д. 7/10, СТР. 3, ЭТАЖ/ПОМЕЩ. 4/IX, КОМ./ОФИС 20/13</t>
  </si>
  <si>
    <t>127030, РОССИЯ, Г.МОСКВА, ВН.ТЕР.Г. МУНИЦИПАЛЬНЫЙ ОКРУГ ТВЕРСКОЙ, УЛ НОВОСЛОБОДСКАЯ, Д. 14/19, СТР. 8, ПОМЕЩ. 3/1</t>
  </si>
  <si>
    <t>ООО ЮНИТПАРТС</t>
  </si>
  <si>
    <t>105005, Г.МОСКВА, ВН.ТЕР.Г. МУНИЦИПАЛЬНЫЙ ОКРУГ БАСМАННЫЙ, УЛ РАДИО, Д. 24, К. 1, ЭТАЖ 10, ПОМЕЩ. 101</t>
  </si>
  <si>
    <t>ООО ТИП ТОП КЛИНИНГ СЕРВИС</t>
  </si>
  <si>
    <t>119602, Г.МОСКВА, ВН.ТЕР.Г. МУНИЦИПАЛЬНЫЙ ОКРУГ ТРОПАРЕВО-НИКУЛИНО, Ш ВОСТРЯКОВСКОЕ, Д. 7, СТР. 3, ПОМЕЩ. 172</t>
  </si>
  <si>
    <t>ООО ДАТАТРЕЙД</t>
  </si>
  <si>
    <t>125047, РОССИЯ, Г.МОСКВА, ВН.ТЕР.Г. МУНИЦИПАЛЬНЫЙ ОКРУГ ТВЕРСКОЙ, ПЕР ОРУЖЕЙНЫЙ, Д. 13, СТР. 2, ПОМЕЩ. 35/2/П</t>
  </si>
  <si>
    <t>ООО ПК СПЕКТРОПЛАСТ</t>
  </si>
  <si>
    <t>125196, РОССИЯ, Г.МОСКВА, ВН.ТЕР.Г. МУНИЦИПАЛЬНЫЙ ОКРУГ ТВЕРСКОЙ, УЛ ЛЕСНАЯ, Д. 1/2, ПОМЕЩ. 3/2/3</t>
  </si>
  <si>
    <t>ООО УРАЛАЗИЯХИМ</t>
  </si>
  <si>
    <t>127220, РОССИЯ, Г.МОСКВА, ВН.ТЕР.Г. МУНИЦИПАЛЬНЫЙ ОКРУГ САВЕЛОВСКИЙ, УЛ БАШИЛОВСКАЯ, Д. 10, КВ. 54</t>
  </si>
  <si>
    <t>ООО МСК ЛТД</t>
  </si>
  <si>
    <t>123098, Г.МОСКВА, ВН.ТЕР.Г. МУНИЦИПАЛЬНЫЙ ОКРУГ ЩУКИНО, УЛ РОГОВА, Д. 15, К. 1, КОМ. 8,9</t>
  </si>
  <si>
    <t>ООО АКОНЭЛ</t>
  </si>
  <si>
    <t>105082, Г.МОСКВА, УЛ БОЛЬШАЯ ПОЧТОВАЯ, Д. 36, СТР. 5, ОФИС 207</t>
  </si>
  <si>
    <t>ООО КОЛОВРАТ</t>
  </si>
  <si>
    <t>121609, Г.МОСКВА, ВН.ТЕР.Г. МУНИЦИПАЛЬНЫЙ ОКРУГ КРЫЛАТСКОЕ, УЛ ОСЕННЯЯ, Д. 23, ПОМЕЩ. 114А/1/9</t>
  </si>
  <si>
    <t>ООО ЮНАЙТЕД КЭПИТАЛ</t>
  </si>
  <si>
    <t>125196, Г.МОСКВА, ВН.ТЕР.Г. МУНИЦИПАЛЬНЫЙ ОКРУГ ТВЕРСКОЙ, УЛ ЛЕСНАЯ, Д. 1/2, ПОМЕЩ. 3/2/3</t>
  </si>
  <si>
    <t>ООО ПТС</t>
  </si>
  <si>
    <t>105066, Г.МОСКВА, УЛ ДОБРОСЛОБОДСКАЯ, Д. 7/1, СТР. 3, Э/П/КОМ/ОФ 2/I/2/13</t>
  </si>
  <si>
    <t>АНО МОСКОВСКОЕ АГЕНТСТВО СОЦРАЗВИТИЯ</t>
  </si>
  <si>
    <t>107078, Г.МОСКВА, УЛ НОВАЯ БАСМАННАЯ, Д. 10, СТР. 1, КОМ. 457</t>
  </si>
  <si>
    <t>ООО ПОСТАВКА</t>
  </si>
  <si>
    <t>ООО ГРУППА АГМ</t>
  </si>
  <si>
    <t>123022, РОССИЯ, Г.МОСКВА, ВН.ТЕР.Г. МУНИЦИПАЛЬНЫЙ ОКРУГ ПРЕСНЕНСКИЙ, УЛ РОЧДЕЛЬСКАЯ, Д. 26/28, СТР. 4, ПОМЕЩ. 1/П</t>
  </si>
  <si>
    <t>ООО РОСИЧОЙЛ</t>
  </si>
  <si>
    <t>105082, РОССИЯ, Г.МОСКВА, ВН.ТЕР.Г. МУНИЦИПАЛЬНЫЙ ОКРУГ БАСМАННЫЙ, ПЛ СПАРТАКОВСКАЯ, Д. 14, СТР. 3, ПОМЕЩ. 9Н/2</t>
  </si>
  <si>
    <t>ООО АГ-ТЕХ</t>
  </si>
  <si>
    <t>127051, Г.МОСКВА, УЛ ТРУБНАЯ, Д. 32, СТР. 4, ПОМЕЩ. 26</t>
  </si>
  <si>
    <t>ООО ТДАГ-ТЕХ</t>
  </si>
  <si>
    <t>127051, РОССИЯ, Г.МОСКВА, ВН.ТЕР.Г. МУНИЦИПАЛЬНЫЙ ОКРУГ МЕЩАНСКИЙ, УЛ ТРУБНАЯ, Д. 32, СТР. 4, ПОМЕЩ. 1/Ц, КОМ. 7</t>
  </si>
  <si>
    <t>ООО СЕВЕР СНАБ</t>
  </si>
  <si>
    <t>107031, РОССИЯ, Г.МОСКВА, ВН.ТЕР.Г. МУНИЦИПАЛЬНЫЙ ОКРУГ МЕЩАНСКИЙ, УЛ РОЖДЕСТВЕНКА, Д. 5/7, СТР. 2, ПОМЕЩ. 18/5/3</t>
  </si>
  <si>
    <t>ООО СМ КАМПАНИ</t>
  </si>
  <si>
    <t>127006, Г.МОСКВА, ВН.ТЕР.Г. МУНИЦИПАЛЬНЫЙ ОКРУГ ТВЕРСКОЙ, УЛ ДОЛГОРУКОВСКАЯ, Д. 40, ТЕХНИЧЕСКИЙ ЭТАЖ, ПОМЕЩ. 17,18</t>
  </si>
  <si>
    <t>ООО СПУТНИК+</t>
  </si>
  <si>
    <t>123112, РОССИЯ, Г.МОСКВА, ВН.ТЕР.Г. МУНИЦИПАЛЬНЫЙ ОКРУГ ПРЕСНЕНСКИЙ, НАБ ПРЕСНЕНСКАЯ, Д. 12, ПОМЕЩ. 1/44</t>
  </si>
  <si>
    <t>ООО РЭПТРЕЙД</t>
  </si>
  <si>
    <t>123100, РОССИЯ, Г.МОСКВА, ВН.ТЕР.Г. МУНИЦИПАЛЬНЫЙ ОКРУГ ПРЕСНЕНСКИЙ, УЛ СЕРГЕЯ МАКЕЕВА, Д. 1, ПОМЕЩ. 2/2</t>
  </si>
  <si>
    <t>ООО ПРОФИКАР</t>
  </si>
  <si>
    <t>123242, РОССИЯ, Г.МОСКВА, ВН.ТЕР.Г. МУНИЦИПАЛЬНЫЙ ОКРУГ ПРЕСНЕНСКИЙ, ПЕР КАПРАНОВА, Д. 6, ПОМЕЩ. 1П</t>
  </si>
  <si>
    <t>ООО ГАЗЭНЕРГО-СК</t>
  </si>
  <si>
    <t>115068, Г.МОСКВА, ВН.ТЕР.Г. МУНИЦИПАЛЬНЫЙ ОКРУГ ДАНИЛОВСКИЙ, УЛ ВИКТОРА МАСЛОВА, Д. 2, КВ. 882</t>
  </si>
  <si>
    <t>ООО СИТИСЕРВИС</t>
  </si>
  <si>
    <t>117152, РОССИЯ, Г.МОСКВА, ВН.ТЕР.Г. МУНИЦИПАЛЬНЫЙ ОКРУГ ДОНСКОЙ, Ш ЗАГОРОДНОЕ, Д. 13, ПОМЕЩ. 3/1</t>
  </si>
  <si>
    <t>ООО АЛЮГЕТ ЛОДЖИСТИК</t>
  </si>
  <si>
    <t>109240, Г.МОСКВА, УЛ ЯУЗСКАЯ, Д. 6/8, КВ. 63</t>
  </si>
  <si>
    <t>ООО ЭН-ПТ</t>
  </si>
  <si>
    <t>115114, Г.МОСКВА, НАБ ШЛЮЗОВАЯ, Д. 6, СТР. 4, КОМ. № 9</t>
  </si>
  <si>
    <t>ООО ИНСТАМАРТ СЕРВИС</t>
  </si>
  <si>
    <t>ООО ПАРТС ХАУС</t>
  </si>
  <si>
    <t>117545, Г.МОСКВА, ВН.ТЕР.Г. МУНИЦИПАЛЬНЫЙ ОКРУГ ЧЕРТАНОВО СЕВЕРНОЕ, УЛ ДОРОЖНАЯ, Д. 1, К. 3Б</t>
  </si>
  <si>
    <t>ООО УК 24/7</t>
  </si>
  <si>
    <t>115054, Г.МОСКВА, УЛ БОЛЬШАЯ ПИОНЕРСКАЯ, Д. 15, СТР. 1, Э 1 ПОМ II К 2 ОФ 3</t>
  </si>
  <si>
    <t>ООО ТЕОН</t>
  </si>
  <si>
    <t>109377, РОССИЯ, Г.МОСКВА, ВН.ТЕР.Г. МУНИЦИПАЛЬНЫЙ ОКРУГ РЯЗАНСКИЙ, УЛ ЗЕЛЕНОДОЛЬСКАЯ, Д. 3, ПОМЕЩ. 1/1</t>
  </si>
  <si>
    <t>105064, Г.МОСКВА, ПЕР НИЖНИЙ СУСАЛЬНЫЙ, Д. 5, СТР. 10, ПОМ II КОМ 4</t>
  </si>
  <si>
    <t>ООО ЛИКВИ МОЛИ ЛОГИСТИК</t>
  </si>
  <si>
    <t>101000, Г.МОСКВА, ПЕР ЛЯЛИН, Д. 16, ЭТАЖ 1 ПОМ I КОМН 18</t>
  </si>
  <si>
    <t>ООО ФИНЕЙТИВ.КАССЫ</t>
  </si>
  <si>
    <t>125375, Г.МОСКВА, ВН.ТЕР.Г. МУНИЦИПАЛЬНЫЙ ОКРУГ ТВЕРСКОЙ, УЛ ТВЕРСКАЯ, Д. 12, СТР. 7, ЭТАЖ/ПОМЕЩ./КОМ. ПОДВАЛ/I/1</t>
  </si>
  <si>
    <t>ООО ЛЭНДЗАП</t>
  </si>
  <si>
    <t>125047, РОССИЯ, Г.МОСКВА, ВН.ТЕР.Г. МУНИЦИПАЛЬНЫЙ ОКРУГ ТВЕРСКОЙ, УЛ 2-Я ТВЕРСКАЯ-ЯМСКАЯ, Д. 18, ПОМЕЩ. 7/2</t>
  </si>
  <si>
    <t>ООО НЭО ТЕХНОЛОГИИ</t>
  </si>
  <si>
    <t>125047, РОССИЯ, Г.МОСКВА, ВН.ТЕР.Г. МУНИЦИПАЛЬНЫЙ ОКРУГ ТВЕРСКОЙ, УЛ 4-Я ТВЕРСКАЯ-ЯМСКАЯ, Д. 20, СТР. 1</t>
  </si>
  <si>
    <t>ООО ЭЛЬ КАРРО</t>
  </si>
  <si>
    <t>108811, РОССИЯ, Г.МОСКВА, ВН.ТЕР.Г. МУНИЦИПАЛЬНЫЙ ОКРУГ ВНУКОВО, Д ЛАПШИНКА, ВЛД. 7, К. 1</t>
  </si>
  <si>
    <t>ООО КУЗНИЦА</t>
  </si>
  <si>
    <t>127591, Г.МОСКВА, Ш ДМИТРОВСКОЕ, Д. 100, К. 2, ЭТАЖ 6 ОФИС 600А</t>
  </si>
  <si>
    <t>ООО ТК-ЦЕНТР</t>
  </si>
  <si>
    <t>127273, Г.МОСКВА, ВН.ТЕР.Г. МУНИЦИПАЛЬНЫЙ ОКРУГ ОТРАДНОЕ, УЛ ОТРАДНАЯ, Д. 2Б, СТР. 6, ПОМЕЩ. 1/3</t>
  </si>
  <si>
    <t>ООО АВС ЦЕНТР</t>
  </si>
  <si>
    <t>123060, Г.МОСКВА, ВН.ТЕР.Г. МУНИЦИПАЛЬНЫЙ ОКРУГ ЩУКИНО, УЛ МАРШАЛА РЫБАЛКО, Д. 2, К. 6, ПОМЕЩ. 20Н/3</t>
  </si>
  <si>
    <t>ООО НЕКСТ-М</t>
  </si>
  <si>
    <t>127521, Г.МОСКВА, ПР-Д АННЕНСКИЙ, Д. 1, СТР. 20, ОФИС 3</t>
  </si>
  <si>
    <t>ООО ДЕМПИНГ-АВТО</t>
  </si>
  <si>
    <t>127566, Г.МОСКВА, ПР-Д ВЫСОКОВОЛЬТНЫЙ, Д. 1, СТР. 41, ЭТ 1 ПОМ 1 ПОМ 2-3</t>
  </si>
  <si>
    <t>АО ПИ ДЖИ ГРУПП</t>
  </si>
  <si>
    <t>127254, Г.МОСКВА, ПР-Д ОГОРОДНЫЙ, Д. 8, СТР. 2, ЭТ. 1 ПОМ. 8</t>
  </si>
  <si>
    <t>ООО СОВЕТЕК</t>
  </si>
  <si>
    <t>127015, Г.МОСКВА, УЛ НОВОДМИТРОВСКАЯ, Д. 2, К. 6, ПОМЕЩ. 375 ЭТАЖ 26</t>
  </si>
  <si>
    <t>ООО ФЛ-ЦЕНТР</t>
  </si>
  <si>
    <t>ООО МД -ЛОГИСТИК</t>
  </si>
  <si>
    <t>127490, Г.МОСКВА, УЛ ДЕКАБРИСТОВ, Д. 45Б, СТР. 1, ОФИС 1</t>
  </si>
  <si>
    <t>ООО НОВА</t>
  </si>
  <si>
    <t>109028, Г.МОСКВА, ВН.ТЕР.Г. МУНИЦИПАЛЬНЫЙ ОКРУГ БАСМАННЫЙ, ПЕР ХОХЛОВСКИЙ, Д. 15, ПОМЕЩ. 3П</t>
  </si>
  <si>
    <t>ООО ФИТ МЕДВЕДКОВО</t>
  </si>
  <si>
    <t>127282, РОССИЯ, Г.МОСКВА, ВН.ТЕР.Г. МУНИЦИПАЛЬНЫЙ ОКРУГ СЕВЕРНОЕ МЕДВЕДКОВО, ПРОЕЗД ЧЕРМЯНСКИЙ, Д. 7, СТР. 2</t>
  </si>
  <si>
    <t>ООО ТОРГОВЫЙ ДОМ МИКСТ</t>
  </si>
  <si>
    <t>117405, РОССИЯ, Г.МОСКВА, ВН.ТЕР.Г. МУНИЦИПАЛЬНЫЙ ОКРУГ ЧЕРТАНОВО ЮЖНОЕ, УЛ КИРПИЧНЫЕ ВЫЕМКИ, Д. 2, К. 1, ПОМЕЩ. 9/11</t>
  </si>
  <si>
    <t>ООО ПРОСПЕКТ ПАРТС</t>
  </si>
  <si>
    <t>127282, РОССИЯ, Г.МОСКВА, ВН.ТЕР.Г. МУНИЦИПАЛЬНЫЙ ОКРУГ СЕВЕРНОЕ МЕДВЕДКОВО, УЛ ТИХОМИРОВА, Д. 12, К. 2, КВ. 156</t>
  </si>
  <si>
    <t>ООО ДАР</t>
  </si>
  <si>
    <t>127566, РОССИЯ, Г.МОСКВА, ВН.ТЕР.Г. МУНИЦИПАЛЬНЫЙ ОКРУГ ОТРАДНОЕ, УЛ РИМСКОГО-КОРСАКОВА, Д. 11, К. 5, КВ. 84</t>
  </si>
  <si>
    <t>ООО АВТО-ЗАКАЗ</t>
  </si>
  <si>
    <t>125195, РОССИЯ, Г.МОСКВА, ВН.ТЕР.Г. МУНИЦИПАЛЬНЫЙ ОКРУГ ЛЕВОБЕРЕЖНЫЙ, УЛ СМОЛЬНАЯ, Д. 35, СТР. 1, ПОМЕЩ. 3П</t>
  </si>
  <si>
    <t>ООО АЗИАТСКО-ЕВРОПЕЙСКАЯ МЕЖДУНАРОДНАЯ КОМПАНИЯ</t>
  </si>
  <si>
    <t>127273, РОССИЯ, Г.МОСКВА, ВН.ТЕР.Г. МУНИЦИПАЛЬНЫЙ ОКРУГ ОСТАНКИНСКИЙ, АЛЛЕЯ БЕРЁЗОВАЯ, Д. 19, К. 2, ПОМЕЩ. 153</t>
  </si>
  <si>
    <t>ООО МОСКОМ</t>
  </si>
  <si>
    <t>127254, РОССИЯ, Г.МОСКВА, ВН.ТЕР.Г. МУНИЦИПАЛЬНЫЙ ОКРУГ БУТЫРСКИЙ, УЛ ДОБРОЛЮБОВА, Д. 8, К. 3, ПОМЕЩ. 26К</t>
  </si>
  <si>
    <t>ООО ИНВЕНТУМ</t>
  </si>
  <si>
    <t>127247, Г.МОСКВА, ВН.ТЕР.Г. МУНИЦИПАЛЬНЫЙ ОКРУГ ДМИТРОВСКИЙ, Ш ДМИТРОВСКОЕ, Д. 107Б, ПОМЕЩ. 68</t>
  </si>
  <si>
    <t>ООО ТОПГРАД</t>
  </si>
  <si>
    <t>129226, Г.МОСКВА, УЛ СЕЛЬСКОХОЗЯЙСТВЕННАЯ, Д. 11, К. 3, ЭТ 1 ПОМ II ОФ 8</t>
  </si>
  <si>
    <t>ООО АТЛАНТЫ</t>
  </si>
  <si>
    <t>129515, РОССИЯ, Г.МОСКВА, ВН.ТЕР.Г. МУНИЦИПАЛЬНЫЙ ОКРУГ ОСТАНКИНСКИЙ, УЛ АКАДЕМИКА КОРОЛЕВА, Д. 13, СТР. 1, ПОМЕЩ. 2/8</t>
  </si>
  <si>
    <t>ООО АВТОСПЕЙС</t>
  </si>
  <si>
    <t>107589, Г.МОСКВА, УЛ ХАБАРОВСКАЯ, Д. 2</t>
  </si>
  <si>
    <t>ООО ЛОГИСТИК ГРУПП</t>
  </si>
  <si>
    <t>ООО 1-ФИТ</t>
  </si>
  <si>
    <t>107113, Г.МОСКВА, УЛ ШУМКИНА, Д. 20, СТР. 1, ЭТ/ПОМ/КОМ АНТРЕСОЛЬ 1  ЭТ/VI/1</t>
  </si>
  <si>
    <t>ООО ИНТЕРТОРГ</t>
  </si>
  <si>
    <t>107076, РОССИЯ, Г.МОСКВА, ВН.ТЕР.Г. МУНИЦИПАЛЬНЫЙ ОКРУГ СОКОЛЬНИКИ, УЛ СТРОМЫНКА, Д. 19, К. 2, ПОМЕЩ. IVБ КОМ. 33, ОФИС 1 (ЭТАЖ 1)</t>
  </si>
  <si>
    <t>ООО СА КОМПАНИ</t>
  </si>
  <si>
    <t>115088, РОССИЯ, Г.МОСКВА, ВН.ТЕР.Г. МУНИЦИПАЛЬНЫЙ ОКРУГ ПЕЧАТНИКИ, УЛ УГРЕШСКАЯ, Д. 14, СТР. 2</t>
  </si>
  <si>
    <t>ООО ФРИГОТЕХНИКА</t>
  </si>
  <si>
    <t>105484, РОССИЯ, Г.МОСКВА, ВН.ТЕР.Г. МУНИЦИПАЛЬНЫЙ ОКРУГ СЕВЕРНОЕ ИЗМАЙЛОВО, УЛ 16-Я ПАРКОВАЯ, Д. 26, К. 2</t>
  </si>
  <si>
    <t>ООО ЗЕФФО</t>
  </si>
  <si>
    <t>107497, РОССИЯ, Г.МОСКВА, ВН.ТЕР.Г. МУНИЦИПАЛЬНЫЙ ОКРУГ ГОЛЬЯНОВО, УЛ МОНТАЖНАЯ, Д. 9, СТР. 1, ПОМЕЩ. 11Н/3</t>
  </si>
  <si>
    <t>107497, РОССИЯ, Г.МОСКВА, ВН.ТЕР.Г. МУНИЦИПАЛЬНЫЙ ОКРУГ ГОЛЬЯНОВО, УЛ МОНТАЖНАЯ, Д. 9, СТР. 1, ПОМЕЩ. 13Н/3</t>
  </si>
  <si>
    <t>ООО РЕКОРД</t>
  </si>
  <si>
    <t>107076, РОССИЯ, Г.МОСКВА, ВН.ТЕР.Г. МУНИЦИПАЛЬНЫЙ ОКРУГ СОКОЛЬНИКИ, УЛ КОРОЛЕНКО, Д. 5А, ПОМЕЩ. 7А</t>
  </si>
  <si>
    <t>ООО АВАНГАРД ПРОЕКТ</t>
  </si>
  <si>
    <t>105037, РОССИЯ, Г.МОСКВА, ВН.ТЕР.Г. МУНИЦИПАЛЬНЫЙ ОКРУГ ИЗМАЙЛОВО, УЛ 2-Я ПАРКОВАЯ, Д. 12, ПОМЕЩ. 2/1</t>
  </si>
  <si>
    <t>ООО АВАНГАРД ТРЕЙД</t>
  </si>
  <si>
    <t>109428, Г.МОСКВА, ПР-КТ РЯЗАНСКИЙ, Д. 30/15, ОФИС 206/2</t>
  </si>
  <si>
    <t>ООО ПРОФТРЕЙД</t>
  </si>
  <si>
    <t>109542, Г.МОСКВА, ВН.ТЕР.Г. МУНИЦИПАЛЬНЫЙ ОКРУГ ВЫХИНО-ЖУЛЕБИНО, ПР-КТ РЯЗАНСКИЙ, Д. 86/1, СТР. 3, ПОМЕЩ. 11/Т</t>
  </si>
  <si>
    <t>ООО АВГРАД</t>
  </si>
  <si>
    <t>109542, Г.МОСКВА, ВН.ТЕР.Г. МУНИЦИПАЛЬНЫЙ ОКРУГ ВЫХИНО-ЖУЛЕБИНО, ПР-КТ РЯЗАНСКИЙ, Д. 86/1, СТР. 3, ПОМЕЩ. 4/Т</t>
  </si>
  <si>
    <t>ООО ТОРГОВЫЙ ДОМ НМ-ИНЖИНИРИНГ</t>
  </si>
  <si>
    <t>109202, РОССИЯ, Г.МОСКВА, ВН.ТЕР.Г. МУНИЦИПАЛЬНЫЙ ОКРУГ НИЖЕГОРОДСКИЙ, УЛ 2-Я КАРАЧАРОВСКАЯ, Д. 1, СТР. 1, ПОМЕЩ. 33/1</t>
  </si>
  <si>
    <t>109117, РОССИЯ, Г.МОСКВА, ВН.ТЕР.Г. МУНИЦИПАЛЬНЫЙ ОКРУГ РЯЗАНСКИЙ, УЛ ОКСКАЯ, Д. 5, К. 1, ПОМЕЩ. XVI, КОМ. 5</t>
  </si>
  <si>
    <t>ООО РД ГМБХ</t>
  </si>
  <si>
    <t>108802, РОССИЯ, Г.МОСКВА, ВН.ТЕР.Г. МУНИЦИПАЛЬНЫЙ ОКРУГ КОММУНАРКА, Д СОСЕНКИ, УЛ ТЕНИСТАЯ, Д. 15</t>
  </si>
  <si>
    <t>ООО ПАРАДАВТО-М</t>
  </si>
  <si>
    <t>109052, РОССИЯ, Г.МОСКВА, ВН.ТЕР.Г. МУНИЦИПАЛЬНЫЙ ОКРУГ НИЖЕГОРОДСКИЙ, ПР-КТ РЯЗАНСКИЙ, Д. 2, СТР. 86, ПОМЕЩ. VII, КОМ./ОФИС 58/523</t>
  </si>
  <si>
    <t>ООО АГЛ-ЛОГ</t>
  </si>
  <si>
    <t>109462, РОССИЯ, Г.МОСКВА, ВН.ТЕР.Г. МУНИЦИПАЛЬНЫЙ ОКРУГ КУЗЬМИНКИ, Б-Р ВОЛЖСКИЙ, Д. 51, СТР. 17, ПОМЕЩ. 101</t>
  </si>
  <si>
    <t>ООО ПСБ МАРКЕТ</t>
  </si>
  <si>
    <t>109052, РОССИЯ, Г.МОСКВА, ВН.ТЕР.Г. МУНИЦИПАЛЬНЫЙ ОКРУГ НИЖЕГОРОДСКИЙ, УЛ СМИРНОВСКАЯ, Д. 10, СТР. 8, ЭТАЖ 2, ПОМЕЩ. 10</t>
  </si>
  <si>
    <t>ООО СТАНДАРТ ГЛОБАЛ</t>
  </si>
  <si>
    <t>109469, РОССИЯ, Г.МОСКВА, ВН.ТЕР.Г. МУНИЦИПАЛЬНЫЙ ОКРУГ МАРЬИНО, Б-Р ПЕРЕРВИНСКИЙ, Д. 19, К. 1, ПОМЕЩ. 1/Н</t>
  </si>
  <si>
    <t>ООО ИЛЬЯ ГРУПП</t>
  </si>
  <si>
    <t>109316, РОССИЯ, Г.МОСКВА, ВН.ТЕР.Г. МУНИЦИПАЛЬНЫЙ ОКРУГ НИЖЕГОРОДСКИЙ, УЛ ТАЛАЛИХИНА, Д. 41, СТР. 9, ПОМЕЩ. 14/6</t>
  </si>
  <si>
    <t>ООО АРТЗАП</t>
  </si>
  <si>
    <t>111250, РОССИЯ, Г.МОСКВА, ВН.ТЕР.Г. МУНИЦИПАЛЬНЫЙ ОКРУГ ЛЕФОРТОВО, УЛ ЛЕФОРТОВСКИЙ ВАЛ, Д. 16А, ПОМЕЩ. 3/1</t>
  </si>
  <si>
    <t>ООО АВЕНТА-А</t>
  </si>
  <si>
    <t>109129, РОССИЯ, Г.МОСКВА, ВН.ТЕР.Г. МУНИЦИПАЛЬНЫЙ ОКРУГ ТЕКСТИЛЬЩИКИ, УЛ 8-Я ТЕКСТИЛЬЩИКОВ, Д. 13, К. 2, ПОМЕЩ. 1/8</t>
  </si>
  <si>
    <t>ООО СИДЖИЭС</t>
  </si>
  <si>
    <t>ООО ФРИРАЙДЕРМОТО</t>
  </si>
  <si>
    <t>ООО ДЕЛЬТА-ПАРТС</t>
  </si>
  <si>
    <t>115583, Г.МОСКВА, УЛ ЕЛЕЦКАЯ, Д. 26, ПОМЕЩ. 23</t>
  </si>
  <si>
    <t>ООО ТОПЛИВНЫЕ ТЕХНОЛОГИИ</t>
  </si>
  <si>
    <t>115304, Г.МОСКВА, УЛ КАНТЕМИРОВСКАЯ, Д. 3, К. 3, Э 1 ПОМ 8 К 5 ОФ 86</t>
  </si>
  <si>
    <t>ООО ПРОФИТРИО</t>
  </si>
  <si>
    <t>115561, Г.МОСКВА, ПР-Д ШИПИЛОВСКИЙ, Д. 65, К. 1, ПОМЕЩ. I, №10</t>
  </si>
  <si>
    <t>115583, РОССИЯ, Г.МОСКВА, ВН.ТЕР.Г. МУНИЦИПАЛЬНЫЙ ОКРУГ ОРЕХОВО-БОРИСОВО ЮЖНОЕ, УЛ ГЕНЕРАЛА БЕЛОВА, Д. 26</t>
  </si>
  <si>
    <t>ООО ВЫСШАЯ МЕХАНИКА</t>
  </si>
  <si>
    <t>117403, РОССИЯ, Г.МОСКВА, ВН.ТЕР.Г. МУНИЦИПАЛЬНЫЙ ОКРУГ БИРЮЛЕВО ЗАПАДНОЕ, ПРОЕЗД ВОСТРЯКОВСКИЙ, Д. 10Б, СТР. 8</t>
  </si>
  <si>
    <t>ООО ГАЗТОРМОЗ</t>
  </si>
  <si>
    <t>115573, РОССИЯ, Г.МОСКВА, ВН.ТЕР.Г. МУНИЦИПАЛЬНЫЙ ОКРУГ ЗЯБЛИКОВО, УЛ МУСЫ ДЖАЛИЛЯ, Д. 32, К. 1, ПОМЕЩ. 1Т</t>
  </si>
  <si>
    <t>ООО ПРАЙМ ТРЕЙД</t>
  </si>
  <si>
    <t>115093, Г.МОСКВА, ПЕР ПАРТИЙНЫЙ, Д. 1, К. 58, ОФИС 11</t>
  </si>
  <si>
    <t>ООО СВГ ИНДАСТРИ</t>
  </si>
  <si>
    <t>121087, Г.МОСКВА, ВН.ТЕР.Г. МУНИЦИПАЛЬНЫЙ ОКРУГ ФИЛЕВСКИЙ ПАРК, УЛ БАРКЛАЯ, Д. 6, СТР. 3, ПОМЕЩ. 23Н/3</t>
  </si>
  <si>
    <t>115191, РОССИЯ, Г.МОСКВА, ВН.ТЕР.Г. МУНИЦИПАЛЬНЫЙ ОКРУГ ДАНИЛОВСКИЙ, УЛ 2-Я РОЩИНСКАЯ, Д. 4, ЭТАЖ 5, ПОМЕЩ. IA, КОМ. 1, ОФИС 83</t>
  </si>
  <si>
    <t>ООО ДЕСТРОЙ</t>
  </si>
  <si>
    <t>115533, РОССИЯ, Г.МОСКВА, ВН.ТЕР.Г. МУНИЦИПАЛЬНЫЙ ОКРУГ НАГАТИНО-САДОВНИКИ, НАБ НАГАТИНСКАЯ, Д. 16, КВ. 215</t>
  </si>
  <si>
    <t>ООО АСЛ ТРЕЙД</t>
  </si>
  <si>
    <t>115280, РОССИЯ, Г.МОСКВА, ВН.ТЕР.Г. МУНИЦИПАЛЬНЫЙ ОКРУГ ДАНИЛОВСКИЙ, УЛ АВТОЗАВОДСКАЯ, Д. 23А, К. 2, ПОМЕЩ. 602Н/6</t>
  </si>
  <si>
    <t>ООО ЛАРСОН В2В</t>
  </si>
  <si>
    <t>115533, РОССИЯ, Г.МОСКВА, ВН.ТЕР.Г. МУНИЦИПАЛЬНЫЙ ОКРУГ НАГАТИНО-САДОВНИКИ, ПР-КТ АНДРОПОВА, Д. 22, ПОМЕЩ. 1Н</t>
  </si>
  <si>
    <t>ООО РЕГУЛ</t>
  </si>
  <si>
    <t>117525, РОССИЯ, Г.МОСКВА, ВН.ТЕР.Г. МУНИЦИПАЛЬНЫЙ ОКРУГ ЧЕРТАНОВО ЦЕНТРАЛЬНОЕ, УЛ ДНЕПРОПЕТРОВСКАЯ, Д. 3, К. 5, ЭТАЖ/ПОМЕЩ. 1/III, КОМ./ОФИС 8/4-15</t>
  </si>
  <si>
    <t>ООО ХОЛДИНГ ГРУПП ОТОМОШИ</t>
  </si>
  <si>
    <t>115191, РОССИЯ, Г.МОСКВА, ВН.ТЕР.Г. МУНИЦИПАЛЬНЫЙ ОКРУГ ДОНСКОЙ, ПЕР ДУХОВСКОЙ, Д. 17, СТР. 15, ЭТАЖ/КОМ. 2/11, ОФИС 157</t>
  </si>
  <si>
    <t>ООО РИННОЙЛ</t>
  </si>
  <si>
    <t>117587, РОССИЯ, Г.МОСКВА, ВН.ТЕР.Г. МУНИЦИПАЛЬНЫЙ ОКРУГ ЧЕРТАНОВО СЕВЕРНОЕ, УЛ ДНЕПРОПЕТРОВСКАЯ, Д. 2, ПОМЕЩ. XVII, КОМ. 13Н</t>
  </si>
  <si>
    <t>ООО АЯ ПРОМАРКЕТ</t>
  </si>
  <si>
    <t>117208, РОССИЯ, Г.МОСКВА, ВН.ТЕР.Г. МУНИЦИПАЛЬНЫЙ ОКРУГ ЧЕРТАНОВО СЕВЕРНОЕ, УЛ ЧЕРТАНОВСКАЯ, Д. 7А, ПОМЕЩ. 6П</t>
  </si>
  <si>
    <t>ООО НОРДБИОКОМ</t>
  </si>
  <si>
    <t>117105, РОССИЯ, Г.МОСКВА, ВН.ТЕР.Г. МУНИЦИПАЛЬНЫЙ ОКРУГ ДОНСКОЙ, Ш ВАРШАВСКОЕ, Д. 1А, ПОМЕЩ. 50К/3</t>
  </si>
  <si>
    <t>117218, РОССИЯ, Г.МОСКВА, ВН.ТЕР.Г. МУНИЦИПАЛЬНЫЙ ОКРУГ КОТЛОВКА, УЛ ДМИТРИЯ УЛЬЯНОВА, Д. 42</t>
  </si>
  <si>
    <t>ООО ТКВЕКТОР</t>
  </si>
  <si>
    <t>117041, РОССИЯ, Г.МОСКВА, ВН.ТЕР.Г. МУНИЦИПАЛЬНЫЙ ОКРУГ ЮЖНОЕ БУТОВО, УЛ АДМИРАЛА РУДНЕВА, Д. 4, ПОМЕЩ. 31Н/6</t>
  </si>
  <si>
    <t>117628, РОССИЯ, Г.МОСКВА, ВН.ТЕР.Г. МУНИЦИПАЛЬНЫЙ ОКРУГ СЕВЕРНОЕ БУТОВО, УЛ СТАРОБИТЦЕВСКАЯ, Д. 23, К. 4, КВ. 17</t>
  </si>
  <si>
    <t>ООО ГРИГА-ГРУПП</t>
  </si>
  <si>
    <t>117216, РОССИЯ, Г.МОСКВА, ВН.ТЕР.Г. МУНИЦИПАЛЬНЫЙ ОКРУГ СЕВЕРНОЕ БУТОВО, УЛ ФЕОДОСИЙСКАЯ, Д. 7, К. 5, ОФИС 822</t>
  </si>
  <si>
    <t>ООО БИЗНЕС КАР М</t>
  </si>
  <si>
    <t>117452, РОССИЯ, Г.МОСКВА, ВН.ТЕР.Г. МУНИЦИПАЛЬНЫЙ ОКРУГ ЗЮЗИНО, ПР-КТ БАЛАКЛАВСКИЙ, Д. 26</t>
  </si>
  <si>
    <t>ООО ОНИКС</t>
  </si>
  <si>
    <t>117041, РОССИЯ, Г.МОСКВА, ВН.ТЕР.Г. МУНИЦИПАЛЬНЫЙ ОКРУГ ЮЖНОЕ БУТОВО, УЛ АДМИРАЛА ЛАЗАРЕВА, Д. 68, ПОМЕЩ. 5/1</t>
  </si>
  <si>
    <t>ИП БАБАЕВА ГУЛШАН ДЖАХАНГИР КЫЗЫ</t>
  </si>
  <si>
    <t>ООО МОЛБИОЛ</t>
  </si>
  <si>
    <t>121615, Г.МОСКВА, ВН.ТЕР.Г. МУНИЦИПАЛЬНЫЙ ОКРУГ КУНЦЕВО, Ш РУБЛЁВСКОЕ, Д. 14, К. 3, ПОМЕЩ. 204</t>
  </si>
  <si>
    <t>ООО ТЕХНОПРО</t>
  </si>
  <si>
    <t>127282, Г.МОСКВА, УЛ ПОЛЯРНАЯ, Д. 33, СТР. 3, ПОМЕЩ. П2, П3</t>
  </si>
  <si>
    <t>ООО ОИЛ СТОР ТРЕЙД</t>
  </si>
  <si>
    <t>127273, Г.МОСКВА, ВН.ТЕР.Г. МУНИЦИПАЛЬНЫЙ ОКРУГ ОТРАДНОЕ, АЛЛЕЯ БЕРЁЗОВАЯ, Д. 7Б, ЭТАЖ 1, ПОМЕЩ./КОМ. IV/27</t>
  </si>
  <si>
    <t>ООО СМАРТ АЛЬЯНС</t>
  </si>
  <si>
    <t>127322, Г.МОСКВА, УЛ ДОБРОЛЮБОВА, Д. 29/16, ЭТ 2 ПОМ 35 КОМ 2(РМ97)</t>
  </si>
  <si>
    <t>ООО ТК СИНТОЙЛ</t>
  </si>
  <si>
    <t>127282, РОССИЯ, Г.МОСКВА, ВН.ТЕР.Г. МУНИЦИПАЛЬНЫЙ ОКРУГ СЕВЕРНОЕ МЕДВЕДКОВО, ПРОЕЗД СТУДЁНЫЙ, Д. 4, К. 1, ПОМЕЩ. 5А/1</t>
  </si>
  <si>
    <t>ООО ПВК</t>
  </si>
  <si>
    <t>127495, РОССИЯ, Г.МОСКВА, ВН.ТЕР.Г. МУНИЦИПАЛЬНЫЙ ОКРУГ СЕВЕРНЫЙ, Ш ДМИТРОВСКОЕ, Д. 165Е, К. 6, ПОМЕЩ. 5/1</t>
  </si>
  <si>
    <t>ОБЩЕСТВО С ОГРАНИЧЕННОЙ ОТВЕТСТВЕННОСТЬЮ ДУЭТ</t>
  </si>
  <si>
    <t>127641, РОССИЯ, Г.МОСКВА, ВН.ТЕР.Г. МУНИЦИПАЛЬНЫЙ ОКРУГ ОТРАДНОЕ, УЛ САННИКОВА, Д. 3, К. 2, КВ. 130</t>
  </si>
  <si>
    <t>ООО ЛЮМИНОС ТРЕЙД</t>
  </si>
  <si>
    <t>127495, РОССИЯ, Г.МОСКВА, ВН.ТЕР.Г. МУНИЦИПАЛЬНЫЙ ОКРУГ СЕВЕРНЫЙ, Ш ДМИТРОВСКОЕ, Д. 165Е, К. 12, ПОМЕЩ. 3/1</t>
  </si>
  <si>
    <t>127410, РОССИЯ, Г.МОСКВА, ВН.ТЕР.Г. МУНИЦИПАЛЬНЫЙ ОКРУГ АЛТУФЬЕВСКИЙ, Ш АЛТУФЬЕВСКОЕ, Д. 79А, СТР. 3, ПОМЕЩ. 10/3/2</t>
  </si>
  <si>
    <t>ООО ВОЛГА МАРИН</t>
  </si>
  <si>
    <t>127549, РОССИЯ, Г.МОСКВА, ВН.ТЕР.Г. МУНИЦИПАЛЬНЫЙ ОКРУГ АЛТУФЬЕВСКИЙ, Ш АЛТУФЬЕВСКОЕ, Д. 60, ПОМЕЩ. 3/1</t>
  </si>
  <si>
    <t>ООО КАСТЛ</t>
  </si>
  <si>
    <t>127521, РОССИЯ, Г.МОСКВА, ВН.ТЕР.Г. МУНИЦИПАЛЬНЫЙ ОКРУГ МАРЬИНА РОЩА, ПРОЕЗД АННЕНСКИЙ, Д. 1, СТР. 23</t>
  </si>
  <si>
    <t>ООО ТЦ ЛОРАНТ</t>
  </si>
  <si>
    <t>129226, Г.МОСКВА, УЛ СЕЛЬСКОХОЗЯЙСТВЕННАЯ, Д. 11, К. 3, ЭТ 1 ПОМ II ОФ 76</t>
  </si>
  <si>
    <t>ООО МИРДОРТЕХНИКА</t>
  </si>
  <si>
    <t>123308, Г.МОСКВА, ВН.ТЕР.Г. МУНИЦИПАЛЬНЫЙ ОКРУГ ХОРОШЕВО-МНЕВНИКИ, УЛ МНЁВНИКИ, Д. 6, ПОМЕЩ. 2/3</t>
  </si>
  <si>
    <t>ООО ПКС-КОМПЛЕКТАЦИЯ</t>
  </si>
  <si>
    <t>129626, РОССИЯ, Г.МОСКВА, ВН.ТЕР.Г. МУНИЦИПАЛЬНЫЙ ОКРУГ АЛЕКСЕЕВСКИЙ, УЛ МАЛОМОСКОВСКАЯ, Д. 16, СТР. 5</t>
  </si>
  <si>
    <t>ООО ОКС</t>
  </si>
  <si>
    <t>129164, РОССИЯ, Г.МОСКВА, ВН.ТЕР.Г. МУНИЦИПАЛЬНЫЙ ОКРУГ АЛЕКСЕЕВСКИЙ, УЛ КИБАЛЬЧИЧА, Д. 11, К. 1, ПОМЕЩ. 1/Н</t>
  </si>
  <si>
    <t>ООО ПРОММАШ</t>
  </si>
  <si>
    <t>ООО АТД</t>
  </si>
  <si>
    <t>111675, Г.МОСКВА, ПР-Д 1-Й КРАСКОВСКИЙ, Д. 38А, СТР. 38, КОМ. 5,6</t>
  </si>
  <si>
    <t>ООО ЭКСИСТ-ЗАКУПКА</t>
  </si>
  <si>
    <t>107113, Г.МОСКВА, ПР-К ПОПЕРЕЧНЫЙ, Д. 1Б, ОФИС 119</t>
  </si>
  <si>
    <t>107065, Г.МОСКВА, УЛ КАМЧАТСКАЯ, Д. 19, КВ. 58</t>
  </si>
  <si>
    <t>ООО РА МК</t>
  </si>
  <si>
    <t>107564, Г.МОСКВА, УЛ КРАСНОБОГАТЫРСКАЯ, Д. 6, СТР. 8, ЭТ 3 ПОМ 06</t>
  </si>
  <si>
    <t>ООО ПРЕМИУМ ГРУПП</t>
  </si>
  <si>
    <t>107589, Г.МОСКВА, УЛ КРАСНОЯРСКАЯ, Д. 17, ПОМ XV КОМ 1 ОФ 53</t>
  </si>
  <si>
    <t>ООО ТД ТЕХАУС</t>
  </si>
  <si>
    <t>107241, Г.МОСКВА, ПР-Д ЧЕРНИЦЫНСКИЙ, Д. 3, ЭТ 3 ОФ 4303</t>
  </si>
  <si>
    <t>ООО  РИЗОЛЛ</t>
  </si>
  <si>
    <t>107113, РОССИЯ, Г.МОСКВА, ВН.ТЕР.Г. МУНИЦИПАЛЬНЫЙ ОКРУГ СОКОЛЬНИКИ, ПЛ СОКОЛЬНИЧЕСКАЯ, Д. 4А, ПОМЕЩ. 11/4</t>
  </si>
  <si>
    <t>ООО ЦЕНТРИПЛЮС СЕПАРЕЙШН ТЕХНОЛОДЖИС</t>
  </si>
  <si>
    <t>107023, РОССИЯ, Г.МОСКВА, ВН.ТЕР.Г. МУНИЦИПАЛЬНЫЙ ОКРУГ ПРЕОБРАЖЕНСКОЕ, УЛ МАЛАЯ СЕМЁНОВСКАЯ, Д. 9, СТР. 5</t>
  </si>
  <si>
    <t>ООО ТЕНЕТ РУС</t>
  </si>
  <si>
    <t>107258, РОССИЯ, Г.МОСКВА, ВН.ТЕР.Г. МУНИЦИПАЛЬНЫЙ ОКРУГ БОГОРОДСКОЕ, ПРОЕЗД ПОГОННЫЙ, Д. 14, ПОМЕЩ. 28/1</t>
  </si>
  <si>
    <t>ООО СТИЛЬ-КОМФОРТ</t>
  </si>
  <si>
    <t>115193, Г.МОСКВА, ВН.ТЕР.Г. МУНИЦИПАЛЬНЫЙ ОКРУГ ЮЖНОПОРТОВЫЙ, УЛ 5-Я КОЖУХОВСКАЯ, Д. 9, ПОМЕЩ. 7П, КОМ.1, ОФИС 2А</t>
  </si>
  <si>
    <t>ООО КОНСТАНТА ТОРГ</t>
  </si>
  <si>
    <t>121552, РОССИЯ, Г.МОСКВА, ВН.ТЕР.Г. МУНИЦИПАЛЬНЫЙ ОКРУГ КУНЦЕВО, УЛ ОРШАНСКАЯ, Д. 5, ПОМЕЩ. 137</t>
  </si>
  <si>
    <t>ООО НПО АВАНГАРД</t>
  </si>
  <si>
    <t>105187, РОССИЯ, Г.МОСКВА, ВН.ТЕР.Г. МУНИЦИПАЛЬНЫЙ ОКРУГ ИЗМАЙЛОВО, УЛ 1-Я ИЗМАЙЛОВСКОГО ЗВЕРИНЦА, Д. 8, ПОМЕЩ. 1/1</t>
  </si>
  <si>
    <t>ООО ГМС</t>
  </si>
  <si>
    <t>108831, РОССИЯ, Г.МОСКВА, ВН.ТЕР.Г. МУНИЦИПАЛЬНЫЙ ОКРУГ ЩЕРБИНКА, Г ЩЕРБИНКА, ТУП БУТОВСКИЙ, Д. 1, ПОМЕЩ. 1</t>
  </si>
  <si>
    <t>ООО АЛЬФА ДЕТАЛЬ</t>
  </si>
  <si>
    <t>109428, РОССИЯ, Г.МОСКВА, ВН.ТЕР.Г. МУНИЦИПАЛЬНЫЙ ОКРУГ РЯЗАНСКИЙ, УЛ КОНОВАЛОВА, Д. 18, ПОМЕЩ. 3П</t>
  </si>
  <si>
    <t>ООО ПРЕСТИЖ-ВОЛГА</t>
  </si>
  <si>
    <t>111020, РОССИЯ, Г.МОСКВА, ВН.ТЕР.Г. МУНИЦИПАЛЬНЫЙ ОКРУГ ЛЕФОРТОВО, ПЕР ЮРЬЕВСКИЙ, Д. 11, ЭТАЖ/ПОМЕЩ. 4/VIII, КОМ./ОФИС 4/278</t>
  </si>
  <si>
    <t>ООО СВАРОГ</t>
  </si>
  <si>
    <t>115404, Г.МОСКВА, ВН.ТЕР.Г. МУНИЦИПАЛЬНЫЙ ОКРУГ БИРЮЛЕВО ВОСТОЧНОЕ, УЛ 6-Я РАДИАЛЬНАЯ, Д. 5, К. 2, КВ. 706</t>
  </si>
  <si>
    <t>ООО АВЕРКАРМ СЕРВИС</t>
  </si>
  <si>
    <t>115088, Г.МОСКВА, ВН.ТЕР.Г. МУНИЦИПАЛЬНЫЙ ОКРУГ ПЕЧАТНИКИ, УЛ ЮЖНОПОРТОВАЯ, Д. 32, СТР. 2, ЭТАЖ 3, ПОМЕЩ. 1,КОМ.19</t>
  </si>
  <si>
    <t>ООО ФРЕШ-К</t>
  </si>
  <si>
    <t>ООО ГК ФОСТЕРС</t>
  </si>
  <si>
    <t>115088, Г.МОСКВА, ПР-Д 2-Й ЮЖНОПОРТОВЫЙ, Д. 14/22, СТР. 1, ЭТ 1 ПОМ 1 КАБ 1</t>
  </si>
  <si>
    <t>ООО МК ТЕХЭНЕРГО</t>
  </si>
  <si>
    <t>109387, Г.МОСКВА, УЛ ЛЮБЛИНСКАЯ, Д. 59, КВ. 268</t>
  </si>
  <si>
    <t>ООО ЕВРОМИР</t>
  </si>
  <si>
    <t>109387, Г.МОСКВА, ВН.ТЕР.Г. МУНИЦИПАЛЬНЫЙ ОКРУГ ЛЮБЛИНО, УЛ КУБАНСКАЯ, Д. 18/1, ПОМЕЩ. 1/1</t>
  </si>
  <si>
    <t>ООО ТК ПЛЮС</t>
  </si>
  <si>
    <t>109390, Г.МОСКВА, УЛ ЛЮБЛИНСКАЯ, Д. 47, Э 1 ПОМ IX К 1 ОФ 77</t>
  </si>
  <si>
    <t>ООО ЭЙ ТИ ЭН ОЙЛ</t>
  </si>
  <si>
    <t>109386, РОССИЯ, Г.МОСКВА, ВН.ТЕР.Г. МУНИЦИПАЛЬНЫЙ ОКРУГ ЛЮБЛИНО, УЛ ТАГАНРОГСКАЯ, Д. 11, К. 3, ПОДВ. ПОМЕЩ. 11, КОМ №5</t>
  </si>
  <si>
    <t>ООО ТРАНСГАРАНТ</t>
  </si>
  <si>
    <t>109380, РОССИЯ, Г.МОСКВА, ВН.ТЕР.Г. МУНИЦИПАЛЬНЫЙ ОКРУГ ЛЮБЛИНО, УЛ ЧАГИНСКАЯ, Д. 4, СТР. 13, ЭТАЖ 2, КОМНАТА/ОФИС 29/42</t>
  </si>
  <si>
    <t>ООО РЕДСКИН ПАРТС</t>
  </si>
  <si>
    <t>109380, РОССИЯ, Г.МОСКВА, ВН.ТЕР.Г. МУНИЦИПАЛЬНЫЙ ОКРУГ ЛЮБЛИНО, УЛ ЧАГИНСКАЯ, Д. 4, СТР. 10</t>
  </si>
  <si>
    <t>ООО ХИТ МОТОРЗ РУС</t>
  </si>
  <si>
    <t>115054, РОССИЯ, Г.МОСКВА, ВН.ТЕР.Г. МУНИЦИПАЛЬНЫЙ ОКРУГ ЗАМОСКВОРЕЧЬЕ, НАБ КОСМОДАМИАНСКАЯ, Д. 52, СТР. 2</t>
  </si>
  <si>
    <t>109380, РОССИЯ, Г.МОСКВА, ВН.ТЕР.Г. МУНИЦИПАЛЬНЫЙ ОКРУГ ЛЮБЛИНО, УЛ ЧАГИНСКАЯ, Д. 4, СТР. 13, ПОМЕЩ. 4/2, ОФ. 3</t>
  </si>
  <si>
    <t>ООО ФАЛЬКОН ИМПОРТ</t>
  </si>
  <si>
    <t>109651, РОССИЯ, Г.МОСКВА, ВН.ТЕР.Г. МУНИЦИПАЛЬНЫЙ ОКРУГ МАРЬИНО, УЛ ПЕРЕРВА, Д. 16, ПОМЕЩ. 9П</t>
  </si>
  <si>
    <t>ООО МАЗРА</t>
  </si>
  <si>
    <t>109341, РОССИЯ, Г.МОСКВА, ВН.ТЕР.Г. МУНИЦИПАЛЬНЫЙ ОКРУГ МАРЬИНО, УЛ БРАТИСЛАВСКАЯ, Д. 6, ПОМЕЩ. 124</t>
  </si>
  <si>
    <t>ООО УАЗ МОТОРС</t>
  </si>
  <si>
    <t>115088, РОССИЯ, Г.МОСКВА, ВН.ТЕР.Г. МУНИЦИПАЛЬНЫЙ ОКРУГ ЮЖНОПОРТОВЫЙ, УЛ ШАРИКОПОДШИПНИКОВСКАЯ, Д. 6/14, ПОМЕЩ. 12/1</t>
  </si>
  <si>
    <t>ООО ООО ПРОМОЙЛ-М</t>
  </si>
  <si>
    <t>109380, РОССИЯ, Г.МОСКВА, ВН.ТЕР.Г. МУНИЦИПАЛЬНЫЙ ОКРУГ ЛЮБЛИНО, УЛ ЧАГИНСКАЯ, Д. 4, СТР. 13, ПОМЕЩ. 14/4</t>
  </si>
  <si>
    <t>ООО ЗЕЛЕНАЯ МАШИНА</t>
  </si>
  <si>
    <t>125493, Г.МОСКВА, ВН.ТЕР.Г. МУНИЦИПАЛЬНЫЙ ОКРУГ ЛЕВОБЕРЕЖНЫЙ, УЛ ФЛОТСКАЯ, Д. 5, К. А, ПОМЕЩ. 15/1</t>
  </si>
  <si>
    <t>ООО CРМ-ТОРГ</t>
  </si>
  <si>
    <t>109428, РОССИЯ, Г.МОСКВА, ВН.ТЕР.Г. МУНИЦИПАЛЬНЫЙ ОКРУГ РЯЗАНСКИЙ, ПР-КТ РЯЗАНСКИЙ, Д. 16, СТР. 4, ПОМЕЩ. 1Н/2</t>
  </si>
  <si>
    <t>ООО ДТОРГ</t>
  </si>
  <si>
    <t>115230, РОССИЯ, Г.МОСКВА, ВН.ТЕР.Г. МУНИЦИПАЛЬНЫЙ ОКРУГ НАГАТИНО-САДОВНИКИ, УЛ НАГАТИНСКАЯ, Д. 2, ПОМЕЩ. 20/2</t>
  </si>
  <si>
    <t>115372, Г.МОСКВА, ВН.ТЕР.Г. МУНИЦИПАЛЬНЫЙ ОКРУГ БИРЮЛЕВО ВОСТОЧНОЕ, УЛ БИРЮЛЁВСКАЯ, Д. 53/1, КВ. 132</t>
  </si>
  <si>
    <t>ООО КАЛЬМАР</t>
  </si>
  <si>
    <t>115162, РОССИЯ, Г.МОСКВА, ВН.ТЕР.Г. МУНИЦИПАЛЬНЫЙ ОКРУГ ДАНИЛОВСКИЙ, УЛ МЫТНАЯ, Д. 52, ПОМЕЩ. 2Н</t>
  </si>
  <si>
    <t>ООО ПАРАЛЛЕЛИ</t>
  </si>
  <si>
    <t>115280, РОССИЯ, Г.МОСКВА, ВН.ТЕР.Г. МУНИЦИПАЛЬНЫЙ ОКРУГ ДАНИЛОВСКИЙ, УЛ ЛЕНИНСКАЯ СЛОБОДА, Д. 19, ПОМЕЩ. 2/5</t>
  </si>
  <si>
    <t>НАО ХАУС РУС</t>
  </si>
  <si>
    <t>115432, РОССИЯ, Г.МОСКВА, ВН.ТЕР.Г. МУНИЦИПАЛЬНЫЙ ОКРУГ ДАНИЛОВСКИЙ, ПРОЕЗД 2-Й КОЖУХОВСКИЙ, Д. 12, СТР. 11, ПОМЕЩ. 15,16,17,18,19,20</t>
  </si>
  <si>
    <t>ООО ЛУБРИСОЛ</t>
  </si>
  <si>
    <t>129164, РОССИЯ, Г.МОСКВА, ВН.ТЕР.Г. МУНИЦИПАЛЬНЫЙ ОКРУГ АЛЕКСЕЕВСКИЙ, УЛ ЯРОСЛАВСКАЯ, Д. 8, К. 5</t>
  </si>
  <si>
    <t>ООО РЕМАРКО-РУС</t>
  </si>
  <si>
    <t>ООО РОУД СЕРВИС</t>
  </si>
  <si>
    <t>117628, РОССИЯ, Г.МОСКВА, ВН.ТЕР.Г. МУНИЦИПАЛЬНЫЙ ОКРУГ СЕВЕРНОЕ БУТОВО, УЛ КУЛИКОВСКАЯ, Д. 12, ПОМЕЩ. 85/5</t>
  </si>
  <si>
    <t>ООО КАТ-ЛУБРИКАНТС</t>
  </si>
  <si>
    <t>117587, РОССИЯ, Г.МОСКВА, ВН.ТЕР.Г. МУНИЦИПАЛЬНЫЙ ОКРУГ ЧЕРТАНОВО СЕВЕРНОЕ, Ш ВАРШАВСКОЕ, Д. 125, СТР. 1, ЭТАЖ 5, ПОМЕЩ. 54А</t>
  </si>
  <si>
    <t>ООО ДЖЕТУР МОТОР РУС</t>
  </si>
  <si>
    <t>115054, РОССИЯ, Г.МОСКВА, ВН.ТЕР.Г. МУНИЦИПАЛЬНЫЙ ОКРУГ ЗАМОСКВОРЕЧЬЕ, НАБ КОСМОДАМИАНСКАЯ, Д. 52, СТР. 1</t>
  </si>
  <si>
    <t>ООО АР-ТЕК</t>
  </si>
  <si>
    <t>117545, РОССИЯ, Г.МОСКВА, ВН.ТЕР.Г. МУНИЦИПАЛЬНЫЙ ОКРУГ ЧЕРТАНОВО ЦЕНТРАЛЬНОЕ, УЛ ДОРОЖНАЯ, Д. 8, К. 1</t>
  </si>
  <si>
    <t>117152, РОССИЯ, Г.МОСКВА, ВН.ТЕР.Г. МУНИЦИПАЛЬНЫЙ ОКРУГ ДОНСКОЙ, Ш ЗАГОРОДНОЕ, Д. 1, К. 2, СТР. 12</t>
  </si>
  <si>
    <t>ООО ЛАБАНАЛИТИКА</t>
  </si>
  <si>
    <t>117587, РОССИЯ, Г.МОСКВА, ВН.ТЕР.Г. МУНИЦИПАЛЬНЫЙ ОКРУГ ЧЕРТАНОВО СЕВЕРНОЕ, Ш ВАРШАВСКОЕ, Д. 125Ж, К. 6</t>
  </si>
  <si>
    <t>ООО ИМПЕКСПАРТС</t>
  </si>
  <si>
    <t>117420, РОССИЯ, Г.МОСКВА, ВН.ТЕР.Г. МУНИЦИПАЛЬНЫЙ ОКРУГ ЧЕРЕМУШКИ, УЛ НАМЁТКИНА, Д. 11, ПОМЕЩ. 1/П</t>
  </si>
  <si>
    <t>117463, Г.МОСКВА, ВН.ТЕР.Г. МУНИЦИПАЛЬНЫЙ ОКРУГ ЯСЕНЕВО, ПР-КТ НОВОЯСЕНЕВСКИЙ, Д. 32, К. 1, ТАЖ/ПОМ. 1/VI, КОМ./ОФИС 2/330</t>
  </si>
  <si>
    <t>ООО ДЕФЕНДЕР ГРУПП</t>
  </si>
  <si>
    <t>117342, Г.МОСКВА, УЛ БУТЛЕРОВА, Д. 17Б, Э 2 ПОМ XI К 70А ОФ 36</t>
  </si>
  <si>
    <t>ООО АКВАОЙЛ</t>
  </si>
  <si>
    <t>ООО КРИСТОЛЬ</t>
  </si>
  <si>
    <t>117342, РОССИЯ, Г.МОСКВА, ВН.ТЕР.Г. МУНИЦИПАЛЬНЫЙ ОКРУГ КОНЬКОВО, УЛ БУТЛЕРОВА, Д. 17Б, ПОМЕЩ. 1Б/5</t>
  </si>
  <si>
    <t>ООО М-ВОРКС</t>
  </si>
  <si>
    <t>117133, РОССИЯ, Г.МОСКВА, ВН.ТЕР.Г. МУНИЦИПАЛЬНЫЙ ОКРУГ ТЕПЛЫЙ СТАН, УЛ АКАДЕМИКА ВАРГИ, Д. 8, К. 1</t>
  </si>
  <si>
    <t>117463, РОССИЯ, Г.МОСКВА, ВН.ТЕР.Г. МУНИЦИПАЛЬНЫЙ ОКРУГ ЯСЕНЕВО, ПР-КТ НОВОЯСЕНЕВСКИЙ, Д. 32, К. 1, ПОМЕЩ. 1/1</t>
  </si>
  <si>
    <t>ООО ОЛС</t>
  </si>
  <si>
    <t>117312, РОССИЯ, Г.МОСКВА, ВН.ТЕР.Г. МУНИЦИПАЛЬНЫЙ ОКРУГ АКАДЕМИЧЕСКИЙ, ПР-КТ 60-ЛЕТИЯ ОКТЯБРЯ, Д. 15Б</t>
  </si>
  <si>
    <t>ООО ГЛОБАЛТРЕЙД</t>
  </si>
  <si>
    <t>119571, Г.МОСКВА, ВН.ТЕР.Г. МУНИЦИПАЛЬНЫЙ ОКРУГ ТРОПАРЕВО-НИКУЛИНО, ПР-КТ ВЕРНАДСКОГО, Д. 92, ПОМЕЩ. 9/6/2</t>
  </si>
  <si>
    <t>ООО АГ ИРБИС</t>
  </si>
  <si>
    <t>108834, Г.МОСКВА, Р-Н КОММУНАРКА, П КОММУНАРКА, УЛ ПОТАПОВСКАЯ РОЩА, Д. 18, К. 2, ЭТАЖ/ОФИС ПОДВАЛ №ПОДВАЛ/2</t>
  </si>
  <si>
    <t>ООО СИНДРА</t>
  </si>
  <si>
    <t>119421, Г.МОСКВА, ВН.ТЕР.Г. МУНИЦИПАЛЬНЫЙ ОКРУГ ОБРУЧЕВСКИЙ, УЛ ОБРУЧЕВА, Д. 13, К. 1, КВ. 64</t>
  </si>
  <si>
    <t>ООО ПРОМ ОЙЛ СЕРВИС</t>
  </si>
  <si>
    <t>119530, Г.МОСКВА, Ш ОЧАКОВСКОЕ, Д. 28, СТР. 2, ЭТАЖ 1 ПОМ I КОМНАТА 38</t>
  </si>
  <si>
    <t>ООО ВЭЛМО РУС</t>
  </si>
  <si>
    <t>ООО МЕДТЕХ</t>
  </si>
  <si>
    <t>119633, Г.МОСКВА, Ш БОРОВСКОЕ, Д. 18, К. 3, ЭТ 1 ПОМ I КОМ 1В</t>
  </si>
  <si>
    <t>ООО ЛУБРИ ГРУП</t>
  </si>
  <si>
    <t>119361, Г.МОСКВА, ВН.ТЕР.Г. МУНИЦИПАЛЬНЫЙ ОКРУГ ОЧАКОВО-МАТВЕЕВСКОЕ, УЛ БОЛЬШАЯ ОЧАКОВСКАЯ, Д. 47А, СТР. 1, ЭТАЖ/ПОМЕЩ 6/15</t>
  </si>
  <si>
    <t>ООО ЮНИТЛОГ</t>
  </si>
  <si>
    <t>101000, РОССИЯ, Г.МОСКВА, ВН.ТЕР.Г. МУНИЦИПАЛЬНЫЙ ОКРУГ БАСМАННЫЙ, ПЕР ЛЯЛИН, Д. 16, ЭТАЖ 1, ПОМЕЩ. I, КОМНАТА 14</t>
  </si>
  <si>
    <t>ООО ЭЙС ДЕНТАЛ РУС</t>
  </si>
  <si>
    <t>109544, РОССИЯ, Г.МОСКВА, ВН.ТЕР.Г. МУНИЦИПАЛЬНЫЙ ОКРУГ ТАГАНСКИЙ, Б-Р ЭНТУЗИАСТОВ, Д. 2, ЭТАЖ/КОМ. 20/33-42</t>
  </si>
  <si>
    <t>ООО ОМЕГА ПАРТС</t>
  </si>
  <si>
    <t>127006, РОССИЯ, Г.МОСКВА, ВН.ТЕР.Г. МУНИЦИПАЛЬНЫЙ ОКРУГ ТВЕРСКОЙ, УЛ САДОВАЯ-ТРИУМФАЛЬНАЯ, Д. 4-10, ПОМЕЩ. 1/Н</t>
  </si>
  <si>
    <t>ООО АНТУРИУМ</t>
  </si>
  <si>
    <t>127006, РОССИЯ, Г.МОСКВА, ВН.ТЕР.Г. МУНИЦИПАЛЬНЫЙ ОКРУГ ТВЕРСКОЙ, УЛ САДОВАЯ-ТРИУМФАЛЬНАЯ, Д. 16, СТР. 3, ПОМЕЩ. 2А/1</t>
  </si>
  <si>
    <t>ООО ОРБИТА-АВТО</t>
  </si>
  <si>
    <t>127474, Г.МОСКВА, ВН.ТЕР.Г. МУНИЦИПАЛЬНЫЙ ОКРУГ БЕСКУДНИКОВСКИЙ, УЛ ДУБНИНСКАЯ, Д. 29, К. 1, КВ. 244</t>
  </si>
  <si>
    <t>ООО КАРС КРЕЙВ СЕВЕР</t>
  </si>
  <si>
    <t>127434, РОССИЯ, Г.МОСКВА, ВН.ТЕР.Г. МУНИЦИПАЛЬНЫЙ ОКРУГ ТИМИРЯЗЕВСКИЙ, Ш ДМИТРОВСКОЕ, Д. 13А, КВ. 19</t>
  </si>
  <si>
    <t>ООО ПАРТСАВЕНЮ</t>
  </si>
  <si>
    <t>125124, РОССИЯ, Г.МОСКВА, ВН.ТЕР.Г. МУНИЦИПАЛЬНЫЙ ОКРУГ БЕГОВОЙ, УЛ 3-Я ЯМСКОГО ПОЛЯ, Д. 2, К. 26</t>
  </si>
  <si>
    <t>ИП ЗВЯГИНЦЕВ ДАНИЛА РОМАНОВИЧ</t>
  </si>
  <si>
    <t>ООО ПСС</t>
  </si>
  <si>
    <t>127521, Г.МОСКВА, ВН.ТЕР.Г. МУНИЦИПАЛЬНЫЙ ОКРУГ МАРЬИНА РОЩА, ПРОЕЗД АННЕНСКИЙ, Д. 5, СТР. 2</t>
  </si>
  <si>
    <t>ООО СМАРТ ЛОГИСТИК</t>
  </si>
  <si>
    <t>127106, Г.МОСКВА, Ш АЛТУФЬЕВСКОЕ, Д. 27, ЭТ/ОФИС/ПОМ 3 / 306/  2</t>
  </si>
  <si>
    <t>ООО МАКСИМА ГРУПП</t>
  </si>
  <si>
    <t>129344, Г.МОСКВА, УЛ ВЕРХОЯНСКАЯ, Д. 18, К. 2, ЭТ 0 ПОМ 2 КМ 4(РМ200)</t>
  </si>
  <si>
    <t>ООО ДЖИЭСКЕЙ</t>
  </si>
  <si>
    <t>127495, РОССИЯ, Г.МОСКВА, ВН.ТЕР.Г. МУНИЦИПАЛЬНЫЙ ОКРУГ СЕВЕРНЫЙ, Ш ЧЕЛОБИТЬЕВСКОЕ, Д. 10, К. 1, ЭТАЖ 1, ПОМЕЩ. XII КОМНАТА 4 ОФИС 6</t>
  </si>
  <si>
    <t>111123, РОССИЯ, Г.МОСКВА, ВН.ТЕР.Г. МУНИЦИПАЛЬНЫЙ ОКРУГ ПЕРОВО, Ш ЭНТУЗИАСТОВ, Д. 56, СТР. 32</t>
  </si>
  <si>
    <t>ООО ПАРТБОКС24</t>
  </si>
  <si>
    <t>127106, РОССИЯ, Г.МОСКВА, ВН.ТЕР.Г. МУНИЦИПАЛЬНЫЙ ОКРУГ МАРФИНО, ПРОЕЗД ГОСТИНИЧНЫЙ, Д. 8, К. 1, ПОМЕЩ. 506</t>
  </si>
  <si>
    <t>ООО ПАРТИКОРА</t>
  </si>
  <si>
    <t>117312, РОССИЯ, Г.МОСКВА, ВН.ТЕР.Г. МУНИЦИПАЛЬНЫЙ ОКРУГ АКАДЕМИЧЕСКИЙ, ПР-КТ 60-ЛЕТИЯ ОКТЯБРЯ, Д. 9, СТР. 2, ПОМЕЩ. 1/2</t>
  </si>
  <si>
    <t>ООО ЛЕГЕНД ГРУПП</t>
  </si>
  <si>
    <t>127521, РОССИЯ, Г.МОСКВА, ВН.ТЕР.Г. МУНИЦИПАЛЬНЫЙ ОКРУГ МАРЬИНА РОЩА, ПРОЕЗД 17-Й МАРЬИНОЙ РОЩИ, Д. 4, К. 1, ПОМЕЩ. 19/16</t>
  </si>
  <si>
    <t>ООО МАКАРЕНА</t>
  </si>
  <si>
    <t>127106, РОССИЯ, Г.МОСКВА, ВН.ТЕР.Г. МУНИЦИПАЛЬНЫЙ ОКРУГ ОТРАДНОЕ, ПРОЕЗД НОВОВЛАДЫКИНСКИЙ, Д. 1, К. 1, ПОМЕЩ. 114К</t>
  </si>
  <si>
    <t>ООО ДИАКАР</t>
  </si>
  <si>
    <t>129626, Г.МОСКВА, ВН.ТЕР.Г. МУНИЦИПАЛЬНЫЙ ОКРУГ АЛЕКСЕЕВСКИЙ, УЛ 2-Я МЫТИЩИНСКАЯ, Д. 2, СТР. 2, ПОМЕЩ. 4/1</t>
  </si>
  <si>
    <t>ООО БЕНЗОКОЛОНКА</t>
  </si>
  <si>
    <t>129085, РОССИЯ, Г.МОСКВА, ВН.ТЕР.Г. МУНИЦИПАЛЬНЫЙ ОКРУГ ОСТАНКИНСКИЙ, УЛ БОЛЬШАЯ МАРЬИНСКАЯ, Д. 5, КВ. 75</t>
  </si>
  <si>
    <t>ООО ДАЙСЛЕР</t>
  </si>
  <si>
    <t>ООО АВТОСКАЙ ИМПОРТ</t>
  </si>
  <si>
    <t>121353, Г.МОСКВА, Ш СКОЛКОВСКОЕ, Д. 31А, СТР. 1, ЭТАЖ 1 КОМН 7</t>
  </si>
  <si>
    <t>ООО КУЛЬТУРА ПЕЧАТИ</t>
  </si>
  <si>
    <t>107241, Г.МОСКВА, ПР-Д ЧЕРНИЦЫНСКИЙ, Д. 3, СТР. 1, ЭТ 2 ОФ 1307</t>
  </si>
  <si>
    <t>ООО СМСТАРТ</t>
  </si>
  <si>
    <t>107076, Г.МОСКВА, УЛ ОЛЕНИЙ ВАЛ, Д. 7, СТР. 5, ПОМ VII КОМ I</t>
  </si>
  <si>
    <t>105082, Г.МОСКВА, ВН.ТЕР.Г. МУНИЦИПАЛЬНЫЙ ОКРУГ БАСМАННЫЙ, УЛ БОЛЬШАЯ ПОЧТОВАЯ, Д. 1/33, СТР. 1, КОМ. 6</t>
  </si>
  <si>
    <t>ООО ХОРОШАЯ ТЕХНИКА</t>
  </si>
  <si>
    <t>107076, РОССИЯ, Г.МОСКВА, ВН.ТЕР.Г. МУНИЦИПАЛЬНЫЙ ОКРУГ СОКОЛЬНИКИ, ПЕР КОЛОДЕЗНЫЙ, Д. 14, ПОМЕЩ. ЭТАЖ 6, ПОМ XIII, КОМ. 41 (РМ96)</t>
  </si>
  <si>
    <t>ООО ТИДЖИ ГРУПП</t>
  </si>
  <si>
    <t>123056, РОССИЯ, Г.МОСКВА, ВН.ТЕР.Г. МУНИЦИПАЛЬНЫЙ ОКРУГ ПРЕСНЕНСКИЙ, ПЕР КРАСИНА, Д. 15, СТР. 1, ПОМЕЩ. 6/1</t>
  </si>
  <si>
    <t>ООО СМ ГЛОБАЛ</t>
  </si>
  <si>
    <t>107076, РОССИЯ, Г.МОСКВА, ВН.ТЕР.Г. МУНИЦИПАЛЬНЫЙ ОКРУГ СОКОЛЬНИКИ, ПЕР КОЛОДЕЗНЫЙ, Д. 2А, СТР. 3, ПОМЕЩ. III, КОМ. 2</t>
  </si>
  <si>
    <t>ООО ОДИН ГРУПП</t>
  </si>
  <si>
    <t>ООО ДРАЙВ МАРКЕТ</t>
  </si>
  <si>
    <t>107113, РОССИЯ, Г.МОСКВА, ВН.ТЕР.Г. МУНИЦИПАЛЬНЫЙ ОКРУГ СОКОЛЬНИКИ, УЛ РУСАКОВСКАЯ, Д. 31, КВ. 45</t>
  </si>
  <si>
    <t>ООО ДХИМ</t>
  </si>
  <si>
    <t>117041, РОССИЯ, Г.МОСКВА, ВН.ТЕР.Г. МУНИЦИПАЛЬНЫЙ ОКРУГ ЮЖНОЕ БУТОВО, УЛ АДМИРАЛА РУДНЕВА, Д. 20, ПОМЕЩ. 15А/6</t>
  </si>
  <si>
    <t>ООО АВАНГАРД ЛОГИСТИК</t>
  </si>
  <si>
    <t>105082, РОССИЯ, Г.МОСКВА, ВН.ТЕР.Г. МУНИЦИПАЛЬНЫЙ ОКРУГ БАСМАННЫЙ, УЛ БАКУНИНСКАЯ, Д. 71</t>
  </si>
  <si>
    <t>ООО УК АВАНГАРД</t>
  </si>
  <si>
    <t>ООО МИНЕРОЛЬ РУС</t>
  </si>
  <si>
    <t>119034, Г.МОСКВА, ПЕР ПОЖАРСКИЙ, Д. 15, Э 2 ПОМ I К 1</t>
  </si>
  <si>
    <t>ООО БЫТИЕ</t>
  </si>
  <si>
    <t>109428, Г.МОСКВА, ПР-Д 1-Й ВЯЗОВСКИЙ, Д. 5, СТР. 1, ЭТ 3 ПОМ I КОМ 5</t>
  </si>
  <si>
    <t>Г.МОСКВА, ПР-КТ РЯЗАНСКИЙ, Д. 10, СТР. 19, ЭТ 1 КОМ 9</t>
  </si>
  <si>
    <t>ООО ФРЦ ЯМЗ 77</t>
  </si>
  <si>
    <t>111024, РОССИЯ, Г.МОСКВА, ВН.ТЕР.Г. МУНИЦИПАЛЬНЫЙ ОКРУГ ЛЕФОРТОВО, УЛ АВИАМОТОРНАЯ, Д. 50, СТР. 2, ПОМЕЩ./КОМ. XIV/52, ОФИС 11А</t>
  </si>
  <si>
    <t>ООО РАЁЛОДЖИК</t>
  </si>
  <si>
    <t>109052, РОССИЯ, Г.МОСКВА, ВН.ТЕР.Г. МУНИЦИПАЛЬНЫЙ ОКРУГ НИЖЕГОРОДСКИЙ, УЛ ПОДЪЁМНАЯ, Д. 12, СТР. 1, ПОМЕЩ. 2/1</t>
  </si>
  <si>
    <t>ООО СНДПАРТНЕР</t>
  </si>
  <si>
    <t>109316, РОССИЯ, Г.МОСКВА, ВН.ТЕР.Г. МУНИЦИПАЛЬНЫЙ ОКРУГ НИЖЕГОРОДСКИЙ, УЛ ТАЛАЛИХИНА, Д. 41, СТР. 9, ПОМЕЩ. 7Н/6</t>
  </si>
  <si>
    <t>ООО ФИТБЕРГ</t>
  </si>
  <si>
    <t>111020, РОССИЯ, Г.МОСКВА, ВН.ТЕР.Г. МУНИЦИПАЛЬНЫЙ ОКРУГ ЛЕФОРТОВО, УЛ 2-Я СИНИЧКИНА, Д. 9А, СТР. 4, ПОМЕЩ. 1Н/3</t>
  </si>
  <si>
    <t>ООО КУПЕРТОРГ</t>
  </si>
  <si>
    <t>109052, РОССИЯ, Г.МОСКВА, ВН.ТЕР.Г. МУНИЦИПАЛЬНЫЙ ОКРУГ НИЖЕГОРОДСКИЙ, УЛ НИЖЕГОРОДСКАЯ, Д. 71, ПОМЕЩ. 4/1</t>
  </si>
  <si>
    <t>ООО ПЯТЬ ТОРГ</t>
  </si>
  <si>
    <t>111024, РОССИЯ, Г.МОСКВА, ВН.ТЕР.Г. МУНИЦИПАЛЬНЫЙ ОКРУГ ЛЕФОРТОВО, УЛ АВИАМОТОРНАЯ, Д. 50, СТР. 2, ПОМЕЩ. 29/2</t>
  </si>
  <si>
    <t>ПОТРЕБИТЕЛЬСКИЙ КООПЕРАТИВ ЦЕНТРОЗАКАЗ</t>
  </si>
  <si>
    <t>109518, РОССИЯ, Г.МОСКВА, ВН.ТЕР.Г. МУНИЦИПАЛЬНЫЙ ОКРУГ ТЕКСТИЛЬЩИКИ, ПРОЕЗД 1-Й ГРАЙВОРОНОВСКИЙ, Д. 13, К. 2, ПОМЕЩ. 27К</t>
  </si>
  <si>
    <t>ООО ВТК ОСНОВА</t>
  </si>
  <si>
    <t>111024, РОССИЯ, Г.МОСКВА, ВН.ТЕР.Г. МУНИЦИПАЛЬНЫЙ ОКРУГ ЛЕФОРТОВО, УЛ АВИАМОТОРНАЯ, Д. 50, СТР. 2, ПОМЕЩ. 42/2</t>
  </si>
  <si>
    <t>ООО ФОРЗЕКС</t>
  </si>
  <si>
    <t>109052, РОССИЯ, Г.МОСКВА, ВН.ТЕР.Г. МУНИЦИПАЛЬНЫЙ ОКРУГ НИЖЕГОРОДСКИЙ, УЛ НИЖЕГОРОДСКАЯ, Д. 70, К. 1, ПОМЕЩ. 5/1</t>
  </si>
  <si>
    <t>ООО ИНТЕРФЛОН МОСКВА</t>
  </si>
  <si>
    <t>109469, Г.МОСКВА, Б-Р ПЕРЕРВИНСКИЙ, Д. 17, К. 1, КВ. 89</t>
  </si>
  <si>
    <t>ООО АВТОСТРУКТУРА АВТОЗАПЧАСТИ</t>
  </si>
  <si>
    <t>115142, Г.МОСКВА, ВН.ТЕР.Г. МУНИЦИПАЛЬНЫЙ ОКРУГ НАГАТИНСКИЙ ЗАТОН, УЛ КОЛОМЕНСКАЯ, Д. 1, ПОМЕЩ. 5/1</t>
  </si>
  <si>
    <t>ООО ТОРКОМПАНИ</t>
  </si>
  <si>
    <t>ООО ТОРГСЕРВИС 150</t>
  </si>
  <si>
    <t>109382, Г.МОСКВА, ВН.ТЕР.Г. МУНИЦИПАЛЬНЫЙ ОКРУГ ЛЮБЛИНО, ПРОЕЗД ЕГОРЬЕВСКИЙ, Д. 3Ж, СТР. 8</t>
  </si>
  <si>
    <t>ООО НОВЫЙ ГОРОД</t>
  </si>
  <si>
    <t>109380, Г.МОСКВА, ВН.ТЕР.Г. МУНИЦИПАЛЬНЫЙ ОКРУГ ЛЮБЛИНО, УЛ ЧАГИНСКАЯ, Д. 4, СТР. 10</t>
  </si>
  <si>
    <t>ООО ГЛОБАЛ ПАРТС</t>
  </si>
  <si>
    <t>109469, Г.МОСКВА, ВН.ТЕР.Г. МУНИЦИПАЛЬНЫЙ ОКРУГ МАРЬИНО, УЛ ПОРЕЧНАЯ, Д. 10, ЭТАЖ/ПОМЕЩ. 4/11, КОМ. 158</t>
  </si>
  <si>
    <t>127238, РОССИЯ, Г.МОСКВА, ВН.ТЕР.Г. МУНИЦИПАЛЬНЫЙ ОКРУГ ТИМИРЯЗЕВСКИЙ, ПРОЕЗД ЛОКОМОТИВНЫЙ, Д. 19</t>
  </si>
  <si>
    <t>ООО ЭЙ ЛЭВЭЛ</t>
  </si>
  <si>
    <t>115088, РОССИЯ, Г.МОСКВА, ВН.ТЕР.Г. МУНИЦИПАЛЬНЫЙ ОКРУГ ПЕЧАТНИКИ, УЛ УГРЕШСКАЯ, Д. 12, СТР. 1</t>
  </si>
  <si>
    <t>115088, РОССИЯ, Г.МОСКВА, ВН.ТЕР.Г. МУНИЦИПАЛЬНЫЙ ОКРУГ ПЕЧАТНИКИ, ПРОЕЗД 3-Й УГРЕШСКИЙ, Д. 8, СТР. 9, ПОМЕЩ. 4/1</t>
  </si>
  <si>
    <t>115088, РОССИЯ, Г.МОСКВА, ВН.ТЕР.Г. МУНИЦИПАЛЬНЫЙ ОКРУГ ПЕЧАТНИКИ, ПРОЕЗД 2-Й ЮЖНОПОРТОВЫЙ, Д. 14/22, СТР. 1, ПОМЕЩЕНИЕ/ЭТАЖ 4/1, КАБИНЕТ 4</t>
  </si>
  <si>
    <t>ООО ПРОПАРТС ИМПОРТ</t>
  </si>
  <si>
    <t>109387, РОССИЯ, Г.МОСКВА, ВН.ТЕР.Г. МУНИЦИПАЛЬНЫЙ ОКРУГ ЛЮБЛИНО, УЛ ЛЮБЛИНСКАЯ, Д. 42, ПОМЕЩ. 13/10/2</t>
  </si>
  <si>
    <t>ООО АБСОЛЮТ ИНДАСТРИАЛ</t>
  </si>
  <si>
    <t>117292, РОССИЯ, Г.МОСКВА, ВН.ТЕР.Г. МУНИЦИПАЛЬНЫЙ ОКРУГ АКАДЕМИЧЕСКИЙ, УЛ ПРОФСОЮЗНАЯ, Д. 3</t>
  </si>
  <si>
    <t>ООО ИВАРТ АВТО ОПТ</t>
  </si>
  <si>
    <t>109651, РОССИЯ, Г.МОСКВА, ВН.ТЕР.Г. МУНИЦИПАЛЬНЫЙ ОКРУГ МАРЬИНО, УЛ ЛЮБЛИНСКАЯ, Д. 92, К. 2, ПОМЕЩ. 1/1</t>
  </si>
  <si>
    <t>ООО ТОРГОВЫЙ ПРОМЫШЛЕННЫЙ ДОМ СИСТЕМА</t>
  </si>
  <si>
    <t>109341, РОССИЯ, Г.МОСКВА, ВН.ТЕР.Г. МУНИЦИПАЛЬНЫЙ ОКРУГ МАРЬИНО, УЛ ПЕРЕРВА, Д. 56/2, КВ. 71</t>
  </si>
  <si>
    <t>ООО ЦМТ</t>
  </si>
  <si>
    <t>109380, РОССИЯ, Г.МОСКВА, ВН.ТЕР.Г. МУНИЦИПАЛЬНЫЙ ОКРУГ ЛЮБЛИНО, УЛ ЧАГИНСКАЯ, Д. 4, СТР. 13, ПОМЕЩ. 28/2</t>
  </si>
  <si>
    <t>ООО АВТОКЛЕМА</t>
  </si>
  <si>
    <t>109651, РОССИЯ, Г.МОСКВА, ВН.ТЕР.Г. МУНИЦИПАЛЬНЫЙ ОКРУГ МАРЬИНО, УЛ ПЕРЕРВА, Д. 16, ПОМЕЩ. 26П</t>
  </si>
  <si>
    <t>ООО АН ДИСТРИБЬЮШН</t>
  </si>
  <si>
    <t>109469, РОССИЯ, Г.МОСКВА, ВН.ТЕР.Г. МУНИЦИПАЛЬНЫЙ ОКРУГ МАРЬИНО, УЛ БЕЛОРЕЧЕНСКАЯ, Д. 34, К. 1, КВ. 97</t>
  </si>
  <si>
    <t>ООО ЭЛТРАНС АВТО</t>
  </si>
  <si>
    <t>117630, Г.МОСКВА, ВН.ТЕР.Г. МУНИЦИПАЛЬНЫЙ ОКРУГ ОБРУЧЕВСКИЙ, УЛ ВОРОНЦОВСКИЕ ПРУДЫ, Д. 3, ПОМЕЩ. 1/16П</t>
  </si>
  <si>
    <t>ООО МИКС-ОЙЛ</t>
  </si>
  <si>
    <t>115230, Г.МОСКВА, ВН.ТЕР.Г. МУНИЦИПАЛЬНЫЙ ОКРУГ НАГАТИНО-САДОВНИКИ, ПРОЕЗД ХЛЕБОЗАВОДСКИЙ, Д. 7, СТР. 9, ПОМЕЩ. 1/10</t>
  </si>
  <si>
    <t>115477, РОССИЯ, Г.МОСКВА, ВН.ТЕР.Г. МУНИЦИПАЛЬНЫЙ ОКРУГ МОСКВОРЕЧЬЕ-САБУРОВО, УЛ КАНТЕМИРОВСКАЯ, Д. 58, ПОМЕЩ. 18Н/3</t>
  </si>
  <si>
    <t>115093, РОССИЯ, Г.МОСКВА, ВН.ТЕР.Г. МУНИЦИПАЛЬНЫЙ ОКРУГ ЗАМОСКВОРЕЧЬЕ, УЛ БОЛЬШАЯ СЕРПУХОВСКАЯ, Д. 31, К. 6, ПОМЕЩ. 1/П</t>
  </si>
  <si>
    <t>ООО ПСТ СИСТЕМА</t>
  </si>
  <si>
    <t>117152, РОССИЯ, Г.МОСКВА, ВН.ТЕР.Г. МУНИЦИПАЛЬНЫЙ ОКРУГ ДОНСКОЙ, ПР-КТ СЕВАСТОПОЛЬСКИЙ, Д. 9, К. 2, ПОМЕЩ. 1Н</t>
  </si>
  <si>
    <t>ООО ДЖИБИ-ИМПОРТ</t>
  </si>
  <si>
    <t>125171, РОССИЯ, Г.МОСКВА, ВН.ТЕР.Г. МУНИЦИПАЛЬНЫЙ ОКРУГ ВОЙКОВСКИЙ, ПРОЕЗД 1-Й ВОЙКОВСКИЙ, Д. 4, К. 1, ПОМЕЩ. 1/1</t>
  </si>
  <si>
    <t>ООО ГИКАВТО</t>
  </si>
  <si>
    <t>117105, РОССИЯ, Г.МОСКВА, ВН.ТЕР.Г. МУНИЦИПАЛЬНЫЙ ОКРУГ НАГАТИНО-САДОВНИКИ, ПРОЕЗД НАГАТИНСКИЙ 1-Й, Д. 2</t>
  </si>
  <si>
    <t>115569, РОССИЯ, Г.МОСКВА, ВН.ТЕР.Г. МУНИЦИПАЛЬНЫЙ ОКРУГ ОРЕХОВО-БОРИСОВО СЕВЕРНОЕ, УЛ ДОМОДЕДОВСКАЯ, Д. 4, ПОМЕЩ. 19П</t>
  </si>
  <si>
    <t>ООО ИВАРТ АВТО</t>
  </si>
  <si>
    <t>115407, Г.МОСКВА, ВН.ТЕР.Г. МУНИЦИПАЛЬНЫЙ ОКРУГ НАГАТИНСКИЙ ЗАТОН, УЛ СУДОСТРОИТЕЛЬНАЯ, Д. 36, ПОМЕЩ. 3П</t>
  </si>
  <si>
    <t>ООО АСТК ПАРТС</t>
  </si>
  <si>
    <t>115142, Г.МОСКВА, ВН.ТЕР.Г. МУНИЦИПАЛЬНЫЙ ОКРУГ НАГАТИНСКИЙ ЗАТОН, УЛ КОЛОМЕНСКАЯ, Д. 1, ПОМЕЩ. 1/1</t>
  </si>
  <si>
    <t>ООО ДЕТАЛИТЕТ</t>
  </si>
  <si>
    <t>115142, Г.МОСКВА, ВН.ТЕР.Г. МУНИЦИПАЛЬНЫЙ ОКРУГ НАГАТИНСКИЙ ЗАТОН, УЛ РЕЧНИКОВ, Д. 21, СТР. 4</t>
  </si>
  <si>
    <t>ООО СЕРТКОМ СЕРВИС</t>
  </si>
  <si>
    <t>115280, РОССИЯ, Г.МОСКВА, ВН.ТЕР.Г. МУНИЦИПАЛЬНЫЙ ОКРУГ ДАНИЛОВСКИЙ, УЛ ЛЕНИНСКАЯ СЛОБОДА, Д. 26, ЭТАЖ 2 ПОМЕЩ. 208 ОФИС 5</t>
  </si>
  <si>
    <t>115280, РОССИЯ, Г.МОСКВА, ВН.ТЕР.Г. МУНИЦИПАЛЬНЫЙ ОКРУГ ДАНИЛОВСКИЙ, УЛ АВТОЗАВОДСКАЯ, Д. 20, СТР. 1, ЭТАЖ/ПОМЕЩ. 1/IV, КОМ. 8</t>
  </si>
  <si>
    <t>ООО ТИС-МБ</t>
  </si>
  <si>
    <t>115280, РОССИЯ, Г.МОСКВА, ВН.ТЕР.Г. МУНИЦИПАЛЬНЫЙ ОКРУГ ДАНИЛОВСКИЙ, УЛ ЛЕНИНСКАЯ СЛОБОДА, Д. 19, ПОМЕЩ. 62/1</t>
  </si>
  <si>
    <t>ООО СПЕЦИАЛИЗИРОВАННЫЙ ЦЕНТР ОБСЛУЖИВАНИЯ</t>
  </si>
  <si>
    <t>117545, РОССИЯ, Г.МОСКВА, ВН.ТЕР.Г. МУНИЦИПАЛЬНЫЙ ОКРУГ ЧЕРТАНОВО ЦЕНТРАЛЬНОЕ, ПРОЕЗД 1-Й ДОРОЖНЫЙ, Д. 5</t>
  </si>
  <si>
    <t>ООО ИМПОРТ</t>
  </si>
  <si>
    <t>115191, РОССИЯ, Г.МОСКВА, ВН.ТЕР.Г. МУНИЦИПАЛЬНЫЙ ОКРУГ ДАНИЛОВСКИЙ, ПЕР ХОЛОДИЛЬНЫЙ, Д. 2, ПОМЕЩ. 19Ч</t>
  </si>
  <si>
    <t>ООО КИПАРИС</t>
  </si>
  <si>
    <t>ООО ВАМ ПАРТС</t>
  </si>
  <si>
    <t>119421, РОССИЯ, Г.МОСКВА, ВН.ТЕР.Г. МУНИЦИПАЛЬНЫЙ ОКРУГ ОБРУЧЕВСКИЙ, УЛ НОВАТОРОВ, Д. 34, К. 5, КВ. 306</t>
  </si>
  <si>
    <t>ООО ТЕПЛОПОТОК</t>
  </si>
  <si>
    <t>117574, РОССИЯ, Г.МОСКВА, ВН.ТЕР.Г. МУНИЦИПАЛЬНЫЙ ОКРУГ ЯСЕНЕВО, ПРОЕЗД ОДОЕВСКОГО, Д. 2А, ПОМЕЩ. 1/12/5</t>
  </si>
  <si>
    <t>ООО НАРУН</t>
  </si>
  <si>
    <t>119421, РОССИЯ, Г.МОСКВА, ВН.ТЕР.Г. МУНИЦИПАЛЬНЫЙ ОКРУГ ОБРУЧЕВСКИЙ, ПР-КТ ЛЕНИНСКИЙ, Д. 111, К. 1, ПОМЕЩ. 51А/Н/3</t>
  </si>
  <si>
    <t>ООО АВТОГРУПП-М</t>
  </si>
  <si>
    <t>115211, Г.МОСКВА, Ш КАШИРСКОЕ, Д. 53, К. 6, КОМ. 3</t>
  </si>
  <si>
    <t>ООО УЛЬТРА МАРКЕТИНГ</t>
  </si>
  <si>
    <t>125480, Г.МОСКВА, УЛ ВИЛИСА ЛАЦИСА, Д. 6, К. 1, КОМ. 16</t>
  </si>
  <si>
    <t>119602, Г.МОСКВА, УЛ НИКУЛИНСКАЯ, Д. 27, К. 3, КВ. 165</t>
  </si>
  <si>
    <t>ООО АТЛАНТ СМ</t>
  </si>
  <si>
    <t>121471, Г.МОСКВА, УЛ РЯБИНОВАЯ, Д. 28А, СТР. 1, ЭТ 3 ПОМ I КОМ 11</t>
  </si>
  <si>
    <t>ООО ТРВ АВТО</t>
  </si>
  <si>
    <t>119526, Г.МОСКВА, ВН.ТЕР.Г. МУНИЦИПАЛЬНЫЙ ОКРУГ ТРОПАРЕВО-НИКУЛИНО, ПР-КТ ВЕРНАДСКОГО, Д. 97, СТР. 3</t>
  </si>
  <si>
    <t>ООО ОЛИВЬЕ РИТЕЙЛ</t>
  </si>
  <si>
    <t>119415, Г.МОСКВА, ПР-КТ ВЕРНАДСКОГО, Д. 39, ПОМЕЩ. I, КОМНАТА 17А, ЭТАЖ 2</t>
  </si>
  <si>
    <t>ООО ВИНТТОП</t>
  </si>
  <si>
    <t>119620, Г.МОСКВА, УЛ ВОЛЫНСКАЯ, Д. 8, КВ 171</t>
  </si>
  <si>
    <t>ООО БУЛЬВАР СМ</t>
  </si>
  <si>
    <t>121471, РОССИЯ, Г.МОСКВА, ВН.ТЕР.Г. МУНИЦИПАЛЬНЫЙ ОКРУГ ОЧАКОВО-МАТВЕЕВСКОЕ, УЛ РЯБИНОВАЯ, Д. 69, СТР. 5, ПОМЕЩ. II, КОМ. 15</t>
  </si>
  <si>
    <t>ООО АВТОИМПОРТ</t>
  </si>
  <si>
    <t>121471, РОССИЯ, Г.МОСКВА, ВН.ТЕР.Г. МУНИЦИПАЛЬНЫЙ ОКРУГ ОЧАКОВО-МАТВЕЕВСКОЕ, УЛ РЯБИНОВАЯ, Д. 41, К. 1, СТР. 1, ЭТАЖ 2, ПОМЕЩ. 23</t>
  </si>
  <si>
    <t>ООО ТРЕЙД ПАРТНЁР</t>
  </si>
  <si>
    <t>119633, РОССИЯ, Г.МОСКВА, ВН.ТЕР.Г. МУНИЦИПАЛЬНЫЙ ОКРУГ НОВО-ПЕРЕДЕЛКИНО, Ш. БОРОВСКОЕ, Д. 18, К. 3, ПОМЕЩ. 1Н</t>
  </si>
  <si>
    <t>119620, РОССИЯ, Г.МОСКВА, ВН.ТЕР.Г. МУНИЦИПАЛЬНЫЙ ОКРУГ СОЛНЦЕВО, ПР-КТ СОЛНЦЕВСКИЙ, Д. 14, ПОМЕЩ. 4/1</t>
  </si>
  <si>
    <t>119618, РОССИЯ, Г.МОСКВА, ВН.ТЕР.Г. МУНИЦИПАЛЬНЫЙ ОКРУГ СОЛНЦЕВО, Ш. БОРОВСКОЕ, Д. 6А</t>
  </si>
  <si>
    <t>ООО ОНИВС РУС</t>
  </si>
  <si>
    <t>119618, РОССИЯ, Г.МОСКВА, ВН.ТЕР.Г. МУНИЦИПАЛЬНЫЙ ОКРУГ СОЛНЦЕВО, УЛ БОГДАНОВА, Д. 12, К. 1, ПОМЕЩ. 3/5</t>
  </si>
  <si>
    <t>ООО ПЕТРО-ОЙЛ</t>
  </si>
  <si>
    <t>115230, Г.МОСКВА, ВН.ТЕР.Г. МУНИЦИПАЛЬНЫЙ ОКРУГ НАГАТИНО-САДОВНИКИ, ПРОЕЗД ХЛЕБОЗАВОДСКИЙ, Д. 7, СТР. 9, ПОМЕЩ. 38/Н</t>
  </si>
  <si>
    <t>ООО ОПТИМ ПАРТС</t>
  </si>
  <si>
    <t>121357, Г.МОСКВА, УЛ ВЕРЕЙСКАЯ, Д. 29, СТР. 1, ЭТАЖ 2 КОМ 20А 20Б</t>
  </si>
  <si>
    <t>ООО ФИТ ЛЮБЕРЦЫ</t>
  </si>
  <si>
    <t>121596, РОССИЯ, Г.МОСКВА, ВН.ТЕР.Г. МУНИЦИПАЛЬНЫЙ ОКРУГ МОЖАЙСКИЙ, УЛ ГОРБУНОВА, Д. 12, К. 2, СТР. 4, ПОМЕЩ. I, ЭТАЖ 3, ЧАСТЬ КОМН №42</t>
  </si>
  <si>
    <t>121596, РОССИЯ, Г.МОСКВА, ВН.ТЕР.Г. МУНИЦИПАЛЬНЫЙ ОКРУГ МОЖАЙСКИЙ, УЛ ГОРБУНОВА, Д. 2, СТР. 3, ПОМЕЩ. 12/8</t>
  </si>
  <si>
    <t>ООО ВСМ-АВТО</t>
  </si>
  <si>
    <t>121352, РОССИЯ, Г.МОСКВА, ВН.ТЕР.Г. МУНИЦИПАЛЬНЫЙ ОКРУГ ФИЛИ-ДАВЫДКОВО, Б-Р СЛАВЯНСКИЙ, Д. 9, К. 1, ПОМЕЩ. 1/1</t>
  </si>
  <si>
    <t>ФИЛИАЛ АКЦИОНЕРНОГО ОБЩЕСТВА ДЖИ ЭС КАЛТЕКС</t>
  </si>
  <si>
    <t>ООО ХИМОПТИМУМГРУПП</t>
  </si>
  <si>
    <t>119619, РОССИЯ, Г.МОСКВА, ВН.ТЕР.Г. МУНИЦИПАЛЬНЫЙ ОКРУГ СОЛНЦЕВО, УЛ АВИАТОРОВ, Д. 8, КВ. 152</t>
  </si>
  <si>
    <t>ООО БКМ-СТРОЙ</t>
  </si>
  <si>
    <t>119192, РОССИЯ, Г.МОСКВА, ВН.ТЕР.Г. МУНИЦИПАЛЬНЫЙ ОКРУГ РАМЕНКИ, УЛ МОСФИЛЬМОВСКАЯ, Д. 53, ЭТ./ПОМЕЩ. 1/XCIII, КОМ./ОФИС. 1/2</t>
  </si>
  <si>
    <t>ООО ДМ</t>
  </si>
  <si>
    <t>119415, РОССИЯ, Г.МОСКВА, ВН.ТЕР.Г. МУНИЦИПАЛЬНЫЙ ОКРУГ ПРОСПЕКТ ВЕРНАДСКОГО, ПР-КТ ВЕРНАДСКОГО, Д. 37, К. 3</t>
  </si>
  <si>
    <t>ООО ТОДЕТАЛЬ</t>
  </si>
  <si>
    <t>121596, Г.МОСКВА, ВН.ТЕР.Г. МУНИЦИПАЛЬНЫЙ ОКРУГ МОЖАЙСКИЙ, УЛ ГОРБУНОВА, Д. 12, К. 2, ЭТАЖ/ПОМЕЩ. 1/I, ЧАСТЬ КОМ. 4</t>
  </si>
  <si>
    <t>ООО ДАЕР</t>
  </si>
  <si>
    <t>121614, Г.МОСКВА, ВН.ТЕР.Г. МУНИЦИПАЛЬНЫЙ ОКРУГ КРЫЛАТСКОЕ, УЛ КРЫЛАТСКИЕ ХОЛМЫ, Д. 32, К. 2, ПОМЕЩ. 4/1</t>
  </si>
  <si>
    <t>ООО ПСИ-КО</t>
  </si>
  <si>
    <t>121354, Г.МОСКВА, Ш МОЖАЙСКОЕ, Д. 30, КВ. 12</t>
  </si>
  <si>
    <t>ООО МОСТ АВТО</t>
  </si>
  <si>
    <t>121596, РОССИЯ, Г.МОСКВА, ВН.ТЕР.Г. МУНИЦИПАЛЬНЫЙ ОКРУГ МОЖАЙСКИЙ, УЛ ГОРБУНОВА, Д. 12, К. 2, ЭТАЖ 3, ПОМЕЩ. I, Ч. КОМН.4 (00301Г)</t>
  </si>
  <si>
    <t>ООО ТАУЭР МОТОРС</t>
  </si>
  <si>
    <t>121596, РОССИЯ, Г.МОСКВА, ВН.ТЕР.Г. МУНИЦИПАЛЬНЫЙ ОКРУГ МОЖАЙСКИЙ, УЛ ГОРБУНОВА, Д. 12, К. 2, СТР. 8, ЭТАЖ 3, ПОМЕЩ. I, ЧАСТЬ КОМН.12 (А303А)</t>
  </si>
  <si>
    <t>125047, РОССИЯ, Г.МОСКВА, ВН.ТЕР.Г. МУНИЦИПАЛЬНЫЙ ОКРУГ ТВЕРСКОЙ, ПЕР 4-Й ЛЕСНОЙ, Д. 4</t>
  </si>
  <si>
    <t>ООО СТАНКО-Ч</t>
  </si>
  <si>
    <t>117042, РОССИЯ, Г.МОСКВА, ВН.ТЕР.Г. МУНИЦИПАЛЬНЫЙ ОКРУГ ЮЖНОЕ БУТОВО, УЛ ЮЖНОБУТОВСКАЯ, Д. 137, ПОМЕЩ. 1/1</t>
  </si>
  <si>
    <t>ООО ПЯТЬ БРЕНДОВ</t>
  </si>
  <si>
    <t>117623, РОССИЯ, Г.МОСКВА, ВН.ТЕР.Г. МУНИЦИПАЛЬНЫЙ ОКРУГ ЮЖНОЕ БУТОВО, ПРОЕЗД ПРОЕКТИРУЕМЫЙ 185-Й, ВЛД. 8, СТР. 2</t>
  </si>
  <si>
    <t>ООО СТАНЧИНА</t>
  </si>
  <si>
    <t>117452, РОССИЯ, Г.МОСКВА, ВН.ТЕР.Г. МУНИЦИПАЛЬНЫЙ ОКРУГ ЗЮЗИНО, Б-Р ЧЕРНОМОРСКИЙ, Д. 17, К. 1, ПОМЕЩ. 5/3/5</t>
  </si>
  <si>
    <t>ООО ТД СИБИРЬ</t>
  </si>
  <si>
    <t>119421, Г.МОСКВА, ПР-КТ ЛЕНИНСКИЙ, Д. 103, ЭТ 1 ПОМ XXI КОМ 4</t>
  </si>
  <si>
    <t>ООО МЕЛИТЭК ТЕСТИНГ</t>
  </si>
  <si>
    <t>119571, РОССИЯ, Г.МОСКВА, ВН.ТЕР.Г. МУНИЦИПАЛЬНЫЙ ОКРУГ ОБРУЧЕВСКИЙ, ПР-КТ ЛЕНИНСКИЙ, Д. 119А, ПОМЕЩ. 9Н</t>
  </si>
  <si>
    <t>ООО БЭСТ БИЗНЕС</t>
  </si>
  <si>
    <t>117292, РОССИЯ, Г.МОСКВА, ВН.ТЕР.Г. МУНИЦИПАЛЬНЫЙ ОКРУГ АКАДЕМИЧЕСКИЙ, ПР-КТ НАХИМОВСКИЙ, Д. 52/27, КВ. 38</t>
  </si>
  <si>
    <t>ООО ЭЛ ДИСТРИБЬЮШН</t>
  </si>
  <si>
    <t>117342, РОССИЯ, Г.МОСКВА, ВН.ТЕР.Г. МУНИЦИПАЛЬНЫЙ ОКРУГ КОНЬКОВО, УЛ БУТЛЕРОВА, Д. 17, ПОМЕЩ. 158/3</t>
  </si>
  <si>
    <t>ООО ТЕХ-ФИТ</t>
  </si>
  <si>
    <t>ООО ЕМС ХИМИЧЕСКАЯ КОРПОРАЦИЯ</t>
  </si>
  <si>
    <t>117593, РОССИЯ, Г.МОСКВА, ВН.ТЕР.Г. МУНИЦИПАЛЬНЫЙ ОКРУГ ЯСЕНЕВО, ПРОЕЗД СОЛОВЬИНЫЙ, Д. 2, ПОМЕЩ. 1Н</t>
  </si>
  <si>
    <t>ООО ДОК МОТОРС</t>
  </si>
  <si>
    <t>119421, РОССИЯ, Г.МОСКВА, ВН.ТЕР.Г. МУНИЦИПАЛЬНЫЙ ОКРУГ ОБРУЧЕВСКИЙ, УЛ НОВАТОРОВ, Д. 7А, К. 2</t>
  </si>
  <si>
    <t>ООО КЛАСС ОЙЛ</t>
  </si>
  <si>
    <t>ООО АВТО-ВЕНОЛ</t>
  </si>
  <si>
    <t>117246, РОССИЯ, Г.МОСКВА, ВН.ТЕР.Г. МУНИЦИПАЛЬНЫЙ ОКРУГ ЧЕРЕМУШКИ, ПРОЕЗД НАУЧНЫЙ, Д. 19, ПОМЕЩ. 6Д</t>
  </si>
  <si>
    <t>ООО БАЗА</t>
  </si>
  <si>
    <t>ООО РАЙДЕР</t>
  </si>
  <si>
    <t>117630, РОССИЯ, Г.МОСКВА, ВН.ТЕР.Г. МУНИЦИПАЛЬНЫЙ ОКРУГ ОБРУЧЕВСКИЙ, Ш СТАРОКАЛУЖСКОЕ, Д. 62, ПОМЕЩ. 1/3</t>
  </si>
  <si>
    <t>ООО АВТОБАН-ЭКСПЛУАТАЦИЯ</t>
  </si>
  <si>
    <t>119571, Г.МОСКВА, ПР-КТ ВЕРНАДСКОГО, Д. 92, К. 1, КОМН. 11</t>
  </si>
  <si>
    <t>ООО ТД ЛИКВИ МОЛИ РУССЛАНД</t>
  </si>
  <si>
    <t>121471, Г.МОСКВА, УЛ РЯБИНОВАЯ, Д. 44, ЭТ 3 ПОМ II</t>
  </si>
  <si>
    <t>ООО КРАНТ</t>
  </si>
  <si>
    <t>119634, РОССИЯ, Г.МОСКВА, ВН.ТЕР.Г. МУНИЦИПАЛЬНЫЙ ОКРУГ НОВО-ПЕРЕДЕЛКИНО, УЛ ЧОБОТОВСКАЯ, Д. 17, ПОМЕЩ./КОМ 1Н/4, ОФИС В-03</t>
  </si>
  <si>
    <t>ООО АВТОПЛАЗА</t>
  </si>
  <si>
    <t>119602, РОССИЯ, Г.МОСКВА, ВН.ТЕР.Г. МУНИЦИПАЛЬНЫЙ ОКРУГ ТРОПАРЕВО-НИКУЛИНО, УЛ ТРОПАРЁВСКАЯ, ВЛД. 4, СТР. 3</t>
  </si>
  <si>
    <t>121471, Г.МОСКВА, Ш МОЖАЙСКОЕ, Д. 25, ЭТАЖ 3 КОМН 2</t>
  </si>
  <si>
    <t>ООО РУС МОТО</t>
  </si>
  <si>
    <t>121609, Г.МОСКВА, УЛ КРЫЛАТСКАЯ, Д. 35, ПОМ IV КОМ 22, 23</t>
  </si>
  <si>
    <t>ООО КОМТРАНС ЛОГИСТИК</t>
  </si>
  <si>
    <t>119361, Г.МОСКВА, ВН.ТЕР.Г. МУНИЦИПАЛЬНЫЙ ОКРУГ ОЧАКОВО-МАТВЕЕВСКОЕ, УЛ ОЗЁРНАЯ, Д. 42, ПОМЕЩ. 112А</t>
  </si>
  <si>
    <t>ООО ПРОМДИЗЕЛЬКОМПЛЕКТ</t>
  </si>
  <si>
    <t>119619, Г.МОСКВА, ВН.ТЕР.Г. МУНИЦИПАЛЬНЫЙ ОКРУГ СОЛНЦЕВО, УЛ ПРОИЗВОДСТВЕННАЯ, Д. 11, СТР. 8, ПОМЕЩ. 8322/1, 8322/2</t>
  </si>
  <si>
    <t>ООО АВТОХАУС</t>
  </si>
  <si>
    <t>121596, Г.МОСКВА, УЛ ГОРБУНОВА, Д. 2, СТР. 3, ЭТ 8 ПОМ II К 38Д О 62</t>
  </si>
  <si>
    <t>121596, Г.МОСКВА, УЛ ГОРБУНОВА, Д. 12, К. 2 СТР. 5, ЭТ 3 ПОМ I КОМ 16(ЧАСТЬ)</t>
  </si>
  <si>
    <t>ООО ХИМТРЕЙД</t>
  </si>
  <si>
    <t>127411, РОССИЯ, Г.МОСКВА, ВН.ТЕР.Г. МУНИЦИПАЛЬНЫЙ ОКРУГ ДМИТРОВСКИЙ, Ш ДМИТРОВСКОЕ, Д. 110, СТР. 53, ЭТАЖ 2, ПОМЕЩ. VI/КОМНАТА 7</t>
  </si>
  <si>
    <t>ООО Ю-ДЖИ ЛАБ</t>
  </si>
  <si>
    <t>121596, РОССИЯ, Г.МОСКВА, ВН.ТЕР.Г. МУНИЦИПАЛЬНЫЙ ОКРУГ МОЖАЙСКИЙ, УЛ ГОРБУНОВА, Д. 12, К. 2, ЭТАЖ 6 ПОМЕЩ. I, КОМ. 31</t>
  </si>
  <si>
    <t>ООО НАМ РЕСУРС</t>
  </si>
  <si>
    <t>121471, РОССИЯ, Г.МОСКВА, ВН.ТЕР.Г. МУНИЦИПАЛЬНЫЙ ОКРУГ МОЖАЙСКИЙ, ПЕР 2-Й ПЕТРА АЛЕКСЕЕВА, Д. 5, ПОМЕЩ. 18К, КОМ. 1</t>
  </si>
  <si>
    <t>ООО ГРОСВАРД</t>
  </si>
  <si>
    <t>127642, РОССИЯ, Г.МОСКВА, ВН.ТЕР.Г. МУНИЦИПАЛЬНЫЙ ОКРУГ ЮЖНОЕ МЕДВЕДКОВО, ПРОЕЗД ДЕЖНЁВА, Д. 9, К. 2, КВ. 276</t>
  </si>
  <si>
    <t>ООО СТ-ТРЕЙДИНГ</t>
  </si>
  <si>
    <t>121087, РОССИЯ, Г.МОСКВА, ВН.ТЕР.Г. МУНИЦИПАЛЬНЫЙ ОКРУГ ФИЛЕВСКИЙ ПАРК, УЛ БАРКЛАЯ, Д. 6, СТР. 5, ПОМЕЩ. 8/1</t>
  </si>
  <si>
    <t>ООО ФИЛЦЕНТР</t>
  </si>
  <si>
    <t>127495, РОССИЯ, Г.МОСКВА, ВН.ТЕР.Г. МУНИЦИПАЛЬНЫЙ ОКРУГ СЕВЕРНЫЙ, Ш ДМИТРОВСКОЕ, Д. 163А, К. 2</t>
  </si>
  <si>
    <t>ФИЛИАЛ СООО М-СТАНДАРТ</t>
  </si>
  <si>
    <t>ИП СЕВЕРУХИН КОНСТАНТИН ГЕОРГИЕВИЧ</t>
  </si>
  <si>
    <t>Санкт-Петербург</t>
  </si>
  <si>
    <t>ИП ГРИНЕВА ОЛЬГА ГЕННАДЬЕВНА</t>
  </si>
  <si>
    <t>ИП САФОНОВ МАКСИМ КОНСТАНТИНОВИЧ</t>
  </si>
  <si>
    <t>ИП ДЁМИНА ЕЛЕНА АНАТОЛЬЕВНА</t>
  </si>
  <si>
    <t>ООО КАМСС-СЕРВИС</t>
  </si>
  <si>
    <t>195273, Г.САНКТ-ПЕТЕРБУРГ, ПР-КТ ПИСКАРЁВСКИЙ, Д. 146, К. 1 СТР1, ОФИС 2</t>
  </si>
  <si>
    <t>ИП САУНИНА НАТАЛЬЯ ДМИТРИЕВНА</t>
  </si>
  <si>
    <t>ИП ИЛЬИН ДМИТРИЙ ОЛЕГОВИЧ</t>
  </si>
  <si>
    <t>ИП ЕФИМЕНКО АЛЕКСАНДР ВЯЧЕСЛАВОВИЧ</t>
  </si>
  <si>
    <t>ИП СУШЕНОК СЕРГЕЙ ВЛАДИМИРОВИЧ</t>
  </si>
  <si>
    <t>ИП ИВАНОВА ЕЛИЗАВЕТА РАМИЛЕВНА</t>
  </si>
  <si>
    <t>ИП БАЯЗИТОВ РИНАТ МАРСЕЛЕВИЧ</t>
  </si>
  <si>
    <t>ИП МЕХНИН АНДРЕЙ ИВАНОВИЧ</t>
  </si>
  <si>
    <t>ИП МИНАЛТДИНОВ ДМИТРИЙ СЕРГЕЕВИЧ</t>
  </si>
  <si>
    <t>ООО ТЕХЦЕНТР СЕВЕР-АВТО</t>
  </si>
  <si>
    <t>191123, Г.САНКТ-ПЕТЕРБУРГ, ВН.ТЕР.Г. МУНИЦИПАЛЬНЫЙ ОКРУГ ЛИТЕЙНЫЙ ОКРУГ, УЛ ШПАЛЕРНАЯ, Д. 30, ЛИТЕРА А, ПОМЕЩ. 3-Н, ОФ. 3-4</t>
  </si>
  <si>
    <t>ИП ЩЕРБАНЬ ВАЛЕНТИН АНДРЕЕВИЧ</t>
  </si>
  <si>
    <t>АО МОТОРАВТО</t>
  </si>
  <si>
    <t>191144, Г.САНКТ-ПЕТЕРБУРГ, УЛ МЫТНИНСКАЯ, Д. 12/44, ЛИТЕР А, ЭТ/П/П/ОФ 1/1Н/28/9</t>
  </si>
  <si>
    <t>ИП НИКУЛИН АЛЕКСАНДР СЕРГЕЕВИЧ</t>
  </si>
  <si>
    <t>ИП РЫЖОВ АЛЕКСЕЙ НИКОЛАЕВИЧ</t>
  </si>
  <si>
    <t>ИП КЕРРО ВЛАДИМИР ЭДУАРДОВИЧ</t>
  </si>
  <si>
    <t>ИП Ищенко Светлана Владимировна</t>
  </si>
  <si>
    <t>ИП СЫЧЕВ АЛЕКСЕЙ ОЛЕГОВИЧ</t>
  </si>
  <si>
    <t>ИП ШОХАЙДАРОВ ТИМУР ШОХАЙДАРОВИЧ</t>
  </si>
  <si>
    <t>ИП ХАРИТОНОВ СЕРГЕЙ ЕВГЕНЬЕВИЧ</t>
  </si>
  <si>
    <t>ИП МАЛЫШЕВ АЛЕКСЕЙ ВИКТОРОВИЧ</t>
  </si>
  <si>
    <t>ИП КУЗЬМИН ДМИТРИЙ СЕРГЕЕВИЧ</t>
  </si>
  <si>
    <t>ИП ЗАХАРОВА СВЕТЛАНА СЕРГЕЕВНА</t>
  </si>
  <si>
    <t>ИП ЧЕРДАНЦЕВА ЕВГЕНИЯ ЮРЬЕВНА</t>
  </si>
  <si>
    <t>ИП Исраилов Константин Кадыржанович</t>
  </si>
  <si>
    <t>ИП БИКБУЛАТОВА РАЛИНА АЛЬБЕРТОВНА</t>
  </si>
  <si>
    <t>ИП ПОТАПОВА ОЛЬГА КИРИЛЛОВНА</t>
  </si>
  <si>
    <t>ИП ИЩЕНКО ИГОРЬ ВИКТОРОВИЧ</t>
  </si>
  <si>
    <t>ИП ГЕРАСИМЕНКО СЕРГЕЙ МИХАЙЛОВИЧ</t>
  </si>
  <si>
    <t>ИП ПЕНДЮРИН РОМАН СЕРГЕЕВИЧ</t>
  </si>
  <si>
    <t>ИП ГОЛУБАЕВА АНИТА ПЕТРОВНА</t>
  </si>
  <si>
    <t>ООО МАРКОН-ХОЛОД</t>
  </si>
  <si>
    <t>196128, Г.САНКТ-ПЕТЕРБУРГ, УЛ ВАРШАВСКАЯ, Д. 19, К. 1 ЛИТЕР А, ПОМЕЩ. 27-Н ОФИС 9</t>
  </si>
  <si>
    <t>ИП САМУТИЧЕВ РОМАН ВЛАДИМИРОВИЧ</t>
  </si>
  <si>
    <t>ООО БАСТИОН ГРУП</t>
  </si>
  <si>
    <t>197343, Г.САНКТ-ПЕТЕРБУРГ, УЛ МАТРОСА ЖЕЛЕЗНЯКА, Д. 57, ЛИТЕР А, ПОМЕЩ. 145Н</t>
  </si>
  <si>
    <t>ООО АЛЕКС ТРЕЙД</t>
  </si>
  <si>
    <t>198097, Г.САНКТ-ПЕТЕРБУРГ, ПР-КТ СТАЧЕК, Д. 47, ЛИТЕР Ц, ПОМ 6-Н ОФИС 49</t>
  </si>
  <si>
    <t>ООО АМТЕЛ</t>
  </si>
  <si>
    <t>195279, Г.САНКТ-ПЕТЕРБУРГ, ВН.ТЕР.Г. МУНИЦИПАЛЬНЫЙ ОКРУГ РЖЕВКА, Ш РЕВОЛЮЦИИ, Д. 69, ЛИТЕРА А, ПОМЕЩ. 56Н, ОФИС 208</t>
  </si>
  <si>
    <t>ООО ИНПРОТЕХ</t>
  </si>
  <si>
    <t>199406, Г.САНКТ-ПЕТЕРБУРГ, УЛ ГАВАНСКАЯ, Д. 43, ЛИТЕР А, ПОМЕЩ. 5-Н</t>
  </si>
  <si>
    <t>ООО НП ГРУПП</t>
  </si>
  <si>
    <t>197375, Г.САНКТ-ПЕТЕРБУРГ, УЛ РЕПИЩЕВА, Д. 14, ЛИТЕР Р, ПОМЕЩ. 3Н</t>
  </si>
  <si>
    <t>ООО АКСЕЛЬ-МОТОРС СЕВЕР</t>
  </si>
  <si>
    <t>195220, Г.САНКТ-ПЕТЕРБУРГ, ДОР КУШЕЛЕВСКАЯ, Д. 14, ЛИТЕР А, ПОМЕЩ. 62</t>
  </si>
  <si>
    <t>ИП ЕГОРОВ ЕВГЕНИЙ НИКОЛАЕВИЧ</t>
  </si>
  <si>
    <t>ООО ТОЧКА РУ</t>
  </si>
  <si>
    <t>196247, Г.САНКТ-ПЕТЕРБУРГ, ВН.ТЕР.Г. МУНИЦИПАЛЬНЫЙ ОКРУГ НОВОИЗМАЙЛОВСКОЕ, ПЛ КОНСТИТУЦИИ, Д. 1, ЛИТЕРА А, ПОМЕЩ. 1-Н, ПОМЕЩ. 466</t>
  </si>
  <si>
    <t>ИП ЧИРВА АНДРЕЙ ВАЛЕРЬЕВИЧ</t>
  </si>
  <si>
    <t>ООО МСС</t>
  </si>
  <si>
    <t>199226, Г.САНКТ-ПЕТЕРБУРГ, НАБ МОРСКАЯ, Д. 15, ЛИТЕР Б, ПОМЕЩ. 2Н</t>
  </si>
  <si>
    <t>199034, РОССИЯ, Г.САНКТ-ПЕТЕРБУРГ, ВН.ТЕР.Г. МУНИЦИПАЛЬНЫЙ ОКРУГ № 7, ЛИНИЯ 1-Я В.О., Д. 18/2, ЛИТЕРА А, КВ. 7</t>
  </si>
  <si>
    <t>ИП ПЕТРОВ ВАЛЕРИЙ ГЕННАДЬЕВИЧ</t>
  </si>
  <si>
    <t>ИП СТЕПАНОВ АЛЕКСАНДР МИХАЙЛОВИЧ</t>
  </si>
  <si>
    <t>ИП ДОЛГОВ АЛЕКСАНДР БОРИСОВИЧ</t>
  </si>
  <si>
    <t>ИП ГЛАДУН СВЯТОСЛАВ АЛЕКСАНДРОВИЧ</t>
  </si>
  <si>
    <t>ООО ПРАГМАТИКА</t>
  </si>
  <si>
    <t>199155, Г.САНКТ-ПЕТЕРБУРГ, УЛ УРАЛЬСКАЯ, Д. 33, ЛИТЕРА Б, ПОМЕЩ. 9</t>
  </si>
  <si>
    <t>ООО ЛОНГВЕЙ</t>
  </si>
  <si>
    <t>199106, Г.САНКТ-ПЕТЕРБУРГ, ВН.ТЕР.Г. МУНИЦИПАЛЬНЫЙ ОКРУГ № 7, ЛИНИЯ 26-Я В.О., Д. 5, К. 4, ЛИТЕРА Д, ОФИС 406</t>
  </si>
  <si>
    <t>ИП МАЛИК ИЛЬЯ АЛЕКСАНДРОВИЧ</t>
  </si>
  <si>
    <t>ИП СЫЛКА ОЛЬГА СЕРГЕЕВНА</t>
  </si>
  <si>
    <t>ООО ПМ-ТРЕЙД</t>
  </si>
  <si>
    <t>197198, РОССИЯ, Г.САНКТ-ПЕТЕРБУРГ, ВН.ТЕР.Г. МУНИЦИПАЛЬНЫЙ ОКРУГ ОКРУГ ПЕТРОВСКИЙ, ПР-КТ ПЕТРОВСКИЙ, Д. 24, К. 3, СТР. 1, КВ. 62</t>
  </si>
  <si>
    <t>ИП КАПИНОС ЕВГЕНИЯ СЕРГЕЕВНА</t>
  </si>
  <si>
    <t>ООО ГАЗПРОМНЕФТЬ-РЕГИОНАЛЬНЫЕ ПРОДАЖИ</t>
  </si>
  <si>
    <t>191014, Г.САНКТ-ПЕТЕРБУРГ, ПЕР ВИЛЕНСКИЙ, Д. 14, ЛИТЕРА А, ОФИС 203</t>
  </si>
  <si>
    <t>ИП ЕПИШЕВА ИННА НИКОЛАЕВНА</t>
  </si>
  <si>
    <t>ИП СУХАНОВ КИРИЛЛ ИГОРЕВИЧ</t>
  </si>
  <si>
    <t>ИП ВОЛКОВ АЛЕКСЕЙ ЮРЬЕВИЧ</t>
  </si>
  <si>
    <t>ИП ЛАМАСОВ МИХАИЛ АНАТОЛЬЕВИЧ</t>
  </si>
  <si>
    <t>ИП МУШЕНОК ПАВЕЛ ВИКТОРОВИЧ</t>
  </si>
  <si>
    <t>ИП ФЕДЧЕНКО ДМИТРИЙ НИКОЛАЕВИЧ</t>
  </si>
  <si>
    <t>ИП БОРЦОВ ВАДИМ АЛЕКСАНДРОВИЧ</t>
  </si>
  <si>
    <t>ООО МЕТАЛЛХИМ</t>
  </si>
  <si>
    <t>199058, РОССИЯ, Г.САНКТ-ПЕТЕРБУРГ, ВН.ТЕР.Г. МУНИЦИПАЛЬНЫЙ ОКРУГ ОСТРОВ ДЕКАБРИСТОВ, НАБ МОРСКАЯ, Д. 31, К. 1, ЛИТЕРА А, ПОМ/ЭТ 4Н/1, ОФИС 10</t>
  </si>
  <si>
    <t>ООО ДЕТАЛИ.РУ</t>
  </si>
  <si>
    <t>199004, РОССИЯ, Г.САНКТ-ПЕТЕРБУРГ, ВН.ТЕР.Г. МУНИЦИПАЛЬНЫЙ ОКРУГ ВАСИЛЬЕВСКИЙ, ЛИНИЯ 2-Я В.О., Д. 53, ЛИТЕРА А, ПОМЕЩ. 13-Н, ОФИС 1</t>
  </si>
  <si>
    <t>ООО ГЛОБАЛ Т</t>
  </si>
  <si>
    <t>199155, Г.САНКТ-ПЕТЕРБУРГ, ВН.ТЕР.Г. МУНИЦИПАЛЬНЫЙ ОКРУГ ОСТРОВ ДЕКАБРИСТОВ, ПЕР ДЕКАБРИСТОВ, Д. 7, ЛИТЕРА Т, ПОМЕЩ. 1Н, ОФИС 65-10</t>
  </si>
  <si>
    <t>ООО ДИНЕРО О ПЛЮМУМ</t>
  </si>
  <si>
    <t>199106, РОССИЯ, Г.САНКТ-ПЕТЕРБУРГ, ВН.ТЕР.Г. МУНИЦИПАЛЬНЫЙ ОКРУГ № 7, ЛИНИЯ 22-Я В.О., Д. 3, К. 1, ЛИТЕРА М, ПОМЕЩ. 1-Н, КОМ. 158</t>
  </si>
  <si>
    <t>АО ЛИСТЕК</t>
  </si>
  <si>
    <t>197046, РОССИЯ, Г.САНКТ-ПЕТЕРБУРГ, ВН.ТЕР.Г. МУНИЦИПАЛЬНЫЙ ОКРУГ ПОСАДСКИЙ, НАБ ПЕТРОГРАДСКАЯ, Д. 22, ЛИТЕРА А, ПОМЕЩ. 35-Н, ОФИС 16</t>
  </si>
  <si>
    <t>ИП ПОГОСЯН ВИКТОРИЯ АКОПОВНА</t>
  </si>
  <si>
    <t>ИП ЦВЕТКОВА СВЕТЛАНА ЮРЬЕВНА</t>
  </si>
  <si>
    <t>ООО МОТОСПОРТСЕРВИС +</t>
  </si>
  <si>
    <t>194214, Г.САНКТ-ПЕТЕРБУРГ, ПР-КТ ТОРЕЗА, Д.95, ПОМ. 45-Н</t>
  </si>
  <si>
    <t>ИП ЛИСИЧКИН ЮРИЙ ТИМОФЕЕВИЧ</t>
  </si>
  <si>
    <t>ИП Лебедева Наталья Николаевна</t>
  </si>
  <si>
    <t>ООО ВИРА</t>
  </si>
  <si>
    <t>194292, Г.САНКТ-ПЕТЕРБУРГ, УЛ ВЕРХНЯЯ, Д.4, ЛИТЕР А, ПОМЕЩЕНИЕ 4</t>
  </si>
  <si>
    <t>194214, Г.САНКТ-ПЕТЕРБУРГ, ПР-КТ ТОРЕЗА, Д.95, ПОМ. 42-Н</t>
  </si>
  <si>
    <t>ООО НПТК СУПРОТЕК</t>
  </si>
  <si>
    <t>194044, Г.САНКТ-ПЕТЕРБУРГ, ПР-КТ ФИНЛЯНДСКИЙ, Д. 4, ЛИТЕР А, ПОМЕЩ. 14-Н-459; 460; 461, ОФИС 105</t>
  </si>
  <si>
    <t>ООО АЛАРМ-МОТОРС ЮГО-ЗАПАД</t>
  </si>
  <si>
    <t>194355, Г.САНКТ-ПЕТЕРБУРГ, Ш ВЫБОРГСКОЕ, Д. 23, К. 1 ЛИТЕРА А</t>
  </si>
  <si>
    <t>ООО  АВТОФОРУМ НЕВА</t>
  </si>
  <si>
    <t>194223, Г.САНКТ-ПЕТЕРБУРГ, УЛ ОРБЕЛИ, Д.35</t>
  </si>
  <si>
    <t>ООО ТД АЛЬЯНС ФОРЕСТ</t>
  </si>
  <si>
    <t>194100, Г.САНКТ-ПЕТЕРБУРГ, ВН.ТЕР.Г. МУНИЦИПАЛЬНЫЙ ОКРУГ САМПСОНИЕВСКОЕ, УЛ КАНТЕМИРОВСКАЯ, Д. 39, ЛИТЕРА А, ПОМЕЩ. 41-Н ОФИС 409А</t>
  </si>
  <si>
    <t>197229, Г.САНКТ-ПЕТЕРБУРГ, ПР-КТ ЛАХТИНСКИЙ, Д. 85, К. 2 ЛИТЕР А, ПОМЕЩ. 7</t>
  </si>
  <si>
    <t>ООО НЕВСКИЙ ТЕРМИНАЛ</t>
  </si>
  <si>
    <t>197761, Г.САНКТ-ПЕТЕРБУРГ, Г КРОНШТАДТ, Ш КРОНШТАДТСКОЕ, Д. 33, ЛИТЕР Е, ОФИС 17</t>
  </si>
  <si>
    <t>ООО АНТЭЛ</t>
  </si>
  <si>
    <t>194017, Г.САНКТ-ПЕТЕРБУРГ, ПР-КТ ТОРЕЗА, Д. 102, К. 4 ЛИТЕР А, ПОМЕЩ. 1Н ОФИС №152</t>
  </si>
  <si>
    <t>ООО РЕАЛ ВАЛЬ</t>
  </si>
  <si>
    <t>194156, Г.САНКТ-ПЕТЕРБУРГ, ПР-КТ ЭНГЕЛЬСА, Д. 27, ЛИТЕР З, ОФИС 515</t>
  </si>
  <si>
    <t>ООО ОПТОВАЯ КОМПАНИЯ  ПРОГРЕСС</t>
  </si>
  <si>
    <t>194100, Г.САНКТ-ПЕТЕРБУРГ, УЛ НОВОЛИТОВСКАЯ, Д. 37А, ЛИТЕР Б</t>
  </si>
  <si>
    <t>194292, РОССИЯ, Г.САНКТ-ПЕТЕРБУРГ, ВН.ТЕР.Г. МУНИЦИПАЛЬНЫЙ ОКРУГ СЕРГИЕВСКОЕ, УЛ ДОМОСТРОИТЕЛЬНАЯ, Д. 4, ЛИТЕРА А, ПОМЕЩ. 32-Н</t>
  </si>
  <si>
    <t>194363, РОССИЯ, Г.САНКТ-ПЕТЕРБУРГ, ВН.ТЕР.Г. ПОСЕЛОК ПАРГОЛОВО, УЛ ВАЛЕРИЯ ГАВРИЛИНА, Д. 3, К. 2, ЛИТЕРА А, ПОМЕЩ.ОФИС 51-Н/7</t>
  </si>
  <si>
    <t>196158, РОССИЯ, Г.САНКТ-ПЕТЕРБУРГ, ВН.ТЕР.Г. ПОСЕЛОК ШУШАРЫ, Ш МОСКОВСКОЕ, Д. 107, К. 4, СТР. 3</t>
  </si>
  <si>
    <t>194358, РОССИЯ, Г.САНКТ-ПЕТЕРБУРГ, ВН.ТЕР.Г. ПОСЕЛОК ПАРГОЛОВО, УЛ МИХАИЛА ДУДИНА, Д. 10, КВ. 13</t>
  </si>
  <si>
    <t>ИП Соловьев Алексей Николаевич</t>
  </si>
  <si>
    <t>ИП ШЕМАХАНОВ АЛЕКСАНДР НИКОЛАЕВИЧ</t>
  </si>
  <si>
    <t>ИП ВИНОГРАДСКАЯ ЕЛЕНА НИКОЛАЕВНА</t>
  </si>
  <si>
    <t>ООО АКВА ТРЕЙД</t>
  </si>
  <si>
    <t>193318, Г.САНКТ-ПЕТЕРБУРГ, УЛ ВОРОШИЛОВА, Д. 2, ЛИТЕРА АЖ</t>
  </si>
  <si>
    <t>ИП СКАТОВ ОЛЕГ БОРИСОВИЧ</t>
  </si>
  <si>
    <t>ИП ВОЖАКОВ МАКСИМ АРТУРОВИЧ</t>
  </si>
  <si>
    <t>ООО ОЛЕНА</t>
  </si>
  <si>
    <t>195197, Г.САНКТ-ПЕТЕРБУРГ, ПР-КТ МАРШАЛА БЛЮХЕРА, Д.2, КОРП.1 ЛИТ.А</t>
  </si>
  <si>
    <t>198216, Г.САНКТ-ПЕТЕРБУРГ, УЛ АВТОМОБИЛЬНАЯ, Д. 8, ЛИТЕРА А, ПОМЕЩ. 213</t>
  </si>
  <si>
    <t>ИП ШВЕЦОВ ЕВГЕНИЙ ЭДУАРДОВИЧ</t>
  </si>
  <si>
    <t>ООО ФТ-СЕРВИС</t>
  </si>
  <si>
    <t>195197, Г.САНКТ-ПЕТЕРБУРГ, ПР-КТ ЛАБОРАТОРНЫЙ, Д.18, К.4, ЛИТЕРА А</t>
  </si>
  <si>
    <t>ИП ИВАНОВ ЮРИЙ АЛЕКСАНДРОВИЧ</t>
  </si>
  <si>
    <t>ООО СПЕЦСМАЗКА</t>
  </si>
  <si>
    <t>193079, Г.САНКТ-ПЕТЕРБУРГ, ВН.ТЕР.Г. МУНИЦИПАЛЬНЫЙ ОКРУГ НАРОДНЫЙ, НАБ ОКТЯБРЬСКАЯ, Д. 104, К. 5, СТР. 1, ЭТАЖ 7, ПОМЕЩ. 711</t>
  </si>
  <si>
    <t>ООО МАКСИМУМ ОПТ</t>
  </si>
  <si>
    <t>195299, Г.САНКТ-ПЕТЕРБУРГ, УЛ РУСТАВЕЛИ, Д. 53, ЛИТЕР А, ПОМЕЩ. 1.4</t>
  </si>
  <si>
    <t>ООО ХОЛОД ГРУПП</t>
  </si>
  <si>
    <t>195067, Г.САНКТ-ПЕТЕРБУРГ, ВН.ТЕР.Г. МУНИЦИПАЛЬНЫЙ ОКРУГ ПОЛЮСТРОВО, ПР-КТ ВОЛГО-ДОНСКОЙ, Д. 4, ЛИТЕРА А, ОФИС 2.2</t>
  </si>
  <si>
    <t>ООО ЛОФТКАР</t>
  </si>
  <si>
    <t>195030, Г.САНКТ-ПЕТЕРБУРГ, ВН.ТЕР.Г. МУНИЦИПАЛЬНЫЙ ОКРУГ РЖЕВКА, УЛ КОММУНЫ, Д. 63, ЛИТЕРА А, ПОМЕЩ. 5Н, КОМ. 46.1</t>
  </si>
  <si>
    <t>ООО РИКС</t>
  </si>
  <si>
    <t>195272, Г.САНКТ-ПЕТЕРБУРГ, ВН.ТЕР.Г. МУНИЦИПАЛЬНЫЙ ОКРУГ ПИСКАРЕВКА, ПР-КТ КОНДРАТЬЕВСКИЙ, Д. 72, ЛИТЕРА А, ПОМЕЩ. 100-Н, ОФИС 421А/1</t>
  </si>
  <si>
    <t>ООО БМВ ГАРАЖ</t>
  </si>
  <si>
    <t>195265, Г.САНКТ-ПЕТЕРБУРГ, УЛ ЛУЖСКАЯ, Д. 3, К. 2 ЛИТЕР А, ОФИС 16</t>
  </si>
  <si>
    <t>ООО ДЕПРО</t>
  </si>
  <si>
    <t>195220, Г.САНКТ-ПЕТЕРБУРГ, УЛ ГЖАТСКАЯ, Д. 22, К. 1 ЛИТЕР А, ПОМЕЩ. 31 Н</t>
  </si>
  <si>
    <t>ООО ПРОФИМАРКЕТ</t>
  </si>
  <si>
    <t>195257, РОССИЯ, Г.САНКТ-ПЕТЕРБУРГ, ВН.ТЕР.Г. МУНИЦИПАЛЬНЫЙ ОКРУГ АКАДЕМИЧЕСКОЕ, ПР-КТ ГРАЖДАНСКИЙ, Д. 90, К. 7, ЛИТЕРА А, КВ. 3</t>
  </si>
  <si>
    <t>ООО Л-ПИТЕР</t>
  </si>
  <si>
    <t>195197, РОССИЯ, Г.САНКТ-ПЕТЕРБУРГ, ВН.ТЕР.Г. МУНИЦИПАЛЬНЫЙ ОКРУГ ФИНЛЯНДСКИЙ ОКРУГ, ПР-КТ ПОЛЮСТРОВСКИЙ, Д. 43, ЛИТЕРА А, ПОМЕЩ. 3-Н, ОФИС 92,94</t>
  </si>
  <si>
    <t>197375, Г.САНКТ-ПЕТЕРБУРГ, УЛ МАРШАЛА НОВИКОВА, Д. 28, ЛИТЕР Е, ПОМЕЩ. 9Н-20 ОФИС 203</t>
  </si>
  <si>
    <t>АО СУДОМЕХ САПЛАЙ</t>
  </si>
  <si>
    <t>198035, Г.САНКТ-ПЕТЕРБУРГ, УЛ МЕЖЕВОЙ КАНАЛ, Д. 5, К. 3, ЛИТ. БВ, ПОМЕЩ. 22-Н</t>
  </si>
  <si>
    <t>ООО ТЕЛЛА</t>
  </si>
  <si>
    <t>192019, Г.САНКТ-ПЕТЕРБУРГ, УЛ МЕЛЬНИЧНАЯ, Д. 11, ЛИТЕР А, ПОМЕЩ. 1</t>
  </si>
  <si>
    <t>ИП АЛФЁРОВА НАТАЛИЯ ЮРЬЕВНА</t>
  </si>
  <si>
    <t>ИП РАКОВ ДМИТРИЙ СЕРГЕЕВИЧ</t>
  </si>
  <si>
    <t>ИП БУРУШКИН АНДРЕЙ АНАТОЛЬЕВИЧ</t>
  </si>
  <si>
    <t>ООО ТКГРАНД</t>
  </si>
  <si>
    <t>197198, Г.САНКТ-ПЕТЕРБУРГ, ВН.ТЕР.Г. МУНИЦИПАЛЬНЫЙ ОКРУГ ЧКАЛОВСКОЕ, УЛ КРАСНОГО КУРСАНТА, Д. 25, ЛИТЕРА В, ПОМЕЩ. 2Н, ОФИС 229</t>
  </si>
  <si>
    <t>ООО АВИРОН</t>
  </si>
  <si>
    <t>198216, Г.САНКТ-ПЕТЕРБУРГ, ПР-КТ НАРОДНОГО ОПОЛЧЕНИЯ, Д. 2 А, ПОМЕЩ. 7</t>
  </si>
  <si>
    <t>ООО АВТОГУР</t>
  </si>
  <si>
    <t>198261, Г.САНКТ-ПЕТЕРБУРГ, ВН.ТЕР.Г. МУНИЦИПАЛЬНЫЙ ОКРУГ УЛЬЯНКА, ПР-КТ НАРОДНОГО ОПОЛЧЕНИЯ, Д. 201, ЛИТЕРА А, ПОМЕЩ. 1Н, ОФИС 12</t>
  </si>
  <si>
    <t>ИП МАКСИМОВ АНДРЕЙ ВЛАДИМИРОВИЧ</t>
  </si>
  <si>
    <t>ООО МОТОРИДЕЯ</t>
  </si>
  <si>
    <t>198255, Г.САНКТ-ПЕТЕРБУРГ, ВН.ТЕР.Г. МУНИЦИПАЛЬНЫЙ ОКРУГ ДАЧНОЕ, ПР-КТ ДАЧНЫЙ, Д. 9, К. 2, ЛИТЕРА А, ПОМЕЩ. 15Н ОФИС 2-1А</t>
  </si>
  <si>
    <t>ИП ПЕТРЕНКО ИВАН АЛЕКСАНДРОВИЧ</t>
  </si>
  <si>
    <t>АО БАВ-ДВИЖЕНИЕ</t>
  </si>
  <si>
    <t>196624, Г.САНКТ-ПЕТЕРБУРГ, ВН.ТЕР.Г. ПОСЕЛОК ШУШАРЫ, ПРОЕЗД 2-Й БАДАЕВСКИЙ, Д. 3, К. 2, СТР. 1, ОФИС 2</t>
  </si>
  <si>
    <t>ООО НАНОТЕК</t>
  </si>
  <si>
    <t>198097, Г.САНКТ-ПЕТЕРБУРГ, ВН.ТЕР.Г. МУНИЦИПАЛЬНЫЙ ОКРУГ НАРВСКИЙ ОКРУГ, УЛ МАРШАЛА ГОВОРОВА, Д. 29, ЛИТЕРА АК, ПОМЕЩ. 5Н</t>
  </si>
  <si>
    <t>ООО ЕТС - СТРОИТЕЛЬНЫЕ СИСТЕМЫ</t>
  </si>
  <si>
    <t>198216, Г.САНКТ-ПЕТЕРБУРГ, ВН.ТЕР.Г. МУНИЦИПАЛЬНЫЙ ОКРУГ КНЯЖЕВО, ПР-КТ ЛЕНИНСКИЙ, Д. 140, ЛИТЕРА А, ПОМЕЩ. 10-Н ЧАСТЬ КАБ. 408</t>
  </si>
  <si>
    <t>ООО СПЕЦТОРГ</t>
  </si>
  <si>
    <t>192236, Г.САНКТ-ПЕТЕРБУРГ, ВН.ТЕР.Г. МУНИЦИПАЛЬНЫЙ ОКРУГ ВОЛКОВСКОЕ, УЛ. СОФИЙСКАЯ, Д. 8, К. 1, СТР. 3, ПОМЕЩ. 1Н, ПОМЕЩ. 106/16</t>
  </si>
  <si>
    <t>ООО БИТУМАСТ</t>
  </si>
  <si>
    <t>198216, Г.САНКТ-ПЕТЕРБУРГ, ПР-КТ ТРАМВАЙНЫЙ, Д. 14, ЛИТЕР А, ОФИС 302</t>
  </si>
  <si>
    <t>ООО ГК КОРОНА АВТО</t>
  </si>
  <si>
    <t>198095, Г.САНКТ-ПЕТЕРБУРГ, УЛ МАРШАЛА ГОВОРОВА, Д. 49, ЛИТЕР А, ОФИС 202</t>
  </si>
  <si>
    <t>ООО ЮНИОН-ПАРТС</t>
  </si>
  <si>
    <t>198097, Г.САНКТ-ПЕТЕРБУРГ, УЛ ТРЕФОЛЕВА, Д. 2, ЛИТЕР Б, ОФИС 410</t>
  </si>
  <si>
    <t>197022, РОССИЯ, Г.САНКТ-ПЕТЕРБУРГ, ВН.ТЕР.Г. МУНИЦИПАЛЬНЫЙ ОКРУГ АПТЕКАРСКИЙ ОСТРОВ, НАБ РЕКИ КАРПОВКИ, Д. 20, ЛИТЕРА В, ПОМЕЩ. 1-Н, ОФИС 34-Н</t>
  </si>
  <si>
    <t>195297, Г.САНКТ-ПЕТЕРБУРГ, ВН.ТЕР.Г. МУНИЦИПАЛЬНЫЙ ОКРУГ ПРОМЕТЕЙ, ПР-КТ СВЕТЛАНОВСКИЙ, Д. 70, К. 1, ЛИТЕРА А, ПОМЕЩ. 11-Н, ОФИС 2</t>
  </si>
  <si>
    <t>ООО АЛЬФА СЕВЕРО-ЗАПАД</t>
  </si>
  <si>
    <t>198096, РОССИЯ, Г.САНКТ-ПЕТЕРБУРГ, ВН.ТЕР.Г. МУНИЦИПАЛЬНЫЙ ОКРУГ АВТОВО, УЛ КРОНШТАДТСКАЯ, Д. 17, К. 2, ЛИТЕРА А, ПОМЕЩ. 1-Н, КОМ. 16</t>
  </si>
  <si>
    <t>ООО КРАС</t>
  </si>
  <si>
    <t>198096, РОССИЯ, Г.САНКТ-ПЕТЕРБУРГ, ВН.ТЕР.Г. МУНИЦИПАЛЬНЫЙ ОКРУГ АВТОВО, ДОР НА ТУРУХТАННЫЕ ОСТРОВА, Д. 10, ЛИТЕРА А, ПОМЕЩ. 1-Н №37</t>
  </si>
  <si>
    <t>198152, РОССИЯ, Г.САНКТ-ПЕТЕРБУРГ, ВН.ТЕР.Г. МУНИЦИПАЛЬНЫЙ ОКРУГ АВТОВО, УЛ КРАСНОПУТИЛОВСКАЯ, Д. 69, ЛИТЕРА А, ПОМЕЩ. 172-Н, ОФИС 211В</t>
  </si>
  <si>
    <t>ООО ДЖИ ЭМ ЭФ</t>
  </si>
  <si>
    <t>198035, РОССИЯ, Г.САНКТ-ПЕТЕРБУРГ, ВН.ТЕР.Г. МУНИЦИПАЛЬНЫЙ ОКРУГ МОРСКИЕ ВОРОТА, НАБ РЕКИ ЕКАТЕРИНГОФКИ, Д. 29-31, ЛИТЕРА Т, ПОМЕЩ. № 217</t>
  </si>
  <si>
    <t>ООО МАНСИПЛ</t>
  </si>
  <si>
    <t>198096, РОССИЯ, Г.САНКТ-ПЕТЕРБУРГ, ВН.ТЕР.Г. МУНИЦИПАЛЬНЫЙ ОКРУГ АВТОВО, УЛ ЗАЙЦЕВА, Д. 6, К. 2, ЛИТЕРА А, КВ. 71</t>
  </si>
  <si>
    <t>ООО ТРАНССТРОЙ</t>
  </si>
  <si>
    <t>198096, РОССИЯ, Г.САНКТ-ПЕТЕРБУРГ, ВН.ТЕР.Г. МУНИЦИПАЛЬНЫЙ ОКРУГ АВТОВО, ДОР НА ТУРУХТАННЫЕ ОСТРОВА, Д. 5, К. 2, СТР. 1, ОФИС/РАБ. М. 3-6/9</t>
  </si>
  <si>
    <t>ИП КОВАЛИШИН КОНСТАНТИН ЕФИМОВИЧ</t>
  </si>
  <si>
    <t>ИП АНДРЕЮШКОВ СЕРГЕЙ НИКОЛАЕВИЧ</t>
  </si>
  <si>
    <t>ИП БЕЛЯКОВА ВЕРА АЛЕКСАНДРОВНА</t>
  </si>
  <si>
    <t>ИП МУСАЛАЕВ АЛЕКСЕЙ КАРЛОВИЧ</t>
  </si>
  <si>
    <t>ИП ГИДЕОН ВЛАДИМИР ИГОРЕВИЧ</t>
  </si>
  <si>
    <t>ООО  АЛЬФА ТРАНС</t>
  </si>
  <si>
    <t>192177, Г.САНКТ-ПЕТЕРБУРГ, ВН.ТЕР.Г. МУНИЦИПАЛЬНЫЙ ОКРУГ РЫБАЦКОЕ, ПР-КТ ШЛИССЕЛЬБУРГСКИЙ, Д. 1, ЛИТЕРА А, КВ. 84</t>
  </si>
  <si>
    <t>ИП КУШНИКОВА ЕЛЕНА АЛЕКСАНДРОВНА</t>
  </si>
  <si>
    <t>ИП ЛАМАСОВА ЮЛИЯ НИКОЛАЕВНА</t>
  </si>
  <si>
    <t>ИП ЛОСЕВ АЛЕКСЕЙ НИКОЛАЕВИЧ</t>
  </si>
  <si>
    <t>ИП СМИРНОВ АНТОН АНДРЕЕВИЧ</t>
  </si>
  <si>
    <t>ООО ТЕХНОС</t>
  </si>
  <si>
    <t>199004, РОССИЯ, Г.САНКТ-ПЕТЕРБУРГ, ВН.ТЕР.Г. МУНИЦИПАЛЬНЫЙ ОКРУГ № 7, ЛИНИЯ 8-Я В.О., Д. 25, ЛИТЕРА А, ПОМЕЩ. 14Н, ОФИС К17-5</t>
  </si>
  <si>
    <t>ИП ЛУТЦЕВ АНДРЕЙ ВЛАДИМИРОВИЧ</t>
  </si>
  <si>
    <t>ИП НИКИФОРОВ АЛЕКСЕЙ ДМИТРИЕВИЧ</t>
  </si>
  <si>
    <t>ИП ГЕРАСИМОВА ОЛЬГА НИКОЛАЕВНА</t>
  </si>
  <si>
    <t>ООО ОЛИМП НЕВА</t>
  </si>
  <si>
    <t>194223, Г.САНКТ-ПЕТЕРБУРГ, ВН.ТЕР.Г. МУНИЦИПАЛЬНЫЙ ОКРУГ СВЕТЛАНОВСКОЕ, УЛ ОРБЕЛИ, Д. 35, ЛИТЕРА Ж, ПОМЕЩ. 19</t>
  </si>
  <si>
    <t>ИП КРАВЧУК АЛЕКСАНДР АЛЕКСАНДРОВИЧ</t>
  </si>
  <si>
    <t>ООО   АВРОРА АВТО ЦЕНТР</t>
  </si>
  <si>
    <t>ИП КОКОУЛИНА ОЛЬГА АРТУРОВНА</t>
  </si>
  <si>
    <t>ИП КЛИМЕНКОВ АЛЕКСАНДР МИХАЙЛОВИЧ</t>
  </si>
  <si>
    <t>ИП ПЕРИЯЙНЕН ВАДИМ СЕРГЕЕВИЧ</t>
  </si>
  <si>
    <t>ООО  ЭНЕРГО-СОЮЗ</t>
  </si>
  <si>
    <t>195030, Г.САНКТ-ПЕТЕРБУРГ, УЛ ХИМИКОВ, Д. 28, ЛИТЕР АС, ОФИС 1006</t>
  </si>
  <si>
    <t>ООО РЕФЛОГ</t>
  </si>
  <si>
    <t>194100, Г.САНКТ-ПЕТЕРБУРГ, ВН.ТЕР.Г. МУНИЦИПАЛЬНЫЙ ОКРУГ САМПСОНИЕВСКОЕ, УЛ КАНТЕМИРОВСКАЯ, Д. 3, К. 1, ЛИТЕРА Б, ПОМЕЩ. 1Н, ОФИС 3.2</t>
  </si>
  <si>
    <t>ООО ЛИККОР</t>
  </si>
  <si>
    <t>194156, Г.САНКТ-ПЕТЕРБУРГ, УЛ НОВОРОССИЙСКАЯ, Д. 26, К. 2 ЛИТЕР А, ПОМЕЩ. № 202</t>
  </si>
  <si>
    <t>ООО РКТ СЕРВИС</t>
  </si>
  <si>
    <t>194292, Г.САНКТ-ПЕТЕРБУРГ, ПЕР 8-Й ВЕРХНИЙ, Д. 4, ЛИТЕР Б, 1-Н ПОМЕЩЕНИЕ 82</t>
  </si>
  <si>
    <t>ООО ТРАК-ЦЕНТР-АВТОСЕРВИС</t>
  </si>
  <si>
    <t>194292, Г.САНКТ-ПЕТЕРБУРГ, ПР-КТ КУЛЬТУРЫ, Д. 44, ЛИТЕР А, ПОМЕЩ. 1-Н  ОФИС 210</t>
  </si>
  <si>
    <t>ООО ТЕХНОСМАРТ</t>
  </si>
  <si>
    <t>195269, Г.САНКТ-ПЕТЕРБУРГ, ВН.ТЕР.Г. МУНИЦИПАЛЬНЫЙ ОКРУГ ПРОМЕТЕЙ, УЛ УЧИТЕЛЬСКАЯ, Д. 23, ЛИТЕРА А, ПОМЕЩ. 7-Н, ОФИС 443</t>
  </si>
  <si>
    <t>199106, Г.САНКТ-ПЕТЕРБУРГ, ПЛ МОРСКОЙ СЛАВЫ, Д.1, ЛИТЕР А</t>
  </si>
  <si>
    <t>ООО ГАЗКОМПЛЕКТ СЕВЕРО-ЗАПАД</t>
  </si>
  <si>
    <t>195277, Г.САНКТ-ПЕТЕРБУРГ, ПР-КТ БОЛЬШОЙ САМПСОНИЕВСКИЙ, Д. 28, К. 2 ЛИТЕРА Д, ПОМЕЩ. 33-Н ПОМ. 1,2</t>
  </si>
  <si>
    <t>ООО КАНЦСНАБ</t>
  </si>
  <si>
    <t>194044, Г.САНКТ-ПЕТЕРБУРГ, ПР-КТ БОЛЬШОЙ САМПСОНИЕВСКИЙ, Д. 28, ЛИТЕР А КОРП.1, ПОМЕЩ. Н-7</t>
  </si>
  <si>
    <t>ООО АРМАДА-АВТО СПБ</t>
  </si>
  <si>
    <t>194292, РОССИЯ, Г.САНКТ-ПЕТЕРБУРГ, ВН.ТЕР.Г. МУНИЦИПАЛЬНЫЙ ОКРУГ СЕРГИЕВСКОЕ, ПЕР 5-Й ВЕРХНИЙ, Д. 11, ЛИТЕРА А, ОФИС 32</t>
  </si>
  <si>
    <t>ООО УК РОДНЫЕ ПЕНАТЫ</t>
  </si>
  <si>
    <t>194363, РОССИЯ, Г.САНКТ-ПЕТЕРБУРГ, ВН.ТЕР.Г. ПОСЕЛОК ПАРГОЛОВО, ПР-Д ТОЛУБЕЕВСКИЙ, Д. 8, К. 2, СТР. 1, ПОМЕЩ. 2693Н, РАБОЧЕЕ МЕСТО 1</t>
  </si>
  <si>
    <t>ООО АСАПАРТ</t>
  </si>
  <si>
    <t>194100, РОССИЯ, Г.САНКТ-ПЕТЕРБУРГ, ВН.ТЕР.Г. МУНИЦИПАЛЬНЫЙ ОКРУГ САМПСОНИЕВСКОЕ, УЛ НОВОЛИТОВСКАЯ, Д. 15, ЛИТЕРА А, ПОМЕЩ. 1-Н, ОФИС Д-520 РМ №1</t>
  </si>
  <si>
    <t>ИП ГАНИН ВЛАДИСЛАВ ВАЛЕРЬЕВИЧ</t>
  </si>
  <si>
    <t>ИП ГЕРАСИМОВ АНДРЕЙ ВАЛЕНТИНОВИЧ</t>
  </si>
  <si>
    <t>ИП АКСЕНОВ СЕРГЕЙ ГЕННАДЬЕВИЧ</t>
  </si>
  <si>
    <t>ИП ГОРГУЛА АНДРЕЙ ЮРЬЕВИЧ</t>
  </si>
  <si>
    <t>ИП ЯСЕНОВСКАЯ ЕЛЕНА НИКОЛАЕВНА</t>
  </si>
  <si>
    <t>ИП ЮХАНОВА МАРИНА ИЛЬИНИЧНА</t>
  </si>
  <si>
    <t>ИП ГОНОЗОВА НИНА ВЛАДИМИРОВНА</t>
  </si>
  <si>
    <t>ИП ЯСЕНОВСКАЯ НАТАЛЬЯ ГЕОРГИЕВНА</t>
  </si>
  <si>
    <t>ИП ТРАВИН ИЛЬЯ ВЛАДИМИРОВИЧ</t>
  </si>
  <si>
    <t>ИП УРБА АРТЕМ ОЛЕГОВИЧ</t>
  </si>
  <si>
    <t>ИП ИВАНОВ ВСЕВОЛОД МАРКОВИЧ</t>
  </si>
  <si>
    <t>ИП ГРИГОРЬЕВ ДМИТРИЙ МИХАЙЛОВИЧ</t>
  </si>
  <si>
    <t>ИП СТУПЕНЬКОВ МИХАИЛ ВЛАДИМИРОВИЧ</t>
  </si>
  <si>
    <t>ООО МКТ</t>
  </si>
  <si>
    <t>194356, Г.САНКТ-ПЕТЕРБУРГ, П ПАРГОЛОВО, УЛ ЗАРЕЧНАЯ, Д. 10СТР1, ПОМ 81Н</t>
  </si>
  <si>
    <t>195299, Г.САНКТ-ПЕТЕРБУРГ, УЛ РУСТАВЕЛИ, Д. 53, ЛИТЕР А, ПОМЕЩ. 1.6</t>
  </si>
  <si>
    <t>ООО ТД БАЛТИЙСКИЙ БЕРЕГ</t>
  </si>
  <si>
    <t>195009, Г.САНКТ-ПЕТЕРБУРГ, УЛ МИНЕРАЛЬНАЯ, Д. 29, К. 2 ЛИТЕР А</t>
  </si>
  <si>
    <t>ООО  АВТОМОДУС</t>
  </si>
  <si>
    <t>195299, Г.САНКТ-ПЕТЕРБУРГ, ВН.ТЕР.Г. МУНИЦИПАЛЬНЫЙ ОКРУГ № 21, УЛ РУСТАВЕЛИ, Д. 55, К. 1, ЛИТЕРА А</t>
  </si>
  <si>
    <t>ООО РРТ</t>
  </si>
  <si>
    <t>196246, Г.САНКТ-ПЕТЕРБУРГ, ВН.ТЕР.Г. МУНИЦИПАЛЬНЫЙ ОКРУГ ЗВЕЗДНОЕ, Ш ПУЛКОВСКОЕ, Д. 36, К. 2, ЛИТЕРА А, ПОМЕЩ. 39</t>
  </si>
  <si>
    <t>192236, Г.САНКТ-ПЕТЕРБУРГ, УЛ СОФИЙСКАЯ, Д. 6, К. 8 СТР. 1, ПОМ.1-Н ОФ 516</t>
  </si>
  <si>
    <t>ООО КАРГОШИПЛОГИСТИК</t>
  </si>
  <si>
    <t>198035, РОССИЯ, Г.САНКТ-ПЕТЕРБУРГ, ВН.ТЕР.Г. МУНИЦИПАЛЬНЫЙ ОКРУГ МОРСКИЕ ВОРОТА, УЛ ГАПСАЛЬСКАЯ, Д. 5, ЛИТЕРА А, ПОМЕЩ. 8-Н, ЧАСТЬ № 53 ОФИС № 402</t>
  </si>
  <si>
    <t>ООО ЕВРООЙЛ</t>
  </si>
  <si>
    <t>195256, РОССИЯ, Г.САНКТ-ПЕТЕРБУРГ, ВН.ТЕР.Г. МУНИЦИПАЛЬНЫЙ ОКРУГ ГРАЖДАНКА, УЛ ВЕРНОСТИ, Д. 14, К. 2, ЛИТЕРА А, КВ. 209</t>
  </si>
  <si>
    <t>ИП МЕШКОВ ГЕННАДИЙ ВЛАДИМИРОВИЧ</t>
  </si>
  <si>
    <t>ИП АНДРУШЕВСКАЯ ЮЛИЯ БОРИСОВНА</t>
  </si>
  <si>
    <t>ИП БОРОДУЛИНА НАДЕЖДА ГРИГОРЬЕВНА</t>
  </si>
  <si>
    <t>ИП ДЕЛЬЦОВ КИРИЛЛ ВЛАДИМИРОВИЧ</t>
  </si>
  <si>
    <t>ИП КОНДРАТЬЕВ МИХАИЛ АЛЕКСЕЕВИЧ</t>
  </si>
  <si>
    <t>ООО ТД СЕЗАР</t>
  </si>
  <si>
    <t>198320, Г.САНКТ-ПЕТЕРБУРГ, Г КРАСНОЕ СЕЛО, УЛ ОСВОБОЖДЕНИЯ, Д. 31, К. 1, КВ. 41</t>
  </si>
  <si>
    <t>ООО КА ЭКСПОРТ</t>
  </si>
  <si>
    <t>198095, Г.САНКТ-ПЕТЕРБУРГ, УЛ МАРШАЛА ГОВОРОВА, Д. 49, ЛИТЕР А, ОФИС 702.1</t>
  </si>
  <si>
    <t>ООО ПРОИЗВОДСТВО ЗАВОД ИМЕНИ ШАУМЯНА</t>
  </si>
  <si>
    <t>192177, Г.САНКТ-ПЕТЕРБУРГ, ПР-Д 3-Й РЫБАЦКИЙ, Д. 3, ЛИТЕР Р, ПОМЕЩ. 5Н/406</t>
  </si>
  <si>
    <t>ООО НАЦИОНАЛЬНАЯ МАСЛЯНАЯ КОМПАНИЯ</t>
  </si>
  <si>
    <t>198096, Г.САНКТ-ПЕТЕРБУРГ, ПР-КТ СТАЧЕК, Д. 92, К. 3, КВ. 82</t>
  </si>
  <si>
    <t>ООО ИНГРОССО</t>
  </si>
  <si>
    <t>198207, Г.САНКТ-ПЕТЕРБУРГ, ПР-КТ ТРАМВАЙНЫЙ, Д. 12, ЛИТЕР А, ПОМЕЩ. 1Н ОФИС 208/3</t>
  </si>
  <si>
    <t>ООО ОИЛ БАЛТ</t>
  </si>
  <si>
    <t>198035, РОССИЯ, Г.САНКТ-ПЕТЕРБУРГ, ВН.ТЕР.Г. МУНИЦИПАЛЬНЫЙ ОКРУГ МОРСКИЕ ВОРОТА, НАБ РЕКИ ЕКАТЕРИНГОФКИ, Д. 29-31, ЛИТЕРА П, ОФИС 4-Е</t>
  </si>
  <si>
    <t>ООО АВТО-ФИНАНСИСТ СПБ</t>
  </si>
  <si>
    <t>198096, РОССИЯ, Г.САНКТ-ПЕТЕРБУРГ, ВН.ТЕР.Г. МУНИЦИПАЛЬНЫЙ ОКРУГ АВТОВО, УЛ ПОРТОВАЯ, Д. 15, ЛИТЕРА Б, ПОМЕЩ. 2-Н, ОФИС 56</t>
  </si>
  <si>
    <t>ООО ЮДЖИНПАРТС</t>
  </si>
  <si>
    <t>194295, РОССИЯ, Г.САНКТ-ПЕТЕРБУРГ, ВН.ТЕР.Г. МУНИЦИПАЛЬНЫЙ ОКРУГ № 15, ПР-КТ ХУДОЖНИКОВ, Д. 27, К. 1, ЛИТЕРА А, ПОМЕЩ. 36Н</t>
  </si>
  <si>
    <t>ИП БОЙЦОВА ОЛЬГА ВЛАДИМИРОВНА</t>
  </si>
  <si>
    <t>ИП ТЫРЫШКИН ДЕНИС МИХАЙЛОВИЧ</t>
  </si>
  <si>
    <t>ИП ПРОНЬКИН МАКСИМ ИГОРЕВИЧ</t>
  </si>
  <si>
    <t>ИП ЧЕРЕПАНОВ ПАВЕЛ ВАСИЛЬЕВИЧ</t>
  </si>
  <si>
    <t>ИП ТИЩЕНКО ИРИНА ПАВЛОВНА</t>
  </si>
  <si>
    <t>198095, Г.САНКТ-ПЕТЕРБУРГ, Ш МИТРОФАНЬЕВСКОЕ, Д. 17, К. 2 ЛИТЕР Б, ПОМЕЩ. 1Н ОФИС 102</t>
  </si>
  <si>
    <t>ООО ТРИУМФ</t>
  </si>
  <si>
    <t>195112, Г.САНКТ-ПЕТЕРБУРГ, ПР-КТ НОВОЧЕРКАССКИЙ, Д. 1, ЛИТЕР Ж, КВ. 109</t>
  </si>
  <si>
    <t>ООО АВТОХИМТОРГ</t>
  </si>
  <si>
    <t>195248, Г.САНКТ-ПЕТЕРБУРГ, ВН.ТЕР.Г. МУНИЦИПАЛЬНЫЙ ОКРУГ БОЛЬШАЯ ОХТА, УЛ ПАРТИЗАНСКАЯ, Д. 25, ЛИТЕРА Б, ПОМЕЩ. 5Н, ПОМЕЩ. 7</t>
  </si>
  <si>
    <t>195279, Г.САНКТ-ПЕТЕРБУРГ, ВН.ТЕР.Г. МУНИЦИПАЛЬНЫЙ ОКРУГ РЖЕВКА, Ш РЕВОЛЮЦИИ, Д. 69, ЛИТЕРА А, ПОМЕЩ. 22Н/53Н/57Н, КОМ. 500</t>
  </si>
  <si>
    <t>ИП ЗАБОЛОТСКИЙ ВАДИМ СТАНИСЛАВОВИЧ</t>
  </si>
  <si>
    <t>ИП МАНСУРОВ МАКСИМ РУСЛАНОВИЧ</t>
  </si>
  <si>
    <t>ИП ЯШУКОВ ПЕТР МИХАЙЛОВИЧ</t>
  </si>
  <si>
    <t>ИП ОМЕЛЬЧУК АННА РОСТИСЛАВОВНА</t>
  </si>
  <si>
    <t>ООО МТК АРСЕНАЛ</t>
  </si>
  <si>
    <t>192148, Г.САНКТ-ПЕТЕРБУРГ, ПР-КТ БОЛЬШОЙ СМОЛЕНСКИЙ, Д. 11, ЛИТЕР А, ПОМЕЩ. 1-Н № 46</t>
  </si>
  <si>
    <t>199106, Г.САНКТ-ПЕТЕРБУРГ, ЛН 26-Я В.О., Д.15, К.2 ЛИТЕРА А</t>
  </si>
  <si>
    <t>ИП ИЗОТОВ АЛЕКСАНДР МИХАЙЛОВИЧ</t>
  </si>
  <si>
    <t>ООО ЭКОР</t>
  </si>
  <si>
    <t>199106, Г.САНКТ-ПЕТЕРБУРГ, ПЛ МОРСКОЙ СЛАВЫ, Д. 1, ЛИТЕР А, ПОМЕЩ. 3 Н 474,475,ВН.5107</t>
  </si>
  <si>
    <t>ООО ЕВРОБООР</t>
  </si>
  <si>
    <t>195213, Г.САНКТ-ПЕТЕРБУРГ, УЛ ЛАТЫШСКИХ СТРЕЛКОВ, Д. 29, К. 4, ЛИТ.А, ПОМЕЩ. 2-Н. ОФИС 1</t>
  </si>
  <si>
    <t>ИП МАЦОВКИН АНДРЕЙ АЛЕКСАНДРОВИЧ</t>
  </si>
  <si>
    <t>ООО ГПМК</t>
  </si>
  <si>
    <t>197342, Г.САНКТ-ПЕТЕРБУРГ, ПЕР КРАСНОГВАРДЕЙСКИЙ, Д. 23, ЛИТЕР А, ПОМЕЩ. 1Н КОМНАТА 9</t>
  </si>
  <si>
    <t>ИП ВАРТАБЕДЬЯН САРКИС АЛЕКСЕЕВИЧ</t>
  </si>
  <si>
    <t>ИП ИВАШКИН ИГОРЬ ИГОРЕВИЧ</t>
  </si>
  <si>
    <t>ООО НОРД АВТО</t>
  </si>
  <si>
    <t>192102, Г.САНКТ-ПЕТЕРБУРГ, ВН.ТЕР.Г. МУНИЦИПАЛЬНЫЙ ОКРУГ ВОЛКОВСКОЕ, УЛ БУХАРЕСТСКАЯ, Д. 24, К. 1, ЛИТЕРА А, ПОМЕЩ. 15-Н, ОФИС № 327</t>
  </si>
  <si>
    <t>ИП ЗАЕЗЖАЛКИН МИХАИЛ ОЛЕГОВИЧ</t>
  </si>
  <si>
    <t>ООО ШУВАЛОВО-МОТОРС</t>
  </si>
  <si>
    <t>194355, Г.САНКТ-ПЕТЕРБУРГ, Ш ВЫБОРГСКОЕ, Д. 31А, ЛИТЕРА А</t>
  </si>
  <si>
    <t>ИП САХАНЬ АНДРЕЙ ВАЛЕРЬЕВИЧ</t>
  </si>
  <si>
    <t>ИП ИВАНОВ ВЛАДИМИР ПАВЛОВИЧ</t>
  </si>
  <si>
    <t>194156, Г.САНКТ-ПЕТЕРБУРГ, ПР-КТ ЭНГЕЛЬСА, Д. 35, ЛИТЕР А, ПОМЕЩ. 47</t>
  </si>
  <si>
    <t>ООО  АЛАРМ-МОТОРС ОЗЕРКИ</t>
  </si>
  <si>
    <t>ООО ФОРУМ АВТО НЕВА</t>
  </si>
  <si>
    <t>ИП ШЕСТАКОВ АРТЁМ ВИТАЛЬЕВИЧ</t>
  </si>
  <si>
    <t>ИП ЯСНОВ ЮРИЙ ИГОРЕВИЧ</t>
  </si>
  <si>
    <t>ООО АВОЛЬ РУССЛАНД</t>
  </si>
  <si>
    <t>191167, Г.САНКТ-ПЕТЕРБУРГ, УЛ ТЕЛЕЖНАЯ, Д. 37, ЛИТЕР Г, КОМ. 6</t>
  </si>
  <si>
    <t>ООО БМ ТЕХ</t>
  </si>
  <si>
    <t>194044, Г.САНКТ-ПЕТЕРБУРГ, ВН.ТЕР.Г. МУНИЦИПАЛЬНЫЙ ОКРУГ САМПСОНИЕВСКОЕ, НАБ ВЫБОРГСКАЯ, Д. 47, ЛИТЕРА Д, ОФИС 407, ПОМ. 14Н, ПОМ. №8</t>
  </si>
  <si>
    <t>194292, Г.САНКТ-ПЕТЕРБУРГ, ПЕР 3-Й ВЕРХНИЙ, Д. 16, ЛИТЕР А, ПОМЕЩ. 38</t>
  </si>
  <si>
    <t>199178, Г.САНКТ-ПЕТЕРБУРГ, ЛН 17-Я В.О., Д. 60, ЛИТЕР А, ПОМЕЩ. 4Н ОФИС № 1</t>
  </si>
  <si>
    <t>ООО ЗЕТ-ХЕМИ РУСЛАНД</t>
  </si>
  <si>
    <t>194292, Г.САНКТ-ПЕТЕРБУРГ, ВН.ТЕР.Г. МУНИЦИПАЛЬНЫЙ ОКРУГ № 15, ПЕР 1-Й ВЕРХНИЙ, Д. 10, К. 2, СТР. 1, ОФИС 206</t>
  </si>
  <si>
    <t>ООО УПАК СИТИ</t>
  </si>
  <si>
    <t>194292, Г.САНКТ-ПЕТЕРБУРГ, УЛ ДОМОСТРОИТЕЛЬНАЯ, Д.1</t>
  </si>
  <si>
    <t>ООО ИНЛУБРИ</t>
  </si>
  <si>
    <t>194354, Г.САНКТ-ПЕТЕРБУРГ, ПР-КТ ЛУНАЧАРСКОГО, Д. 60, К. 1 ЛИТ. А</t>
  </si>
  <si>
    <t>ООО МАГНОТРАК</t>
  </si>
  <si>
    <t>194356, РОССИЯ, Г.САНКТ-ПЕТЕРБУРГ, ВН.ТЕР.Г. МУНИЦИПАЛЬНЫЙ ОКРУГ ШУВАЛОВО-ОЗЕРКИ, УЛ КОМПОЗИТОРОВ, Д. 4, ЛИТЕРА А, КВ. 385</t>
  </si>
  <si>
    <t>ООО ЛОДЖИТРЕЙДИНГ</t>
  </si>
  <si>
    <t>194044, РОССИЯ, Г.САНКТ-ПЕТЕРБУРГ, ВН.ТЕР.Г. МУНИЦИПАЛЬНЫЙ ОКРУГ ФИНЛЯНДСКИЙ ОКРУГ, УЛ МЕНДЕЛЕЕВСКАЯ, Д. 2, ЛИТЕРА А, ПОМЕЩ. 9-Н, ПОМЕЩ. 415</t>
  </si>
  <si>
    <t>ООО ЭВОТЕК</t>
  </si>
  <si>
    <t>194352, РОССИЯ, Г.САНКТ-ПЕТЕРБУРГ, ВН.ТЕР.Г. МУНИЦИПАЛЬНЫЙ ОКРУГ СЕРГИЕВСКОЕ, АЛЛЕЯ ПРИДОРОЖНАЯ, Д. 8, ЛИТЕРА А, ПОМЕЩ. 257</t>
  </si>
  <si>
    <t>ИП СЕВОСТЬЯНОВ СЕРГЕЙ ВАЛЕРЬЕВИЧ</t>
  </si>
  <si>
    <t>ИП САБИТОВ РУСТАМ МУСЕЕВИЧ</t>
  </si>
  <si>
    <t>ООО ВНИИСМ</t>
  </si>
  <si>
    <t>193091, Г.САНКТ-ПЕТЕРБУРГ, ВН.ТЕР.Г. МУНИЦИПАЛЬНЫЙ ОКРУГ НЕВСКИЙ ОКРУГ, НАБ ОКТЯБРЬСКАЯ, Д. 6, ЛИТЕРА М, ПОМЕЩ. 10-Н, Ч.П. 4</t>
  </si>
  <si>
    <t>ИП УГОЛЬКОВ ДМИТРИЙ АНАТОЛЬЕВИЧ</t>
  </si>
  <si>
    <t>ИП СТЕПУК АЛЕКСАНДР ГЕННАДЬЕВИЧ</t>
  </si>
  <si>
    <t>ООО БАЛТСНАБ</t>
  </si>
  <si>
    <t>195009, Г.САНКТ-ПЕТЕРБУРГ, ВН.ТЕР.Г. МУНИЦИПАЛЬНЫЙ ОКРУГ ФИНЛЯНДСКИЙ ОКРУГ, ПР-КТ КОНДРАТЬЕВСКИЙ, Д. 2, К. 4, ЛИТЕРА А, ПОМЕЩ. 10Н, ОФИС 630</t>
  </si>
  <si>
    <t>ИП ГОРЛИЦКИЙ АЛЕКСЕЙ ЮРЬЕВИЧ</t>
  </si>
  <si>
    <t>ИП БАЛАШОВ СЕРГЕЙ ЕВГЕНЬЕВИЧ</t>
  </si>
  <si>
    <t>ИП РУМЯНЦЕВ ВАСИЛИЙ ЮРЬЕВИЧ</t>
  </si>
  <si>
    <t>ИП ЛИТОВ РОМАН АЛЕКСАНДРОВИЧ</t>
  </si>
  <si>
    <t>ООО МЕГАРЕКС</t>
  </si>
  <si>
    <t>195299, Г.САНКТ-ПЕТЕРБУРГ, ПР-КТ ГРАЖДАНСКИЙ, Д.117, К.1, 455</t>
  </si>
  <si>
    <t>ООО АВТОЦЕНТР ГРАЖДАНСКИЙ</t>
  </si>
  <si>
    <t>195299, Г.САНКТ-ПЕТЕРБУРГ, УЛ РУСТАВЕЛИ, Д.53</t>
  </si>
  <si>
    <t>ООО РЕ-САЙЗ</t>
  </si>
  <si>
    <t>196602, Г.САНКТ-ПЕТЕРБУРГ, ВН.ТЕР.Г. ГОРОД ПУШКИН, Г ПУШКИН, УЛ МАЛИНОВСКАЯ, Д. 8, ЛИТЕРА А, ПОМЕЩ. 15-Н, ОФИС 3</t>
  </si>
  <si>
    <t>ООО КОМТЕХ</t>
  </si>
  <si>
    <t>197229, Г.САНКТ-ПЕТЕРБУРГ, УЛ НОВАЯ, Д. 51, К. 53, ПОМЕЩ. 3-Н</t>
  </si>
  <si>
    <t>ООО СОВРЕМЕННЫЕ АВТОМОБИЛИ</t>
  </si>
  <si>
    <t>195009, Г.САНКТ-ПЕТЕРБУРГ, ПР-КТ КОНДРАТЬЕВСКИЙ, Д.2, ЛИТЕРА А, ПОМЕЩЕНИЕ 11Н</t>
  </si>
  <si>
    <t>ООО МАКСИМУМ КРЕДИТ</t>
  </si>
  <si>
    <t>195299, Г.САНКТ-ПЕТЕРБУРГ, УЛ РУСТАВЕЛИ, Д. 53, ЛИТЕР А, ПОМЕЩ. 2.8</t>
  </si>
  <si>
    <t>ООО МАКСИМУМ СТРАХОВАНИЕ</t>
  </si>
  <si>
    <t>195299, Г.САНКТ-ПЕТЕРБУРГ, УЛ РУСТАВЕЛИ, Д. 53, ЛИТЕР А, ПОМЕЩ. 101</t>
  </si>
  <si>
    <t>ООО МАНКОМ-АВТО</t>
  </si>
  <si>
    <t>195299, Г.САНКТ-ПЕТЕРБУРГ, УЛ РУСТАВЕЛИ, Д. 55, К. 1 ЛИТЕР А, ПОМЕЩ. 49</t>
  </si>
  <si>
    <t>198035, РОССИЯ, Г.САНКТ-ПЕТЕРБУРГ, ВН.ТЕР.Г. МУНИЦИПАЛЬНЫЙ ОКРУГ МОРСКИЕ ВОРОТА, НАБ РЕКИ ЕКАТЕРИНГОФКИ, Д. 29-31, ЛИТЕРА П, ОФИС 30-А</t>
  </si>
  <si>
    <t>ООО НРТО</t>
  </si>
  <si>
    <t>195427, РОССИЯ, Г.САНКТ-ПЕТЕРБУРГ, ВН.ТЕР.Г. МУНИЦИПАЛЬНЫЙ ОКРУГ АКАДЕМИЧЕСКОЕ, УЛ АКАДЕМИКА БАЙКОВА, Д. 7, К. 2, ЛИТЕРА А, КВ. 79</t>
  </si>
  <si>
    <t>ООО АВТОХИМСНАБ</t>
  </si>
  <si>
    <t>195009, РОССИЯ, Г.САНКТ-ПЕТЕРБУРГ, ВН.ТЕР.Г. МУНИЦИПАЛЬНЫЙ ОКРУГ ФИНЛЯНДСКИЙ ОКРУГ, УЛ ВАТУТИНА, Д. 17, СТР. 1, ПОМЕЩ. 4/1</t>
  </si>
  <si>
    <t>ИП АНТОНЕНКО ЛИДИЯ ДМИТРИЕВНА</t>
  </si>
  <si>
    <t>ООО ВОЯЖ-СПБ</t>
  </si>
  <si>
    <t>198188, Г.САНКТ-ПЕТЕРБУРГ, УЛ МАРШАЛА ГОВОРОВА, Д.10, 8Н</t>
  </si>
  <si>
    <t>ИП ЛОМАКИНА ОКСАНА ВЛАДИМИРОВНА</t>
  </si>
  <si>
    <t>ООО СТО ГАЗ -СПБ</t>
  </si>
  <si>
    <t>198095, Г.САНКТ-ПЕТЕРБУРГ, УЛ ШКАПИНА, Д.51</t>
  </si>
  <si>
    <t>ООО СМАЗКА.РУ</t>
  </si>
  <si>
    <t>198095, Г.САНКТ-ПЕТЕРБУРГ, УЛ ПРОМЫШЛЕННАЯ, Д. 40, ЛИТЕР А, ОФИС 108</t>
  </si>
  <si>
    <t>ООО АКСЕЛЬ-СИТИ НЕВСКИЙ</t>
  </si>
  <si>
    <t>193230, Г.САНКТ-ПЕТЕРБУРГ, ВН.ТЕР.Г. МУНИЦИПАЛЬНЫЙ ОКРУГ НАРОДНЫЙ, УЛ ТЕЛЬМАНА, Д. 29, ЛИТЕРА А, ПОМЕЩ. 3</t>
  </si>
  <si>
    <t>ИП БИБИКИНА ДАРЬЯ СЕРГЕЕВНА</t>
  </si>
  <si>
    <t>198261, Г.САНКТ-ПЕТЕРБУРГ, ПР-КТ НАРОДНОГО ОПОЛЧЕНИЯ, Д. 201, ЛИТЕР А, ПОМЕЩ. 1Н ОФИС № 142</t>
  </si>
  <si>
    <t>ООО АВТО-ЛИДЕР ЗАПЧАСТИ</t>
  </si>
  <si>
    <t>198216, Г.САНКТ-ПЕТЕРБУРГ, УЛ АВТОМОБИЛЬНАЯ, Д. 8, ЛИТЕРА А, ПОМЕЩ. 1-А</t>
  </si>
  <si>
    <t>ООО БАРЕЛЬ</t>
  </si>
  <si>
    <t>198303, Г.САНКТ-ПЕТЕРБУРГ, ПР-КТ ЛЕНИНСКИЙ, Д. 102, ЛИТЕР А</t>
  </si>
  <si>
    <t>ООО ТОРГОВЫЙ ДОМ ХИМИТЕК</t>
  </si>
  <si>
    <t>198095, Г.САНКТ-ПЕТЕРБУРГ, ПЕР ХИМИЧЕСКИЙ, Д. 1, ЛИТЕР П, ОФИС 406</t>
  </si>
  <si>
    <t>ООО АЛЕФ</t>
  </si>
  <si>
    <t>192019, Г.САНКТ-ПЕТЕРБУРГ, УЛ МЕЛЬНИЧНАЯ, Д. 22, ЛИТЕР А, ПОМЕЩ. 2 ОФ.9</t>
  </si>
  <si>
    <t>ООО ВИЛЛАДЖЕР ТУЛЗ</t>
  </si>
  <si>
    <t>198095, РОССИЯ, Г.САНКТ-ПЕТЕРБУРГ, ВН.ТЕР.Г. МУНИЦИПАЛЬНЫЙ ОКРУГ НАРВСКИЙ ОКРУГ, УЛ ШКАПИНА, Д. 50, ЛИТЕРА Б, ПОМЕЩ. 209</t>
  </si>
  <si>
    <t>ООО ВИАЛЕКТ</t>
  </si>
  <si>
    <t>198152, РОССИЯ, Г.САНКТ-ПЕТЕРБУРГ, ВН.ТЕР.Г. МУНИЦИПАЛЬНЫЙ ОКРУГ АВТОВО, УЛ КРАСНОПУТИЛОВСКАЯ, Д. 69, ЛИТЕРА А, ПОМЕЩ. 35-Н, ОФИС 761В</t>
  </si>
  <si>
    <t>ООО АВТОПОСТАВКА</t>
  </si>
  <si>
    <t>198095, РОССИЯ, Г.САНКТ-ПЕТЕРБУРГ, ВН.ТЕР.Г. МУНИЦИПАЛЬНЫЙ ОКРУГ НАРВСКИЙ ОКРУГ, УЛ ИВАНА ЧЕРНЫХ, Д. 31-33, ЛИТЕРА Б, ОФИС 514А</t>
  </si>
  <si>
    <t>ИП ЯНЧЕНКОВ ПАВЕЛ ПЕТРОВИЧ</t>
  </si>
  <si>
    <t>ООО НОВАТРЕЙДИНГ</t>
  </si>
  <si>
    <t>199178, Г.САНКТ-ПЕТЕРБУРГ, ВН.ТЕР.Г. МУНИЦИПАЛЬНЫЙ ОКРУГ ОСТРОВ ДЕКАБРИСТОВ, НАБ РЕКИ СМОЛЕНКИ, Д. 5-7, ЛИТЕРА А, ПОМЕЩ. 1-Н, ОФИС 226</t>
  </si>
  <si>
    <t>ИП ЛАРИН ИГОРЬ ЮРЬЕВИЧ</t>
  </si>
  <si>
    <t>ООО СКАТ-СЕРВИС</t>
  </si>
  <si>
    <t>195030, Г.САНКТ-ПЕТЕРБУРГ, УЛ ЭЛЕКТРОПУЛЬТОВЦЕВ, Д. 7, ЛИТЕР АИ, ПОМЕЩ. 4</t>
  </si>
  <si>
    <t>ИП ЧЕРЕПАНОВ ВАСИЛИЙ НИКОЛАЕВИЧ</t>
  </si>
  <si>
    <t>ИП БЕСКАРАВАЙНЫЙ АНТОН ВИТАЛЬЕВИЧ</t>
  </si>
  <si>
    <t>ИП ПЕШКУРОВА ВИКТОРИЯ ОЛЕГОВНА</t>
  </si>
  <si>
    <t>ИП МАЛЫГИНА ИРИНА ВЛАДИМИРОВНА</t>
  </si>
  <si>
    <t>ООО ДЕКА</t>
  </si>
  <si>
    <t>195027, Г.САНКТ-ПЕТЕРБУРГ, УЛ МАГНИТОГОРСКАЯ, Д. 51, ЛИТЕР В, ПОМЕЩ. 10-Н ОФИС 17</t>
  </si>
  <si>
    <t>ИП ШЛЯКОВ АНДРЕЙ ВИТАЛЬЕВИЧ</t>
  </si>
  <si>
    <t>ИП ШЛЯКОВ АРТУР АНДРЕЕВИЧ</t>
  </si>
  <si>
    <t>ИП ВЕРЕЩАГА ЕКАТЕРИНА АНАТОЛЬЕВНА</t>
  </si>
  <si>
    <t>ИП ГОЛОД МИХАИЛ ЕФИМОВИЧ</t>
  </si>
  <si>
    <t>ИП ТЫРЫШКИН АНТОН МИХАЙЛОВИЧ</t>
  </si>
  <si>
    <t>ИП ЧЕРЕПАНОВА СВЕТЛАНА МИХАЙЛОВНА</t>
  </si>
  <si>
    <t>ИП ГОЛОВКИН КОНСТАНТИН СЕРГЕЕВИЧ</t>
  </si>
  <si>
    <t>ИП АЙБАТОВ ДМИТРИЙ ЮРЬЕВИЧ</t>
  </si>
  <si>
    <t>ИП БОРОДИЧ КИРИЛЛ ВАСИЛЬЕВИЧ</t>
  </si>
  <si>
    <t>ИП ФИВЕЙСКИЙ ЯРОСЛАВ СЕРГЕЕВИЧ</t>
  </si>
  <si>
    <t>ИП АСКЕРОВ ЭМИЛЬ АСКЕР ОГЛЫ</t>
  </si>
  <si>
    <t>ООО КЕМЕТ-ФОРМ</t>
  </si>
  <si>
    <t>195112, Г.САНКТ-ПЕТЕРБУРГ, ВН.ТЕР.Г. МУНИЦИПАЛЬНЫЙ ОКРУГ МАЛАЯ ОХТА, ПЛ КАРЛА ФАБЕРЖЕ, Д. 8, ЛИТЕРА А, ПОМЕЩ. 7-Н, КОМ. 6</t>
  </si>
  <si>
    <t>ООО АВТО-ПРАЙМ</t>
  </si>
  <si>
    <t>192012, Г.САНКТ-ПЕТЕРБУРГ, ВН.ТЕР.Г. МУНИЦИПАЛЬНЫЙ ОКРУГ РЫБАЦКОЕ, УЛ МУРЗИНСКАЯ, Д. 11, ЛИТЕРА А, ОФИС 602</t>
  </si>
  <si>
    <t>ООО РТ-ОЙЛ</t>
  </si>
  <si>
    <t>195279, Г.САНКТ-ПЕТЕРБУРГ, ВН.ТЕР.Г. МУНИЦИПАЛЬНЫЙ ОКРУГ РЖЕВКА, Ш РЕВОЛЮЦИИ, Д. 69, ЛИТЕРА А, ПОМЕЩ. 22-Н (Ч.П. № 87), ОФИС 204</t>
  </si>
  <si>
    <t>ООО АВИОН</t>
  </si>
  <si>
    <t>195112, Г.САНКТ-ПЕТЕРБУРГ, ПР-КТ НОВОЧЕРКАССКИЙ, Д. 1, ЛИТЕРА Ж, ПОМЕЩ. 3-Н К108</t>
  </si>
  <si>
    <t>ООО ВОЛЬВО МАСТЕР</t>
  </si>
  <si>
    <t>195030, РОССИЯ, Г.САНКТ-ПЕТЕРБУРГ, ВН.ТЕР.Г. МУНИЦИПАЛЬНЫЙ ОКРУГ РЖЕВКА, УЛ ХИМИКОВ, Д. 2, ЛИТЕРА В, ПОМЕЩ. 9Н, КОМ. 11</t>
  </si>
  <si>
    <t>ООО ХД-АРСЕНАЛ</t>
  </si>
  <si>
    <t>195273, РОССИЯ, Г.САНКТ-ПЕТЕРБУРГ, ВН.ТЕР.Г. МУНИЦИПАЛЬНЫЙ ОКРУГ ПОЛЮСТРОВО, ПР-КТ ПИСКАРЁВСКИЙ, Д. 144, ЛИТЕРА АК, ОФИС 1/2, ПОМЕЩ. 1</t>
  </si>
  <si>
    <t>ООО ОЙЛ АЛЬЯНС</t>
  </si>
  <si>
    <t>195176, РОССИЯ, Г.САНКТ-ПЕТЕРБУРГ, ВН.ТЕР.Г. МУНИЦИПАЛЬНЫЙ ОКРУГ ПОЛЮСТРОВО, ПР-КТ ПИСКАРЁВСКИЙ, Д. 25, К. 2, СТР. 1, КВ. 115</t>
  </si>
  <si>
    <t>195027, РОССИЯ, Г.САНКТ-ПЕТЕРБУРГ, ВН.ТЕР.Г. МУНИЦИПАЛЬНЫЙ ОКРУГ БОЛЬШАЯ ОХТА, УЛ ЦИМЛЯНСКАЯ, Д. 6, ЛИТЕРА А, ПОМЕЩ. 2-Н, ОФИС 4А</t>
  </si>
  <si>
    <t>ИП АКСАМЕНТОВА ЕЛЕНА ИВАНОВНА</t>
  </si>
  <si>
    <t>ЗАО ФИРМА ФУЭТЕ</t>
  </si>
  <si>
    <t>194044, Г.САНКТ-ПЕТЕРБУРГ, НАБ ВЫБОРГСКАЯ, Д. 41, ЛИТЕРА А</t>
  </si>
  <si>
    <t>ИП ТИТОВЕЦ СНЕЖАНА ГЕННАДЬЕВНА</t>
  </si>
  <si>
    <t>ИП ИГНАТЕНКО ДМИТРИЙ ЕВГЕНЬЕВИЧ</t>
  </si>
  <si>
    <t>ИП БРЯНЦЕВ ИВАН ВЛАДИМИРОВИЧ</t>
  </si>
  <si>
    <t>ИП ПАХАРЕВ МАКСИМ СЕРГЕЕВИЧ</t>
  </si>
  <si>
    <t>ООО ИНКАР</t>
  </si>
  <si>
    <t>198332, Г.САНКТ-ПЕТЕРБУРГ, ПР-КТ МАРШАЛА ЖУКОВА, Д. 21, ЛИТЕР А, ПОМЕЩ. №235</t>
  </si>
  <si>
    <t>ИП ТОРОПОВ ДМИТРИЙ АЛЕКСЕЕВИЧ</t>
  </si>
  <si>
    <t>ИП МИРОШНИК ПАВЕЛ ПЕТРОВИЧ</t>
  </si>
  <si>
    <t>ООО АГРОМОСОЙЛ</t>
  </si>
  <si>
    <t>198320, РОССИЯ, Г.САНКТ-ПЕТЕРБУРГ, ВН.ТЕР.Г. ГОРОД КРАСНОЕ СЕЛО, УЛ СВОБОДЫ, Д. 50, ЛИТЕРА В, ПОМЕЩ. 352 В</t>
  </si>
  <si>
    <t>ООО АВТОТРЕЙД-СПБ</t>
  </si>
  <si>
    <t>198205, Г.САНКТ-ПЕТЕРБУРГ, УЛ РАБОЧАЯ (СТАРО-ПАНОВО ТЕР.), Д. 7, ЛИТЕР А, КАБИНЕТ 52</t>
  </si>
  <si>
    <t>ООО ЭССИЭН ГЛОБАЛ</t>
  </si>
  <si>
    <t>198332, РОССИЯ, Г.САНКТ-ПЕТЕРБУРГ, ВН.ТЕР.Г. МУНИЦИПАЛЬНЫЙ ОКРУГ ЮГО-ЗАПАД, ПР-КТ ЛЕНИНСКИЙ, Д. 90, ЛИТЕРА А, КВ. 194</t>
  </si>
  <si>
    <t>ООО ЕСМ</t>
  </si>
  <si>
    <t>196624, Г.САНКТ-ПЕТЕРБУРГ, ВН.ТЕР.Г. ПОСЕЛОК ШУШАРЫ, ПР-КТ НОВГОРОДСКИЙ, Д. 26, К. 1, ЛИТЕРА А, ПОМЕЩ. 1-Н, КАБИНЕТ 17</t>
  </si>
  <si>
    <t>ИП ОНЕГИНА ВАЛЕРИЯ ВАДИМОВНА</t>
  </si>
  <si>
    <t>ИП Николаев Андрей Борисович</t>
  </si>
  <si>
    <t>ИП КОСТЮХИНА АЛЕКСАНДРА ЕВГЕНЬЕВНА</t>
  </si>
  <si>
    <t>ООО РУВАЛ</t>
  </si>
  <si>
    <t>196158, Г.САНКТ-ПЕТЕРБУРГ, ВН.ТЕР.Г. МУНИЦИПАЛЬНЫЙ ОКРУГ ЗВЕЗДНОЕ, Ш МОСКОВСКОЕ, Д. 3, К. 5, СТР. 1, ПОМЕЩ. 230Н</t>
  </si>
  <si>
    <t>ООО БАЛТИК ТРЕЙД ОЙЛ</t>
  </si>
  <si>
    <t>196240, Г.САНКТ-ПЕТЕРБУРГ, УЛ ПРЕДПОРТОВАЯ, Д. 8, ЛИТЕРА А</t>
  </si>
  <si>
    <t>ООО ЦАС</t>
  </si>
  <si>
    <t>196624, Г.САНКТ-ПЕТЕРБУРГ, ВН.ТЕР.Г. ПОСЕЛОК ШУШАРЫ, УЛ ЛЕНИНА, Д. 1Б, ЛИТЕРА А, ОФИС 104</t>
  </si>
  <si>
    <t>ИП БАБАНИН СЕРГЕЙ ПЕТРОВИЧ</t>
  </si>
  <si>
    <t>ИП ГЕРАСЕВ АНДРЕЙ ВЯЧЕСЛАВОВИЧ</t>
  </si>
  <si>
    <t>ООО ЛЕНПРОМАЛЬЯНС</t>
  </si>
  <si>
    <t>196240, Г.САНКТ-ПЕТЕРБУРГ, УЛ ПРЕДПОРТОВАЯ, Д. 3, ЛИТЕР А, ПОМ. 2Н ОФИС 6</t>
  </si>
  <si>
    <t>ООО ДЕРЕК</t>
  </si>
  <si>
    <t>196105, Г.САНКТ-ПЕТЕРБУРГ, УЛ БЛАГОДАТНАЯ, Д. 69, ЛИТЕР В</t>
  </si>
  <si>
    <t>ООО ВЛК-ОЙЛ</t>
  </si>
  <si>
    <t>196066, Г.САНКТ-ПЕТЕРБУРГ, ВН.ТЕР.Г. МУНИЦИПАЛЬНЫЙ ОКРУГ ПУЛКОВСКИЙ МЕРИДИАН, ПР-КТ МОСКОВСКИЙ, Д. 183-185, ЛИТЕРА А, ПОМЕЩ. 144-Н, ОФИС 2</t>
  </si>
  <si>
    <t>ООО ЛИНИЯ КОМФОРТА</t>
  </si>
  <si>
    <t>196191, Г.САНКТ-ПЕТЕРБУРГ, ПР-КТ НОВОИЗМАЙЛОВСКИЙ, Д.22, К.2, ПОМ.3Н</t>
  </si>
  <si>
    <t>ООО ИГМА</t>
  </si>
  <si>
    <t>196191, Г.САНКТ-ПЕТЕРБУРГ, УЛ КРАСНОПУТИЛОВСКАЯ, Д.86, ЛИТЕР А</t>
  </si>
  <si>
    <t>ООО ВАЛЬМА СПБ</t>
  </si>
  <si>
    <t>196006, Г.САНКТ-ПЕТЕРБУРГ, ПР-КТ ВИТЕБСКИЙ, Д. 3, ЛИТЕР Д, ПОМЕЩ. 8-Н</t>
  </si>
  <si>
    <t>ООО ТОРГОВЫЙ ПУТЬ</t>
  </si>
  <si>
    <t>196128, Г.САНКТ-ПЕТЕРБУРГ, УЛ ВАРШАВСКАЯ, Д. 19, К. 1 ЛИТЕР А, ПОМЕЩ. 27Н</t>
  </si>
  <si>
    <t>ООО ЛЕДАКАР</t>
  </si>
  <si>
    <t>196158, Г.САНКТ-ПЕТЕРБУРГ, Ш МОСКОВСКОЕ, Д. 5, ЛИТЕР А, ПОМЕЩ. 7-Н, ОФИС 8</t>
  </si>
  <si>
    <t>ООО ИНТЕРНЕТ ГИПЕРМАРКЕТ РАВТА</t>
  </si>
  <si>
    <t>196084, Г.САНКТ-ПЕТЕРБУРГ, ПР-КТ ЛИГОВСКИЙ, Д. 256, К. 3 ЛИТЕР Е, ПОМЕЩ. 19</t>
  </si>
  <si>
    <t>ООО НЕВАТЕК</t>
  </si>
  <si>
    <t>196247, Г.САНКТ-ПЕТЕРБУРГ, ПР-КТ ЛЕНИНСКИЙ, Д. 160, ОФИС 708А</t>
  </si>
  <si>
    <t>ООО КРАТЕР</t>
  </si>
  <si>
    <t>196006, Г.САНКТ-ПЕТЕРБУРГ, ПР-КТ ЛИГОВСКИЙ, Д. 256, К. 3 ЛИТЕР Е, ПОМЕЩ. 1-18</t>
  </si>
  <si>
    <t>ООО ПРОДИКС</t>
  </si>
  <si>
    <t>196246, Г.САНКТ-ПЕТЕРБУРГ, ВН.ТЕР.Г. МУНИЦИПАЛЬНЫЙ ОКРУГ ЗВЕЗДНОЕ, ПР-КТ ДУНАЙСКИЙ, Д. 15, К. 2, ЛИТЕРА А, ПОМЕЩ. 60</t>
  </si>
  <si>
    <t>ООО ЭЛИТ-АВТОНЕВА</t>
  </si>
  <si>
    <t>196105, Г.САНКТ-ПЕТЕРБУРГ, ВН.ТЕР.Г. МУНИЦИПАЛЬНЫЙ ОКРУГ МОСКОВСКАЯ ЗАСТАВА, УЛ РЕШЕТНИКОВА, Д. 15, ЛИТЕРА А, ПОМЕЩ. 20-Н, ОФИС 333Б</t>
  </si>
  <si>
    <t>ООО М 10</t>
  </si>
  <si>
    <t>196246, Г.САНКТ-ПЕТЕРБУРГ, Ш МОСКОВСКОЕ, Д. 15А, ЛИТЕРА Г</t>
  </si>
  <si>
    <t>ООО ОРУЖИЕ НА МОСКОВСКОМ</t>
  </si>
  <si>
    <t>196066, РОССИЯ, Г.САНКТ-ПЕТЕРБУРГ, ВН.ТЕР.Г. МУНИЦИПАЛЬНЫЙ ОКРУГ ЗВЕЗДНОЕ, ПР-КТ МОСКОВСКИЙ, Д. 222, ЛИТЕРА А, ПОМЕЩ. 2Н, ОФИС 101</t>
  </si>
  <si>
    <t>ООО Т-ГРУПП</t>
  </si>
  <si>
    <t>196233, РОССИЯ, Г.САНКТ-ПЕТЕРБУРГ, ВН.ТЕР.Г. МУНИЦИПАЛЬНЫЙ ОКРУГ ГАГАРИНСКОЕ, ПР-КТ ДУНАЙСКИЙ, Д. 28, К. 2, ЛИТЕРА А, ПОМЕЩ. 19-Н</t>
  </si>
  <si>
    <t>ООО ЕВРОСИБ-100</t>
  </si>
  <si>
    <t>196246, РОССИЯ, Г.САНКТ-ПЕТЕРБУРГ, ВН.ТЕР.Г. МУНИЦИПАЛЬНЫЙ ОКРУГ ЗВЕЗДНОЕ, Ш ПУЛКОВСКОЕ, Д. 36, К. 3, ЛИТЕРА Б, ПОМЕЩ. 65</t>
  </si>
  <si>
    <t>ООО АЕН</t>
  </si>
  <si>
    <t>195027, Г.САНКТ-ПЕТЕРБУРГ, ВН.ТЕР.Г. МУНИЦИПАЛЬНЫЙ ОКРУГ БОЛЬШАЯ ОХТА, ПР-КТ ЭНЕРГЕТИКОВ, Д. 9, ЛИТЕРА Б, ПОМЕЩ. 1-Н</t>
  </si>
  <si>
    <t>ИП КУЗЬМИН СЕРГЕЙ ЮРЬЕВИЧ</t>
  </si>
  <si>
    <t>ООО БАЛТКАМ СЕРВИС</t>
  </si>
  <si>
    <t>196652, Г.САНКТ-ПЕТЕРБУРГ, ВН.ТЕР.Г. ГОРОД КОЛПИНО, Г КОЛПИНО, УЛ СЕВАСТЬЯНОВА, Д. 24, ЛИТЕРА Д</t>
  </si>
  <si>
    <t>ООО СДМ</t>
  </si>
  <si>
    <t>192289, Г.САНКТ-ПЕТЕРБУРГ, ВН.ТЕР.Г. МУНИЦИПАЛЬНЫЙ ОКРУГ АЛЕКСАНДРОВСКИЙ, УЛ СОФИЙСКАЯ, Д. 72, ЛИТЕРА А, ПОМЕЩ. 2.79</t>
  </si>
  <si>
    <t>ИП САЙ МАРИЯ АНАТОЛЬЕВНА</t>
  </si>
  <si>
    <t>ИП АЛЕКСАНДРОВА ОЛЬГА ВИКТОРОВНА</t>
  </si>
  <si>
    <t>ИП АЛЕКСАНДРОВ МАКСИМ МИХАЙЛОВИЧ</t>
  </si>
  <si>
    <t>ИП НАГОПЕТЬЯН МАРИНА ЕВГЕНЬЕВНА</t>
  </si>
  <si>
    <t>ИП ДЫШЛЮК ЮРИЙ АНДРЕЕВИЧ</t>
  </si>
  <si>
    <t>ООО ТОРГОВЫЙ ДОМ РУСМА</t>
  </si>
  <si>
    <t>192177, Г.САНКТ-ПЕТЕРБУРГ, ВН.ТЕР.Г. МУНИЦИПАЛЬНЫЙ ОКРУГ РЫБАЦКОЕ, ПРОЕЗД 3-Й РЫБАЦКИЙ, Д. 7, ЛИТЕРА А, ПОМЕЩ. 38</t>
  </si>
  <si>
    <t>ИП БАЗЫЛЕВ АЛЕКСАНДР МИХАЙЛОВИЧ</t>
  </si>
  <si>
    <t>ООО ПОДШИПНИК-МАРКЕТ</t>
  </si>
  <si>
    <t>194356, Г.САНКТ-ПЕТЕРБУРГ, ВН.ТЕР.Г. МУНИЦИПАЛЬНЫЙ ОКРУГ ШУВАЛОВО-ОЗЕРКИ, УЛ ЕЛИЗАВЕТИНСКАЯ, Д. 17, СТР. 3</t>
  </si>
  <si>
    <t>ООО 1 НЬЮ</t>
  </si>
  <si>
    <t>193168, Г.САНКТ-ПЕТЕРБУРГ, УЛ АНТОНОВА-ОВСЕЕНКО, Д. 5, К. 1 ЛИТЕР А, ПОМЕЩ. 4Н</t>
  </si>
  <si>
    <t>ООО ТТК СЕРВИС СПБ</t>
  </si>
  <si>
    <t>192012, Г.САНКТ-ПЕТЕРБУРГ, ВН.ТЕР.Г. МУНИЦИПАЛЬНЫЙ ОКРУГ РЫБАЦКОЕ, ПР-КТ ОБУХОВСКОЙ ОБОРОНЫ, Д. 271, ЛИТЕРА А, ОФИС 822</t>
  </si>
  <si>
    <t>ООО ДАЛЬТЕХНОЛОГИЯ-СЕРВИС</t>
  </si>
  <si>
    <t>192019, Г.САНКТ-ПЕТЕРБУРГ, Ш ГЛУХООЗЁРСКОЕ, Д. 7, К. 2 ЛИТЕР У, КОМ. 2</t>
  </si>
  <si>
    <t>ООО ПРИМА ПАРТС</t>
  </si>
  <si>
    <t>192076, Г.САНКТ-ПЕТЕРБУРГ, ПР-КТ РЫБАЦКИЙ, Д. 17, К. 1, КВ. 200</t>
  </si>
  <si>
    <t>ООО СЕВЕРНЫЕ СТРЕЛЫ</t>
  </si>
  <si>
    <t>192019, Г.САНКТ-ПЕТЕРБУРГ, УЛ ФАЯНСОВАЯ, Д. 20, ЛИТЕР Б, ПОМЕЩ. 1-Н</t>
  </si>
  <si>
    <t>ООО АВТО-ФЕРМА</t>
  </si>
  <si>
    <t>192174, Г.САНКТ-ПЕТЕРБУРГ, ПР-КТ АЛЕКСАНДРОВСКОЙ ФЕРМЫ, Д. 17, ЛИТЕР А, ЭТ/ПОМ 1/9</t>
  </si>
  <si>
    <t>ООО ОЗБЭТТЕРИЗ</t>
  </si>
  <si>
    <t>196240, РОССИЯ, Г.САНКТ-ПЕТЕРБУРГ, ВН.ТЕР.Г. МУНИЦИПАЛЬНЫЙ ОКРУГ НОВОИЗМАЙЛОВСКОЕ, УЛ КУБИНСКАЯ, Д. 76, К. 7, СТР. 1, ПОМЕЩ. 1-Н, ПОМЕЩ. 202</t>
  </si>
  <si>
    <t>ООО НЕВА-РЕСУРС</t>
  </si>
  <si>
    <t>193230, РОССИЯ, Г.САНКТ-ПЕТЕРБУРГ, ВН.ТЕР.Г. МУНИЦИПАЛЬНЫЙ ОКРУГ НАРОДНЫЙ, УЛ КРЫЛЕНКО, Д. 1, К. 1, СТР. 1, КВ. 86</t>
  </si>
  <si>
    <t>ООО ЖЁЛТАЯ МАРКА</t>
  </si>
  <si>
    <t>192076, РОССИЯ, Г.САНКТ-ПЕТЕРБУРГ, ВН.ТЕР.Г. МУНИЦИПАЛЬНЫЙ ОКРУГ РЫБАЦКОЕ, ПР-КТ РЫБАЦКИЙ, Д. 9, ЛИТЕРА А, КВ. 104</t>
  </si>
  <si>
    <t>ООО ДАН</t>
  </si>
  <si>
    <t>193230, РОССИЯ, Г.САНКТ-ПЕТЕРБУРГ, ВН.ТЕР.Г. МУНИЦИПАЛЬНЫЙ ОКРУГ № 54, УЛ ДЫБЕНКО, Д. 5, К. 7, СТР. 1, КВ. 96</t>
  </si>
  <si>
    <t>ООО ТД ГЛАВДЕТАЛЬ</t>
  </si>
  <si>
    <t>192019, РОССИЯ, Г.САНКТ-ПЕТЕРБУРГ, ВН.ТЕР.Г. МУНИЦИПАЛЬНЫЙ ОКРУГ НЕВСКАЯ ЗАСТАВА, УЛ МЕЛЬНИЧНАЯ, Д. 11, ЛИТЕРА А</t>
  </si>
  <si>
    <t>ООО АГРОКОМ</t>
  </si>
  <si>
    <t>192012, РОССИЯ, Г.САНКТ-ПЕТЕРБУРГ, ВН.ТЕР.Г. МУНИЦИПАЛЬНЫЙ ОКРУГ РЫБАЦКОЕ, ПР-КТ ОБУХОВСКОЙ ОБОРОНЫ, Д. 271, ЛИТЕРА А, ПОМЕЩ. 5-Н, ПОМЕЩ. 329</t>
  </si>
  <si>
    <t>ИП ГАВРИЧЕНКО ИГОРЬ ГЕОРГИЕВИЧ</t>
  </si>
  <si>
    <t>ИП СТЕПАНОВ ДМИТРИЙ АНАТОЛЬЕВИЧ</t>
  </si>
  <si>
    <t>ИП КОЗЛОВ АЛЕКСАНДР ВАЛЕРЬЕВИЧ</t>
  </si>
  <si>
    <t>ИП ПАШИН СЕРГЕЙ АЛЕКСАНДРОВИЧ</t>
  </si>
  <si>
    <t>ИП ГИМЕЛЬФАРБ ИВАН АНДРЕЕВИЧ</t>
  </si>
  <si>
    <t>ООО ОРИЕНТИС ТЕХНОЛОДЖИ</t>
  </si>
  <si>
    <t>196066, Г.САНКТ-ПЕТЕРБУРГ, ВН.ТЕР.Г. МУНИЦИПАЛЬНЫЙ ОКРУГ ПУЛКОВСКИЙ МЕРИДИАН, ПР-КТ МОСКОВСКИЙ, Д. 183-185, СТР. 2, ПОМЕЩ. 271-Н</t>
  </si>
  <si>
    <t>ООО МАРТЕЛЬ ШИМИ РУСЬ</t>
  </si>
  <si>
    <t>194223, РОССИЯ, Г.САНКТ-ПЕТЕРБУРГ, ВН.ТЕР.Г. МУНИЦИПАЛЬНЫЙ ОКРУГ СВЕТЛАНОВСКОЕ, ПР-КТ ТОРЕЗА, Д. 68, ЛИТЕРА Л, ПОМЕЩ. 1-Н, №12</t>
  </si>
  <si>
    <t>ООО БЭСТЛЕР</t>
  </si>
  <si>
    <t>195030, РОССИЯ, Г.САНКТ-ПЕТЕРБУРГ, ВН.ТЕР.Г. МУНИЦИПАЛЬНЫЙ ОКРУГ РЖЕВКА, УЛ ХИМИКОВ, Д. 28, ЛИТЕРА АС, ПОМЕЩ. 1-Н, ОФИС 701</t>
  </si>
  <si>
    <t>ОБЩЕСТВО С ОГРАНИЧЕННОЙ ОТВЕТСТВЕННОСТЬЮ ВЕКС ИНДАСТРИЗ</t>
  </si>
  <si>
    <t>194295, РОССИЯ, Г.САНКТ-ПЕТЕРБУРГ, ВН.ТЕР.Г. МУНИЦИПАЛЬНЫЙ ОКРУГ СОСНОВСКОЕ, ПР-КТ ХУДОЖНИКОВ, Д. 13, К. 1, ЛИТЕРА А, ОФИС 213</t>
  </si>
  <si>
    <t>ООО СПЕКТРОЙЛ</t>
  </si>
  <si>
    <t>195279, РОССИЯ, Г.САНКТ-ПЕТЕРБУРГ, ВН.ТЕР.Г. МУНИЦИПАЛЬНЫЙ ОКРУГ ПОРОХОВЫЕ, ПР-КТ ИНДУСТРИАЛЬНЫЙ, Д. 44, ЛИТЕРА А, ОФИС 408</t>
  </si>
  <si>
    <t>ООО КВАНТ ТРЕЙДИНГ</t>
  </si>
  <si>
    <t>195030, РОССИЯ, Г.САНКТ-ПЕТЕРБУРГ, ВН.ТЕР.Г. МУНИЦИПАЛЬНЫЙ ОКРУГ РЖЕВКА, УЛ КОММУНЫ, Д. 67, ЛИТЕРА БМ</t>
  </si>
  <si>
    <t>ООО ТЕРРИКОН</t>
  </si>
  <si>
    <t>196607, Г.САНКТ-ПЕТЕРБУРГ, Г ПУШКИН, ТЕР ПАВИЛЬОН УРИЦКОГО, Д. 1А, ЛИТЕРА А</t>
  </si>
  <si>
    <t>ООО ЮСАП</t>
  </si>
  <si>
    <t>194362, Г.САНКТ-ПЕТЕРБУРГ, П ПАРГОЛОВО, Ш ВЫБОРГСКОЕ, Д. 503, К. 1 ЛИТ. А</t>
  </si>
  <si>
    <t>198332, Г.САНКТ-ПЕТЕРБУРГ, ВН.ТЕР.Г. МУНИЦИПАЛЬНЫЙ ОКРУГ ЮГО-ЗАПАД, ПР-КТ МАРШАЛА ЖУКОВА, Д. 21, ЛИТЕРА А</t>
  </si>
  <si>
    <t>ИП КУЗНЕЦОВ ПАВЕЛ АНАТОЛЬЕВИЧ</t>
  </si>
  <si>
    <t>ООО МАСЛАПОРТ</t>
  </si>
  <si>
    <t>198320, Г.САНКТ-ПЕТЕРБУРГ, Г КРАСНОЕ СЕЛО, УЛ СВОБОДЫ, Д. 50, ЛИТЕРА В, ПОМЕЩ. №352-А</t>
  </si>
  <si>
    <t>ИП ГЕРАСИМОВА МАРИНА АЛЕКСАНДРОВНА</t>
  </si>
  <si>
    <t>ИП ДЕНИСОВ СЕРГЕЙ ВЛАДИМИРОВИЧ</t>
  </si>
  <si>
    <t>ООО МЕС ИНДУСТРИЯ</t>
  </si>
  <si>
    <t>198328, Г.САНКТ-ПЕТЕРБУРГ, ВН.ТЕР.Г. МУНИЦИПАЛЬНЫЙ ОКРУГ ЮЖНО-ПРИМОРСКИЙ, Б-Р БРЕСТСКИЙ, Д. 8, ЛИТЕРА А, ПОМЕЩ. 8-Н, ОФИС 423</t>
  </si>
  <si>
    <t>ООО АГРОНАФТ ЦЕНТРАЛЬНЫЙ СКЛАД</t>
  </si>
  <si>
    <t>198320, РОССИЯ, Г.САНКТ-ПЕТЕРБУРГ, ВН.ТЕР.Г. ГОРОД КРАСНОЕ СЕЛО, УЛ СВОБОДЫ, Д. 50, ЛИТЕРА В, ПОМЕЩ. 352 Г</t>
  </si>
  <si>
    <t>198332, РОССИЯ, Г.САНКТ-ПЕТЕРБУРГ, ВН.ТЕР.Г. МУНИЦИПАЛЬНЫЙ ОКРУГ ЮГО-ЗАПАД, ПР-КТ МАРШАЛА ЖУКОВА, Д. 21, ЛИТЕРА А</t>
  </si>
  <si>
    <t>ИП АРХАНГЕЛЬСКАЯ ЕВГЕНИЯ ПЕТРОВНА</t>
  </si>
  <si>
    <t>ООО ТЕКОМХИМ</t>
  </si>
  <si>
    <t>198205, Г.САНКТ-ПЕТЕРБУРГ, УЛ РАБОЧАЯ (СТАРО-ПАНОВО ТЕР.), Д.16, ЛИТЕР И</t>
  </si>
  <si>
    <t>ООО ДЖИ ЭМ ФОРМУЛА</t>
  </si>
  <si>
    <t>198334, Г.САНКТ-ПЕТЕРБУРГ, ПР-КТ ВЕТЕРАНОВ, Д. 130, КВ. 632</t>
  </si>
  <si>
    <t>ИП МИРОШНИКОВ АНДРЕЙ АЛЕКСАНДРОВИЧ</t>
  </si>
  <si>
    <t>ИП СТЕПАНОВА ЕЛЕНА ВЛАДИМИРОВНА</t>
  </si>
  <si>
    <t>ИП ПЕКИН АЛЕКСЕЙ СЕРГЕЕВИЧ</t>
  </si>
  <si>
    <t>ООО КРЦ</t>
  </si>
  <si>
    <t>197374, Г.САНКТ-ПЕТЕРБУРГ, ВН.ТЕР.Г. МУНИЦИПАЛЬНЫЙ ОКРУГ № 65, УЛ САВУШКИНА, Д. 83, К. 3, ЛИТЕРА А, ПОМЕЩ. 2-Н (№103), ОФИС №203</t>
  </si>
  <si>
    <t>ООО ФАВОРИТ-АВТО</t>
  </si>
  <si>
    <t>192102, Г.САНКТ-ПЕТЕРБУРГ, УЛ САЛОВА, Д. 27, ЛИТЕР АД, ПОМЕЩ. 18-Н №21 (ОФИС 302)</t>
  </si>
  <si>
    <t>ООО ФОРМУЛА ОПЕЛЬ</t>
  </si>
  <si>
    <t>192289, Г.САНКТ-ПЕТЕРБУРГ, ПР-КТ ДЕВЯТОГО ЯНВАРЯ, Д. 18, ЛИТЕР А</t>
  </si>
  <si>
    <t>ООО ТИСИАЙ</t>
  </si>
  <si>
    <t>196240, Г.САНКТ-ПЕТЕРБУРГ, УЛ ПРЕДПОРТОВАЯ, Д. 8, ЛИТЕР А, ОФИС 212</t>
  </si>
  <si>
    <t>ООО КОМПАНИЯ АВТО-КОМПОНЕНТ</t>
  </si>
  <si>
    <t>198152, Г.САНКТ-ПЕТЕРБУРГ, УЛ КРАСНОПУТИЛОВСКАЯ, Д. 69, ЛИТЕР А, ПОМЕЩ. 25-Н ОФИС 410А</t>
  </si>
  <si>
    <t>ООО НЕВА-АВТОСЕРВИС</t>
  </si>
  <si>
    <t>192102, Г.САНКТ-ПЕТЕРБУРГ, ВН.ТЕР.Г. МУНИЦИПАЛЬНЫЙ ОКРУГ ВОЛКОВСКОЕ, УЛ САЛОВА, Д. 70, ЛИТЕРА А, ПОМЕЩ. 1-73</t>
  </si>
  <si>
    <t>ООО ПАЗЛАВТО</t>
  </si>
  <si>
    <t>196246, Г.САНКТ-ПЕТЕРБУРГ, ВН.ТЕР.Г. МУНИЦИПАЛЬНЫЙ ОКРУГ ЗВЕЗДНОЕ, Ш МОСКОВСКОЕ, Д. 13, К. 8, ЛИТЕРА Д, ПОМЕЩ. 13-Н, КАБИНЕТ 21</t>
  </si>
  <si>
    <t>196006, Г.САНКТ-ПЕТЕРБУРГ, ПР-КТ ЛИГОВСКИЙ, Д. 256, К. 3 ЛИТЕР Е, ОФИС 44</t>
  </si>
  <si>
    <t>ООО ТЕХТРАНСАВТО</t>
  </si>
  <si>
    <t>196240, Г.САНКТ-ПЕТЕРБУРГ, ВН.ТЕР.Г. МУНИЦИПАЛЬНЫЙ ОКРУГ НОВОИЗМАЙЛОВСКОЕ, УЛ ПРЕДПОРТОВАЯ, Д. 8, ЛИТЕРА А, ПОМЕЩ. 1-Н, ОФ. 323</t>
  </si>
  <si>
    <t>ООО АС ГРУПП ПЛЮС</t>
  </si>
  <si>
    <t>196105, Г.САНКТ-ПЕТЕРБУРГ, УЛ БЛАГОДАТНАЯ, Д. 69, К. 1 ЛИТЕР Б, ОФИС 3Н</t>
  </si>
  <si>
    <t>ООО ОЙЛ-ПАРТС</t>
  </si>
  <si>
    <t>196135, РОССИЯ, Г.САНКТ-ПЕТЕРБУРГ, ВН.ТЕР.Г. МУНИЦИПАЛЬНЫЙ ОКРУГ МОСКОВСКАЯ ЗАСТАВА, УЛ ФРУНЗЕ, Д. 10, ЛИТЕРА А, ПОМЕЩ. 18-Н, Р.М. 2</t>
  </si>
  <si>
    <t>ООО МЕГАТЕК</t>
  </si>
  <si>
    <t>196191, РОССИЯ, Г.САНКТ-ПЕТЕРБУРГ, ВН.ТЕР.Г. МУНИЦИПАЛЬНЫЙ ОКРУГ НОВОИЗМАЙЛОВСКОЕ, ПЛ КОНСТИТУЦИИ, Д. 7, ЛИТЕРА А, ПОМЕЩ. 111-Н, ОФИС 1</t>
  </si>
  <si>
    <t>ООО ХОЛОД-МАГАЗИН.РУ</t>
  </si>
  <si>
    <t>196084, РОССИЯ, Г.САНКТ-ПЕТЕРБУРГ, ВН.ТЕР.Г. МУНИЦИПАЛЬНЫЙ ОКРУГ МОСКОВСКАЯ ЗАСТАВА, УЛ КИЕВСКАЯ, Д. 3, ЛИТЕРА А, ПОМЕЩ. 182-Н</t>
  </si>
  <si>
    <t>ООО ТЫЛ</t>
  </si>
  <si>
    <t>196143, РОССИЯ, Г.САНКТ-ПЕТЕРБУРГ, ВН.ТЕР.Г. МУНИЦИПАЛЬНЫЙ ОКРУГ ЗВЕЗДНОЕ, УЛ ЛЕНСОВЕТА, Д. 34, К. 3, ЛИТЕРА А, ПОМЕЩ. 23-Н ОФИС 62</t>
  </si>
  <si>
    <t>ИП Шемаханов Михаил Геннадьевич</t>
  </si>
  <si>
    <t>ИП ТОЛОРДАВА АЛЕКСИЯ ПААТОВНА</t>
  </si>
  <si>
    <t>ООО АВТОЦЕНТР КОРЕАНА</t>
  </si>
  <si>
    <t>195279, Г.САНКТ-ПЕТЕРБУРГ, ПР-КТ ИНДУСТРИАЛЬНЫЙ, Д. 50, К. 1 ЛИТЕР А, ОФИС 1</t>
  </si>
  <si>
    <t>ИП ЗАДВИНСКИЙ МАКСИМ ВИТАЛЬЕВИЧ</t>
  </si>
  <si>
    <t>ИП ЛЕВИН ИЛЬЯ МИХАЙЛОВИЧ</t>
  </si>
  <si>
    <t>ООО АЦР</t>
  </si>
  <si>
    <t>192148, Г.САНКТ-ПЕТЕРБУРГ, УЛ СЕДОВА, Д. 13, К. 3, ЛИТЕР А, ПОМЕЩЕНИЕ 201</t>
  </si>
  <si>
    <t>ООО ПЕКТЕН</t>
  </si>
  <si>
    <t>198217, Г.САНКТ-ПЕТЕРБУРГ, ПР-КТ НАРОДНОГО ОПОЛЧЕНИЯ, Д. 147, ЛИТЕР А</t>
  </si>
  <si>
    <t>ИП БОГДАНОВ МИХАИЛ ИГОРЕВИЧ</t>
  </si>
  <si>
    <t>ООО МОТОДАРТ</t>
  </si>
  <si>
    <t>196128, Г.САНКТ-ПЕТЕРБУРГ, УЛ ВАРШАВСКАЯ, Д. 22, КВ. 19</t>
  </si>
  <si>
    <t>ООО АДДИНОЛ СПБ</t>
  </si>
  <si>
    <t>192148, Г.САНКТ-ПЕТЕРБУРГ, УЛ СЕДОВА, Д. 13, ЛИТЕР А, КОРПУС 1 ПОМЕЩЕНИЕ 6-Н ОФИС 229</t>
  </si>
  <si>
    <t>193079, Г.САНКТ-ПЕТЕРБУРГ, НАБ ОКТЯБРЬСКАЯ, Д. 104, К. 43 ЛИТЕР АЖ, ОФИС 309</t>
  </si>
  <si>
    <t>ООО 2К СПБ</t>
  </si>
  <si>
    <t>197341, Г.САНКТ-ПЕТЕРБУРГ, ВН.ТЕР.Г. МУНИЦИПАЛЬНЫЙ ОКРУГ КОЛОМЯГИ, УЛ АФОНСКАЯ, Д. 2, ЛИТЕРА А, ПОМЕЩ. 2-Н, КОМ. №454 (ОФ 3-334)</t>
  </si>
  <si>
    <t>ООО БАЗИСАВТО</t>
  </si>
  <si>
    <t>195027, Г.САНКТ-ПЕТЕРБУРГ, ВН.ТЕР.Г. МУНИЦИПАЛЬНЫЙ ОКРУГ БОЛЬШАЯ ОХТА, УЛ МАГНИТОГОРСКАЯ, Д. 11, ЛИТЕРА А, ПОМЕЩ. 1Н 2Н 3Н, ОФИС 518</t>
  </si>
  <si>
    <t>ООО ПОЛИГРАФЗАПЧАСТЬ</t>
  </si>
  <si>
    <t>192148, Г.САНКТ-ПЕТЕРБУРГ, ВН.ТЕР.Г. МУНИЦИПАЛЬНЫЙ ОКРУГ НЕВСКАЯ ЗАСТАВА, УЛ ОЛЬГИ БЕРГГОЛЬЦ, Д. 42, СТР. 1, ПОМЕЩ. 10</t>
  </si>
  <si>
    <t>ООО СИАЙС</t>
  </si>
  <si>
    <t>192241, Г.САНКТ-ПЕТЕРБУРГ, ПР-КТ АЛЕКСАНДРОВСКОЙ ФЕРМЫ, Д. 29, ЛИТЕР Л, 3Н, СОСТАВНОЕ ПОМЕЩЕНИЕ 2</t>
  </si>
  <si>
    <t>ООО САЛЬТКРОКА</t>
  </si>
  <si>
    <t>192007, Г.САНКТ-ПЕТЕРБУРГ, ВН.ТЕР.Г. МУНИЦИПАЛЬНЫЙ ОКРУГ ВОЛКОВСКОЕ, НАБ РЕКИ ВОЛКОВКИ, Д. 19, ЛИТЕРА Б, ПОМЕЩ. 1Н, ОФИС 6</t>
  </si>
  <si>
    <t>ООО ХИМРЕАПЛАСТ</t>
  </si>
  <si>
    <t>193230, Г.САНКТ-ПЕТЕРБУРГ, ПР-КТ ИСКРОВСКИЙ, Д. 31, ЛИТЕР Э, КВ. 47</t>
  </si>
  <si>
    <t>ООО АЛЬТОПРОФ</t>
  </si>
  <si>
    <t>192019, РОССИЯ, Г.САНКТ-ПЕТЕРБУРГ, ВН.ТЕР.Г. МУНИЦИПАЛЬНЫЙ ОКРУГ НЕВСКАЯ ЗАСТАВА, УЛ ХРУСТАЛЬНАЯ, Д. 31, ЛИТЕРА Н, ОФИС 8</t>
  </si>
  <si>
    <t>ООО ПРО100СНАБ</t>
  </si>
  <si>
    <t>192019, РОССИЯ, Г.САНКТ-ПЕТЕРБУРГ, ВН.ТЕР.Г. МУНИЦИПАЛЬНЫЙ ОКРУГ НЕВСКАЯ ЗАСТАВА, УЛ ФАЯНСОВАЯ, Д. 22, ЛИТЕРА Е, ПОМЕЩ. 8Н/9Н/10Н, ОФ. 1</t>
  </si>
  <si>
    <t>192019, РОССИЯ, Г.САНКТ-ПЕТЕРБУРГ, ВН.ТЕР.Г. МУНИЦИПАЛЬНЫЙ ОКРУГ НЕВСКАЯ ЗАСТАВА, УЛ ХРУСТАЛЬНАЯ, Д. 27, ЛИТЕРА А, ОФИС 21</t>
  </si>
  <si>
    <t>ООО ТРЕКТА</t>
  </si>
  <si>
    <t>192029, РОССИЯ, Г.САНКТ-ПЕТЕРБУРГ, ВН.ТЕР.Г. МУНИЦИПАЛЬНЫЙ ОКРУГ НЕВСКАЯ ЗАСТАВА, ПР-КТ ОБУХОВСКОЙ ОБОРОНЫ, Д. 70, К. 2, ЛИТЕРА А, ПОМЕЩ. 1-Н КОМ. 272 ЭТАЖ 4, ОФИС 410</t>
  </si>
  <si>
    <t>ООО ВР-ОЙЛ</t>
  </si>
  <si>
    <t>192019, РОССИЯ, Г.САНКТ-ПЕТЕРБУРГ, ВН.ТЕР.Г. МУНИЦИПАЛЬНЫЙ ОКРУГ НЕВСКАЯ ЗАСТАВА, УЛ СЕДОВА, Д. 5, ЛИТЕРА А, ЭТАЖ 1, ПОМЕЩ. 3-Н, ЧАСТЬ № 7</t>
  </si>
  <si>
    <t>ООО М4Е</t>
  </si>
  <si>
    <t>196135, РОССИЯ, Г.САНКТ-ПЕТЕРБУРГ, ВН.ТЕР.Г. МУНИЦИПАЛЬНЫЙ ОКРУГ ГАГАРИНСКОЕ, УЛ ТИПАНОВА, Д. 23, К. 2, СТР. 1, ПОМЕЩ. 9Н</t>
  </si>
  <si>
    <t>ООО ЛАДОГА</t>
  </si>
  <si>
    <t>193232, РОССИЯ, Г.САНКТ-ПЕТЕРБУРГ, ВН.ТЕР.Г. МУНИЦИПАЛЬНЫЙ ОКРУГ № 54, УЛ ДЫБЕНКО, Д. 27, К. 2, ЛИТЕРА О, КВ. 82</t>
  </si>
  <si>
    <t>ООО ХИММЕР</t>
  </si>
  <si>
    <t>192019, РОССИЯ, Г.САНКТ-ПЕТЕРБУРГ, ВН.ТЕР.Г. МУНИЦИПАЛЬНЫЙ ОКРУГ НЕВСКАЯ ЗАСТАВА, НАБ ОБВОДНОГО КАНАЛА, Д. 24, ЛИТЕРА А, ПОМЕЩ. 14-Н ОФИС 15</t>
  </si>
  <si>
    <t>ООО ЗСМ КЛЮВ</t>
  </si>
  <si>
    <t>193079, РОССИЯ, Г.САНКТ-ПЕТЕРБУРГ, ВН.ТЕР.Г. МУНИЦИПАЛЬНЫЙ ОКРУГ НАРОДНЫЙ, НАБ ОКТЯБРЬСКАЯ, Д. 104, К. 5, СТР. 1, ПОМЕЩ. 711</t>
  </si>
  <si>
    <t>ООО ВИКТАО</t>
  </si>
  <si>
    <t>192148, РОССИЯ, Г.САНКТ-ПЕТЕРБУРГ, ВН.ТЕР.Г. МУНИЦИПАЛЬНЫЙ ОКРУГ НЕВСКАЯ ЗАСТАВА, УЛ СЕДОВА, Д. 13, ЛИТЕРА А, ПОМЕЩ. 6-Н, ПОМЕЩ. 20, ОФИС 239</t>
  </si>
  <si>
    <t>ООО АБСОЛЮТ</t>
  </si>
  <si>
    <t>193312, РОССИЯ, Г.САНКТ-ПЕТЕРБУРГ, ВН.ТЕР.Г. МУНИЦИПАЛЬНЫЙ ОКРУГ ПРАВОБЕРЕЖНЫЙ, УЛ КОЛЛОНТАЙ, Д. 28, К. 1, ЛИТЕРА А, ПОМЕЩ. 7Н, КОМ. 1</t>
  </si>
  <si>
    <t>ООО СБМАШИНЕН</t>
  </si>
  <si>
    <t>193230, РОССИЯ, Г.САНКТ-ПЕТЕРБУРГ, ВН.ТЕР.Г. МУНИЦИПАЛЬНЫЙ ОКРУГ № 54, ПР-КТ ДАЛЬНЕВОСТОЧНЫЙ, Д. 35, К. 1, СТР. 1, КВ. 526</t>
  </si>
  <si>
    <t>ООО РУАВТО</t>
  </si>
  <si>
    <t>193231, РОССИЯ, Г.САНКТ-ПЕТЕРБУРГ, ВН.ТЕР.Г. МУНИЦИПАЛЬНЫЙ ОКРУГ ПРАВОБЕРЕЖНЫЙ, УЛ ЛАТЫШСКИХ СТРЕЛКОВ, Д. 1, ЛИТЕРА А, КВ. 276</t>
  </si>
  <si>
    <t>ООО ФОРДЕВИНД</t>
  </si>
  <si>
    <t>197110, Г.САНКТ-ПЕТЕРБУРГ, ВН.ТЕР.Г. МУНИЦИПАЛЬНЫЙ ОКРУГ ЧКАЛОВСКОЕ, ПР-КТ ЛЕВАШОВСКИЙ, Д. 15, ЛИТЕРА А, ПОМЕЩ. 3-Н</t>
  </si>
  <si>
    <t>ООО ФЬОРД</t>
  </si>
  <si>
    <t>197110, Г.САНКТ-ПЕТЕРБУРГ, ВН.ТЕР.Г. МУНИЦИПАЛЬНЫЙ ОКРУГ ЧКАЛОВСКОЕ, НАБ АДМИРАЛА ЛАЗАРЕВА, Д. 20, ЛИТЕРА А, ПОМЕЩ. 5-Н ОФИС 2 Р.М. 2</t>
  </si>
  <si>
    <t>ООО КИБУС ТРЕЙД</t>
  </si>
  <si>
    <t>191181, Г.САНКТ-ПЕТЕРБУРГ, ВН.ТЕР.Г. МУНИЦИПАЛЬНЫЙ ОКРУГ ДВОРЦОВЫЙ ОКРУГ, УЛ БОЛЬШАЯ МОРСКАЯ, Д. 3-5, ЛИТЕРА А, ПОМЕЩ. 3-Н:308, 309; ОФИС 506,507</t>
  </si>
  <si>
    <t>ИП ЕГОРОВА АННА АЛЕКСЕЕВНА</t>
  </si>
  <si>
    <t>ИП ДЕМИНА МАРИАННА ЮРЬЕВНА</t>
  </si>
  <si>
    <t>ООО ПЕТЕРБУРГ ГРУПП</t>
  </si>
  <si>
    <t>195279, Г.САНКТ-ПЕТЕРБУРГ, ВН.ТЕР.Г. МУНИЦИПАЛЬНЫЙ ОКРУГ РЖЕВКА, Ш РЕВОЛЮЦИИ, Д. 69, ЛИТЕРА А, ПОМЕЩ. 22-Н, ОФИС 305</t>
  </si>
  <si>
    <t>ИП ТЕН ВЛАДИСЛАВ ГЕННАДЬЕВИЧ</t>
  </si>
  <si>
    <t>ООО АВИАСТРОЙ С-ПБ</t>
  </si>
  <si>
    <t>195027, Г.САНКТ-ПЕТЕРБУРГ, УЛ МАГНИТОГОРСКАЯ, Д. 23, К. 1 ЛИТ. А, ОФИС 344</t>
  </si>
  <si>
    <t>ИП ЯНЧЕНКОВ ДМИТРИЙ ПАВЛОВИЧ</t>
  </si>
  <si>
    <t>195248, Г.САНКТ-ПЕТЕРБУРГ, Ш РЕВОЛЮЦИИ, Д.84, ЛИТЕР З, П.3-Н</t>
  </si>
  <si>
    <t>ООО СТОКОЙЛ</t>
  </si>
  <si>
    <t>193312, Г.САНКТ-ПЕТЕРБУРГ, ПР-КТ ТОВАРИЩЕСКИЙ, Д. 4, КВ. 109</t>
  </si>
  <si>
    <t>ООО ФОРТ</t>
  </si>
  <si>
    <t>194352, Г.САНКТ-ПЕТЕРБУРГ, ВН.ТЕР.Г. МУНИЦИПАЛЬНЫЙ ОКРУГ СЕРГИЕВСКОЕ, АЛЛЕЯ ПРИДОРОЖНАЯ, Д. 8, ЛИТЕРА А, ПОМЕЩ. 461</t>
  </si>
  <si>
    <t>ООО ОЙЛМАРТ</t>
  </si>
  <si>
    <t>195030, Г.САНКТ-ПЕТЕРБУРГ, ВН.ТЕР.Г. МУНИЦИПАЛЬНЫЙ ОКРУГ РЖЕВКА, УЛ КОММУНЫ, Д. 63, ЛИТЕРА А, ПОМЕЩ. 5-Н, КОМ. 46</t>
  </si>
  <si>
    <t>ООО НТБ</t>
  </si>
  <si>
    <t>195273, Г.САНКТ-ПЕТЕРБУРГ, ВН.ТЕР.Г. МУНИЦИПАЛЬНЫЙ ОКРУГ ПОЛЮСТРОВО, ПР-КТ ПИСКАРЁВСКИЙ, Д. 150, К. 2, ЛИТЕРА А, ОФИС 118(59(1Н)</t>
  </si>
  <si>
    <t>ООО ТК ИНТЕХ</t>
  </si>
  <si>
    <t>195043, РОССИЯ, Г.САНКТ-ПЕТЕРБУРГ, ВН.ТЕР.Г. МУНИЦИПАЛЬНЫЙ ОКРУГ ПОЛЮСТРОВО, ТЕР. СНТ АРСЕНАЛ-РЖЕВКА, УЛ АРСЕНАЛЬНАЯ, Д. 18, СТР. 1, ПОМЕЩ. 8Н, МЕСТО 10</t>
  </si>
  <si>
    <t>ООО ПИК ГРУПП</t>
  </si>
  <si>
    <t>195213, РОССИЯ, Г.САНКТ-ПЕТЕРБУРГ, ВН.ТЕР.Г. МУНИЦИПАЛЬНЫЙ ОКРУГ МАЛАЯ ОХТА, ПР-КТ ЭНЕРГЕТИКОВ, Д. 3, ЛИТЕРА Б, ПОМЕЩ. 11</t>
  </si>
  <si>
    <t>ООО СВГ</t>
  </si>
  <si>
    <t>196105, РОССИЯ, Г.САНКТ-ПЕТЕРБУРГ, ВН.ТЕР.Г. МУНИЦИПАЛЬНЫЙ ОКРУГ МОСКОВСКАЯ ЗАСТАВА, УЛ СВЕАБОРГСКАЯ, Д. 10, ЛИТЕРА Б, ПОМЕЩ. 1-Н, ОФИС 10</t>
  </si>
  <si>
    <t>ООО К-МАРКЕТ</t>
  </si>
  <si>
    <t>195027, РОССИЯ, Г.САНКТ-ПЕТЕРБУРГ, ВН.ТЕР.Г. МУНИЦИПАЛЬНЫЙ ОКРУГ БОЛЬШАЯ ОХТА, ПР-КТ ШАУМЯНА, Д. 4, К. 1, ЛИТЕРА А, ПОМЕЩ. 35Н/36Н/37Н, ОФИС 420</t>
  </si>
  <si>
    <t>ООО СИГМА-СОФТ</t>
  </si>
  <si>
    <t>196105, Г.САНКТ-ПЕТЕРБУРГ, ПР-КТ ЮРИЯ ГАГАРИНА, Д. 1, ОФИС 401</t>
  </si>
  <si>
    <t>ИП ПУСТОБАЕВ ВАЛЕРИЙ СТЕПАНОВИЧ</t>
  </si>
  <si>
    <t>ИП ВЕНЕДИКТОВ ВЛАДИМИР МИХАЙЛОВИЧ</t>
  </si>
  <si>
    <t>ООО МОУШН ПРОДАКТС</t>
  </si>
  <si>
    <t>192288, Г.САНКТ-ПЕТЕРБУРГ, ПР-КТ ДУНАЙСКИЙ, Д. 68, ЛИТЕР А</t>
  </si>
  <si>
    <t>ООО ПРАКТИКА СПБ</t>
  </si>
  <si>
    <t>190020, Г.САНКТ-ПЕТЕРБУРГ, ВН.ТЕР.Г. МУНИЦИПАЛЬНЫЙ ОКРУГ ЕКАТЕРИНГОФСКИЙ, ПР-КТ РИЖСКИЙ, Д. 40, ЛИТЕРА А, ПОМЕЩ. 5-Н, КОМ. 8.3</t>
  </si>
  <si>
    <t>ИП ОРЛОВА НАДЕЖДА ВИКТОРОВНА</t>
  </si>
  <si>
    <t>ООО  АМГ</t>
  </si>
  <si>
    <t>192236, Г.САНКТ-ПЕТЕРБУРГ, УЛ СОФИЙСКАЯ, Д. 6, ЛИТЕРА А, ПОМЕЩ. 18-Н</t>
  </si>
  <si>
    <t>ООО ИВ-СЕРВИС</t>
  </si>
  <si>
    <t>196627, Г.САНКТ-ПЕТЕРБУРГ, П ШУШАРЫ, Ш МОСКОВСКОЕ, Д.233, ЛИТ.А</t>
  </si>
  <si>
    <t>ООО ТД ТЕНЕФ</t>
  </si>
  <si>
    <t>192019, Г.САНКТ-ПЕТЕРБУРГ, Ш ГЛУХООЗЁРСКОЕ, Д. 11, К. 1, ПОМ. 9</t>
  </si>
  <si>
    <t>ООО МАСТЕРПРОФ-РЕГИОН</t>
  </si>
  <si>
    <t>196084, Г.САНКТ-ПЕТЕРБУРГ, УЛ ЗАСТАВСКАЯ, Д. 5/1, ЛИТЕР А, ОФИС 4301</t>
  </si>
  <si>
    <t>ООО МЕГА-ТУР+</t>
  </si>
  <si>
    <t>195298, Г.САНКТ-ПЕТЕРБУРГ, ВН.ТЕР.Г. МУНИЦИПАЛЬНЫЙ ОКРУГ ПОРОХОВЫЕ, УЛ ЛЕНСКАЯ, Д. 15, ЛИТЕРА А, КВ. 232</t>
  </si>
  <si>
    <t>ООО ВЕСТКАР</t>
  </si>
  <si>
    <t>196240, Г.САНКТ-ПЕТЕРБУРГ, ВН.ТЕР.Г. МУНИЦИПАЛЬНЫЙ ОКРУГ НОВОИЗМАЙЛОВСКОЕ, УЛ ПРЕДПОРТОВАЯ, Д. 8, ЛИТЕРА А, ПОМЕЩ. 63-64, ОФИС 217</t>
  </si>
  <si>
    <t>ООО РИТ ГРУПП</t>
  </si>
  <si>
    <t>196006, Г.САНКТ-ПЕТЕРБУРГ, ВН.ТЕР.Г. МУНИЦИПАЛЬНЫЙ ОКРУГ МОСКОВСКАЯ ЗАСТАВА, ПР-КТ ЛИГОВСКИЙ, Д. 256, К. 3, ЛИТЕРА Е, ОФИС 48, Р.М. 1</t>
  </si>
  <si>
    <t>196240, Г.САНКТ-ПЕТЕРБУРГ, УЛ ПРЕДПОРТОВАЯ, Д.8, ЛИТЕР А, ПОМЕЩЕНИЕ 46</t>
  </si>
  <si>
    <t>ООО АБСОЛЮТ УНИВЕРСАЛ</t>
  </si>
  <si>
    <t>192288, Г.САНКТ-ПЕТЕРБУРГ, ВН.ТЕР.Г. МУНИЦИПАЛЬНЫЙ ОКРУГ АЛЕКСАНДРОВСКИЙ, ПР-КТ ДУНАЙСКИЙ, Д. 68, ЛИТЕРА В, К. 1, ПОМЕЩ. №5</t>
  </si>
  <si>
    <t>ООО ТД РАВТА</t>
  </si>
  <si>
    <t>196006, Г.САНКТ-ПЕТЕРБУРГ, ПР-КТ ЛИГОВСКИЙ, Д. 256, К. 3 ЛИТЕР Е, ПОМЕЩ. 20</t>
  </si>
  <si>
    <t>ООО ФОРВАРД-СЗ</t>
  </si>
  <si>
    <t>195067, Г.САНКТ-ПЕТЕРБУРГ, ВН.ТЕР.Г. МУНИЦИПАЛЬНЫЙ ОКРУГ ПОЛЮСТРОВО, УЛ БЕСТУЖЕВСКАЯ, Д. 73, ЛИТЕРА А, КВ. 50</t>
  </si>
  <si>
    <t>ООО К2 ТУЛ</t>
  </si>
  <si>
    <t>196084, Г.САНКТ-ПЕТЕРБУРГ, УЛ ПАРКОВАЯ, Д. 3, ЛИТЕР А, ПОМЕЩ. 169</t>
  </si>
  <si>
    <t>ООО АЛЬФАМОБИЛ</t>
  </si>
  <si>
    <t>196006, Г.САНКТ-ПЕТЕРБУРГ, УЛ ЦВЕТОЧНАЯ, Д. 16, ЛИТЕРА К, ПОМЕЩ. 3-Н</t>
  </si>
  <si>
    <t>192102, Г.САНКТ-ПЕТЕРБУРГ, УЛ САЛОВА, Д. 57, К. 1 ЛИТЕР К, ПОМЕЩ. 1Н,2Н,3Н ОФИС 3</t>
  </si>
  <si>
    <t>196246, Г.САНКТ-ПЕТЕРБУРГ, ВН.ТЕР.Г. МУНИЦИПАЛЬНЫЙ ОКРУГ ЗВЕЗДНОЕ, Ш МОСКОВСКОЕ, Д. 11, К. 1, ЛИТЕРА А, ПОМЕЩ. 1-Н, ПОМЕЩ. 23</t>
  </si>
  <si>
    <t>ООО АВТОЦЕНТР ВОСХОД</t>
  </si>
  <si>
    <t>196143, РОССИЯ, Г.САНКТ-ПЕТЕРБУРГ, ВН.ТЕР.Г. МУНИЦИПАЛЬНЫЙ ОКРУГ ГАГАРИНСКОЕ, ПР-КТ ЮРИЯ ГАГАРИНА, Д. 32, К. 3, ЛИТЕРА Б, ПОМЕЩ. 6-Н, ПОМЕЩ. ЧАСТЬ №9</t>
  </si>
  <si>
    <t>ООО ЭКОЛОДЖИСТИК</t>
  </si>
  <si>
    <t>196105, Г.САНКТ-ПЕТЕРБУРГ, ВН.ТЕР.Г. МУНИЦИПАЛЬНЫЙ ОКРУГ МОСКОВСКАЯ ЗАСТАВА, УЛ БЛАГОДАТНАЯ, Д. 51, ЛИТЕРА А, ПОМЕЩ. 12Н, ОФИС 6А</t>
  </si>
  <si>
    <t>ООО АВТОКОД+</t>
  </si>
  <si>
    <t>196140, РОССИЯ, Г.САНКТ-ПЕТЕРБУРГ, ВН.ТЕР.Г. МУНИЦИПАЛЬНЫЙ ОКРУГ ПУЛКОВСКИЙ МЕРИДИАН, Ш ПУЛКОВСКОЕ, Д. 103, ЛИТЕРА Л, ПОМЕЩ. 5-Н</t>
  </si>
  <si>
    <t>ООО РЕЛИТ</t>
  </si>
  <si>
    <t>196135, РОССИЯ, Г.САНКТ-ПЕТЕРБУРГ, ВН.ТЕР.Г. МУНИЦИПАЛЬНЫЙ ОКРУГ МОСКОВСКАЯ ЗАСТАВА, ПР-КТ ЮРИЯ ГАГАРИНА, Д. 21, ЛИТЕРА А, ПОМЕЩ. 40-Н, ОФИС 23/1</t>
  </si>
  <si>
    <t>ИП СОКОЛОВ ДЕНИС СЕРГЕЕВИЧ</t>
  </si>
  <si>
    <t>ООО МВС-АВТО</t>
  </si>
  <si>
    <t>192019, Г.САНКТ-ПЕТЕРБУРГ, УЛ СЕДОВА, Д. 5, ЛИТЕР А, ПОМЕЩ. 9-Н №7</t>
  </si>
  <si>
    <t>ИП ЛУКАШОВА НАТАЛЬЯ ИГОРЕВНА</t>
  </si>
  <si>
    <t>ООО АДДИНОЛ</t>
  </si>
  <si>
    <t>192148, Г.САНКТ-ПЕТЕРБУРГ, УЛ СЕДОВА, Д. 13, ЛИТЕР А, ПОМЕЩ. 7-Н</t>
  </si>
  <si>
    <t>ИП ЗЕНКОВА ЕЛЕНА ЛЕОНИДОВНА</t>
  </si>
  <si>
    <t>ООО СТАН</t>
  </si>
  <si>
    <t>196650, Г.САНКТ-ПЕТЕРБУРГ, Г КОЛПИНО, УЛ ПАВЛОВСКАЯ, Д. 82, ЛИТ. А, ПОМ/КОМ 7-Н/33</t>
  </si>
  <si>
    <t>ООО РАТ</t>
  </si>
  <si>
    <t>192171, Г.САНКТ-ПЕТЕРБУРГ, УЛ СЕДОВА, Д. 61, ЛИТЕР А, ПОМЕЩ. 7Н</t>
  </si>
  <si>
    <t>ИП ПУНДА АЛЕКСЕЙ АЛЕКСАНДРОВИЧ</t>
  </si>
  <si>
    <t>ИП ПЕТРОВ ВЛАДИСЛАВ МИХАЙЛОВИЧ</t>
  </si>
  <si>
    <t>ООО ГУДФЬЮЛ</t>
  </si>
  <si>
    <t>192019, Г.САНКТ-ПЕТЕРБУРГ, УЛ СЕДОВА, Д.11 А, ЛИТЕР А</t>
  </si>
  <si>
    <t>ООО АРИС АВТО</t>
  </si>
  <si>
    <t>192289, Г.САНКТ-ПЕТЕРБУРГ, ВН.ТЕР.Г. МУНИЦИПАЛЬНЫЙ ОКРУГ АЛЕКСАНДРОВСКИЙ, ПР-КТ ДЕВЯТОГО ЯНВАРЯ, Д. 21, ЛИТЕРА Ж, ПОМЕЩ. 4</t>
  </si>
  <si>
    <t>ИП ВЕЧЕРСКИЙ АЛЕКСЕЙ АЛЕКСАНДРОВИЧ</t>
  </si>
  <si>
    <t>ИП ШЕРЕМЕТЬЕВА СВЕТЛАНА ВИТАЛЬЕВНА</t>
  </si>
  <si>
    <t>ООО ТД ТЕЛЛА</t>
  </si>
  <si>
    <t>192019, Г.САНКТ-ПЕТЕРБУРГ, УЛ МЕЛЬНИЧНАЯ, Д. 16, К. 1 ЛИТЕРА А</t>
  </si>
  <si>
    <t>ООО АВТО ИНДАСТРИ</t>
  </si>
  <si>
    <t>192019, Г.САНКТ-ПЕТЕРБУРГ, УЛ СЕДОВА, Д. 5, ЛИТЕР А, 3 ЭТАЖ ПОМ. 7-Н №72</t>
  </si>
  <si>
    <t>ООО НАФТЭН</t>
  </si>
  <si>
    <t>196006, Г.САНКТ-ПЕТЕРБУРГ, ПР-КТ ЛИГОВСКИЙ, Д. 256, К. 3 ЛИТЕР Е, ПОМЕЩ. 42</t>
  </si>
  <si>
    <t>ООО ЛУБРИ-НОРД</t>
  </si>
  <si>
    <t>193318, Г.САНКТ-ПЕТЕРБУРГ, УЛ ВОРОШИЛОВА, Д. 2, ЛИТЕР АБ, ПОМЕЩ. 11-Н</t>
  </si>
  <si>
    <t>ООО СТК-КОМПЛЕКТАЦИЯ</t>
  </si>
  <si>
    <t>193079, Г.САНКТ-ПЕТЕРБУРГ, ВН.ТЕР.Г. МУНИЦИПАЛЬНЫЙ ОКРУГ НАРОДНЫЙ, НАБ ОКТЯБРЬСКАЯ, Д. 104, К. 25, ЛИТЕРА АЖ, ПОМЕЩ. 3-Н, КОМ. 1-12</t>
  </si>
  <si>
    <t>ИП ГАНЕНКО ЕКАТЕРИНА ГРИГОРЬЕВНА</t>
  </si>
  <si>
    <t>ООО КВАРТА</t>
  </si>
  <si>
    <t>192019, Г.САНКТ-ПЕТЕРБУРГ, ВН.ТЕР.Г. МУНИЦИПАЛЬНЫЙ ОКРУГ НЕВСКАЯ ЗАСТАВА, НАБ ОБВОДНОГО КАНАЛА, Д. 14, ЛИТЕРА С, ПОМЕЩ. 358</t>
  </si>
  <si>
    <t>ООО АСТИКАВТО</t>
  </si>
  <si>
    <t>192019, Г.САНКТ-ПЕТЕРБУРГ, УЛ СЕДОВА, Д. 11, ЛИТЕР АД, ОФИС 2-Н</t>
  </si>
  <si>
    <t>ООО ТД ЛУБРИКОН-НЕВА</t>
  </si>
  <si>
    <t>192177, Г.САНКТ-ПЕТЕРБУРГ, ВН.ТЕР.Г. МУНИЦИПАЛЬНЫЙ ОКРУГ РЫБАЦКОЕ, ПРОЕЗД 3-Й РЫБАЦКИЙ, Д. 3, ЛИТЕРА К, ПОМЕЩ. 2-Н</t>
  </si>
  <si>
    <t>ООО ТЕНЕФ</t>
  </si>
  <si>
    <t>192019, Г.САНКТ-ПЕТЕРБУРГ, Ш ГЛУХООЗЁРСКОЕ, Д. 11, К. 1 ЛИТ. Б, ОФИС 11</t>
  </si>
  <si>
    <t>ООО ФОРСАЖ-АВТО ПЛЮС</t>
  </si>
  <si>
    <t>198510, Г.САНКТ-ПЕТЕРБУРГ, ВН.ТЕР.Г. ГОРОД ПЕТЕРГОФ, УЛ АВРОВА, Д. 10, ЛИТЕРА А, ЧАСТЬ НЕЖИЛ.ПОМ. 1Н, ПОМ.11</t>
  </si>
  <si>
    <t>ООО ЭКСПОСНАБТОРГ</t>
  </si>
  <si>
    <t>192012, Г.САНКТ-ПЕТЕРБУРГ, ПР-КТ ОБУХОВСКОЙ ОБОРОНЫ, Д. 271, ЛИТЕР А, ОФИС 1201/1</t>
  </si>
  <si>
    <t>ООО ТИПТОПСЕРВИС</t>
  </si>
  <si>
    <t>192012, Г.САНКТ-ПЕТЕРБУРГ, ПР-КТ ОБУХОВСКОЙ ОБОРОНЫ, Д. 271, ЛИТЕР А, ОФИС 822</t>
  </si>
  <si>
    <t>ООО КАТРАН</t>
  </si>
  <si>
    <t>192019, РОССИЯ, Г.САНКТ-ПЕТЕРБУРГ, ВН.ТЕР.Г. МУНИЦИПАЛЬНЫЙ ОКРУГ НЕВСКАЯ ЗАСТАВА, УЛ ХРУСТАЛЬНАЯ, Д. 18, ЛИТЕРА Б, ПОМЕЩ. 10</t>
  </si>
  <si>
    <t>ООО ТЕХМАС СПБ</t>
  </si>
  <si>
    <t>192029, РОССИЯ, Г.САНКТ-ПЕТЕРБУРГ, ВН.ТЕР.Г. МУНИЦИПАЛЬНЫЙ ОКРУГ НЕВСКАЯ ЗАСТАВА, ПР-КТ ОБУХОВСКОЙ ОБОРОНЫ, Д. 103, К. 3, ЛИТЕРА В, ПОМЕЩ. 307 ОФИС 2Н</t>
  </si>
  <si>
    <t>ООО ЗАПЧАСТИ СПБ</t>
  </si>
  <si>
    <t>193318, РОССИЯ, Г.САНКТ-ПЕТЕРБУРГ, ВН.ТЕР.Г. МУНИЦИПАЛЬНЫЙ ОКРУГ ПРАВОБЕРЕЖНЫЙ, УЛ ВОРОШИЛОВА, Д. 6, К. 1, ЛИТЕРА В, ПОМЕЩ. 7-Н</t>
  </si>
  <si>
    <t>ООО ФОРСАВТО ПАРТС СПБ</t>
  </si>
  <si>
    <t>192019, РОССИЯ, Г.САНКТ-ПЕТЕРБУРГ, ВН.ТЕР.Г. МУНИЦИПАЛЬНЫЙ ОКРУГ НЕВСКАЯ ЗАСТАВА, УЛ СЕДОВА, Д. 10, ЛИТЕРА А, ПОМЕЩ. 139В</t>
  </si>
  <si>
    <t>ООО АВТОАРЕНА</t>
  </si>
  <si>
    <t>192131, РОССИЯ, Г.САНКТ-ПЕТЕРБУРГ, ВН.ТЕР.Г. МУНИЦИПАЛЬНЫЙ ОКРУГ ИВАНОВСКИЙ, УЛ ИВАНОВСКАЯ, Д. 24, К. 2, ЛИТЕРА Б, ПОМЕЩ. 1-Н, ОФ. 7-1</t>
  </si>
  <si>
    <t>АО ВЮРТ СЕВЕРО-ЗАПАД</t>
  </si>
  <si>
    <t>192288, Г.САНКТ-ПЕТЕРБУРГ, ПР-КТ ДУНАЙСКИЙ, Д.68</t>
  </si>
  <si>
    <t>ИП КИСЕЛЕВ АЛЕКСАНДР КИРИЛЛОВИЧ</t>
  </si>
  <si>
    <t>ИП НОВИКОВ ЕВГЕНИЙ АНДРЕЕВИЧ</t>
  </si>
  <si>
    <t>ИП ПИТЕРСКАЯ АНАСТАСИЯ ВЛАДИМИРОВНА</t>
  </si>
  <si>
    <t>ИП ВИХРОВА ОЛЬГА АЛЕКСАНДРОВНА</t>
  </si>
  <si>
    <t>ООО ЭКСПО КАР</t>
  </si>
  <si>
    <t>199178, Г.САНКТ-ПЕТЕРБУРГ, ЛН 10-Я В.О., Д. 17, К. 2 ЛИТЕР А, ПОМЕЩ. 15Н</t>
  </si>
  <si>
    <t>ИП ДРУЖИНИН АЛЕКСАНДР СЕРГЕЕВИЧ</t>
  </si>
  <si>
    <t>ИП Богданов Андрей Олегович</t>
  </si>
  <si>
    <t>ИП ИШКИНИНА ЕЛЕНА ГЕННАДЬЕВНА</t>
  </si>
  <si>
    <t>ИП ЧЕРТУХИН НИКОЛАЙ ВАЛЕРЬЕВИЧ</t>
  </si>
  <si>
    <t>ИП ЗОЛОТОВА АННА ВЛАДИМИРОВНА</t>
  </si>
  <si>
    <t>ООО ТРАКТОРОДЕТАЛЬ ГРУПП</t>
  </si>
  <si>
    <t>197101, Г.САНКТ-ПЕТЕРБУРГ, ВН.ТЕР.Г. МУНИЦИПАЛЬНЫЙ ОКРУГ ПОСАДСКИЙ, УЛ БОЛЬШАЯ МОНЕТНАЯ, Д. 16, К. 30, ЛИТЕРА А, ПОМЕЩ. 9-Н, №41</t>
  </si>
  <si>
    <t>ООО ФОРДЕВИНД-РЕГАТА</t>
  </si>
  <si>
    <t>197349, Г.САНКТ-ПЕТЕРБУРГ, УЛ БАЙКОНУРСКАЯ, Д. 13, К. 2 ЛИТЕРА А, ПОМЕЩ. 10-Н КАБИНЕТ 2-5</t>
  </si>
  <si>
    <t>ООО ВМПАВТО</t>
  </si>
  <si>
    <t>198095, Г.САНКТ-ПЕТЕРБУРГ, УЛ ПРОМЫШЛЕННАЯ, Д. 40, ЛИТЕР А, ОФИС 301</t>
  </si>
  <si>
    <t>ИП Дегтярев Александр Сергеевич</t>
  </si>
  <si>
    <t>ИП АЛЕКСАНДРОВ АЛЕКСАНДР СТАНИСЛАВОВИЧ</t>
  </si>
  <si>
    <t>ИП КОЛЧАНОВ ДМИТРИЙ ЛЕОНИДОВИЧ</t>
  </si>
  <si>
    <t>ИП КУЗЬМИНА РАДМИЛА ВАЛЕНТИНОВНА</t>
  </si>
  <si>
    <t>ИП ШМЕРКО ДМИТРИЙ ЛЕОНИДОВИЧ</t>
  </si>
  <si>
    <t>ООО ТВОЙ МИР</t>
  </si>
  <si>
    <t>197183, Г.САНКТ-ПЕТЕРБУРГ, УЛ ДИБУНОВСКАЯ, Д. 22, ЛИТЕР А, ПОМЕЩ. 11-Н</t>
  </si>
  <si>
    <t>ООО ПЕРВАЛЭКС АВТОЗАПЧАСТИ</t>
  </si>
  <si>
    <t>197348, Г.САНКТ-ПЕТЕРБУРГ, ПР-КТ БОГАТЫРСКИЙ, Д. 4, ЛИТЕРА А, КВ. 751</t>
  </si>
  <si>
    <t>ИП ЧЕКАЛИН АЛЕКСАНДР ГЕННАДЬЕВИЧ</t>
  </si>
  <si>
    <t>ИП ЕФРЕМОВА МАРИЯ ВИКТОРОВНА</t>
  </si>
  <si>
    <t>ИП РАЕВСКИЙ ДЕНИС АЛЕКСЕЕВИЧ</t>
  </si>
  <si>
    <t>ООО МАЙК - АВТО</t>
  </si>
  <si>
    <t>197374, Г.САНКТ-ПЕТЕРБУРГ, ВН.ТЕР.Г. МУНИЦИПАЛЬНЫЙ ОКРУГ № 65, ПРОЕЗД МЕБЕЛЬНЫЙ, Д. 10, ЛИТЕРА А, ПОМЕЩ. 6-Н КОМ. 30</t>
  </si>
  <si>
    <t>197348, Г.САНКТ-ПЕТЕРБУРГ, УЛ АЭРОДРОМНАЯ, Д.6, ОФИС 323</t>
  </si>
  <si>
    <t>ООО АВТОТРИУМФ</t>
  </si>
  <si>
    <t>197374, Г.САНКТ-ПЕТЕРБУРГ, ВН.ТЕР.Г. МУНИЦИПАЛЬНЫЙ ОКРУГ № 65, УЛ ШКОЛЬНАЯ, Д. 71, К. 3, ЛИТЕРА А, ПОМЕЩ. 1-Н, ПОМ. 49</t>
  </si>
  <si>
    <t>ООО ИПР АВТО</t>
  </si>
  <si>
    <t>197374, Г.САНКТ-ПЕТЕРБУРГ, ВН.ТЕР.Г. МУНИЦИПАЛЬНЫЙ ОКРУГ № 65, УЛ ШКОЛЬНАЯ, Д. 71, К. 3, ЛИТЕРА А, ПОМЕЩ. 1-Н, ПОМ. 51</t>
  </si>
  <si>
    <t>ООО РС-МОТОР</t>
  </si>
  <si>
    <t>193318, Г.САНКТ-ПЕТЕРБУРГ, ПР-КТ ДАЛЬНЕВОСТОЧНЫЙ, Д. 12, К. 1 ЛИТЕРА А, ПОМЕЩ. 32</t>
  </si>
  <si>
    <t>ООО АВТОПОРТРЕТ ЛАХТА</t>
  </si>
  <si>
    <t>197229, Г.САНКТ-ПЕТЕРБУРГ, ПР-КТ ЛАХТИНСКИЙ, Д. 10, ЛИТЕР А, ОФИС 1</t>
  </si>
  <si>
    <t>ООО О-СЕРВИС</t>
  </si>
  <si>
    <t>197183, Г.САНКТ-ПЕТЕРБУРГ, УЛ САБИРОВСКАЯ, Д. 41, ЛИТЕР А, ОФИС 65</t>
  </si>
  <si>
    <t>ООО ЗАНОЗАПАРТС</t>
  </si>
  <si>
    <t>197350, РОССИЯ, Г.САНКТ-ПЕТЕРБУРГ, ВН.ТЕР.Г. МУНИЦИПАЛЬНЫЙ ОКРУГ ЮНТОЛОВО, ПР-КТ КОМЕНДАНТСКИЙ, Д. 43, К. 3, ЛИТЕРА А, ОФИС 26-Н</t>
  </si>
  <si>
    <t>ФГБУ СПБ НИИФ МИНЗДРАВА РОССИИ</t>
  </si>
  <si>
    <t>191036, Г.САНКТ-ПЕТЕРБУРГ, ПР-КТ ЛИГОВСКИЙ, Д. 2-4</t>
  </si>
  <si>
    <t>ООО НЕВА-АВТОКОМ</t>
  </si>
  <si>
    <t>196105, Г.САНКТ-ПЕТЕРБУРГ, ПР-КТ МОСКОВСКИЙ, Д.154</t>
  </si>
  <si>
    <t>АО СЗК ВЭЛВ</t>
  </si>
  <si>
    <t>196084, Г.САНКТ-ПЕТЕРБУРГ, УЛ ЗАОЗЁРНАЯ, Д.14 А, К.В</t>
  </si>
  <si>
    <t>ООО КРОНВЕРК СЕРВИС</t>
  </si>
  <si>
    <t>195274, Г.САНКТ-ПЕТЕРБУРГ, ПР-КТ КУЛЬТУРЫ, Д. 19, К. 3 ЛИТЕР А, КВ. 215</t>
  </si>
  <si>
    <t>ООО МС-АВТО</t>
  </si>
  <si>
    <t>196143, Г.САНКТ-ПЕТЕРБУРГ, УЛ ОРДЖОНИКИДЗЕ, Д. 44, К. 5 ЛИТЕР А, ПОМЕЩ. 1</t>
  </si>
  <si>
    <t>ООО МОТО-УСАДЬБА</t>
  </si>
  <si>
    <t>192284, Г.САНКТ-ПЕТЕРБУРГ, УЛ ДИМИТРОВА, Д.15, К.1</t>
  </si>
  <si>
    <t>ООО ВАЛТЕК СПБ</t>
  </si>
  <si>
    <t>192019, Г.САНКТ-ПЕТЕРБУРГ, УЛ СЕДОВА, Д. 5, ЛИТЕР А, ПОМ. 7-Н №26 3 ЭТАЖ</t>
  </si>
  <si>
    <t>192102, Г.САНКТ-ПЕТЕРБУРГ, УЛ САМОЙЛОВОЙ, Д. 5, ЛИТЕР Я</t>
  </si>
  <si>
    <t>ИП ТОЛСТИКОВ АЛЕКСЕЙ СЕРГЕЕВИЧ</t>
  </si>
  <si>
    <t>ИП КИРПО НИКИТА ВЛАДИМИРОВИЧ</t>
  </si>
  <si>
    <t>ООО АВТООРИГИНАЛ</t>
  </si>
  <si>
    <t>192019, Г.САНКТ-ПЕТЕРБУРГ, УЛ БЕХТЕРЕВА, Д. 3, К. 2, ЛИТЕР Х/ОФИС 27-1</t>
  </si>
  <si>
    <t>ИП ВАНТРУП ВЛАДИМИР ВАЛЕРЬЕВИЧ</t>
  </si>
  <si>
    <t>ООО  ПКФ ЛИОМИКС</t>
  </si>
  <si>
    <t>192019, Г.САНКТ-ПЕТЕРБУРГ, НАБ ОБВОДНОГО КАНАЛА, Д. 24, ЛИТЕР А, ПОМЕЩ. 7-Н, ОФИС 22-1</t>
  </si>
  <si>
    <t>ООО ФОРБАЙКЕР</t>
  </si>
  <si>
    <t>197082, Г.САНКТ-ПЕТЕРБУРГ, УЛ ТУРИСТСКАЯ, Д. 28, К. 1, КВ. 665</t>
  </si>
  <si>
    <t>ИП КОЛБЕНКОВ ПЕТР ВЛАДИМИРОВИЧ</t>
  </si>
  <si>
    <t>ООО ГРУППА КОМПАНИЙ ЦЕНТР</t>
  </si>
  <si>
    <t>192236, Г.САНКТ-ПЕТЕРБУРГ, ВН.ТЕР.Г. МУНИЦИПАЛЬНЫЙ ОКРУГ ВОЛКОВСКОЕ, УЛ. СОФИЙСКАЯ, Д. 14, ЛИТЕРА А, Ч. ПОМЕЩ. 74-Н ПОМЕЩ. 87-Н</t>
  </si>
  <si>
    <t>ООО ЕВРОСИБ СЕРВИС ЦЕНТР</t>
  </si>
  <si>
    <t>192007, Г.САНКТ-ПЕТЕРБУРГ, НАБ ОБВОДНОГО КАНАЛА, Д. 72, СТР. 1, ПОМЕЩ. 296</t>
  </si>
  <si>
    <t>ООО ГАРВИН ИНДАСТРИАЛ</t>
  </si>
  <si>
    <t>192236, Г.САНКТ-ПЕТЕРБУРГ, УЛ СОФИЙСКАЯ, Д. 6, К. 8 СТР. 1, ПОМ. 1-Н ОФ 510</t>
  </si>
  <si>
    <t>ООО ПОЛИТЕК</t>
  </si>
  <si>
    <t>192238, Г.САНКТ-ПЕТЕРБУРГ, ПР-КТ СЛАВЫ, Д. 40, К. 2 ЛИТЕР А, ПОМЕЩ. 7</t>
  </si>
  <si>
    <t>ООО ИНФО ДРАЙВЕР</t>
  </si>
  <si>
    <t>192289, Г.САНКТ-ПЕТЕРБУРГ, УЛ МАЛАЯ БАЛКАНСКАЯ, Д. 59, К. 1 ЛИТЕР А, ПОМЕЩ. 15</t>
  </si>
  <si>
    <t>ООО ЛОГИСТИК СЕВЕРО-ЗАПАД</t>
  </si>
  <si>
    <t>196624, Г.САНКТ-ПЕТЕРБУРГ, ВН.ТЕР.Г. ПОСЕЛОК ШУШАРЫ, УЛ ПОСЕЛКОВАЯ, Д. 12, ЛИТЕРА В, ПОМЕЩ. 1-Н, ОФ. 400</t>
  </si>
  <si>
    <t>ООО АТЭК</t>
  </si>
  <si>
    <t>192289, Г.САНКТ-ПЕТЕРБУРГ, УЛ СОФИЙСКАЯ, Д. 74, ЛИТЕРА А, ОФИС 2-19</t>
  </si>
  <si>
    <t>ООО СТАРК+</t>
  </si>
  <si>
    <t>192007, РОССИЯ, Г.САНКТ-ПЕТЕРБУРГ, ВН.ТЕР.Г. МУНИЦИПАЛЬНЫЙ ОКРУГ ВОЛКОВСКОЕ, УЛ КАМЧАТСКАЯ, Д. 7, ЛИТЕРА А, ПОМЕЩ. 3</t>
  </si>
  <si>
    <t>ООО ПК ТВОЯ ВОДА</t>
  </si>
  <si>
    <t>192102, РОССИЯ, Г.САНКТ-ПЕТЕРБУРГ, ВН.ТЕР.Г. МУНИЦИПАЛЬНЫЙ ОКРУГ ВОЛКОВСКОЕ, УЛ САЛОВА, Д. 56, ЛИТЕРА О, ПОМЕЩ. 5-Н(КОМН.23)</t>
  </si>
  <si>
    <t>ООО КОСМОТЕХ</t>
  </si>
  <si>
    <t>192102, РОССИЯ, Г.САНКТ-ПЕТЕРБУРГ, ВН.ТЕР.Г. МУНИЦИПАЛЬНЫЙ ОКРУГ ВОЛКОВСКОЕ, УЛ САЛОВА, Д. 27, ЛИТЕРА АБ, Ч. ПОМ. 24Н-4, ОФИС 1</t>
  </si>
  <si>
    <t>ООО РЕДЛАЙН</t>
  </si>
  <si>
    <t>192236, РОССИЯ, Г.САНКТ-ПЕТЕРБУРГ, ВН.ТЕР.Г. МУНИЦИПАЛЬНЫЙ ОКРУГ ВОЛКОВСКОЕ, УЛ. СОФИЙСКАЯ, Д. 17, ЛИТЕРА А, ПОМЕЩ. 8-Н, ОФИС 340А</t>
  </si>
  <si>
    <t>ИП БРОНСКИЙ ИВАН МИХАЙЛОВИЧ</t>
  </si>
  <si>
    <t>ИП БРОНСКИЙ НИКИТА МИХАЙЛОВИЧ</t>
  </si>
  <si>
    <t>ИП ШАГА ВЕНИАМИН АЛЕКСАНДРОВИЧ</t>
  </si>
  <si>
    <t>ИП ГРИБАНОВ СЕРГЕЙ АЛЕКСАНДРОВИЧ</t>
  </si>
  <si>
    <t>ИП ЛАВРЕНТЬЕВ ВАЛЕРИЙ ГАРИБАЛЬДИЕВИЧ</t>
  </si>
  <si>
    <t>ИП ТРОФИМОВ ДМИТРИЙ НИКОЛАЕВИЧ</t>
  </si>
  <si>
    <t>ИП ШАВРОВ АНДРЕЙ ВАЛЕНТИНОВИЧ</t>
  </si>
  <si>
    <t>196641, РОССИЯ, Г.САНКТ-ПЕТЕРБУРГ, ВН.ТЕР.Г. ПОСЕЛОК МЕТАЛЛОСТРОЙ, ПРОЕЗД ЦЕНТРАЛЬНЫЙ, Д. 12, ЛИТЕРА Т, ПОМЕЩ. 4/3</t>
  </si>
  <si>
    <t>ООО СБПАРТС</t>
  </si>
  <si>
    <t>196627, РОССИЯ, Г.САНКТ-ПЕТЕРБУРГ, ВН.ТЕР.Г. ПОСЕЛОК ШУШАРЫ, Ш МОСКОВСКОЕ, Д. 177, К. 5, СТР. 1, ПОМ. 58, ОФИС 1</t>
  </si>
  <si>
    <t>196650, Г.САНКТ-ПЕТЕРБУРГ, ВН.ТЕР.Г. ГОРОД КОЛПИНО, Г КОЛПИНО, УЛ ФИНЛЯНДСКАЯ, Д. 24, ЛИТЕРА А, ЭТАЖ 1, ПОМЕЩ. 40/1</t>
  </si>
  <si>
    <t>ИП ИВАНОВ ДЕНИС СЕРГЕЕВИЧ</t>
  </si>
  <si>
    <t>ИП ЖЕЛУДЕВ АНТОН НИКОЛАЕВИЧ</t>
  </si>
  <si>
    <t>ИП АЗАРЬЕВ МАКСИМ НАТАНОВИЧ</t>
  </si>
  <si>
    <t>ИП ПОДЛЕСНОВА ЖАННА АНАТОЛЬЕВНА</t>
  </si>
  <si>
    <t>ООО ЛТПК</t>
  </si>
  <si>
    <t>194017, Г.САНКТ-ПЕТЕРБУРГ, УЛ ДРЕЗДЕНСКАЯ, Д. 12, ЛИТЕРА А, ПОМЕЩ. 23-Н</t>
  </si>
  <si>
    <t>198205, РОССИЯ, Г.САНКТ-ПЕТЕРБУРГ, ВН.ТЕР.Г. МУНИЦИПАЛЬНЫЙ ОКРУГ ГОРЕЛОВО, ТЕР. СТАРО-ПАНОВО, Ш ТАЛЛИНСКОЕ, Д. 153, К. 1, ЛИТЕРА Б, ПОМЕЩ. 10-1</t>
  </si>
  <si>
    <t>ИП ИСАКОВА СВЕТЛАНА НИКОЛАЕВНА</t>
  </si>
  <si>
    <t>ИП КОВАЛЕНЬ СЕРГЕЙ ВАЛЕРЬЕВИЧ</t>
  </si>
  <si>
    <t>ИП ШВЕДОВА АННА АЛЕКСАНДРОВНА</t>
  </si>
  <si>
    <t>ИП СЫСОЕВ АЛЕКСЕЙ ЛЕОНИДОВИЧ</t>
  </si>
  <si>
    <t>ООО МИРОСЛАВ</t>
  </si>
  <si>
    <t>196624, Г.САНКТ-ПЕТЕРБУРГ, П ШУШАРЫ, УЛ ЛЕНИНА, Д. 8, ЛИТЕРА А</t>
  </si>
  <si>
    <t>ИП РУДЕНКО ВЯЧЕСЛАВ ВЛАДИМИРОВИЧ</t>
  </si>
  <si>
    <t>ИП ПРОХОРОВ ВЛАДИМИР АЛЕКСАНДРОВИЧ</t>
  </si>
  <si>
    <t>ООО АНАНДА</t>
  </si>
  <si>
    <t>195213, Г.САНКТ-ПЕТЕРБУРГ, УЛ ЛАТЫШСКИХ СТРЕЛКОВ, Д.31, ЛИТ. А, ПОМ. 405</t>
  </si>
  <si>
    <t>ЗАО  БАЛТИЙСКОЕ АКЦИОНЕРНОЕ ОБЩЕСТВО</t>
  </si>
  <si>
    <t>193079, Г.САНКТ-ПЕТЕРБУРГ, НАБ ОКТЯБРЬСКАЯ, Д. 108, К. 1 ЛИТЕРА Э</t>
  </si>
  <si>
    <t>ООО ЕВРОТРАНС</t>
  </si>
  <si>
    <t>197343, Г.САНКТ-ПЕТЕРБУРГ, ВН.ТЕР.Г. МУНИЦИПАЛЬНЫЙ ОКРУГ ЛАНСКОЕ, УЛ ЗЕМЛЕДЕЛЬЧЕСКАЯ, Д. 5, К. 2, ЛИТЕРА А, ПОМЕЩ. 5-Н, КОМ. 1-1</t>
  </si>
  <si>
    <t>ООО РУСХОЛТС</t>
  </si>
  <si>
    <t>197342, Г.САНКТ-ПЕТЕРБУРГ, ВН.ТЕР.Г. МУНИЦИПАЛЬНЫЙ ОКРУГ ЛАНСКОЕ, НАБ ЧЁРНОЙ РЕЧКИ, Д. 47, СТР. 1, ПОМЕЩ. 4-Н, НОМЕР ЧАСТИ 108</t>
  </si>
  <si>
    <t>ИП РУМЯНЦЕВ АЛЕКСАНДР ЮРЬЕВИЧ</t>
  </si>
  <si>
    <t>ООО  ПРАЙД</t>
  </si>
  <si>
    <t>197374, Г.САНКТ-ПЕТЕРБУРГ, УЛ САВУШКИНА, Д. 85, ЛИТЕР А</t>
  </si>
  <si>
    <t>ООО  РП-АВТО</t>
  </si>
  <si>
    <t>198261, Г.САНКТ-ПЕТЕРБУРГ, ПР-КТ НАРОДНОГО ОПОЛЧЕНИЯ, Д. 201, ЛИТЕР А, ПОМЕЩ. 9Н</t>
  </si>
  <si>
    <t>ИП ЧУРИКОВ ПАВЕЛ АЛЕКСЕЕВИЧ</t>
  </si>
  <si>
    <t>197374, Г.САНКТ-ПЕТЕРБУРГ, УЛ САВУШКИНА, Д. 83, К. 3 ЛИТЕР А, ЧАСТЬ ПОМ. 2-Н № 129, ОФИС 232</t>
  </si>
  <si>
    <t>ИП РАПОПОРТ АНТОН АЛЕКСЕЕВИЧ</t>
  </si>
  <si>
    <t>191119, Г.САНКТ-ПЕТЕРБУРГ, УЛ ДНЕПРОПЕТРОВСКАЯ, Д. 31, ЛИТЕР А, ПОМ / ОФИС 10(7Н) / 313</t>
  </si>
  <si>
    <t>ИП ЖУРАВЛЕВ ДМИТРИЙ АНДРЕЕВИЧ</t>
  </si>
  <si>
    <t>ООО АЛАРМ-МОТОРС ЛАХТА</t>
  </si>
  <si>
    <t>197374, Г.САНКТ-ПЕТЕРБУРГ, УЛ САВУШКИНА, Д.108, ЛИТЕР А</t>
  </si>
  <si>
    <t>ООО  ВИКТОРИЯ</t>
  </si>
  <si>
    <t>197755, Г.САНКТ-ПЕТЕРБУРГ, П ЛИСИЙ НОС, Ш ПРИМОРСКОЕ, Д. 144, ЛИТЕРА А</t>
  </si>
  <si>
    <t>ООО А.Т.О.М.</t>
  </si>
  <si>
    <t>197371, Г.САНКТ-ПЕТЕРБУРГ, ПР-КТ КОРОЛЁВА, Д.54, К.2, 143</t>
  </si>
  <si>
    <t>ООО АЛАРМ АВТО СЕРВИС</t>
  </si>
  <si>
    <t>ООО СЕРВОВИТ СЕВЕРО-ЗАПАД</t>
  </si>
  <si>
    <t>197341, Г.САНКТ-ПЕТЕРБУРГ, ПР-КТ ИСПЫТАТЕЛЕЙ, Д. 11, К. 1, КВ. 156</t>
  </si>
  <si>
    <t>ООО ВОСТОК-ТРЕЙД</t>
  </si>
  <si>
    <t>198035, Г.САНКТ-ПЕТЕРБУРГ, ВН.ТЕР.Г. МУНИЦИПАЛЬНЫЙ ОКРУГ МОРСКИЕ ВОРОТА, УЛ НЕВЕЛЬСКАЯ, Д. 7, ЛИТЕРА К, ПОМ. 5-Н, ОФИС 2</t>
  </si>
  <si>
    <t>ООО ЕВРОСИБ ЛАХТА</t>
  </si>
  <si>
    <t>197374, Г.САНКТ-ПЕТЕРБУРГ, УЛ САВУШКИНА, Д. 112, К. 2 ЛИТЕР А, ПОМЕЩ. 114</t>
  </si>
  <si>
    <t>ООО ЗАВОД НЕВОХИМ</t>
  </si>
  <si>
    <t>197372, Г.САНКТ-ПЕТЕРБУРГ, УЛ КАМЫШОВАЯ, Д.4, К.1, ПОМЕЩЕНИЕ 7-Н</t>
  </si>
  <si>
    <t>ООО ИНАВТОПАРТС</t>
  </si>
  <si>
    <t>197229, Г.САНКТ-ПЕТЕРБУРГ, УЛ КРАСНЫХ ПАРТИЗАН (ЛАХТА ТЕР.), Д. 14, ЛИТЕР В, ПОМЕЩ. №4А</t>
  </si>
  <si>
    <t>ООО КОМТЕК</t>
  </si>
  <si>
    <t>197341, Г.САНКТ-ПЕТЕРБУРГ, ВН.ТЕР.Г. МУНИЦИПАЛЬНЫЙ ОКРУГ КОМЕНДАНТСКИЙ АЭРОДРОМ, ПР-КТ КОЛОМЯЖСКИЙ, Д. 33, ЛИТЕРА А, ПОМЕЩ. 44-Н, КОМ. 904</t>
  </si>
  <si>
    <t>ООО АЛЬПА ДОМ ГРУПП</t>
  </si>
  <si>
    <t>197341, Г.САНКТ-ПЕТЕРБУРГ, ВН.ТЕР.Г. МУНИЦИПАЛЬНЫЙ ОКРУГ КОЛОМЯГИ, УЛ ГОРНАЯ, Д. 25, ЛИТЕРА А, ПОМЕЩ. 3-Н ОФИС № 1</t>
  </si>
  <si>
    <t>ООО ДЕТАЛЬ ОЙЛ</t>
  </si>
  <si>
    <t>197374, Г.САНКТ-ПЕТЕРБУРГ, УЛ МЕБЕЛЬНАЯ, Д. 12, К. 1, ЛИТЕР Б, ПОМЕЩ. 4Н, ОФИС 203</t>
  </si>
  <si>
    <t>ООО ТОСКАНА</t>
  </si>
  <si>
    <t>197343, Г.САНКТ-ПЕТЕРБУРГ, Ш ЛАНСКОЕ, Д. 65, КВ. 8</t>
  </si>
  <si>
    <t>ООО МАС-АВТО</t>
  </si>
  <si>
    <t>192102, Г.САНКТ-ПЕТЕРБУРГ, УЛ САЛОВА, Д. 57, К. 1 ЛИТЕР И, ОФИС №9-1</t>
  </si>
  <si>
    <t>ООО АИР</t>
  </si>
  <si>
    <t>197183, Г.САНКТ-ПЕТЕРБУРГ, УЛ ЗАУСАДЕБНАЯ, Д. 15, СТР. 5, ПОМЕЩ. 1-Н 88</t>
  </si>
  <si>
    <t>ООО ЛИДЕР ОФИС</t>
  </si>
  <si>
    <t>197374, РОССИЯ, Г.САНКТ-ПЕТЕРБУРГ, ВН.ТЕР.Г. МУНИЦИПАЛЬНЫЙ ОКРУГ № 65, УЛ МЕБЕЛЬНАЯ, Д. 2, ЛИТЕРА А, ПОМЕЩ. 1-Н, ПОМЕЩ. 62А</t>
  </si>
  <si>
    <t>ООО ЕВРОПАРТ</t>
  </si>
  <si>
    <t>198216, РОССИЯ, Г.САНКТ-ПЕТЕРБУРГ, ВН.ТЕР.Г. МУНИЦИПАЛЬНЫЙ ОКРУГ КНЯЖЕВО, ПР-КТ ЛЕНИНСКИЙ, Д. 140, ЛИТЕРА Е, ПОМЕЩ. 1-Н</t>
  </si>
  <si>
    <t>197374, РОССИЯ, Г.САНКТ-ПЕТЕРБУРГ, ВН.ТЕР.Г. МУНИЦИПАЛЬНЫЙ ОКРУГ № 65, ПР-КТ ПРИМОРСКИЙ, Д. 137, К. 2, ЛИТЕРА А, ПОМЕЩ. 62-Н ОФИС 1</t>
  </si>
  <si>
    <t>ООО МСГ</t>
  </si>
  <si>
    <t>197375, РОССИЯ, Г.САНКТ-ПЕТЕРБУРГ, ВН.ТЕР.Г. МУНИЦИПАЛЬНЫЙ ОКРУГ КОЛОМЯГИ, УЛ ВЕРБНАЯ, Д. 4, ЛИТЕРА А, ПОМЕЩ. 2-Н, ОФИС 35</t>
  </si>
  <si>
    <t>ООО ИНАВТО+</t>
  </si>
  <si>
    <t>197229, РОССИЯ, Г.САНКТ-ПЕТЕРБУРГ, ВН.ТЕР.Г. МУНИЦИПАЛЬНЫЙ ОКРУГ ЛАХТА-ОЛЬГИНО, ТЕР. ЛАХТА, УЛ КРАСНЫХ ПАРТИЗАН, Д. 14, ЛИТЕРА В, ПОМЕЩ. №4Б</t>
  </si>
  <si>
    <t>ООО Ю-СЕРВИС</t>
  </si>
  <si>
    <t>197376, РОССИЯ, Г.САНКТ-ПЕТЕРБУРГ, ВН.ТЕР.Г. МУНИЦИПАЛЬНЫЙ ОКРУГ ЮНТОЛОВО, УЛ ПЛЕСЕЦКАЯ, Д. 10, СТР. 1, КВ. 2414</t>
  </si>
  <si>
    <t>ООО НЕВАМОТО</t>
  </si>
  <si>
    <t>197229, РОССИЯ, Г.САНКТ-ПЕТЕРБУРГ, ВН.ТЕР.Г. МУНИЦИПАЛЬНЫЙ ОКРУГ ЛАХТА-ОЛЬГИНО, ПР-КТ ЛАХТИНСКИЙ, Д. 10, ЛИТЕРА А, ПОМЕЩ. 1-Н, ОФИС 2</t>
  </si>
  <si>
    <t>ООО ЛЮБЭКСПЕРТ</t>
  </si>
  <si>
    <t>197341, РОССИЯ, Г.САНКТ-ПЕТЕРБУРГ, ВН.ТЕР.Г. МУНИЦИПАЛЬНЫЙ ОКРУГ КОЛОМЯГИ, УЛ АФОНСКАЯ, Д. 2, ЛИТЕРА А, ПОМЕЩ. 2-Н, КОМ. 387 (ОФИС № 273А)</t>
  </si>
  <si>
    <t>ООО ЦЕЗАРЬ МО</t>
  </si>
  <si>
    <t>197183, РОССИЯ, Г.САНКТ-ПЕТЕРБУРГ, ВН.ТЕР.Г. МУНИЦИПАЛЬНЫЙ ОКРУГ ЛАНСКОЕ, АЛЛЕЯ ЛИПОВАЯ, Д. 9, ЛИТЕРА А, ОФИС 3Б,РАБ.М. 1, ПОМЕЩ. 13Н</t>
  </si>
  <si>
    <t>ООО МЕГА-ВЕЛД</t>
  </si>
  <si>
    <t>192102, РОССИЯ, Г.САНКТ-ПЕТЕРБУРГ, ВН.ТЕР.Г. МУНИЦИПАЛЬНЫЙ ОКРУГ ВОЛКОВСКОЕ, ПР-КТ ВОЛКОВСКИЙ, Д. 146, ЛИТЕРА А, ПОМЕЩ. 5-Н</t>
  </si>
  <si>
    <t>ООО АВТО-ТОЧКА</t>
  </si>
  <si>
    <t>197341, РОССИЯ, Г.САНКТ-ПЕТЕРБУРГ, ВН.ТЕР.Г. МУНИЦИПАЛЬНЫЙ ОКРУГ КОМЕНДАНТСКИЙ АЭРОДРОМ, Б-Р СЕРЕБРИСТЫЙ, Д. 21, ЛИТЕРА А, КВ. 368</t>
  </si>
  <si>
    <t>ООО АВТО-МАСТЕР</t>
  </si>
  <si>
    <t>197374, РОССИЯ, Г.САНКТ-ПЕТЕРБУРГ, ВН.ТЕР.Г. МУНИЦИПАЛЬНЫЙ ОКРУГ № 65, ПР-КТ ПРИМОРСКИЙ, Д. 52, К. 1, ЛИТЕРА А, КВ. 843</t>
  </si>
  <si>
    <t>197349, РОССИЯ, Г.САНКТ-ПЕТЕРБУРГ, ВН.ТЕР.Г. МУНИЦИПАЛЬНЫЙ ОКРУГ ОЗЕРО ДОЛГОЕ, ПР-КТ КОМЕНДАНТСКИЙ, Д. 4, ЛИТЕРА А, ПОМЕЩ. 24-Н</t>
  </si>
  <si>
    <t>ООО СЛАВХИМ</t>
  </si>
  <si>
    <t>197349, РОССИЯ, Г.САНКТ-ПЕТЕРБУРГ, ВН.ТЕР.Г. МУНИЦИПАЛЬНЫЙ ОКРУГ ОЗЕРО ДОЛГОЕ, ПР-КТ ИСПЫТАТЕЛЕЙ, Д. 37, ЛИТЕРА А, ПОМ. С-2-27</t>
  </si>
  <si>
    <t>ООО СТЗ</t>
  </si>
  <si>
    <t>197374, РОССИЯ, Г.САНКТ-ПЕТЕРБУРГ, ВН.ТЕР.Г. МУНИЦИПАЛЬНЫЙ ОКРУГ № 65, УЛ МЕБЕЛЬНАЯ, Д. 12, К. 1, ЛИТЕРА Б, ПОМЕЩ. 4Н, ЧАСТЬ №13, ОФИС 206</t>
  </si>
  <si>
    <t>ООО ЛЮТА</t>
  </si>
  <si>
    <t>199406, Г.САНКТ-ПЕТЕРБУРГ, ВН.ТЕР.Г. МУНИЦИПАЛЬНЫЙ ОКРУГ ГАВАНЬ, УЛ НАЛИЧНАЯ, Д. 33, ЛИТЕРА А, ПОМЕЩ. 5-Н</t>
  </si>
  <si>
    <t>ИП РАСКОВСКИЙ СТАНИСЛАВ СЕРГЕЕВИЧ</t>
  </si>
  <si>
    <t>ИП КУЗЬКОВ ВЛАДИМИР ФЕДОРОВИЧ</t>
  </si>
  <si>
    <t>ИП КУЙДИН АНДРЕЙ ЮРЬЕВИЧ</t>
  </si>
  <si>
    <t>ИП СЫСОЕВА АНАСТАСИЯ ВЛАДИСЛАВОВНА</t>
  </si>
  <si>
    <t>ООО СПС-ХОЛОД</t>
  </si>
  <si>
    <t>192102, Г.САНКТ-ПЕТЕРБУРГ, УЛ СТРЕЛЬБИЩЕНСКАЯ, Д. 12, ЛИТЕР А, ПОМЕЩ. 58-Н</t>
  </si>
  <si>
    <t>ООО ИБИС</t>
  </si>
  <si>
    <t>192102, Г.САНКТ-ПЕТЕРБУРГ, УЛ САЛОВА, Д. 53, К. 1 ЛИТЕР А, ОФИС 2/22</t>
  </si>
  <si>
    <t>ООО НПО ТАЛИС</t>
  </si>
  <si>
    <t>192102, Г.САНКТ-ПЕТЕРБУРГ, ВН.ТЕР.Г. МУНИЦИПАЛЬНЫЙ ОКРУГ ВОЛКОВСКОЕ, УЛ САЛОВА, Д. 21, ЛИТЕРА А, ПОМЕЩ. 1-Н, КОМН. 86, ОФ. 1</t>
  </si>
  <si>
    <t>ООО СПБ ПСР СЕРВИС</t>
  </si>
  <si>
    <t>192241, Г.САНКТ-ПЕТЕРБУРГ, Ш ЮЖНОЕ, Д. 37, К. 2 ЛИТЕР И</t>
  </si>
  <si>
    <t>ООО  АВТОЦЕНТР ОБУХОВО</t>
  </si>
  <si>
    <t>192289, Г.САНКТ-ПЕТЕРБУРГ, ПР-Д ГРУЗОВОЙ, Д. 27</t>
  </si>
  <si>
    <t>ИП ГУДЕЕВ АЛЕКСАНДР ДМИТРИЕВИЧ</t>
  </si>
  <si>
    <t>ИП БУТ АЛЕКСАНДР ВАЛЕРЬЕВИЧ</t>
  </si>
  <si>
    <t>ООО СТАРК-АВТО</t>
  </si>
  <si>
    <t>192007, Г.САНКТ-ПЕТЕРБУРГ, УЛ КАМЧАТСКАЯ, Д. 7, ЛИТЕР А</t>
  </si>
  <si>
    <t>ООО ГРУППА КОМПАНИЙ МЕГА-АВТО</t>
  </si>
  <si>
    <t>192102, Г.САНКТ-ПЕТЕРБУРГ, УЛ БУХАРЕСТСКАЯ, Д. 1, ЛИТЕР А, ПОМЕЩ. 11-Н ОФИС 4</t>
  </si>
  <si>
    <t>ООО ВС-АВТО</t>
  </si>
  <si>
    <t>192102, Г.САНКТ-ПЕТЕРБУРГ, УЛ БУХАРЕСТСКАЯ, Д. 1, ЛИТЕРА А, ПОМ.7Н</t>
  </si>
  <si>
    <t>ООО  ПАНОЙЛ</t>
  </si>
  <si>
    <t>192102, Г.САНКТ-ПЕТЕРБУРГ, УЛ САЛОВА, Д. 57, К. 1 ЛИТЕР К, ПОМЕЩ. 6Н, ОФИС 9</t>
  </si>
  <si>
    <t>ООО ОЙЛ-САЙТ</t>
  </si>
  <si>
    <t>193079, Г.САНКТ-ПЕТЕРБУРГ, НАБ ОКТЯБРЬСКАЯ, Д. 66, К. 2, ЛИТЕР А</t>
  </si>
  <si>
    <t>ООО ШТАРКЗАЙН</t>
  </si>
  <si>
    <t>195265, Г.САНКТ-ПЕТЕРБУРГ, ВН.ТЕР.Г. МУНИЦИПАЛЬНЫЙ ОКРУГ № 21, УЛ ЛУЖСКАЯ, Д. 3, К. 2, ЛИТЕРА В, ПОМЕЩ. 1-Н, ОФИС 1</t>
  </si>
  <si>
    <t>ООО АМС-СПБ</t>
  </si>
  <si>
    <t>192007, Г.САНКТ-ПЕТЕРБУРГ, УЛ КАМЧАТСКАЯ, Д.1, ЛИТЕР Е</t>
  </si>
  <si>
    <t>192249, Г.САНКТ-ПЕТЕРБУРГ, УЛ СОФИЙСКАЯ, Д. 54, ЛИТЕРА А, ПОМЕЩ. 9Н ОФИС 17</t>
  </si>
  <si>
    <t>ООО КОМПАНИЯ АБ+</t>
  </si>
  <si>
    <t>192236, Г.САНКТ-ПЕТЕРБУРГ, УЛ ФУЧИКА, Д. 19, ЛИТЕР А, ОФИС 212/1</t>
  </si>
  <si>
    <t>ООО ДК ТЕХНОЛОДЖИС</t>
  </si>
  <si>
    <t>191015, Г.САНКТ-ПЕТЕРБУРГ, ВН.ТЕР.Г. МУНИЦИПАЛЬНЫЙ ОКРУГ СМОЛЬНИНСКОЕ, УЛ КИРОЧНАЯ, Д. 64, ЛИТЕРА А, КВ. 156</t>
  </si>
  <si>
    <t>198095, Г.САНКТ-ПЕТЕРБУРГ, УЛ РОЗЕНШТЕЙНА, Д. 39, К. 3 ЛИТЕР В, ПОМЕЩ. 6.7</t>
  </si>
  <si>
    <t>ООО АВТОГРАФ СПБ</t>
  </si>
  <si>
    <t>192289, Г.САНКТ-ПЕТЕРБУРГ, ВН.ТЕР.Г. МУНИЦИПАЛЬНЫЙ ОКРУГ АЛЕКСАНДРОВСКИЙ, ПРОЕЗД ГРУЗОВОЙ, Д. 5, ЛИТЕРА Б, ПОМЕЩ. 6-Н</t>
  </si>
  <si>
    <t>ООО ПЕРФЕКТ ОЙЛ</t>
  </si>
  <si>
    <t>192102, РОССИЯ, Г.САНКТ-ПЕТЕРБУРГ, ВН.ТЕР.Г. МУНИЦИПАЛЬНЫЙ ОКРУГ ВОЛКОВСКОЕ, УЛ САМОЙЛОВОЙ, Д. 5, ЛИТЕРА С, КОРПУС 6, 6 ЭТАЖ, ПОМЕЩ. 24Н-108</t>
  </si>
  <si>
    <t>ООО АТВ</t>
  </si>
  <si>
    <t>192236, РОССИЯ, Г.САНКТ-ПЕТЕРБУРГ, ВН.ТЕР.Г. МУНИЦИПАЛЬНЫЙ ОКРУГ ВОЛКОВСКОЕ, УЛ. СОФИЙСКАЯ, Д. 6, ЛИТЕРА Б, ПОМЕЩ. 10-Н, КОМ. 20</t>
  </si>
  <si>
    <t>ООО КСЕНОРИУМ</t>
  </si>
  <si>
    <t>192289, РОССИЯ, Г.САНКТ-ПЕТЕРБУРГ, ВН.ТЕР.Г. МУНИЦИПАЛЬНЫЙ ОКРУГ АЛЕКСАНДРОВСКИЙ, УЛ МАЛАЯ БАЛКАНСКАЯ, Д. 58, ЛИТЕРА А, ОФИС 8В, ПОМЕЩ. 14-Н</t>
  </si>
  <si>
    <t>ООО ОРТОТОРГ</t>
  </si>
  <si>
    <t>192236, РОССИЯ, Г.САНКТ-ПЕТЕРБУРГ, ВН.ТЕР.Г. МУНИЦИПАЛЬНЫЙ ОКРУГ ВОЛКОВСКОЕ, УЛ БЕЛЫ КУНА, Д. 34, ЛИТЕРА А, ПОМЕЩ. 14-Н</t>
  </si>
  <si>
    <t>ООО  УЮТ-АВТО</t>
  </si>
  <si>
    <t>198332, Г.САНКТ-ПЕТЕРБУРГ, ПР-КТ ЛЕНИНСКИЙ, Д. 96, К. 1, КВ. 174</t>
  </si>
  <si>
    <t>ИП ТКАЧЕНКО ЮРИЙ ИВАНОВИЧ</t>
  </si>
  <si>
    <t>ИП КОСМАЧЕВА СВЕТЛАНА АЛЕКСАНДРОВНА</t>
  </si>
  <si>
    <t>ООО ГПН-СЗ</t>
  </si>
  <si>
    <t>198504, Г.САНКТ-ПЕТЕРБУРГ, Г ПЕТЕРГОФ, УЛ ПЕРВОГО МАЯ, Д.89 А, ЛИТ. Л</t>
  </si>
  <si>
    <t>198515, Г.САНКТ-ПЕТЕРБУРГ, П СТРЕЛЬНА, УЛ ФРОНТОВАЯ, Д. 5А, ЛИТЕРА А</t>
  </si>
  <si>
    <t>ООО ЛУБТЕХ</t>
  </si>
  <si>
    <t>196603, Г.САНКТ-ПЕТЕРБУРГ, Г ПУШКИН, УЛ ГУСАРСКАЯ, Д. 4, ЛИТЕР Ц, ПОМ/ОФИС 3-Н/1</t>
  </si>
  <si>
    <t>ООО МАСТЕРПРОФ-ПРОИЗВОДСТВО</t>
  </si>
  <si>
    <t>196624, РОССИЯ, Г.САНКТ-ПЕТЕРБУРГ, ВН.ТЕР.Г. ПОСЕЛОК ШУШАРЫ, П ШУШАРЫ, Ш МОСКОВСКОЕ, Д. 19, К. 2, ЛИТЕРА А, ПОМЕЩ. 11-Н, ЧАСТЬ 26</t>
  </si>
  <si>
    <t>ООО АК ГРАНАТ</t>
  </si>
  <si>
    <t>196624, Г.САНКТ-ПЕТЕРБУРГ, П ШУШАРЫ, УЛ ЛЕНИНА, Д. 2, ЛИТЕРА А</t>
  </si>
  <si>
    <t>ИП БЕЛОУШКА МАКСИМ АЛЕКСАНДРОВИЧ</t>
  </si>
  <si>
    <t>ИП ЕВДОКИМОВ ВЛАДИМИР ИГОРЕВИЧ</t>
  </si>
  <si>
    <t>ООО МБ ТРАКС СПБ</t>
  </si>
  <si>
    <t>196626, Г.САНКТ-ПЕТЕРБУРГ, П ШУШАРЫ, Ш МОСКОВСКОЕ, Д. 289, СТР. 1, ПОМЕЩ. 306</t>
  </si>
  <si>
    <t>192148, Г.САНКТ-ПЕТЕРБУРГ, ПР-КТ ЕЛИЗАРОВА, Д.34, ЛИТ.В</t>
  </si>
  <si>
    <t>ООО ПАРНАСАВТОКОМПЛЕКС</t>
  </si>
  <si>
    <t>194292, Г.САНКТ-ПЕТЕРБУРГ, УЛ ДОМОСТРОИТЕЛЬНАЯ, Д. 17, ЛИТЕР А, ОФИС 1</t>
  </si>
  <si>
    <t>ИП ГЕРАСИМОВА НАТАЛЬЯ ЮРЬЕВНА</t>
  </si>
  <si>
    <t>ИП КОЗЕНКОВ МАКСИМ АНАТОЛЬЕВИЧ</t>
  </si>
  <si>
    <t>ИП ШАЛАЕВ ВЛАДИМИР НИКОЛАЕВИЧ</t>
  </si>
  <si>
    <t>ИП БИТКОВА ЕЛЕНА ВЛАДИМИРОВНА</t>
  </si>
  <si>
    <t>ИП ИВАНОВ МИХАИЛ ДМИТРИЕВИЧ</t>
  </si>
  <si>
    <t>ООО ТЕХНОПЛАНЕТ</t>
  </si>
  <si>
    <t>192148, Г.САНКТ-ПЕТЕРБУРГ, ПР-КТ ЕЛИЗАРОВА, Д. 38, ЛИТЕР А, ОФИС 213А</t>
  </si>
  <si>
    <t>ООО СТОПЭКСПРЕСС</t>
  </si>
  <si>
    <t>197198, Г.САНКТ-ПЕТЕРБУРГ, ВН.ТЕР.Г. МУНИЦИПАЛЬНЫЙ ОКРУГ ОКРУГ ПЕТРОВСКИЙ, ПР-КТ БОЛЬШОЙ П.С., Д. 18, ЛИТЕРА А, ПОМЕЩ. 18-Н, КОМ. 1-11</t>
  </si>
  <si>
    <t>ООО АТОЛ СИГМА</t>
  </si>
  <si>
    <t>197136, Г.САНКТ-ПЕТЕРБУРГ, ВН.ТЕР.Г. МУНИЦИПАЛЬНЫЙ ОКРУГ ЧКАЛОВСКОЕ, УЛ БАРОЧНАЯ, Д. 12, ЛИТЕРА Б, ПОМЕЩ. 53</t>
  </si>
  <si>
    <t>ООО ГРИФФИН-СЕЛЕКТ АВТО</t>
  </si>
  <si>
    <t>194358, Г.САНКТ-ПЕТЕРБУРГ, УЛ ПРОКОФЬЕВА, Д. 10, ЛИТЕР А, ПОМЕЩ. 33</t>
  </si>
  <si>
    <t>ООО ЕВРОПАРТНЕР</t>
  </si>
  <si>
    <t>195279, Г.САНКТ-ПЕТЕРБУРГ, ВН.ТЕР.Г. МУНИЦИПАЛЬНЫЙ ОКРУГ ПОРОХОВЫЕ, ПР-КТ ИНДУСТРИАЛЬНЫЙ, Д. 44, ЛИТЕРА А, ОФИС №403</t>
  </si>
  <si>
    <t>ООО КАР-МАСТЕР</t>
  </si>
  <si>
    <t>197198, РОССИЯ, Г.САНКТ-ПЕТЕРБУРГ, ВН.ТЕР.Г. МУНИЦИПАЛЬНЫЙ ОКРУГ ОКРУГ ПЕТРОВСКИЙ, УЛ ПИОНЕРСКАЯ, Д. 50, ЛИТЕРА А, ПОМЕЩ. 21-Н</t>
  </si>
  <si>
    <t>ООО ХЕЛИПАРТНЕР</t>
  </si>
  <si>
    <t>197110, РОССИЯ, Г.САНКТ-ПЕТЕРБУРГ, ВН.ТЕР.Г. МУНИЦИПАЛЬНЫЙ ОКРУГ ЧКАЛОВСКОЕ, УЛ БОЛЬШАЯ ЗЕЛЕНИНА, Д. 21, ЛИТЕРА А, ПОМЕЩ. 7Н, ЧАСТЬ 68</t>
  </si>
  <si>
    <t>ООО ПЕТРОВ ДВОР</t>
  </si>
  <si>
    <t>197046, РОССИЯ, Г.САНКТ-ПЕТЕРБУРГ, ВН.ТЕР.Г. МУНИЦИПАЛЬНЫЙ ОКРУГ ПОСАДСКИЙ, НАБ ПЕТРОГРАДСКАЯ, Д. 18, ЛИТЕРА А, ПОМЕЩ. 6-Н, ПОМ./КОМНАТА 106/7</t>
  </si>
  <si>
    <t>ООО ТЭМП</t>
  </si>
  <si>
    <t>197198, РОССИЯ, Г.САНКТ-ПЕТЕРБУРГ, ВН.ТЕР.Г. МУНИЦИПАЛЬНЫЙ ОКРУГ КРОНВЕРКСКОЕ, УЛ БОЛЬШАЯ ПУШКАРСКАЯ, Д. 22, ЛИТЕРА А, ПОМЕЩ. 1-Н, КОМ. №49</t>
  </si>
  <si>
    <t>ИП ЩЁГОЛЕВА ЕЛЕНА АЛЕКСЕЕВНА</t>
  </si>
  <si>
    <t>ООО ЛЕНТА</t>
  </si>
  <si>
    <t>197374, Г.САНКТ-ПЕТЕРБУРГ, УЛ САВУШКИНА, Д. 112, ЛИТЕРА Б</t>
  </si>
  <si>
    <t>ИП НАСТЫЧ СЕРГЕЙ ВЛАДИМИРОВИЧ</t>
  </si>
  <si>
    <t>ООО ВЕЙРОН</t>
  </si>
  <si>
    <t>196642, Г.САНКТ-ПЕТЕРБУРГ, П ПЕТРО-СЛАВЯНКА, УЛ СОФИЙСКАЯ, Д. 125, К. 4</t>
  </si>
  <si>
    <t>ИП ПОТАНИЧЕВ ДМИТРИЙ СЕРГЕЕВИЧ</t>
  </si>
  <si>
    <t>ИП ПОПОВА ЮЛИЯ АЛЕКСЕЕВНА</t>
  </si>
  <si>
    <t>ООО КАРЬЕР - СЕРВИС</t>
  </si>
  <si>
    <t>197046, Г.САНКТ-ПЕТЕРБУРГ, ВН.ТЕР.Г. МУНИЦИПАЛЬНЫЙ ОКРУГ ПОСАДСКИЙ, УЛ ЧАПАЕВА, Д. 3, ЛИТЕРА Б, ПОМЕЩ. 7Н/9Н/10Н/11Н</t>
  </si>
  <si>
    <t>ООО ТЕХ ЛЮБ</t>
  </si>
  <si>
    <t>194044, Г.САНКТ-ПЕТЕРБУРГ, ВН.ТЕР.Г. МУНИЦИПАЛЬНЫЙ ОКРУГ САМПСОНИЕВСКОЕ, ПР-КТ БОЛЬШОЙ САМПСОНИЕВСКИЙ, Д. 64, ЛИТЕРА К, ОФИС 204</t>
  </si>
  <si>
    <t>ООО АВК - АВТО</t>
  </si>
  <si>
    <t>193230, Г.САНКТ-ПЕТЕРБУРГ, УЛ КРЫЛЕНКО, Д. 2А, ЛИТЕР Б, ОФИС 16 Б</t>
  </si>
  <si>
    <t>ООО МИТРА</t>
  </si>
  <si>
    <t>190005, Г.САНКТ-ПЕТЕРБУРГ, ПР-КТ ИЗМАЙЛОВСКИЙ, Д. 4, ЛИТЕР А, ПОМЕЩ. 21-Н ОФИС 429</t>
  </si>
  <si>
    <t>ООО РБ</t>
  </si>
  <si>
    <t>197342, Г.САНКТ-ПЕТЕРБУРГ, ВН.ТЕР.Г. МУНИЦИПАЛЬНЫЙ ОКРУГ ЛАНСКОЕ, УЛ ТОРЖКОВСКАЯ, Д. 1, ЛИТЕРА А, ПОМЕЩ. 9-Н</t>
  </si>
  <si>
    <t>ООО КОР АВТО ЗАПЧАСТИ</t>
  </si>
  <si>
    <t>197348, Г.САНКТ-ПЕТЕРБУРГ, ВН.ТЕР.Г. МУНИЦИПАЛЬНЫЙ ОКРУГ ОЗЕРО ДОЛГОЕ, ПР-КТ БОГАТЫРСКИЙ, Д. 18, К. 4, СТР. 2, ПОМЕЩ. 19</t>
  </si>
  <si>
    <t>ООО СЕВЕРСНАБ</t>
  </si>
  <si>
    <t>192102, Г.САНКТ-ПЕТЕРБУРГ, ВН.ТЕР.Г. МУНИЦИПАЛЬНЫЙ ОКРУГ ВОЛКОВСКОЕ, ПР-КТ ВОЛКОВСКИЙ, Д. 146, ЛИТЕРА А, ПОМЕЩ. 5-Н</t>
  </si>
  <si>
    <t>ООО АРАЛЬДИТ</t>
  </si>
  <si>
    <t>195009, Г.САНКТ-ПЕТЕРБУРГ, ВН.ТЕР.Г. МУНИЦИПАЛЬНЫЙ ОКРУГ ФИНЛЯНДСКИЙ ОКРУГ, УЛ ВАТУТИНА, Д. 17, СТР. 1, ПОМЕЩ. 10/3</t>
  </si>
  <si>
    <t>ООО ЛИДЕР-А</t>
  </si>
  <si>
    <t>197341, Г.САНКТ-ПЕТЕРБУРГ, ПР-КТ КОРОЛЁВА, Д. 7, ЛИТЕР А, ОФИС 99</t>
  </si>
  <si>
    <t>ООО ХОЛЬЦТЕХНИК</t>
  </si>
  <si>
    <t>197375, Г.САНКТ-ПЕТЕРБУРГ, УЛ ВЕРБНАЯ, Д. 27, ЛИТЕР А, ПОМЕЩ. 20-Н (№1) Ч.ПОМ.1</t>
  </si>
  <si>
    <t>197183, Г.САНКТ-ПЕТЕРБУРГ, ВН.ТЕР.Г. МУНИЦИПАЛЬНЫЙ ОКРУГ ОЗЕРО ДОЛГОЕ, УЛ ПОЛЕВАЯ САБИРОВСКАЯ, Д. 43А, ЛИТЕРА А, ПАВ. ПАВИЛЬОН</t>
  </si>
  <si>
    <t>ООО ВМАВТО</t>
  </si>
  <si>
    <t>195279, Г.САНКТ-ПЕТЕРБУРГ, ВН.ТЕР.Г. МУНИЦИПАЛЬНЫЙ ОКРУГ ПОРОХОВЫЕ, ПР-КТ ИРИНОВСКИЙ, Д. 9, ЛИТЕРА Б, ПОМЕЩ. 3</t>
  </si>
  <si>
    <t>ООО КАРГО ТРЕЙД</t>
  </si>
  <si>
    <t>198035, РОССИЯ, Г.САНКТ-ПЕТЕРБУРГ, ВН.ТЕР.Г. МУНИЦИПАЛЬНЫЙ ОКРУГ МОРСКИЕ ВОРОТА, УЛ ГАПСАЛЬСКАЯ, Д. 5, ЛИТЕРА А, ПОМЕЩ 8-Н, ЧАСТЬ № 53, ОФИС 402, Р/М 1</t>
  </si>
  <si>
    <t>ООО ЭВОЛВЕНТА ГРУПП</t>
  </si>
  <si>
    <t>197375, РОССИЯ, Г.САНКТ-ПЕТЕРБУРГ, ВН.ТЕР.Г. МУНИЦИПАЛЬНЫЙ ОКРУГ ЮНТОЛОВО, УЛ МАРШАЛА НОВИКОВА, Д. 28, ЛИТЕРА Е, ПОМЕЩ. 1-Н, (КОМНАТА 65)</t>
  </si>
  <si>
    <t>197376, РОССИЯ, Г.САНКТ-ПЕТЕРБУРГ, ВН.ТЕР.Г. МУНИЦИПАЛЬНЫЙ ОКРУГ КОЛОМЯГИ, АЛ. АРЦЕУЛОВСКАЯ, Д. 21, СТР. 1, КВ. 1611</t>
  </si>
  <si>
    <t>ООО ППМП</t>
  </si>
  <si>
    <t>197350, РОССИЯ, Г.САНКТ-ПЕТЕРБУРГ, ВН.ТЕР.Г. МУНИЦИПАЛЬНЫЙ ОКРУГ КОЛОМЯГИ, ПР-КТ КОРОЛЁВА, Д. 73, КВ. 402</t>
  </si>
  <si>
    <t>ООО АВТОМАСЛООПТОМ</t>
  </si>
  <si>
    <t>197375, РОССИЯ, Г.САНКТ-ПЕТЕРБУРГ, ВН.ТЕР.Г. МУНИЦИПАЛЬНЫЙ ОКРУГ КОЛОМЯГИ, УЛ АФАНАСЬЕВСКАЯ, Д. 1, ЛИТЕРА А, ПОМЕЩ. 18-Н</t>
  </si>
  <si>
    <t>ИП ЕВДОКИМОВ АЛЕКСЕЙ ВЛАДИМИРОВИЧ</t>
  </si>
  <si>
    <t>ИП ЧМИЛЕВСКАЯ ИЛОНА АЛЕКСЕЕВНА</t>
  </si>
  <si>
    <t>ООО ПКФ РУСМА</t>
  </si>
  <si>
    <t>192249, Г.САНКТ-ПЕТЕРБУРГ, ВН.ТЕР.Г. МУНИЦИПАЛЬНЫЙ ОКРУГ АЛЕКСАНДРОВСКИЙ, УЛ СОФИЙСКАЯ, Д. 54, ЛИТЕРА А, ПОМЕЩ. 10-Н, ОФИС 7</t>
  </si>
  <si>
    <t>ООО АМТ РУССИЯ</t>
  </si>
  <si>
    <t>192102, Г.САНКТ-ПЕТЕРБУРГ, УЛ САЛОВА, Д.53, К.1 А</t>
  </si>
  <si>
    <t>ИП ЕВДОКИМОВА ОЛЬГА АЛЕКСАНДРОВНА</t>
  </si>
  <si>
    <t>ООО СОФТЛЭНД</t>
  </si>
  <si>
    <t>194100, Г.САНКТ-ПЕТЕРБУРГ, УЛ КАНТЕМИРОВСКАЯ, Д.12, ЛИТЕР А, ПОМ.24-Н</t>
  </si>
  <si>
    <t>ООО  ХИМТОРГПРОЕКТ</t>
  </si>
  <si>
    <t>198216, Г.САНКТ-ПЕТЕРБУРГ, ПР-КТ ТРАМВАЙНЫЙ, Д. 14, ЛИТЕР А, ОФИС 202</t>
  </si>
  <si>
    <t>ООО ФИННКОМПЛЕКТ</t>
  </si>
  <si>
    <t>192102, Г.САНКТ-ПЕТЕРБУРГ, УЛ СРЕДНЯЯ, Д.6, ЛИТ.А, ПОМ. 6-Н</t>
  </si>
  <si>
    <t>ИП РОДИОНОВ МИХАИЛ АЛЕКСЕЕВИЧ</t>
  </si>
  <si>
    <t>ООО ТРАСТ ПАРТС</t>
  </si>
  <si>
    <t>193231, Г.САНКТ-ПЕТЕРБУРГ, УЛ ЛАТЫШСКИХ СТРЕЛКОВ, Д. 1, ЛИТЕР А, ОФИС 1</t>
  </si>
  <si>
    <t>ООО ЭРЛАЙН</t>
  </si>
  <si>
    <t>192102, Г.САНКТ-ПЕТЕРБУРГ, УЛ ФУЧИКА, Д. 8, ЛИТЕР А, ПОМЕЩ. 21-Н ОФИС 60</t>
  </si>
  <si>
    <t>ООО ТД АИП</t>
  </si>
  <si>
    <t>192241, Г.САНКТ-ПЕТЕРБУРГ, УЛ ТУРКУ, Д. 22, К. 4, КВ. 67</t>
  </si>
  <si>
    <t>ООО ВЕТЕРР</t>
  </si>
  <si>
    <t>192241, Г.САНКТ-ПЕТЕРБУРГ, Ш ЮЖНОЕ, Д. 37, К. 1 ЛИТЕР Б, ПОМЕЩ. 3</t>
  </si>
  <si>
    <t>ООО ГАРАЖТУЛС ЦЕНТР</t>
  </si>
  <si>
    <t>192236, Г.САНКТ-ПЕТЕРБУРГ, УЛ СОФИЙСКАЯ, Д. 6, К. 8 СТР. 1, ПОМ. 1-Н ОФ 512</t>
  </si>
  <si>
    <t>ООО ТОРГОВАЯ КОМПАНИЯ ТРАСТ</t>
  </si>
  <si>
    <t>192102, Г.САНКТ-ПЕТЕРБУРГ, УЛ САМОЙЛОВОЙ, Д. 5, ЛИТЕРА С ОФИС 134, ПОМЕЩ. 24Н</t>
  </si>
  <si>
    <t>ООО РАЙДЕРР</t>
  </si>
  <si>
    <t>192249, РОССИЯ, Г.САНКТ-ПЕТЕРБУРГ, ВН.ТЕР.Г. МУНИЦИПАЛЬНЫЙ ОКРУГ АЛЕКСАНДРОВСКИЙ, Ш ЮЖНОЕ, Д. 37, К. 1, ЛИТЕРА Б, ПОМЕЩ. 5Н</t>
  </si>
  <si>
    <t>ООО ЭКОН</t>
  </si>
  <si>
    <t>196006, РОССИЯ, Г.САНКТ-ПЕТЕРБУРГ, ВН.ТЕР.Г. МУНИЦИПАЛЬНЫЙ ОКРУГ МОСКОВСКАЯ ЗАСТАВА, Ш МИТРОФАНЬЕВСКОЕ, Д. 29, ЛИТЕРА А, КОМ. 201</t>
  </si>
  <si>
    <t>ООО ТД НОРД</t>
  </si>
  <si>
    <t>192148, РОССИЯ, Г.САНКТ-ПЕТЕРБУРГ, ВН.ТЕР.Г. МУНИЦИПАЛЬНЫЙ ОКРУГ НЕВСКАЯ ЗАСТАВА, УЛ СЕДОВА, Д. 13, ЛИТЕРА А, ПОМЕЩ. 11-Н, АДМИНИСТРАТИВНЫЙ №116, ЭТАЖ 1</t>
  </si>
  <si>
    <t>ООО ЗЕТАВТО</t>
  </si>
  <si>
    <t>192102, РОССИЯ, Г.САНКТ-ПЕТЕРБУРГ, ВН.ТЕР.Г. МУНИЦИПАЛЬНЫЙ ОКРУГ ВОЛКОВСКОЕ, УЛ САЛОВА, Д. 21, ЛИТЕРА А, ПОМЕЩ. 21-Н, КАБ. 527</t>
  </si>
  <si>
    <t>ООО НЕВААВТО</t>
  </si>
  <si>
    <t>192102, РОССИЯ, Г.САНКТ-ПЕТЕРБУРГ, ВН.ТЕР.Г. МУНИЦИПАЛЬНЫЙ ОКРУГ ВОЛКОВСКОЕ, УЛ САЛОВА, Д. 68, ЛИТЕРА Б, ПОМЕЩ. 1-Н, КОМ. 2</t>
  </si>
  <si>
    <t>ООО РОВИТАЛ</t>
  </si>
  <si>
    <t>198095, РОССИЯ, Г.САНКТ-ПЕТЕРБУРГ, ВН.ТЕР.Г. МУНИЦИПАЛЬНЫЙ ОКРУГ ИЗМАЙЛОВСКОЕ, Ш МИТРОФАНЬЕВСКОЕ, Д. 10, ЛИТЕРА А, ОФИС 297</t>
  </si>
  <si>
    <t>ИП ЛОПАТИН АЛЕКСАНДР АЛЕКСАНДРОВИЧ</t>
  </si>
  <si>
    <t>ИП ГАБДУЛИН АЛЬБЕРТ РАФАЭЛЬЕВИЧ</t>
  </si>
  <si>
    <t>ИП ДУБРОВИНА МАРИНА ВЛАДИМИРОВНА</t>
  </si>
  <si>
    <t>196624, РОССИЯ, Г.САНКТ-ПЕТЕРБУРГ, ВН.ТЕР.Г. ПОСЕЛОК ШУШАРЫ, УЛ ЖЕЛЕЗНОДОРОЖНАЯ, Д. 9, ЛИТЕРА А, ОФИС 2/В</t>
  </si>
  <si>
    <t>ООО ДИСКАВЕРИ</t>
  </si>
  <si>
    <t>196600, Г.САНКТ-ПЕТЕРБУРГ, Г ПУШКИН, УЛ ПРОМЫШЛЕННАЯ, Д. 17, ЛИТЕР З</t>
  </si>
  <si>
    <t>ИП ПОДЛЕСНОВ ДМИТРИЙ ГЕННАДЬЕВИЧ</t>
  </si>
  <si>
    <t>ООО КОНЦЕПТАВТО</t>
  </si>
  <si>
    <t>196606, РОССИЯ, Г.САНКТ-ПЕТЕРБУРГ, ВН.ТЕР.Г. ГОРОД ПУШКИН, Г ПУШКИН, Б-Р ДЕТСКОСЕЛЬСКИЙ, Д. 9, ЛИТЕРА А, ПОМЕЩ. 22-Н, ОФИС 11</t>
  </si>
  <si>
    <t>ООО ТЕХИНТКОМ.РУ</t>
  </si>
  <si>
    <t>196624, Г.САНКТ-ПЕТЕРБУРГ, П ШУШАРЫ, УЛ ЛЕНИНА, Д. 21, ЛИТЕРА А, ПОМЕЩ. 318</t>
  </si>
  <si>
    <t>ООО НВ МОТОРС</t>
  </si>
  <si>
    <t>196608, Г.САНКТ-ПЕТЕРБУРГ, Г ПУШКИН, УЛ АВТОМОБИЛЬНАЯ, Д. 4, ЛИТЕР А3</t>
  </si>
  <si>
    <t>ИП БОСАС АНТОН АЛЕКСАНДРОВИЧ</t>
  </si>
  <si>
    <t>ИП КАНЕВА АНАСТАСИЯ ВАСИЛЬЕВНА</t>
  </si>
  <si>
    <t>ООО ТТИР</t>
  </si>
  <si>
    <t>192012, РОССИЯ, Г.САНКТ-ПЕТЕРБУРГ, ВН.ТЕР.Г. МУНИЦИПАЛЬНЫЙ ОКРУГ РЫБАЦКОЕ, ПР-КТ ОБУХОВСКОЙ ОБОРОНЫ, Д. 271, ЛИТЕРА А, ЭТАЖ 11, ПОМЕЩ. 11.4</t>
  </si>
  <si>
    <t>ИП УСКОВ СЕРГЕЙ ДМИТРИЕВИЧ</t>
  </si>
  <si>
    <t>ООО ГРАНДАВТО</t>
  </si>
  <si>
    <t>196655, РОССИЯ, Г.САНКТ-ПЕТЕРБУРГ, ВН.ТЕР.Г. ГОРОД КОЛПИНО, Г КОЛПИНО, УЛ КОЛПИНСКАЯ, Д. 8, ЛИТЕРА Б, ПОМЕЩ. 3 (1-Н), 2(1-Н), 1 (1-Н),4 (1-Н)</t>
  </si>
  <si>
    <t>ИП ДЕГТЯРЕВ ЕВГЕНИЙ ЮРЬЕВИЧ</t>
  </si>
  <si>
    <t>ООО ЛУКОЙЛ-СЕВЕРО-ЗАПАДНЕФТЕПРОДУКТ</t>
  </si>
  <si>
    <t>197022, Г.САНКТ-ПЕТЕРБУРГ, НАБ АПТЕКАРСКАЯ, Д. 8, ЛИТЕРА А</t>
  </si>
  <si>
    <t>ИП ГРИШАЕВ ЮРИЙ ВИКТОРОВИЧ</t>
  </si>
  <si>
    <t>ИП ЮХАНОВА АННА ВАЛЕНТИНОВНА</t>
  </si>
  <si>
    <t>ООО О`КЕЙ</t>
  </si>
  <si>
    <t>195213, Г.САНКТ-ПЕТЕРБУРГ, ПР-КТ ЗАНЕВСКИЙ, Д. 65, К. 1 ЛИТЕР А, ПОМЕЩ. 1</t>
  </si>
  <si>
    <t>ИП НАГИБИН ДИОНИС ВЛАДИМИРОВИЧ</t>
  </si>
  <si>
    <t>ООО СИКОРР</t>
  </si>
  <si>
    <t>190020, РОССИЯ, Г.САНКТ-ПЕТЕРБУРГ, ВН.ТЕР.Г. МУНИЦИПАЛЬНЫЙ ОКРУГ ЕКАТЕРИНГОФСКИЙ, НАБ ОБВОДНОГО КАНАЛА, Д. 138, К. 2, ЛИТЕРА АТ, ПОМЕЩ. 68Н-8 КОМ. 225</t>
  </si>
  <si>
    <t>ООО ПАРТС ХАБ</t>
  </si>
  <si>
    <t>190005, РОССИЯ, Г.САНКТ-ПЕТЕРБУРГ, ВН.ТЕР.Г. МУНИЦИПАЛЬНЫЙ ОКРУГ ИЗМАЙЛОВСКОЕ, НАБ ОБВОДНОГО КАНАЛА, Д. 139, ЛИТЕРА А, ПОМЕЩ. 5-Н ОФИС 402 КАБИНЕТ № 3</t>
  </si>
  <si>
    <t>ИП ЖУКОВ ДМИТРИЙ АНДРЕЕВИЧ</t>
  </si>
  <si>
    <t>ООО ОПТ-ТРЕЙДИНГ</t>
  </si>
  <si>
    <t>198216, Г.САНКТ-ПЕТЕРБУРГ, ВН.ТЕР.Г. МУНИЦИПАЛЬНЫЙ ОКРУГ КНЯЖЕВО, ПР-КТ НАРОДНОГО ОПОЛЧЕНИЯ, Д. 10, ЛИТЕРА А, ОФИС 236-Н ЧАСТЬ, РАБОЧЕЕ МЕСТО 1</t>
  </si>
  <si>
    <t>ООО НЕВА</t>
  </si>
  <si>
    <t>190068, Г.САНКТ-ПЕТЕРБУРГ, ПЕР ФОНАРНЫЙ, Д. 12, ЛИТЕР А, ПОМЕЩ. 3Н</t>
  </si>
  <si>
    <t>ООО ЭКОТРАК</t>
  </si>
  <si>
    <t>194214, Г.САНКТ-ПЕТЕРБУРГ, ПР-КТ ТОРЕЗА, Д.95, ПОМ. 8Н</t>
  </si>
  <si>
    <t>ООО АЙ ПИ ЭМ ГРУПП</t>
  </si>
  <si>
    <t>196105, Г.САНКТ-ПЕТЕРБУРГ, ПР-КТ ВИТЕБСКИЙ, Д. 3, ЛИТЕР Б, ПОМЕЩ. 17Н №17</t>
  </si>
  <si>
    <t>ООО БМ</t>
  </si>
  <si>
    <t>191119, РОССИЯ, Г.САНКТ-ПЕТЕРБУРГ, ВН.ТЕР.Г. МУНИЦИПАЛЬНЫЙ ОКРУГ ВЛАДИМИРСКИЙ ОКРУГ, УЛ КОНСТАНТИНА ЗАСЛОНОВА, Д. 36-38, ЛИТЕРА А, ПОМЕЩ. 4-Н</t>
  </si>
  <si>
    <t>190000, РОССИЯ, Г.САНКТ-ПЕТЕРБУРГ, ВН.ТЕР.Г. МУНИЦИПАЛЬНЫЙ ОКРУГ ЛИТЕЙНЫЙ ОКРУГ, ПР-КТ ЛИТЕЙНЫЙ, Д. 60, ЛИТЕРА А, ПОМЕЩ. 16-Н КОМН. 1</t>
  </si>
  <si>
    <t>ООО АЛАРМ-КОМТРАНС</t>
  </si>
  <si>
    <t>194355, Г.САНКТ-ПЕТЕРБУРГ, Ш ВЫБОРГСКОЕ, Д.23, К.1, ЛИТ.А</t>
  </si>
  <si>
    <t>ООО СИСТЕМИНВЕСТ-ТСТ</t>
  </si>
  <si>
    <t>191119, Г.САНКТ-ПЕТЕРБУРГ, НАБ ОБВОДНОГО КАНАЛА, Д. 93А, ЛИТЕР А, ПОМ/ОФ 5Н/641</t>
  </si>
  <si>
    <t>ООО КРОКУС</t>
  </si>
  <si>
    <t>196128, Г.САНКТ-ПЕТЕРБУРГ, ВН.ТЕР.Г. МУНИЦИПАЛЬНЫЙ ОКРУГ НОВОИЗМАЙЛОВСКОЕ, УЛ ВАРШАВСКАЯ, Д. 23, К. 2, ЛИТЕРА А, ПОМЕЩ. 77-Н, ОФИС 2</t>
  </si>
  <si>
    <t>ООО ТОРГСЕРВИС 78</t>
  </si>
  <si>
    <t>190020, Г.САНКТ-ПЕТЕРБУРГ, УЛ ЛИФЛЯНДСКАЯ, Д. 6, К. 6 ЛИТЕР С, ОФИС 310</t>
  </si>
  <si>
    <t>191015, РОССИЯ, Г.САНКТ-ПЕТЕРБУРГ, ВН.ТЕР.Г. МУНИЦИПАЛЬНЫЙ ОКРУГ СМОЛЬНИНСКОЕ, УЛ ТАВРИЧЕСКАЯ, Д. 45, ЛИТЕРА А, ПОМЕЩ. 9-Н КОМНАТА 6/24</t>
  </si>
  <si>
    <t>ИП ТЕРЕБОВ ВИКТОР ВИКТОРОВИЧ</t>
  </si>
  <si>
    <t>ООО РОДИС</t>
  </si>
  <si>
    <t>192019, Г.САНКТ-ПЕТЕРБУРГ, ВН.ТЕР.Г. МУНИЦИПАЛЬНЫЙ ОКРУГ НЕВСКАЯ ЗАСТАВА, УЛ СЕДОВА, Д. 11, ЛИТЕРА А, ПОМЕЩ. 1-Н, ОФИС 1027</t>
  </si>
  <si>
    <t>ИП ШУВАЛОВА ТАТЬЯНА ВЛАДИМИРОВНА</t>
  </si>
  <si>
    <t>ООО ТК ПОИСК</t>
  </si>
  <si>
    <t>195027, Г.САНКТ-ПЕТЕРБУРГ, УЛ МАГНИТОГОРСКАЯ, Д. 23, К. 1 ЛИТЕР А, ПОМЕЩ. 7Н ОФ 344</t>
  </si>
  <si>
    <t>ООО АК-78</t>
  </si>
  <si>
    <t>190020, РОССИЯ, Г.САНКТ-ПЕТЕРБУРГ, ВН.ТЕР.Г. МУНИЦИПАЛЬНЫЙ ОКРУГ ЕКАТЕРИНГОФСКИЙ, УЛ 10-Я КРАСНОАРМЕЙСКАЯ, Д. 19, ЛИТЕРА Б1, ПОМЕЩ. 6-401-3</t>
  </si>
  <si>
    <t>ООО ПИРИТ</t>
  </si>
  <si>
    <t>192102, РОССИЯ, Г.САНКТ-ПЕТЕРБУРГ, ВН.ТЕР.Г. МУНИЦИПАЛЬНЫЙ ОКРУГ ВОЛКОВСКОЕ, УЛ САЛОВА, Д. 27, ЛИТЕРА АД, ПОМЕЩ. 19-Н, ПОМЕЩ. №45 (ОФИС №421)</t>
  </si>
  <si>
    <t>ООО КВАРТА АУТДОР</t>
  </si>
  <si>
    <t>190020, РОССИЯ, Г.САНКТ-ПЕТЕРБУРГ, ВН.ТЕР.Г. МУНИЦИПАЛЬНЫЙ ОКРУГ ЕКАТЕРИНГОФСКИЙ, УЛ КУРЛЯНДСКАЯ, Д. 28, ЛИТЕРА В, ПОМЕЩ. 54-Н, КОМ. 82</t>
  </si>
  <si>
    <t>ООО ЮНИК ЛЭБ</t>
  </si>
  <si>
    <t>190020, Г.САНКТ-ПЕТЕРБУРГ, ВН.ТЕР.Г. МУНИЦИПАЛЬНЫЙ ОКРУГ ЕКАТЕРИНГОФСКИЙ, УЛ БУМАЖНАЯ, Д. 17, ЛИТЕРА А, ПОМЕЩ. 268Б</t>
  </si>
  <si>
    <t>ООО АНАБАЗИС МЕДИА</t>
  </si>
  <si>
    <t>190020, Г.САНКТ-ПЕТЕРБУРГ, УЛ 10-Я КРАСНОАРМЕЙСКАЯ, Д. 19, ЛИТЕРА Б1, ПОМЕЩ. 6-400-5</t>
  </si>
  <si>
    <t>ООО НПО ЭПИЛАМ</t>
  </si>
  <si>
    <t>190020, Г.САНКТ-ПЕТЕРБУРГ, НАБ ОБВОДНОГО КАНАЛА, Д. 148, К. 2 ЛИТЕР А, ПОМЕЩ. 340</t>
  </si>
  <si>
    <t>ООО АЛЬКОН</t>
  </si>
  <si>
    <t>192289, Г.САНКТ-ПЕТЕРБУРГ, УЛ МАЛАЯ КАРПАТСКАЯ, Д. 9, К. 1 ЛИТЕР А, КВ. 145</t>
  </si>
  <si>
    <t>ООО АВТОБОГАТЫРЬ</t>
  </si>
  <si>
    <t>196105, Г.САНКТ-ПЕТЕРБУРГ, ВН.ТЕР.Г. МУНИЦИПАЛЬНЫЙ ОКРУГ ГАГАРИНСКОЕ, УЛ БЛАГОДАТНАЯ, Д. 69, К. 1, СТР. 4, ПОМЕЩ. 1, РМ 1</t>
  </si>
  <si>
    <t>ООО КАРАНДАШ</t>
  </si>
  <si>
    <t>193079, Г.САНКТ-ПЕТЕРБУРГ, НАБ ОКТЯБРЬСКАЯ, Д. 108, К. 3 ЛИТЕР А, ЭТ/ПОМ/ПОМ 1/1Н/9</t>
  </si>
  <si>
    <t>ООО АГУРА</t>
  </si>
  <si>
    <t>198095, РОССИЯ, Г.САНКТ-ПЕТЕРБУРГ, ВН.ТЕР.Г. МУНИЦИПАЛЬНЫЙ ОКРУГ ЕКАТЕРИНГОФСКИЙ, НАБ ОБВОДНОГО КАНАЛА, Д. 130, ЛИТЕРА А, ОФИС 202, ПОМЕЩ. 1-Н</t>
  </si>
  <si>
    <t>ООО РА НБИ</t>
  </si>
  <si>
    <t>191180, Г.САНКТ-ПЕТЕРБУРГ, НАБ РЕКИ ФОНТАНКИ, Д. 76, ЛИТЕРА Г, ПОМЕЩ. 1-Н</t>
  </si>
  <si>
    <t>ООО ИНДАСТРИОИЛ</t>
  </si>
  <si>
    <t>191119, Г.САНКТ-ПЕТЕРБУРГ, УЛ СОЦИАЛИСТИЧЕСКАЯ, Д. 14, ЛИТЕР А, ПОМ. 30Н КОМН.7</t>
  </si>
  <si>
    <t>198216, Г.САНКТ-ПЕТЕРБУРГ, ПР-КТ ТРАМВАЙНЫЙ, Д. 32, ЛИТЕР А, ПОМЕЩ. 65</t>
  </si>
  <si>
    <t>ООО ТЕХНИКА ОХЛАЖДЕНИЯ</t>
  </si>
  <si>
    <t>192102, Г.САНКТ-ПЕТЕРБУРГ, ВН.ТЕР.Г. МУНИЦИПАЛЬНЫЙ ОКРУГ ВОЛКОВСКОЕ, УЛ СТРЕЛЬБИЩЕНСКАЯ, Д. 12, ЛИТЕРА А, ПОМЕЩ. 33-Н</t>
  </si>
  <si>
    <t>ИП ШЛЯХТОВА ОЛЬГА ЮРЬЕВНА</t>
  </si>
  <si>
    <t>ООО ПЕТРО МИНЕРАЛ</t>
  </si>
  <si>
    <t>194292, Г.САНКТ-ПЕТЕРБУРГ, ПЕР 5-Й ВЕРХНИЙ, Д. 15, ЛИТЕР А, ПОМЕЩ. 4-Н КАБИНЕТ 208</t>
  </si>
  <si>
    <t>ООО ЭЛБИН</t>
  </si>
  <si>
    <t>194292, Г.САНКТ-ПЕТЕРБУРГ, УЛ ДОМОСТРОИТЕЛЬНАЯ, Д. 14, ЛИТЕР А, ПОМЕЩ. 312</t>
  </si>
  <si>
    <t>ООО ПОИНТЕР</t>
  </si>
  <si>
    <t>190020, Г.САНКТ-ПЕТЕРБУРГ, ВН.ТЕР.Г. МУНИЦИПАЛЬНЫЙ ОКРУГ ЕКАТЕРИНГОФСКИЙ, УЛ КУРЛЯНДСКАЯ, Д. 28, ЛИТЕРА В, ПОМЕЩ. 54-Н, КОМ. 106</t>
  </si>
  <si>
    <t>191040, Г.САНКТ-ПЕТЕРБУРГ, ПР-КТ ЛИГОВСКИЙ, Д. 80, ЛИТЕР А, ПОМЕЩ. 2Н</t>
  </si>
  <si>
    <t>ООО СТД СТРОЙУДАЧА</t>
  </si>
  <si>
    <t>194044, Г.САНКТ-ПЕТЕРБУРГ, УЛ ГЕЛЬСИНГФОРССКАЯ, Д. 4, К. 1, ЛИТЕРА В, ПОМЕЩ. 15Н, ОФИС 37</t>
  </si>
  <si>
    <t>ООО РОТЛАС</t>
  </si>
  <si>
    <t>191123, РОССИЯ, Г.САНКТ-ПЕТЕРБУРГ, ВН.ТЕР.Г. МУНИЦИПАЛЬНЫЙ ОКРУГ СМОЛЬНИНСКОЕ, УЛ ЧАЙКОВСКОГО, Д. 65-67, ЛИТЕРА А, ПОМЕЩ. 14-Н</t>
  </si>
  <si>
    <t>ООО ПИТЕР ХЕМ</t>
  </si>
  <si>
    <t>191144, РОССИЯ, Г.САНКТ-ПЕТЕРБУРГ, ВН.ТЕР.Г. МУНИЦИПАЛЬНЫЙ ОКРУГ СМОЛЬНИНСКОЕ, УЛ МОИСЕЕНКО, Д. 22, ЛИТЕРА З, ПОМЕЩ./ОФИС 27Н/№420А</t>
  </si>
  <si>
    <t>191036, РОССИЯ, Г.САНКТ-ПЕТЕРБУРГ, ВН.ТЕР.Г. МУНИЦИПАЛЬНЫЙ ОКРУГ ЛИГОВКА-ЯМСКАЯ, УЛ ГОНЧАРНАЯ, Д. 27, ЛИТЕРА Л, ПОМЕЩ. 11-Н, ПОМЕЩ./РАБ. М. 1/4</t>
  </si>
  <si>
    <t>ИП ПОПОВ АЛЕКСЕЙ ЮРЬЕВИЧ</t>
  </si>
  <si>
    <t>ООО АЛЕКС-СЕРВИС</t>
  </si>
  <si>
    <t>197706, Г.САНКТ-ПЕТЕРБУРГ, ВН.ТЕР.Г. ГОРОД СЕСТРОРЕЦК, Г СЕСТРОРЕЦК, ПР-КТ ВЛАДИМИРСКИЙ, Д. 4, ЛИТЕРА Б, ПОМЕЩ. 1-Н</t>
  </si>
  <si>
    <t>ИП ЧИЧИРОВ НИКИТА ОЛЕГОВИЧ</t>
  </si>
  <si>
    <t>ИП ЕРЕМЕЕВА ЕЛЕНА АНАТОЛЬЕВНА</t>
  </si>
  <si>
    <t>ООО ИНТЕР ОИЛ</t>
  </si>
  <si>
    <t>194292, Г.САНКТ-ПЕТЕРБУРГ, ПЕР 1-Й ВЕРХНИЙ, Д. 6, ЛИТЕР А, ОФИС 302-306</t>
  </si>
  <si>
    <t>ООО ОРИКС</t>
  </si>
  <si>
    <t>194292, Г.САНКТ-ПЕТЕРБУРГ, ПЕР 1-Й ВЕРХНИЙ, Д. 6, ЛИТЕР А, ОФИС 301</t>
  </si>
  <si>
    <t>ООО ТК ПРОМАВТОСНАБ</t>
  </si>
  <si>
    <t>191002, Г.САНКТ-ПЕТЕРБУРГ, УЛ БОЛЬШАЯ МОСКОВСКАЯ, Д. 5, КВ. 41</t>
  </si>
  <si>
    <t>ООО БАЛТКАМ</t>
  </si>
  <si>
    <t>195197, Г.САНКТ-ПЕТЕРБУРГ, ПР-КТ ПОЛЮСТРОВСКИЙ, Д.54</t>
  </si>
  <si>
    <t>ОООАРГЕНКЛЕЙ</t>
  </si>
  <si>
    <t>194214, Г.САНКТ-ПЕТЕРБУРГ, ПР-КТ ЯРОСЛАВСКИЙ, Д.66, К.1, ПОМЕЩЕНИЕ 8-Н</t>
  </si>
  <si>
    <t>ИП ПЛАТОНОВ НИКОЛАЙ ДМИТРИЕВИЧ</t>
  </si>
  <si>
    <t>ООО СИНТЕЗ</t>
  </si>
  <si>
    <t>198020, Г.САНКТ-ПЕТЕРБУРГ, НАБ ОБВОДНОГО КАНАЛА, Д.134/136/138, К.422, ОФИС</t>
  </si>
  <si>
    <t>ИП САВОСЬКИН СТАНИСЛАВ СЕРГЕЕВИЧ</t>
  </si>
  <si>
    <t>ИП САВИН ДМИТРИЙ МИХАЙЛОВИЧ</t>
  </si>
  <si>
    <t>ООО ТОРГСЕРВИС 178</t>
  </si>
  <si>
    <t>190020, РОССИЯ, Г.САНКТ-ПЕТЕРБУРГ, ВН.ТЕР.Г. МУНИЦИПАЛЬНЫЙ ОКРУГ ЕКАТЕРИНГОФСКИЙ, УЛ ЛИФЛЯНДСКАЯ, Д. 6, К. 6, ЛИТЕРА С, ПОМЕЩ. 229, ОФИС 603</t>
  </si>
  <si>
    <t>195027, Г.САНКТ-ПЕТЕРБУРГ, ВН.ТЕР.Г. МУНИЦИПАЛЬНЫЙ ОКРУГ БОЛЬШАЯ ОХТА, ПР-КТ СРЕДНЕОХТИНСКИЙ, Д. 15, ЛИТЕРА А, ПОМЕЩ. 1-Н, ОФИС 7, Р.М. 1</t>
  </si>
  <si>
    <t>ООО ПРАКТИЧЕСКАЯ МЕХАНИКА</t>
  </si>
  <si>
    <t>198095, Г.САНКТ-ПЕТЕРБУРГ, УЛ МАРШАЛА ГОВОРОВА, Д.52</t>
  </si>
  <si>
    <t>ИП ФИСЕНКО СОФЬЯ НИКОЛАЕВНА</t>
  </si>
  <si>
    <t>ООО СТГ</t>
  </si>
  <si>
    <t>196006, Г.САНКТ-ПЕТЕРБУРГ, ВН.ТЕР.Г. МУНИЦИПАЛЬНЫЙ ОКРУГ МОСКОВСКАЯ ЗАСТАВА, Ш МИТРОФАНЬЕВСКОЕ, Д. 29, ЛИТЕРА А, ОФИС 302,304</t>
  </si>
  <si>
    <t>ООО ТЕРРИОН ПЕТРОЛЕУМ</t>
  </si>
  <si>
    <t>191181, РОССИЯ, Г.САНКТ-ПЕТЕРБУРГ, ВН.ТЕР.Г. МУНИЦИПАЛЬНЫЙ ОКРУГ ДВОРЦОВЫЙ ОКРУГ, УЛ БОЛЬШАЯ МОРСКАЯ, Д. 3-5, ЛИТЕРА А, ЭТАЖ 5, ПОМЕЩ. 35-Н:1 ОФИС 500</t>
  </si>
  <si>
    <t>ООО ПРЕСТИЖ</t>
  </si>
  <si>
    <t>191040, РОССИЯ, Г.САНКТ-ПЕТЕРБУРГ, ВН.ТЕР.Г. МУНИЦИПАЛЬНЫЙ ОКРУГ ВЛАДИМИРСКИЙ ОКРУГ, ПР-КТ ЛИГОВСКИЙ, Д. 87, ЛИТЕРА А, ПОМЕЩ. 15-Н, ОФИС 403.1</t>
  </si>
  <si>
    <t>ООО МОТОЦЕНТР 78 +</t>
  </si>
  <si>
    <t>191023, Г.САНКТ-ПЕТЕРБУРГ, ПЕР БАНКОВСКИЙ, Д.4</t>
  </si>
  <si>
    <t>ООО ИНКАМ</t>
  </si>
  <si>
    <t>192019, Г.САНКТ-ПЕТЕРБУРГ, ВН.ТЕР.Г. МУНИЦИПАЛЬНЫЙ ОКРУГ НЕВСКАЯ ЗАСТАВА, УЛ СЕДОВА, Д. 11, ЛИТЕРА А, ПОМЕЩ. 1-Н, ОФИС 803</t>
  </si>
  <si>
    <t>ООО СЕЙЛ-ПАРТС ГРУПП</t>
  </si>
  <si>
    <t>191144, Г.САНКТ-ПЕТЕРБУРГ, ВН.ТЕР.Г. МУНИЦИПАЛЬНЫЙ ОКРУГ СМОЛЬНИНСКОЕ, УЛ МОИСЕЕНКО, Д. 22, ЛИТЕРА А, ПОМЕЩ. 1-Н, ЧАСТЬ ОФИСА 16</t>
  </si>
  <si>
    <t>ООО ХИМПОСТАВКА</t>
  </si>
  <si>
    <t>191040, Г.САНКТ-ПЕТЕРБУРГ, ВН.ТЕР.Г. МУНИЦИПАЛЬНЫЙ ОКРУГ ЛИГОВКА-ЯМСКАЯ, ПР-КТ ЛИГОВСКИЙ, Д. 80, ЛИТЕРА А, ПОМЕЩ. 2Н, ОФИС 7.5</t>
  </si>
  <si>
    <t>АО ГАЗСТРОЙПРОМ</t>
  </si>
  <si>
    <t>196006, Г.САНКТ-ПЕТЕРБУРГ, УЛ ТАШКЕНТСКАЯ, Д. 3, К. 3 ЛИТЕРА Б, ЭТ/КОМ 22/22</t>
  </si>
  <si>
    <t>ООО НОРД ВЕСТ</t>
  </si>
  <si>
    <t>191040, Г.САНКТ-ПЕТЕРБУРГ, ВН.ТЕР.Г. МУНИЦИПАЛЬНЫЙ ОКРУГ ЛИГОВКА-ЯМСКАЯ, ПР-КТ ЛИГОВСКИЙ, Д. 50, ЛИТЕРА Н, ОФИС 40Д</t>
  </si>
  <si>
    <t>АО МАРКОН-ХОЛОД</t>
  </si>
  <si>
    <t>196128, Г.САНКТ-ПЕТЕРБУРГ, УЛ ВАРШАВСКАЯ, Д.19, КОРПУС 1.ЛИТЕР А .ПОМ.27-Н, ОФИС 9</t>
  </si>
  <si>
    <t>ООО  ЛЛК МАРИН РУС</t>
  </si>
  <si>
    <t>197022, Г.САНКТ-ПЕТЕРБУРГ, НАБ АПТЕКАРСКАЯ, Д. 8, ЛИТЕР А</t>
  </si>
  <si>
    <t>ИП СТЕЦКАЯ МАРИЯ ВЛАДИМИРОВНА</t>
  </si>
  <si>
    <t>ИП АЛЕКСАНДРОВ ВАСИЛИЙ АЛЕКСАНДРОВИЧ</t>
  </si>
  <si>
    <t>ИП ЧИСТОФАТ ОКСАНА МИХАЙЛОВНА</t>
  </si>
  <si>
    <t>ИП АНДРИАНОВА НАТАЛЬЯ ВЛАДИМИРОВНА</t>
  </si>
  <si>
    <t>ИП КРОШКО АНТОН СЕРГЕЕВИЧ</t>
  </si>
  <si>
    <t>ИП КОРЮХИН ВЛАДИМИР ВАЛЕНТИНОВИЧ</t>
  </si>
  <si>
    <t>ООО ТД ЭНЕРГОЦЕНТР-ЭТМ</t>
  </si>
  <si>
    <t>198095, Г.САНКТ-ПЕТЕРБУРГ, ВН.ТЕР.Г. МУНИЦИПАЛЬНЫЙ ОКРУГ НАРВСКИЙ ОКРУГ, ПЕР ХИМИЧЕСКИЙ, Д. 1, ЛИТЕРА П, ПОМЕЩ. 31Н, КОМ. 101</t>
  </si>
  <si>
    <t>ИП АНТОНЕНКО НИНА АЛЕКСАНДРОВНА</t>
  </si>
  <si>
    <t>ИП БЕЛЯКОВА ЮЛИЯ СЕРГЕЕВНА</t>
  </si>
  <si>
    <t>ИП ИВАНОВ ЮРИЙ ВЛАДИМИРОВИЧ</t>
  </si>
  <si>
    <t>ИП ГВОЗДЕВ ДМИТРИЙ ВИТАЛЬЕВИЧ</t>
  </si>
  <si>
    <t>ИП ТАНКУШИН НИКОЛАЙ ВИКТОРОВИЧ</t>
  </si>
  <si>
    <t>ИП КОВАЛЬЧУК ПАВЕЛ СЕРГЕЕВИЧ</t>
  </si>
  <si>
    <t>ИП АМОСОВА ВИКТОРИЯ АЛЕКСАНДРОВНА</t>
  </si>
  <si>
    <t>ИП СОБОЛЕВСКАЯ ЕКАТЕРИНА БОРИСОВНА</t>
  </si>
  <si>
    <t>ИП ЗАСЛОЦКИЙ РУСЛАН ИВАНОВИЧ</t>
  </si>
  <si>
    <t>ООО ЭНИКО</t>
  </si>
  <si>
    <t>194292, Г.САНКТ-ПЕТЕРБУРГ, ВН.ТЕР.Г. МУНИЦИПАЛЬНЫЙ ОКРУГ № 15, ПЕР 1-Й ВЕРХНИЙ, Д. 4, ЛИТЕРА А, ОФИС 88</t>
  </si>
  <si>
    <t>ИП СЫРОХНОВ ВЯЧЕСЛАВ ГЕННАДЬЕВИЧ</t>
  </si>
  <si>
    <t>ИП СЛАУТИНА РЕГИНА ИГОРЕВНА</t>
  </si>
  <si>
    <t>ИП МИНЯКИН ВИКТОР АЛЕКСАНДРОВИЧ</t>
  </si>
  <si>
    <t>ИП ШАРИПОВ РУСЛАН РИНАТОВИЧ</t>
  </si>
  <si>
    <t>ИП ДЖУМАЕВ ШУХРАТ ШОКИРОВИЧ</t>
  </si>
  <si>
    <t>ООО БРОКАРГО</t>
  </si>
  <si>
    <t>199155, Г.САНКТ-ПЕТЕРБУРГ, ВН.ТЕР.Г. МУНИЦИПАЛЬНЫЙ ОКРУГ ОСТРОВ ДЕКАБРИСТОВ, ПР-КТ КИМА, Д. 6, ЛИТЕРА А, ОФИС 423</t>
  </si>
  <si>
    <t>ИП ЗОЛОТОВ ВАСИЛИЙ АЛЕКСЕЕВИЧ</t>
  </si>
  <si>
    <t>ИП ГОСТЬКОВ АЛЕКСАНДР АНТОНОВИЧ</t>
  </si>
  <si>
    <t>ИП БАННИКОВ ЮРИЙ АНАТОЛЬЕВИЧ</t>
  </si>
  <si>
    <t>ИП ЧАГИН НИКОЛАЙ СЕРГЕЕВИЧ</t>
  </si>
  <si>
    <t>ИП ВОРЖЕВИТИНА НАДЕЖДА АЛЕКСАНДРОВНА</t>
  </si>
  <si>
    <t>ООО МИХАЛЫЧ</t>
  </si>
  <si>
    <t>198332, РОССИЯ, Г.САНКТ-ПЕТЕРБУРГ, ВН.ТЕР.Г. МУНИЦИПАЛЬНЫЙ ОКРУГ ЮЖНО-ПРИМОРСКИЙ, УЛ МАРШАЛА КАЗАКОВА, Д. 35, СТР. 7, ПОМЕЩ. 1863</t>
  </si>
  <si>
    <t>ИП ГЕРАСИМОВ ВАДИМ АНАТОЛЬЕВИЧ</t>
  </si>
  <si>
    <t>ИП ЧЁРИКОВ АНДРЕЙ АНДРЕЕВИЧ</t>
  </si>
  <si>
    <t>ООО ЮНИТ ГРУПП</t>
  </si>
  <si>
    <t>196105, Г.САНКТ-ПЕТЕРБУРГ, ВН.ТЕР.Г. МУНИЦИПАЛЬНЫЙ ОКРУГ МОСКОВСКАЯ ЗАСТАВА, УЛ РЕШЕТНИКОВА, Д. 15, ЛИТЕРА А, ПОМЕЩ. 4Н, ОФИС 200-13Б</t>
  </si>
  <si>
    <t>ООО ТРИНИТИ-ПАРТС</t>
  </si>
  <si>
    <t>196084, Г.САНКТ-ПЕТЕРБУРГ, ПР-КТ МОСКОВСКИЙ, Д. 109, К. 3 ЛИТЕР В, ПОМ/ПОМ 1-Н/98</t>
  </si>
  <si>
    <t>ООО СТРЕТТО</t>
  </si>
  <si>
    <t>196084, Г.САНКТ-ПЕТЕРБУРГ, ПР-КТ МОСКОВСКИЙ, Д. 109, К. 3 ЛИТЕР В, ПОМ/ПОМ 1-Н/101</t>
  </si>
  <si>
    <t>ООО ТПЛ</t>
  </si>
  <si>
    <t>196105, Г.САНКТ-ПЕТЕРБУРГ, ВН.ТЕР.Г. МУНИЦИПАЛЬНЫЙ ОКРУГ МОСКОВСКАЯ ЗАСТАВА, УЛ РЕШЕТНИКОВА, Д. 15, ЛИТЕРА А, ПОМЕЩ. 9Н, ОФИС 9</t>
  </si>
  <si>
    <t>ИП НИКУЛИН АЛЕКСАНДР ИВАНОВИЧ</t>
  </si>
  <si>
    <t>ИП ШВАЙКО АННА ЮРЬЕВНА</t>
  </si>
  <si>
    <t>ООО ЦЕККЕРТ</t>
  </si>
  <si>
    <t>199178, Г.САНКТ-ПЕТЕРБУРГ, ЛН 7-Я В.О., Д. 76, ЛИТЕР А</t>
  </si>
  <si>
    <t>ООО НАНОПРОТЭК</t>
  </si>
  <si>
    <t>197375, РОССИЯ, Г.САНКТ-ПЕТЕРБУРГ, ВН.ТЕР.Г. МУНИЦИПАЛЬНЫЙ ОКРУГ ЮНТОЛОВО, УЛ РЕПИЩЕВА, Д. 10, К. 1, ЛИТЕРА А, ОФИС 1Ч.3, ПОМЕЩ. 37-Н</t>
  </si>
  <si>
    <t>ИП БУЧАС МАКСИМ СЕРГЕЕВИЧ</t>
  </si>
  <si>
    <t>ООО СТД ПЕТРОВИЧ</t>
  </si>
  <si>
    <t>192249, Г.САНКТ-ПЕТЕРБУРГ, УЛ СОФИЙСКАЯ, Д. 59, К. 2 СТР1, ПОМЕЩ. 44</t>
  </si>
  <si>
    <t>ИП ПЕРЦЕВ ДМИТРИЙ НИКОЛАЕВИЧ</t>
  </si>
  <si>
    <t>ИП КОБОЗЕВ МАКСИМ СЕРГЕЕВИЧ</t>
  </si>
  <si>
    <t>ООО ЦПТ-СЕРВИС</t>
  </si>
  <si>
    <t>196627, Г.САНКТ-ПЕТЕРБУРГ, ВН.ТЕР.Г. ПОСЕЛОК ШУШАРЫ, П ШУШАРЫ, Ш МОСКОВСКОЕ, Д. 233, ЛИТЕРА П, ПОМЕЩ. №408</t>
  </si>
  <si>
    <t>ООО ОЗОН ПЛЮС</t>
  </si>
  <si>
    <t>192102, Г.САНКТ-ПЕТЕРБУРГ, УЛ СТРЕЛЬБИЩЕНСКАЯ, Д. 12, ЛИТЕР А, ПОМЕЩ. 13-Н</t>
  </si>
  <si>
    <t>ООО ТД МЕРКУРИЙ</t>
  </si>
  <si>
    <t>195067, Г.САНКТ-ПЕТЕРБУРГ, ВН.ТЕР.Г. МУНИЦИПАЛЬНЫЙ ОКРУГ ПОЛЮСТРОВО, ПР-КТ ЕКАТЕРИНИНСКИЙ, Д. 2, СТР. 1, ПОМЕЩ. 65-Н ОФИС 2</t>
  </si>
  <si>
    <t>ООО ТГ ФИНИСТ</t>
  </si>
  <si>
    <t>197198, Г.САНКТ-ПЕТЕРБУРГ, ВН.ТЕР.Г. МУНИЦИПАЛЬНЫЙ ОКРУГ ОКРУГ ПЕТРОВСКИЙ, ПР-КТ ПЕТРОВСКИЙ, Д. 24, К. 3, СТР. 1, КВ. 62</t>
  </si>
  <si>
    <t>ИП НИКОЛАШИНА ЮЛИЯ ВЛАДИМИРОВНА</t>
  </si>
  <si>
    <t>ООО КР</t>
  </si>
  <si>
    <t>195271, Г.САНКТ-ПЕТЕРБУРГ, УЛ БЕСТУЖЕВСКАЯ, Д. 7, К. 3 СТР1, КВ. 95</t>
  </si>
  <si>
    <t>ООО НГН</t>
  </si>
  <si>
    <t>195197, РОССИЯ, Г.САНКТ-ПЕТЕРБУРГ, ВН.ТЕР.Г. МУНИЦИПАЛЬНЫЙ ОКРУГ ФИНЛЯНДСКИЙ ОКРУГ, ПР-КТ ПОЛЮСТРОВСКИЙ, Д. 59, ЛИТЕРА Ф, ПОМЕЩ. 1-Н ОФИС 401/1</t>
  </si>
  <si>
    <t>ИП КОЧЕТОВСКИЙ ДМИТРИЙ ВЛАДИМИРОВИЧ</t>
  </si>
  <si>
    <t>ООО АВТОМОБИЛИСТ</t>
  </si>
  <si>
    <t>198217, Г.САНКТ-ПЕТЕРБУРГ, ПР-КТ НАРОДНОГО ОПОЛЧЕНИЯ, Д.28</t>
  </si>
  <si>
    <t>ООО НПФ БИОС</t>
  </si>
  <si>
    <t>197101, Г.САНКТ-ПЕТЕРБУРГ, УЛ КРОНВЕРКСКАЯ, Д. 23, ЛИТЕР А, ПОМ. 219-220</t>
  </si>
  <si>
    <t>ООО РМ</t>
  </si>
  <si>
    <t>198095, Г.САНКТ-ПЕТЕРБУРГ, УЛ ПРОМЫШЛЕННАЯ, Д. 40, ЛИТЕР А, ОФИС 305</t>
  </si>
  <si>
    <t>198095, Г.САНКТ-ПЕТЕРБУРГ, УЛ МАРШАЛА ГОВОРОВА, Д. 37, ЛИТЕР Б, ПОМЕЩ. 2-Н, 3-Н</t>
  </si>
  <si>
    <t>ООО САЛАР</t>
  </si>
  <si>
    <t>198260, Г.САНКТ-ПЕТЕРБУРГ, УЛ СТОЙКОСТИ, Д. 7, К. 3, КВ. 87</t>
  </si>
  <si>
    <t>ООО АНКО</t>
  </si>
  <si>
    <t>195279, Г.САНКТ-ПЕТЕРБУРГ, ВН.ТЕР.Г. МУНИЦИПАЛЬНЫЙ ОКРУГ РЖЕВКА, ПР-КТ ИНДУСТРИАЛЬНЫЙ, Д. 70, ЛИТЕРА А, ПОМЕЩ. 7-Н, ОФИС 204</t>
  </si>
  <si>
    <t>ООО АЛАРМ АВТО ЮГО-ЗАПАД</t>
  </si>
  <si>
    <t>198330, Г.САНКТ-ПЕТЕРБУРГ, ПР-КТ МАРШАЛА ЖУКОВА, Д. 51, ЛИТЕР А, КАБИНЕТ 48</t>
  </si>
  <si>
    <t>ООО МОНБЛАН</t>
  </si>
  <si>
    <t>198322, РОССИЯ, Г.САНКТ-ПЕТЕРБУРГ, ВН.ТЕР.Г. МУНИЦИПАЛЬНЫЙ ОКРУГ ЮЖНО-ПРИМОРСКИЙ, НАБ ДУДЕРГОФСКОГО КАНАЛА, Д. 4, К. 1, СТР. 1, КВ. 5</t>
  </si>
  <si>
    <t>ООО ТАТНЕФТЬ-АЗС-СЕВЕРО-ЗАПАД</t>
  </si>
  <si>
    <t>196246, Г.САНКТ-ПЕТЕРБУРГ, Ш ПУЛКОВСКОЕ, Д. 32А, ЛИТЕРА А</t>
  </si>
  <si>
    <t>ООО АСТРАЛ</t>
  </si>
  <si>
    <t>196066, Г.САНКТ-ПЕТЕРБУРГ, ПР-КТ ЛЕНИНСКИЙ, Д. 159, ЛИТЕРА А, ПОМЕЩ. 3-Н</t>
  </si>
  <si>
    <t>ООО АВТОПОРТРЕТ СПБ-ЮГ</t>
  </si>
  <si>
    <t>192102, Г.САНКТ-ПЕТЕРБУРГ, ВН.ТЕР.Г. МУНИЦИПАЛЬНЫЙ ОКРУГ ВОЛКОВСКОЕ, УЛ. СОФИЙСКАЯ, Д. 2, ЛИТЕРА Б, ЭТАЖ/ПОМ 1/1-Н, КОМ. 20</t>
  </si>
  <si>
    <t>ООО ДЕКРА</t>
  </si>
  <si>
    <t>190005, Г.САНКТ-ПЕТЕРБУРГ, ВН.ТЕР.Г. МУНИЦИПАЛЬНЫЙ ОКРУГ ИЗМАЙЛОВСКОЕ, ПР-КТ ИЗМАЙЛОВСКИЙ, Д. 29, ЛИТЕРА И, ПОМЕЩ. 18Н, КОМ. 1, ОФ. С41, ЧАСТЬ 2</t>
  </si>
  <si>
    <t>ООО БАРГУС ТРЕЙД</t>
  </si>
  <si>
    <t>192102, Г.САНКТ-ПЕТЕРБУРГ, УЛ САЛОВА, Д. 27, ЛИТЕР АД, ПОМЕЩ. 16-Н №34 ОФИС 206</t>
  </si>
  <si>
    <t>ООО АВТОПОБЕДА</t>
  </si>
  <si>
    <t>196006, Г.САНКТ-ПЕТЕРБУРГ, УЛ КОНДРАТЕНКО, Д. 3, ЛИТЕРА А</t>
  </si>
  <si>
    <t>ООО А-ГАЗ</t>
  </si>
  <si>
    <t>196084, Г.САНКТ-ПЕТЕРБУРГ, УЛ ЗАОЗЁРНАЯ, Д. 14 А, ЛИТЕР К, ПОМЕЩ. 1Н</t>
  </si>
  <si>
    <t>ООО РУСТЕХ ЗАПАД</t>
  </si>
  <si>
    <t>194352, Г.САНКТ-ПЕТЕРБУРГ, ВН.ТЕР.Г. МУНИЦИПАЛЬНЫЙ ОКРУГ СЕРГИЕВСКОЕ, АЛЛЕЯ ПРИДОРОЖНАЯ, Д. 10, ЛИТЕРА А, ПОМЕЩ. 12-Н</t>
  </si>
  <si>
    <t>ООО ТОРГОВАЯ КОМПАНИЯ МАИЕР</t>
  </si>
  <si>
    <t>196158, РОССИЯ, Г.САНКТ-ПЕТЕРБУРГ, ВН.ТЕР.Г. МУНИЦИПАЛЬНЫЙ ОКРУГ ЗВЕЗДНОЕ, Ш МОСКОВСКОЕ, Д. 7, ЛИТЕРА А, ОФИС 47.7, ПОМЕЩ. 1Н</t>
  </si>
  <si>
    <t>ООО ВОСТОК КОМПЛЕКСНОЕ ПАРТНЕРСТВО</t>
  </si>
  <si>
    <t>196158, РОССИЯ, Г.САНКТ-ПЕТЕРБУРГ, ВН.ТЕР.Г. МУНИЦИПАЛЬНЫЙ ОКРУГ ЗВЕЗДНОЕ, Ш ПУЛКОВСКОЕ, Д. 14, СТР. 6, ПОМЕЩ. 423</t>
  </si>
  <si>
    <t>ИП ГРИБ АЛЕКСАНДР АЛЕКСАНДРОВИЧ</t>
  </si>
  <si>
    <t>192029, Г.САНКТ-ПЕТЕРБУРГ, ПР-КТ ОБУХОВСКОЙ ОБОРОНЫ, Д. 117, ЛИТЕР А, ПОМЕЩ. 5Н</t>
  </si>
  <si>
    <t>ИП КОЧКИН СЕРГЕЙ ВЛАДИМИРОВИЧ</t>
  </si>
  <si>
    <t>ИП КОЧЕТОВСКИЙ КОНСТАНТИН ВЛАДИМИРОВИЧ</t>
  </si>
  <si>
    <t>ООО АВТОКРЕП</t>
  </si>
  <si>
    <t>192019, Г.САНКТ-ПЕТЕРБУРГ, ВН.ТЕР.Г. МУНИЦИПАЛЬНЫЙ ОКРУГ НЕВСКАЯ ЗАСТАВА, УЛ СЕДОВА, Д. 5, ЛИТЕРА А, ПОМЕЩ. 7-Н ЧАСТЬ №16</t>
  </si>
  <si>
    <t>192019, Г.САНКТ-ПЕТЕРБУРГ, УЛ СЕДОВА, Д. 10, ЛИТЕР Н, ПОМЕЩ. 2-Н</t>
  </si>
  <si>
    <t>193230, РОССИЯ, Г.САНКТ-ПЕТЕРБУРГ, ВН.ТЕР.Г. МУНИЦИПАЛЬНЫЙ ОКРУГ НАРОДНЫЙ, НАБ ОКТЯБРЬСКАЯ, Д. 46, ЛИТЕРА А</t>
  </si>
  <si>
    <t>АО ЛИСХОР</t>
  </si>
  <si>
    <t>197046, РОССИЯ, Г.САНКТ-ПЕТЕРБУРГ, ВН.ТЕР.Г. МУНИЦИПАЛЬНЫЙ ОКРУГ ПОСАДСКИЙ, НАБ ПЕТРОГРАДСКАЯ, Д. 22, ЛИТЕРА А, ПОМЕЩ. 35-Н, ОФИС 15</t>
  </si>
  <si>
    <t>ИП ОЖИГАНОВ СЕРГЕЙ ВЛАДИМИРОВИЧ</t>
  </si>
  <si>
    <t>ИП АВРАМЕНКО КСЕНИЯ НИКОЛАЕВНА</t>
  </si>
  <si>
    <t>ООО УНИКОМ</t>
  </si>
  <si>
    <t>197183, РОССИЯ, Г.САНКТ-ПЕТЕРБУРГ, ВН.ТЕР.Г. МУНИЦИПАЛЬНЫЙ ОКРУГ ЛАНСКОЕ, АЛЛЕЯ ЛИПОВАЯ, Д. 9, ЛИТЕРА А, ПОМЕЩ. 21Н, КОМ. 516</t>
  </si>
  <si>
    <t>ООО ННТ</t>
  </si>
  <si>
    <t>197342, РОССИЯ, Г.САНКТ-ПЕТЕРБУРГ, ВН.ТЕР.Г. МУНИЦИПАЛЬНЫЙ ОКРУГ ЛАНСКОЕ, НАБ ЧЁРНОЙ РЕЧКИ, Д. 47, СТР. 1, ПОМЕЩ. 4-Н (ЧАСТЬ 21)</t>
  </si>
  <si>
    <t>ООО МАРИН ЭНЕРДЖИ</t>
  </si>
  <si>
    <t>197374, РОССИЯ, Г.САНКТ-ПЕТЕРБУРГ, ВН.ТЕР.Г. МУНИЦИПАЛЬНЫЙ ОКРУГ ОЗЕРО ДОЛГОЕ, ДОР ТОРФЯНАЯ, Д. 7, ЛИТЕРА Ф, ПОМЕЩ./КАБ. 13-Н/32, ОФИС 710</t>
  </si>
  <si>
    <t>ООО ТРОНАЙС</t>
  </si>
  <si>
    <t>197349, РОССИЯ, Г.САНКТ-ПЕТЕРБУРГ, ВН.ТЕР.Г. МУНИЦИПАЛЬНЫЙ ОКРУГ КОМЕНДАНТСКИЙ АЭРОДРОМ, Б-Р СЕРЕБРИСТЫЙ, Д. 22, К. 1, ЛИТЕРА А, КВ. 87</t>
  </si>
  <si>
    <t>197342, РОССИЯ, Г.САНКТ-ПЕТЕРБУРГ, ВН.ТЕР.Г. МУНИЦИПАЛЬНЫЙ ОКРУГ ЛАНСКОЕ, УЛ ТОРЖКОВСКАЯ, Д. 5, ЛИТЕРА А, ПОМЕЩ. 2Н, ОФИС № 17</t>
  </si>
  <si>
    <t>ООО И-ТРЕЙД</t>
  </si>
  <si>
    <t>197345, РОССИЯ, Г.САНКТ-ПЕТЕРБУРГ, ВН.ТЕР.Г. МУНИЦИПАЛЬНЫЙ ОКРУГ № 65, УЛ МЕБЕЛЬНАЯ, Д. 49/92, ЛИТЕРА А, ПОМЕЩ. 233-Н, ОФИС 7</t>
  </si>
  <si>
    <t>ИП САХАРОВ СЕРГЕЙ ГЕННАДЬЕВИЧ</t>
  </si>
  <si>
    <t>ООО АВТО - ВИКИНГ</t>
  </si>
  <si>
    <t>192102, Г.САНКТ-ПЕТЕРБУРГ, УЛ САЛОВА, Д. 53, КОРПУС 1 ЛИТЕР Р</t>
  </si>
  <si>
    <t>ООО СКИВ</t>
  </si>
  <si>
    <t>196602, РОССИЯ, Г.САНКТ-ПЕТЕРБУРГ, ВН.ТЕР.Г. ГОРОД ПУШКИН, ТЕР. ГУММОЛОСАРЫ, УЛ АНЦИФЕРОВСКАЯ, Д. 6, К. 2, ЛИТЕРА А, КВ. 4</t>
  </si>
  <si>
    <t>192102, Г.САНКТ-ПЕТЕРБУРГ, УЛ САЛОВА, Д. 53, К. 1 ЛИТЕР Н, ОФИС 39.3</t>
  </si>
  <si>
    <t>ООО КПС</t>
  </si>
  <si>
    <t>192289, Г.САНКТ-ПЕТЕРБУРГ, ПР-КТ ДЕВЯТОГО ЯНВАРЯ, Д. 21, ЛИТЕРА А, ПОМЕЩ. 100</t>
  </si>
  <si>
    <t>ООО АВТОЗОН</t>
  </si>
  <si>
    <t>192102, Г.САНКТ-ПЕТЕРБУРГ, УЛ САЛОВА, Д. 57, К. 1 ЛИТЕР Ч, ОФИС 1-Н</t>
  </si>
  <si>
    <t>ООО РМШ</t>
  </si>
  <si>
    <t>192283, РОССИЯ, Г.САНКТ-ПЕТЕРБУРГ, ВН.ТЕР.Г. МУНИЦИПАЛЬНЫЙ ОКРУГ БАЛКАНСКИЙ, УЛ БУДАПЕШТСКАЯ, Д. 97, К. 2, ЛИТЕРА А, ПОМЕЩ. 10-Н, ОФИС 52</t>
  </si>
  <si>
    <t>ИП ЛЮБИМОВ СЕРГЕЙ ЕВГЕНЬЕВИЧ</t>
  </si>
  <si>
    <t>ООО РВ СТАНЦИЯ</t>
  </si>
  <si>
    <t>196105, РОССИЯ, Г.САНКТ-ПЕТЕРБУРГ, ВН.ТЕР.Г. МУНИЦИПАЛЬНЫЙ ОКРУГ ГАГАРИНСКОЕ, УЛ БАССЕЙНАЯ, Д. 38, ЛИТЕРА Д, ПОМЕЩ. 1Н (2)</t>
  </si>
  <si>
    <t>СПБ ГБУЗ НИКОЛАЕВСКАЯ БОЛЬНИЦА</t>
  </si>
  <si>
    <t>198510, Г.САНКТ-ПЕТЕРБУРГ, Г ПЕТЕРГОФ, УЛ КОНСТАНТИНОВСКАЯ, Д.1</t>
  </si>
  <si>
    <t>ООО БИТ</t>
  </si>
  <si>
    <t>194356, Г.САНКТ-ПЕТЕРБУРГ, П ПАРГОЛОВО, УЛ ЗАРЕЧНАЯ, Д. 10, СТР 1, ОФИС 81Н</t>
  </si>
  <si>
    <t>ООО БИФРЕШ</t>
  </si>
  <si>
    <t>192019, РОССИЯ, Г.САНКТ-ПЕТЕРБУРГ, ВН.ТЕР.Г. МУНИЦИПАЛЬНЫЙ ОКРУГ НЕВСКАЯ ЗАСТАВА, УЛ ПРОФЕССОРА КАЧАЛОВА, Д. 3, ЛИТЕРА О, ПОМЕЩ. 312</t>
  </si>
  <si>
    <t>ООО А-СЕРВИС</t>
  </si>
  <si>
    <t>194100, Г.САНКТ-ПЕТЕРБУРГ, НАБ ВЫБОРГСКАЯ, Д. 57, К. 2</t>
  </si>
  <si>
    <t>ООО РН-СЕВЕРО-ЗАПАД</t>
  </si>
  <si>
    <t>190005, Г.САНКТ-ПЕТЕРБУРГ, ПР-КТ ИЗМАЙЛОВСКИЙ, Д. 29, ЛИТЕР А, КОМ. А-63</t>
  </si>
  <si>
    <t>ООО САЛЮТ</t>
  </si>
  <si>
    <t>191187, Г.САНКТ-ПЕТЕРБУРГ, ПЕР СОЛЯНОЙ, Д. 4, ЛИТЕР А, ПОМЕЩ. 17-Н</t>
  </si>
  <si>
    <t>ООО ДЖИМОТОРС</t>
  </si>
  <si>
    <t>191040, РОССИЯ, Г.САНКТ-ПЕТЕРБУРГ, ВН.ТЕР.Г. МУНИЦИПАЛЬНЫЙ ОКРУГ ЛИГОВКА-ЯМСКАЯ, ПЕР ТРАНСПОРТНЫЙ, Д. 10, ЛИТЕРА М, ПОМЕЩ. 1, ОФИС 2</t>
  </si>
  <si>
    <t>ООО ВОСТОК-АВТО ЖУКОВА</t>
  </si>
  <si>
    <t>198096, Г.САНКТ-ПЕТЕРБУРГ, ВН.ТЕР.Г. МУНИЦИПАЛЬНЫЙ ОКРУГ АВТОВО, УЛ ПОРТОВАЯ, Д. 15, ЛИТЕРА Б, ПОМЕЩ. 2-Н</t>
  </si>
  <si>
    <t>ИП ЧЕРЕПАНОВ АРТЕМ МАКСИМОВИЧ</t>
  </si>
  <si>
    <t>Еврейская автономная область</t>
  </si>
  <si>
    <t>ИП Целовальников Олег Александрович</t>
  </si>
  <si>
    <t>ИП Суслина Галина Михайловна</t>
  </si>
  <si>
    <t>ИП ПАРХОМЕНКО ГЕННАДИЙ АНДРЕЕВИЧ</t>
  </si>
  <si>
    <t>ИП КОЖУХАРЬ ИРИНА ВАСИЛЬЕВНА</t>
  </si>
  <si>
    <t>ИП КОРОТЧЕНКО АНТОН АЛЕКСАНДРОВИЧ</t>
  </si>
  <si>
    <t>ООО ЛОТОС</t>
  </si>
  <si>
    <t>679230, ЕВРЕЙСКАЯ АВТОНОМНАЯ ОБЛАСТЬ, Р-Н ОКТЯБРЬСКИЙ, С АМУРЗЕТ, УЛ ДЗЕРЖИНСКОГО, Д.3</t>
  </si>
  <si>
    <t>ИП ЗАХАРОВ СЕРГЕЙ АЛЕКСАНДРОВИЧ</t>
  </si>
  <si>
    <t>ИП Молодкин Александр Павлович</t>
  </si>
  <si>
    <t>ИП ПАРХОМЕНКО ЕЛЕНА ВАСИЛЬЕВНА</t>
  </si>
  <si>
    <t>ИП РОЙТМАН ВЯЧЕСЛАВ МИХАЙЛОВИЧ</t>
  </si>
  <si>
    <t>ИП ВИШНЯКОВА АЛЕКСАНДРА ЕВГЕНЬЕВНА</t>
  </si>
  <si>
    <t>ИП Левков Андрей Андреевич</t>
  </si>
  <si>
    <t>ИП ГАВРИЛОВ АНДРЕЙ МИХАЙЛОВИЧ</t>
  </si>
  <si>
    <t>ИП КИРАСИР АЛЕКСАНДР ФЕДОРОВИЧ</t>
  </si>
  <si>
    <t>679170, ЕВРЕЙСКАЯ АВТОНОМНАЯ ОБЛАСТЬ, Р-Н СМИДОВИЧСКИЙ, П НИКОЛАЕВКА, УЛ ЛИНЕЙНАЯ, ЗД. 7Б</t>
  </si>
  <si>
    <t>ИП ИСТРАТОВ МАКСИМ СЕРГЕЕВИЧ</t>
  </si>
  <si>
    <t>ИП ПИВОВАРОВ ЛЕОНИД АЛЕКСАНДРОВИЧ</t>
  </si>
  <si>
    <t>ИП МЫРЗАТАЕВ ШАМШАРБЕК КУРМАНБЕКОВИЧ</t>
  </si>
  <si>
    <t>ИП КРАСНОПЁРОВ ЕВГЕНИЙ НИКОЛАЕВИЧ</t>
  </si>
  <si>
    <t>Ненецкий автономный округ</t>
  </si>
  <si>
    <t>ООО ДАСС НОРД</t>
  </si>
  <si>
    <t>166004, РОССИЯ, НЕНЕЦКИЙ АВТОНОМНЫЙ ОКРУГ, Г.О. ГОРОД НАРЬЯН-МАР, Г НАРЬЯН-МАР, УЛ РЫБНИКОВ, Д. 1Б, КВ. 9</t>
  </si>
  <si>
    <t>ИП КОВАЛЕВ РОМАН ВИКТОРОВИЧ</t>
  </si>
  <si>
    <t>ИП БЫКОВ КОНСТАНТИН ВЯЧЕСЛАВОВИЧ</t>
  </si>
  <si>
    <t>ИП ЯРУС АНДРЕЙ ГРИГОРЬЕВИЧ</t>
  </si>
  <si>
    <t>ИП КИСЛЯКОВ МАКСИМ НИКОЛАЕВИЧ</t>
  </si>
  <si>
    <t>ИП ПУНЬКО АЛЕКСЕЙ НИКОЛАЕВИЧ</t>
  </si>
  <si>
    <t>ИП АЛПАТОВ ЕВГЕНИЙ НИКОЛАЕВИЧ</t>
  </si>
  <si>
    <t>166000, РОССИЯ, НЕНЕЦКИЙ АВТОНОМНЫЙ ОКРУГ, Г.О. ГОРОД НАРЬЯН-МАР, Г НАРЬЯН-МАР, УЛ ИМ И.П.ВЫУЧЕЙСКОГО, Д. 12, КВ. 48</t>
  </si>
  <si>
    <t>ИП МЕДВЕЖЕВ АЛЕКСАНДР БОРИСОВИЧ</t>
  </si>
  <si>
    <t>Ханты-Мансийский автономный округ - Югра</t>
  </si>
  <si>
    <t>ИП ХУНАФИН МАРАТ РАФИСОВИЧ</t>
  </si>
  <si>
    <t>ИП ИСАКОВ ДМИТРИЙ ВЛАДИМИРОВИЧ</t>
  </si>
  <si>
    <t>ИП МУСТАФИНА РИТА МИДХАТОВНА</t>
  </si>
  <si>
    <t>ООО МАКС-МОТО</t>
  </si>
  <si>
    <t>628406, РОССИЯ, ХАНТЫ-МАНСИЙСКИЙ АВТОНОМНЫЙ ОКРУГ - ЮГРА, Г.О. СУРГУТ, Г СУРГУТ, УЛ БЫСТРИНСКАЯ, Д. 17</t>
  </si>
  <si>
    <t>ИП КОНОПЛЕВ ДЕНИС ВЯЧЕСЛАВОВИЧ</t>
  </si>
  <si>
    <t>ООО ЦЕНТР  СИБТРАНСКОМПЛЕКТАЦИЯ</t>
  </si>
  <si>
    <t>628422, ХАНТЫ-МАНСИЙСКИЙ АВТОНОМНЫЙ ОКРУГ - ЮГРА, Г.О. СУРГУТ, Г СУРГУТ, УЛ ДОМОСТРОИТЕЛЕЙ, Д. 5, ОФИС 313</t>
  </si>
  <si>
    <t>ИП ВЛАДЫКИН ДМИТРИЙ ЛЕОНИДОВИЧ</t>
  </si>
  <si>
    <t>ИП САЖНЕВА НАТАЛЬЯ ВЛАДИМИРОВНА</t>
  </si>
  <si>
    <t>ИП САЧЕК МИХАИЛ ВЯЧЕСЛАВОВИЧ</t>
  </si>
  <si>
    <t>ИП ТЯПУГИН ВЛАДИМИР СЕРГЕЕВИЧ</t>
  </si>
  <si>
    <t>ИП ОСТЯКОВ АРТЕМ ЛЕОНИДОВИЧ</t>
  </si>
  <si>
    <t>ИП СТЕПАНОВА ТАТЬЯНА ОЛЕГОВНА</t>
  </si>
  <si>
    <t>ИП ПЕРШИН ИГОРЬ СЕРГЕЕВИЧ</t>
  </si>
  <si>
    <t>ИП ЧЕСЕБИЕВ ЗАУР МУХАМЕДОВИЧ</t>
  </si>
  <si>
    <t>ИП ГАТАТДИНОВА ЛИЛИЯ РУСТАМОВНА</t>
  </si>
  <si>
    <t>ИП АЗАРЬЯНЦ ВАЧЕГАН СЕРГЕЕВИЧ</t>
  </si>
  <si>
    <t>ИП КУСТОВ ВЛАДИСЛАВ ВЛАДИМИРОВИЧ</t>
  </si>
  <si>
    <t>ИП ХАЛДИН АЛЕКСАНДР ВАЛЕРЬЕВИЧ</t>
  </si>
  <si>
    <t>ИП СОРОКИН АЛЕКСЕЙ АЛЕКСАНДРОВИЧ</t>
  </si>
  <si>
    <t>ИП ГИЛЬМАНОВ КИРИЛЛ РИНАТОВИЧ</t>
  </si>
  <si>
    <t>ИП НАУМОВА АННА ВАЛЕРЬЕВНА</t>
  </si>
  <si>
    <t>ИП ОРЛЕНКО КОНСТАНТИН ОЛЕГОВИЧ</t>
  </si>
  <si>
    <t>ИП ДЬЯКОВА ЕВГЕНИЯ ВАСИЛЬЕВНА</t>
  </si>
  <si>
    <t>ИП ВАЗЕМ НАТАЛЬЯ ВЛАДИМИРОВНА</t>
  </si>
  <si>
    <t>ИП САЛМИН НИКОЛАЙ АНАТОЛЬЕВИЧ</t>
  </si>
  <si>
    <t>ИП БАЛТАГА АНДРЕЙ ИВАНОВИЧ</t>
  </si>
  <si>
    <t>ООО ЮГРААВТОТРАНССЕРВИС</t>
  </si>
  <si>
    <t>628007, ХАНТЫ-МАНСИЙСКИЙ АВТОНОМНЫЙ ОКРУГ - ЮГРА, Г ХАНТЫ-МАНСИЙСК, УЛ КРАСНОАРМЕЙСКАЯ, Д.27</t>
  </si>
  <si>
    <t>628011, ХАНТЫ-МАНСИЙСКИЙ АВТОНОМНЫЙ ОКРУГ - ЮГРА, Г ХАНТЫ-МАНСИЙСК, УЛ ОКТЯБРЬСКАЯ, Д. 20</t>
  </si>
  <si>
    <t>ООО МИДИАН</t>
  </si>
  <si>
    <t>628011, РОССИЯ, ХАНТЫ-МАНСИЙСКИЙ АВТОНОМНЫЙ ОКРУГ - ЮГРА, Г.О. ХАНТЫ-МАНСИЙСК, Г ХАНТЫ-МАНСИЙСК, УЛ ЭНГЕЛЬСА, Д. 12, КВ. 15</t>
  </si>
  <si>
    <t>ИП ПОНОМАРЕВА ВИКТОРИЯ БОРИСОВНА</t>
  </si>
  <si>
    <t>ООО СЕРВИС-КЛАССИК</t>
  </si>
  <si>
    <t>628401, ХАНТЫ-МАНСИЙСКИЙ АВТОНОМНЫЙ ОКРУГ - ЮГРА, Г СУРГУТ, УЛ ЮГОРСКАЯ, Д. 38, КВ. 32</t>
  </si>
  <si>
    <t>ООО ГАЗ СЕРВИС</t>
  </si>
  <si>
    <t>628482, ХАНТЫ-МАНСИЙСКИЙ АВТОНОМНЫЙ ОКРУГ - ЮГРА, Г КОГАЛЫМ, ПЕР ВОЛЖСКИЙ, ВЛД. 4</t>
  </si>
  <si>
    <t>ЗАО СИБКАР</t>
  </si>
  <si>
    <t>628412, ХАНТЫ-МАНСИЙСКИЙ АВТОНОМНЫЙ ОКРУГ - ЮГРА, Г.О. СУРГУТ, Г СУРГУТ, ПР-КТ НАБЕРЕЖНЫЙ, ЗД. 7/1</t>
  </si>
  <si>
    <t>ООО АВТОМАСЛА +</t>
  </si>
  <si>
    <t>628426, ХАНТЫ-МАНСИЙСКИЙ АВТОНОМНЫЙ ОКРУГ - ЮГРА, Г СУРГУТ, УЛ ТЕХНОЛОГИЧЕСКАЯ, Д.7/1</t>
  </si>
  <si>
    <t>ИП ЖИВКА ОЛЬГА АЛЕКСАНДРОВНА</t>
  </si>
  <si>
    <t>ООО НОВОТЕХ-МБ</t>
  </si>
  <si>
    <t>628412, ХАНТЫ-МАНСИЙСКИЙ АВТОНОМНЫЙ ОКРУГ - ЮГРА, Г СУРГУТ, ТРАКТ ЮГОРСКИЙ, Д. 36</t>
  </si>
  <si>
    <t>ООО ЗАПЧАСТИ МИРА</t>
  </si>
  <si>
    <t>628407, ХАНТЫ-МАНСИЙСКИЙ АВТОНОМНЫЙ ОКРУГ - ЮГРА, Г СУРГУТ, УЛ ИНДУСТРИАЛЬНАЯ, Д. 38, СООРУЖЕНИЕ 15</t>
  </si>
  <si>
    <t>628406, ХАНТЫ-МАНСИЙСКИЙ АВТОНОМНЫЙ ОКРУГ - ЮГРА, Г СУРГУТ, УЛ 30 ЛЕТ ПОБЕДЫ, ЗД. 47/2</t>
  </si>
  <si>
    <t>ООО АВТОТЕХНИКА</t>
  </si>
  <si>
    <t>628405, ХАНТЫ-МАНСИЙСКИЙ АВТОНОМНЫЙ ОКРУГ - ЮГРА, Г СУРГУТ, УЛ ЮГОРСКАЯ, Д. 3, К. А</t>
  </si>
  <si>
    <t>628406, ХАНТЫ-МАНСИЙСКИЙ АВТОНОМНЫЙ ОКРУГ - ЮГРА, Г.О. СУРГУТ, Г СУРГУТ, Ш НЕФТЕЮГАНСКОЕ, Д. 44</t>
  </si>
  <si>
    <t>ИП ХРАМЦОВА СВЕТЛАНА ВИКТОРОВНА</t>
  </si>
  <si>
    <t>628401, ХАНТЫ-МАНСИЙСКИЙ АВТОНОМНЫЙ ОКРУГ - ЮГРА, Г СУРГУТ, УЛ СОСНОВАЯ, Д. 74, ОФИС 203</t>
  </si>
  <si>
    <t>ООО АРТ-АВТО</t>
  </si>
  <si>
    <t>628426, ХАНТЫ-МАНСИЙСКИЙ АВТОНОМНЫЙ ОКРУГ - ЮГРА, Г.О. СУРГУТ, Г СУРГУТ, УЛ ПРОФСОЮЗОВ, Д. 62, СООР. 2</t>
  </si>
  <si>
    <t>ООО ПАРК САЙД ИНН</t>
  </si>
  <si>
    <t>628417, ХАНТЫ-МАНСИЙСКИЙ АВТОНОМНЫЙ ОКРУГ - ЮГРА, Г СУРГУТ, ПР-КТ ЛЕНИНА, Д. 25, КВ. 9А</t>
  </si>
  <si>
    <t>ООО ЛИС-ГРУПП</t>
  </si>
  <si>
    <t>628405, РОССИЯ, ХАНТЫ-МАНСИЙСКИЙ АВТОНОМНЫЙ ОКРУГ - ЮГРА, Г.О. СУРГУТ, Г СУРГУТ, ПР-КТ КОМСОМОЛЬСКИЙ, Д. 19, КВ. 150</t>
  </si>
  <si>
    <t>ИП ХУСАИНОВ АРТУР МУНИРОВИЧ</t>
  </si>
  <si>
    <t>ИП КОВАЛЬЧУК ЮЛИЯ СЕРГЕЕВНА</t>
  </si>
  <si>
    <t>ООО ПОЛЯРЬЕ</t>
  </si>
  <si>
    <t>628609, ХАНТЫ-МАНСИЙСКИЙ АВТОНОМНЫЙ ОКРУГ - ЮГРА, Г НИЖНЕВАРТОВСК, УЛ КУЗОВАТКИНА, Д. 35</t>
  </si>
  <si>
    <t>ООО ЭКСПРОМ - СЕРВИС</t>
  </si>
  <si>
    <t>628600, ХАНТЫ-МАНСИЙСКИЙ АВТОНОМНЫЙ ОКРУГ - ЮГРА, Г НИЖНЕВАРТОВСК, УЛ ИНТЕРНАЦИОНАЛЬНАЯ, Д.10 П</t>
  </si>
  <si>
    <t>ООО ТЕХ-АС</t>
  </si>
  <si>
    <t>РОССИЯ, ХАНТЫ-МАНСИЙСКИЙ АВТОНОМНЫЙ ОКРУГ - ЮГРА, Г.О. НИЖНЕВАРТОВСК, Г НИЖНЕВАРТОВСК, УЛ АВИАТОРОВ, ЗД. 2В, СТР. 1</t>
  </si>
  <si>
    <t>ООО АВТОАГРЕГАТЦЕНТР</t>
  </si>
  <si>
    <t>628606, ХАНТЫ-МАНСИЙСКИЙ АВТОНОМНЫЙ ОКРУГ - ЮГРА, Г.О. НИЖНЕВАРТОВСК, Г НИЖНЕВАРТОВСК, УЛ ИНТЕРНАЦИОНАЛЬНАЯ, ЗД. 5/П, СТР. 5</t>
  </si>
  <si>
    <t>ИП КАВЕРИНА ОЛЬГА ЮРЬЕВНА</t>
  </si>
  <si>
    <t>ИП ЮМАГУЗИНА ВАЛЕНТИНА АЛЕКСАНДРОВНА</t>
  </si>
  <si>
    <t>ИП ГОТОВЧИЦ ВИКТОР ВИКЕНТЬЕВИЧ</t>
  </si>
  <si>
    <t>ООО ЕРМАКАВТО</t>
  </si>
  <si>
    <t>628616, ХАНТЫ-МАНСИЙСКИЙ АВТОНОМНЫЙ ОКРУГ - ЮГРА, Г НИЖНЕВАРТОВСК, УЛ 9П, Д.4, К.3, ПАНЕЛЬ 10</t>
  </si>
  <si>
    <t>ИП ЗИПЕНКОВА ВЛАДА ВЛАДИМИРОВНА</t>
  </si>
  <si>
    <t>ООО СНЕГСЕРВИСАВТО</t>
  </si>
  <si>
    <t>628011, РОССИЯ, ХАНТЫ-МАНСИЙСКИЙ АВТОНОМНЫЙ ОКРУГ - ЮГРА, Г.О. ХАНТЫ-МАНСИЙСК, Г ХАНТЫ-МАНСИЙСК, УЛ КАРЛА МАРКСА, ЗД. 46</t>
  </si>
  <si>
    <t>ООО ТЕРОНОВА</t>
  </si>
  <si>
    <t>628616, РОССИЯ, ХАНТЫ-МАНСИЙСКИЙ АВТОНОМНЫЙ ОКРУГ - ЮГРА, Г.О. НИЖНЕВАРТОВСК, Г НИЖНЕВАРТОВСК, УЛ ИНДУСТРИАЛЬНАЯ, ЗД. 36, СТР. 7, ОФИС 2</t>
  </si>
  <si>
    <t>ООО КОСМА ОЙЛ</t>
  </si>
  <si>
    <t>628606, РОССИЯ, ХАНТЫ-МАНСИЙСКИЙ АВТОНОМНЫЙ ОКРУГ - ЮГРА, Г.О. НИЖНЕВАРТОВСК, Г НИЖНЕВАРТОВСК, УЛ ЛЕНИНА, ЗД. 3/П, СТР. 4</t>
  </si>
  <si>
    <t>ООО ГИСВАРТ</t>
  </si>
  <si>
    <t>ООО ФИКС</t>
  </si>
  <si>
    <t>628616, РОССИЯ, ХАНТЫ-МАНСИЙСКИЙ АВТОНОМНЫЙ ОКРУГ - ЮГРА, Г.О. НИЖНЕВАРТОВСК, Г НИЖНЕВАРТОВСК, УЛ МИРА, Д. 7, КВ. 31</t>
  </si>
  <si>
    <t>ООО АЛЕКСД-ГРУПП</t>
  </si>
  <si>
    <t>628606, РОССИЯ, ХАНТЫ-МАНСИЙСКИЙ АВТОНОМНЫЙ ОКРУГ - ЮГРА, Г.О. НИЖНЕВАРТОВСК, Г НИЖНЕВАРТОВСК, УЛ КУЗОВАТКИНА, ЗД. 5, СТР. 8, ЭТАЖ 3, КАБИНЕТ 304</t>
  </si>
  <si>
    <t>ИП ЗАКРИЕВ МАНСУР ШАМХАНОВИЧ</t>
  </si>
  <si>
    <t>ИП УЗЮМА АНДРЕЙ АНАТОЛЬЕВИЧ</t>
  </si>
  <si>
    <t>ООО НЕГОЦИАНТ</t>
  </si>
  <si>
    <t>628300, ХАНТЫ-МАНСИЙСКИЙ АВТОНОМНЫЙ ОКРУГ - ЮГРА, Г НЕФТЕЮГАНСК, УЛ ПАРКОВАЯ, ПАВ. 4/9</t>
  </si>
  <si>
    <t>ИП ШАНГИН АНДРЕЙ АЛЕКСАНДРОВИЧ</t>
  </si>
  <si>
    <t>ООО НБАГРУПП</t>
  </si>
  <si>
    <t>628305, ХАНТЫ-МАНСИЙСКИЙ АВТОНОМНЫЙ ОКРУГ - ЮГРА, Г НЕФТЕЮГАНСК, ПР-Д 5П, СТР. 8А, Г-Ж 3А</t>
  </si>
  <si>
    <t>ИП ВАЙДА ЕКАТЕРИНА МИХАЙЛОВНА</t>
  </si>
  <si>
    <t>628680, ХАНТЫ-МАНСИЙСКИЙ АВТОНОМНЫЙ ОКРУГ - ЮГРА, Г МЕГИОН, ТЕР ПГК КОЛЕСО, ГАРАЖ 81</t>
  </si>
  <si>
    <t>ИП НИКИШИН АЛЕКСЕЙ НИКОЛАЕВИЧ</t>
  </si>
  <si>
    <t>ООО РОСА</t>
  </si>
  <si>
    <t>628284, ХАНТЫ-МАНСИЙСКИЙ АВТОНОМНЫЙ ОКРУГ - ЮГРА, Г УРАЙ, УЛ ЭНТУЗИАСТОВ, Д.12</t>
  </si>
  <si>
    <t>628285, ХАНТЫ-МАНСИЙСКИЙ АВТОНОМНЫЙ ОКРУГ - ЮГРА, Г.О. УРАЙ, Г УРАЙ, ПРОЕЗД 1-Й ПОДЪЕЗД 28, СТР. 4</t>
  </si>
  <si>
    <t>ИП Болгов Александр Дмитриевич</t>
  </si>
  <si>
    <t>ИП КАНАТОВА АНЖЕЛИКА АНДРЕЕВНА</t>
  </si>
  <si>
    <t>ИП КУДРЯВЦЕВ ДМИТРИЙ ВИКТОРОВИЧ</t>
  </si>
  <si>
    <t>ИП Юсифли Джавид Джабир оглы</t>
  </si>
  <si>
    <t>ООО АК ЮГРА</t>
  </si>
  <si>
    <t>628011, РОССИЯ, ХАНТЫ-МАНСИЙСКИЙ АВТОНОМНЫЙ ОКРУГ - ЮГРА, Г.О. ХАНТЫ-МАНСИЙСК, Г ХАНТЫ-МАНСИЙСК, УЛ СВЕТЛАЯ, Д. 67, КВ. 91</t>
  </si>
  <si>
    <t>ИП СОЛОГУБ ВЛАДИМИР АЛЕКСАНДРОВИЧ</t>
  </si>
  <si>
    <t>ИП СЛИВНИЦЫН ВЛАДИСЛАВ НИКОЛАЕВИЧ</t>
  </si>
  <si>
    <t>ИП ДУБОВ ВАЛЕРИЙ АЛЕКСАНДРОВИЧ</t>
  </si>
  <si>
    <t>ИП АЛЬШИН МАРАТ ШАМИЛЬЕВИЧ</t>
  </si>
  <si>
    <t>ИП АХМЕТОВ ТАЛГАТ МУНИРОВИЧ</t>
  </si>
  <si>
    <t>ООО СТРОЙМАШДЕТАЛЬ</t>
  </si>
  <si>
    <t>628407, ХАНТЫ-МАНСИЙСКИЙ АВТОНОМНЫЙ ОКРУГ - ЮГРА, Г СУРГУТ, УЛ ИНДУСТРИАЛЬНАЯ, ВЛД. 38, СООР. 1</t>
  </si>
  <si>
    <t>ООО СИБИРЬАВТОТРАНС</t>
  </si>
  <si>
    <t>628405, ХАНТЫ-МАНСИЙСКИЙ АВТОНОМНЫЙ ОКРУГ - ЮГРА, Г СУРГУТ, УЛ ГЕОЛОГИЧЕСКАЯ, Д. 22, ОФИС 2/1</t>
  </si>
  <si>
    <t>ООО АВТО МАКСИМУМ</t>
  </si>
  <si>
    <t>628415, ХАНТЫ-МАНСИЙСКИЙ АВТОНОМНЫЙ ОКРУГ - ЮГРА, Г СУРГУТ, УЛ ПРОФСОЮЗОВ, ЗД. 9</t>
  </si>
  <si>
    <t>ИП БЫКОС НАТАЛЬЯ ВЛАДИМИРОВНА</t>
  </si>
  <si>
    <t>ООО КРАЗУРАЛКОМПЛЕКТ</t>
  </si>
  <si>
    <t>628412, ХАНТЫ-МАНСИЙСКИЙ АВТОНОМНЫЙ ОКРУГ - ЮГРА, Г СУРГУТ, УЛ РЕСПУБЛИКИ, Д. 83, 24</t>
  </si>
  <si>
    <t>628416, ХАНТЫ-МАНСИЙСКИЙ АВТОНОМНЫЙ ОКРУГ - ЮГРА, Г СУРГУТ, ПР-КТ ЛЕНИНА, Д.54, 191</t>
  </si>
  <si>
    <t>ООО НОВОТЕХ-СЕРВИС</t>
  </si>
  <si>
    <t>628401, ХАНТЫ-МАНСИЙСКИЙ АВТОНОМНЫЙ ОКРУГ - ЮГРА, Г СУРГУТ, УЛ СОСНОВАЯ, Д. 35</t>
  </si>
  <si>
    <t>ИП УСТЮГОВ АЛЕКСАНДР ВИКТОРОВИЧ</t>
  </si>
  <si>
    <t>ООО СК-МОТОРС ПРЕМИУМ</t>
  </si>
  <si>
    <t>628415, ХАНТЫ-МАНСИЙСКИЙ АВТОНОМНЫЙ ОКРУГ - ЮГРА, Г СУРГУТ, УЛ ПРОФСОЮЗОВ, Д. 1/3</t>
  </si>
  <si>
    <t>ООО ЭЛИОС</t>
  </si>
  <si>
    <t>628406, ХАНТЫ-МАНСИЙСКИЙ АВТОНОМНЫЙ ОКРУГ - ЮГРА, Г СУРГУТ, Ш НЕФТЕЮГАНСКОЕ, Д.62, 208</t>
  </si>
  <si>
    <t>628400, ХАНТЫ-МАНСИЙСКИЙ АВТОНОМНЫЙ ОКРУГ - ЮГРА, Г СУРГУТ, Ш НЕФТЕЮГАНСКОЕ, Д. 26, ОФИС 3</t>
  </si>
  <si>
    <t>ООО ЮГРАПОДШИПНИК</t>
  </si>
  <si>
    <t>628401, ХАНТЫ-МАНСИЙСКИЙ АВТОНОМНЫЙ ОКРУГ - ЮГРА, Г СУРГУТ, УЛ СОСНОВАЯ, Д. 23</t>
  </si>
  <si>
    <t>ИП САВЧЕНКО РОМАН БОРИСОВИЧ</t>
  </si>
  <si>
    <t>628418, ХАНТЫ-МАНСИЙСКИЙ АВТОНОМНЫЙ ОКРУГ - ЮГРА, Г СУРГУТ, УЛ ИНДУСТРИАЛЬНАЯ, Д. 25/2</t>
  </si>
  <si>
    <t>ООО ЭСТИМ</t>
  </si>
  <si>
    <t>628403, ХАНТЫ-МАНСИЙСКИЙ АВТОНОМНЫЙ ОКРУГ - ЮГРА, Г СУРГУТ, УЛ УНИВЕРСИТЕТСКАЯ, Д. 5, КВ. 133</t>
  </si>
  <si>
    <t>628403, ХАНТЫ-МАНСИЙСКИЙ АВТОНОМНЫЙ ОКРУГ - ЮГРА, Г СУРГУТ, УЛ МАЯКОВСКОГО, Д. 14, КАБИНЕТ 23</t>
  </si>
  <si>
    <t>ООО ДЕЛОТРАК</t>
  </si>
  <si>
    <t>628426, ХАНТЫ-МАНСИЙСКИЙ АВТОНОМНЫЙ ОКРУГ - ЮГРА, Г СУРГУТ, УЛ ПРОИЗВОДСТВЕННАЯ, Д. 6</t>
  </si>
  <si>
    <t>ООО ТОРГОВЫЙ МИР</t>
  </si>
  <si>
    <t>628426, ХАНТЫ-МАНСИЙСКИЙ АВТОНОМНЫЙ ОКРУГ - ЮГРА, Г СУРГУТ, УЛ БАЗОВАЯ, Д. 15/1</t>
  </si>
  <si>
    <t>ООО ХАРТ</t>
  </si>
  <si>
    <t>628422, РОССИЯ, ХАНТЫ-МАНСИЙСКИЙ АВТОНОМНЫЙ ОКРУГ - ЮГРА, Г.О. СУРГУТ, Г СУРГУТ, УЛ АЭРОФЛОТСКАЯ, ЗД. 5/2, ПОМЕЩ. 1</t>
  </si>
  <si>
    <t>ОБЩЕСТВО С ОГРАНИЧЕННОЙ ОТВЕТСТВЕННОСТЬЮ БЕСТОЙЛ-ГРУПП</t>
  </si>
  <si>
    <t>628406, РОССИЯ, ХАНТЫ-МАНСИЙСКИЙ АВТОНОМНЫЙ ОКРУГ - ЮГРА, Г.О. СУРГУТ, Г СУРГУТ, УЛ ПИОНЕРНАЯ, Д. 7, ПОМЕЩ. 2</t>
  </si>
  <si>
    <t>ООО ДРАЙВ-МОТО</t>
  </si>
  <si>
    <t>628406, РОССИЯ, ХАНТЫ-МАНСИЙСКИЙ АВТОНОМНЫЙ ОКРУГ - ЮГРА, Г.О. СУРГУТ, Г СУРГУТ, УЛ БЫСТРИНСКАЯ, Д. 20, ПОМЕЩ. 13</t>
  </si>
  <si>
    <t>ИП ГНИТЕЦКАЯ МАРИНА НИКОЛАЕВНА</t>
  </si>
  <si>
    <t>ИП АРАПКО ЕЛЕНА ВЛАДИМИРОВНА</t>
  </si>
  <si>
    <t>ИП КАСЬЯНОВ ИЛЬЯ СЕРГЕЕВИЧ</t>
  </si>
  <si>
    <t>ИП ЖИРНОВ ВЛАДИМИР ВАСИЛЬЕВИЧ</t>
  </si>
  <si>
    <t>ООО ГУДВИЛ И К</t>
  </si>
  <si>
    <t>628613, ХАНТЫ-МАНСИЙСКИЙ АВТОНОМНЫЙ ОКРУГ - ЮГРА, Г НИЖНЕВАРТОВСК, УЛ АВИАТОРОВ, Д. 16, ОФИС 47</t>
  </si>
  <si>
    <t>ООО ВЕСТ-ОЙЛ ПЛЮС</t>
  </si>
  <si>
    <t>628616, ХАНТЫ-МАНСИЙСКИЙ АВТОНОМНЫЙ ОКРУГ - ЮГРА, Г НИЖНЕВАРТОВСК, УЛ КУЗОВАТКИНА, ЗД. 27, ОФИС 33</t>
  </si>
  <si>
    <t>ООО ЦЕНТРТРАК</t>
  </si>
  <si>
    <t>628616, ХАНТЫ-МАНСИЙСКИЙ АВТОНОМНЫЙ ОКРУГ - ЮГРА, Г НИЖНЕВАРТОВСК, УЛ ИНДУСТРИАЛЬНАЯ, ЗД. 36, СТР. 7</t>
  </si>
  <si>
    <t>ИП АФРАСОВ АНАТОЛИЙ АФРАСОВИЧ</t>
  </si>
  <si>
    <t>ООО ОКИС-С</t>
  </si>
  <si>
    <t>628616, ХАНТЫ-МАНСИЙСКИЙ АВТОНОМНЫЙ ОКРУГ - ЮГРА, Г.О. НИЖНЕВАРТОВСК, Г НИЖНЕВАРТОВСК, УЛ ЛЕНИНА, ЗД. 3А/П</t>
  </si>
  <si>
    <t>ООО ПИКО</t>
  </si>
  <si>
    <t>628600, ХАНТЫ-МАНСИЙСКИЙ АВТОНОМНЫЙ ОКРУГ - ЮГРА, Г НИЖНЕВАРТОВСК, УЛ СЕВЕРНАЯ, Д. 39, СТР. 20</t>
  </si>
  <si>
    <t>ООО ЗСК</t>
  </si>
  <si>
    <t>ХАНТЫ-МАНСИЙСКИЙ АВТОНОМНЫЙ ОКРУГ - ЮГРА, Г.О. НИЖНЕВАРТОВСК, Г НИЖНЕВАРТОВСК, УЛ 2П-2, ЗД. 44, ПОМЕЩ. 5</t>
  </si>
  <si>
    <t>628616, ХАНТЫ-МАНСИЙСКИЙ АВТОНОМНЫЙ ОКРУГ - ЮГРА, Г.О. НИЖНЕВАРТОВСК, Г НИЖНЕВАРТОВСК, УЛ 9П, ЗД. 10</t>
  </si>
  <si>
    <t>ООО СТИЛЬАВТО</t>
  </si>
  <si>
    <t>РОССИЯ, ХАНТЫ-МАНСИЙСКИЙ АВТОНОМНЫЙ ОКРУГ - ЮГРА, Г.О. НИЖНЕВАРТОВСК, Г НИЖНЕВАРТОВСК, УЛ СЕВЕРНАЯ, ЗД. 33, СТР. 7</t>
  </si>
  <si>
    <t>ИП КАРЛЮК ЕВГЕНИЙ ФЕДОРОВИЧ</t>
  </si>
  <si>
    <t>ООО ДИЗЕЛЬСЕРВИС</t>
  </si>
  <si>
    <t>628305, ХАНТЫ-МАНСИЙСКИЙ АВТОНОМНЫЙ ОКРУГ - ЮГРА, Г НЕФТЕЮГАНСК, НП ПРОМЫШЛЕННАЯ ЗОНА ПИОНЕРНАЯ, УЛ ПРОЕЗД 5П</t>
  </si>
  <si>
    <t>ООО НПС</t>
  </si>
  <si>
    <t>628305, ХАНТЫ-МАНСИЙСКИЙ АВТОНОМНЫЙ ОКРУГ - ЮГРА, Г НЕФТЕЮГАНСК, УЛ СУРГУТСКАЯ, Д. 1, КАБИНЕТ 309</t>
  </si>
  <si>
    <t>ООО НБАГРУПП АР</t>
  </si>
  <si>
    <t>628305, РОССИЯ, ХАНТЫ-МАНСИЙСКИЙ АВТОНОМНЫЙ ОКРУГ - ЮГРА, Г.О. НЕФТЕЮГАНСК, Г НЕФТЕЮГАНСК, ПРОЕЗД 5П, СТР. 8В</t>
  </si>
  <si>
    <t>ООО ФИЛЬТРАВТОРЕСУРСТЕХНИКА</t>
  </si>
  <si>
    <t>628301, РОССИЯ, ХАНТЫ-МАНСИЙСКИЙ АВТОНОМНЫЙ ОКРУГ - ЮГРА, Г.О. НЕФТЕЮГАНСК, Г НЕФТЕЮГАНСК, УЛ ПАРКОВАЯ, СТР. 6/7А, ОФИС 23</t>
  </si>
  <si>
    <t>ИП ПОДЖЕЛЯС МАРИЯ ВАСИЛЬЕВНА</t>
  </si>
  <si>
    <t>ИП КУЛАКОВ ЮРИЙ ВЯЧЕСЛАВОВИЧ</t>
  </si>
  <si>
    <t>628680, ХАНТЫ-МАНСИЙСКИЙ АВТОНОМНЫЙ ОКРУГ - ЮГРА, Г МЕГИОН, УЛ БЕРЕГОВАЯ, Д. 5</t>
  </si>
  <si>
    <t>ИП Усманов Вадим Фанисович</t>
  </si>
  <si>
    <t>ИП ШОКУРОВ МАКСИМ ИВАНОВИЧ</t>
  </si>
  <si>
    <t>ИП СУХИНА АНДРЕЙ ИВАНОВИЧ</t>
  </si>
  <si>
    <t>ИП МАГЕРРАМОВ ФАЗИЛЬ АЛИ ОГЛЫ</t>
  </si>
  <si>
    <t>ИП ХАСАНОВ НАСИМЖОН РАХИМДЖОНОВИЧ</t>
  </si>
  <si>
    <t>ООО ПНП</t>
  </si>
  <si>
    <t>628181, ХАНТЫ-МАНСИЙСКИЙ АВТОНОМНЫЙ ОКРУГ - ЮГРА, Г НЯГАНЬ, МКР 4, Д. 13, КВ. 129</t>
  </si>
  <si>
    <t>ООО АЗС-СТК</t>
  </si>
  <si>
    <t>628186, ХАНТЫ-МАНСИЙСКИЙ АВТОНОМНЫЙ ОКРУГ - ЮГРА, Г НЯГАНЬ, УЛ СИБИРСКАЯ, ВЛД. 9</t>
  </si>
  <si>
    <t>ИП Мелехин Максим Владимирович</t>
  </si>
  <si>
    <t>ИП ШТЕНГАУР МАКСИМ ВЛАДИМИРОВИЧ</t>
  </si>
  <si>
    <t>ИП РАСПОНОМАРЕВА ЕЛЕНА МИНСЯМИЛЬЕВНА</t>
  </si>
  <si>
    <t>ИП ШУКЛИН ВЯЧЕСЛАВ АНАТОЛЬЕВИЧ</t>
  </si>
  <si>
    <t>ИП ШУКЛИН АНАТОЛИЙ ПЕТРОВИЧ</t>
  </si>
  <si>
    <t>ИП УЙКО КОНСТАНТИН ВЛАДИМИРОВИЧ</t>
  </si>
  <si>
    <t>ООО ЕВРОСТАНДАРТ</t>
  </si>
  <si>
    <t>628007, ХАНТЫ-МАНСИЙСКИЙ АВТОНОМНЫЙ ОКРУГ - ЮГРА, Г ХАНТЫ-МАНСИЙСК, УЛ ПАТРИСА ЛУМУМБЫ, Д.11, -, -</t>
  </si>
  <si>
    <t>ИП КУТЛИН ВЛАДИМИР ВЛАДИМИРОВИЧ</t>
  </si>
  <si>
    <t>ИП МЕДВЕДЕВ АЛЕКСАНДР ОЛЕГОВИЧ</t>
  </si>
  <si>
    <t>ООО ИНП</t>
  </si>
  <si>
    <t>628011, РОССИЯ, ХАНТЫ-МАНСИЙСКИЙ АВТОНОМНЫЙ ОКРУГ - ЮГРА, Г.О. ХАНТЫ-МАНСИЙСК, Г ХАНТЫ-МАНСИЙСК, УЛ КОМСОМОЛЬСКАЯ, Д. 29, ОФИС 3</t>
  </si>
  <si>
    <t>ИП ГАРЬКАВЧЕНКО АНАТОЛИЙ ВИКТОРОВИЧ</t>
  </si>
  <si>
    <t>ИП Бондарь Борис Григорьевич</t>
  </si>
  <si>
    <t>ИП Харченко Дмитрий Леонидович</t>
  </si>
  <si>
    <t>ООО ПКФ РЕМЭКС</t>
  </si>
  <si>
    <t>628401, ХАНТЫ-МАНСИЙСКИЙ АВТОНОМНЫЙ ОКРУГ - ЮГРА, Г СУРГУТ, УЛ РАЦИОНАЛИЗАТОРОВ, ЗД. 14</t>
  </si>
  <si>
    <t>ООО ХАРМИ</t>
  </si>
  <si>
    <t>628422, ХАНТЫ-МАНСИЙСКИЙ АВТОНОМНЫЙ ОКРУГ - ЮГРА, Г.О. СУРГУТ, Г СУРГУТ, ЗАЕЗД АНДРЕЕВСКИЙ, Д. 7, СООР. 1</t>
  </si>
  <si>
    <t>ООО НОВОТЕХ-ТРАК</t>
  </si>
  <si>
    <t>628412, ХАНТЫ-МАНСИЙСКИЙ АВТОНОМНЫЙ ОКРУГ - ЮГРА, Г.О. СУРГУТ, Г СУРГУТ, ТРАКТ ЮГОРСКИЙ, Д. 36, СООР. 1</t>
  </si>
  <si>
    <t>ИП ГЕЛЕВЕРЯ ВАЛЕРИЙ ПЕТРОВИЧ</t>
  </si>
  <si>
    <t>ИП НЕФЕДЬЕВ АНТОН СЕРГЕЕВИЧ</t>
  </si>
  <si>
    <t>ООО ДИАЛ-СЕРВИС</t>
  </si>
  <si>
    <t>628412, ХАНТЫ-МАНСИЙСКИЙ АВТОНОМНЫЙ ОКРУГ - ЮГРА, Г СУРГУТ, УЛ СЕРГЕЯ БЕЗВЕРХОВА, Д. 2</t>
  </si>
  <si>
    <t>ИП ЧИСТЮХИН АЛЕКСАНДР ИГОРЕВИЧ</t>
  </si>
  <si>
    <t>ООО РОКОТ МОТО</t>
  </si>
  <si>
    <t>628406, ХАНТЫ-МАНСИЙСКИЙ АВТОНОМНЫЙ ОКРУГ - ЮГРА, Г СУРГУТ, УЛ БЫСТРИНСКАЯ, Д.23</t>
  </si>
  <si>
    <t>ООО ТЕХТРАНССЕРВИС</t>
  </si>
  <si>
    <t>628407, ХАНТЫ-МАНСИЙСКИЙ АВТОНОМНЫЙ ОКРУГ - ЮГРА, Г СУРГУТ, УЛ ИНДУСТРИАЛЬНАЯ, Д.14</t>
  </si>
  <si>
    <t>ИП ЯРЦЕВ ЕВГЕНИЙ БОРИСОВИЧ</t>
  </si>
  <si>
    <t>ИП МУСТАФИН МАКСИМ АЛЕКСАНДРОВИЧ</t>
  </si>
  <si>
    <t>ИП ГОЛОВНЯ СЕМЕН ЮРЬЕВИЧ</t>
  </si>
  <si>
    <t>ООО ФОРВАРД-АВТО</t>
  </si>
  <si>
    <t>628426, ХАНТЫ-МАНСИЙСКИЙ АВТОНОМНЫЙ ОКРУГ - ЮГРА, Г СУРГУТ, УЛ МАЯКОВСКОГО, Д. 53</t>
  </si>
  <si>
    <t>ИП СЛУТУ ИГОРЬ МИХАЙЛОВИЧ</t>
  </si>
  <si>
    <t>ООО ВОСТОК-ЗАПЧАСТЬ</t>
  </si>
  <si>
    <t>628406, ХАНТЫ-МАНСИЙСКИЙ АВТОНОМНЫЙ ОКРУГ - ЮГРА, Г.О. СУРГУТ, Г СУРГУТ, УЛ БЫСТРИНСКАЯ, Д. 22, КВ. 66</t>
  </si>
  <si>
    <t>ИП КИРИЛЛОВА ЯНА ОЛЕГОВНА</t>
  </si>
  <si>
    <t>ИП ЧУРКИН ДМИТРИЙ МИХАЙЛОВИЧ</t>
  </si>
  <si>
    <t>ООО ОТС</t>
  </si>
  <si>
    <t>628408, ХАНТЫ-МАНСИЙСКИЙ АВТОНОМНЫЙ ОКРУГ - ЮГРА АО, СУРГУТ Г, ГАГАРИНА УЛ, ДОМ 32, КВ 6</t>
  </si>
  <si>
    <t>ООО СЕВЕР ДЕТАЛЬ</t>
  </si>
  <si>
    <t>628406, ХАНТЫ-МАНСИЙСКИЙ АВТОНОМНЫЙ ОКРУГ - ЮГРА, Г.О. СУРГУТ, Г СУРГУТ, Ш НЕФТЕЮГАНСКОЕ, Д. 26, ПОМЕЩ. 1</t>
  </si>
  <si>
    <t>ООО ГЯНДЖА</t>
  </si>
  <si>
    <t>628422, ХАНТЫ-МАНСИЙСКИЙ АВТОНОМНЫЙ ОКРУГ - ЮГРА, Г СУРГУТ, ТЕР ЛЕСНОЙ, Д. 1, КАБ 1</t>
  </si>
  <si>
    <t>628417, ХАНТЫ-МАНСИЙСКИЙ АВТОНОМНЫЙ ОКРУГ - ЮГРА, Г СУРГУТ, ПР-КТ ЛЕНИНА, Д. 33, КВ. 321</t>
  </si>
  <si>
    <t>ООО ТОРГСЕРВИС 86</t>
  </si>
  <si>
    <t>628417, ХАНТЫ-МАНСИЙСКИЙ АВТОНОМНЫЙ ОКРУГ - ЮГРА, Г СУРГУТ, УЛ 50 ЛЕТ ВЛКСМ, Д. 4/2, КАБИНЕТ 5</t>
  </si>
  <si>
    <t>ООО ТИГР</t>
  </si>
  <si>
    <t>628406, ХАНТЫ-МАНСИЙСКИЙ АВТОНОМНЫЙ ОКРУГ - ЮГРА, Г.О. СУРГУТ, Г СУРГУТ, Ш НЕФТЕЮГАНСКОЕ, Д. 56, СООР. 2</t>
  </si>
  <si>
    <t>ООО ИСД-ГРУПП</t>
  </si>
  <si>
    <t>628404, ХАНТЫ-МАНСИЙСКИЙ АВТОНОМНЫЙ ОКРУГ - ЮГРА, Г СУРГУТ, Ш НЕФТЕЮГАНСКОЕ, Д. 56, СООР. 2, ОФИС 206</t>
  </si>
  <si>
    <t>ООО МАРКАВТО</t>
  </si>
  <si>
    <t>628403, РОССИЯ, ХАНТЫ-МАНСИЙСКИЙ АВТОНОМНЫЙ ОКРУГ - ЮГРА, Г.О. СУРГУТ, Г СУРГУТ, УЛ 30 ЛЕТ ПОБЕДЫ, Д. 57, СООР. 2</t>
  </si>
  <si>
    <t>ООО УРАЛЬСКИЙ РЕГИОН</t>
  </si>
  <si>
    <t>628404, РОССИЯ, ХАНТЫ-МАНСИЙСКИЙ АВТОНОМНЫЙ ОКРУГ - ЮГРА, Г.О. СУРГУТ, Г СУРГУТ, ТРАКТ ЮГОРСКИЙ, ЗД. 7/2, ТОРГ.ЗАЛ 2,15</t>
  </si>
  <si>
    <t>ИП ВАСИЛЬЕВ ЕВГЕНИЙ ВАСИЛЬЕВИЧ</t>
  </si>
  <si>
    <t>ООО НТ</t>
  </si>
  <si>
    <t>628401, РОССИЯ, ХАНТЫ-МАНСИЙСКИЙ АВТОНОМНЫЙ ОКРУГ - ЮГРА, Г.О. СУРГУТ, Г СУРГУТ, УЛ СОСНОВАЯ, Д. 3, СООР. 6, ОФИС 9</t>
  </si>
  <si>
    <t>ООО АВТОРАЗМАХ</t>
  </si>
  <si>
    <t>628405, РОССИЯ, ХАНТЫ-МАНСИЙСКИЙ АВТОНОМНЫЙ ОКРУГ - ЮГРА, Г.О. СУРГУТ, Г СУРГУТ, ПР-КТ КОМСОМОЛЬСКИЙ, Д. 21, КВ. 79</t>
  </si>
  <si>
    <t>628405, РОССИЯ, ХАНТЫ-МАНСИЙСКИЙ АВТОНОМНЫЙ ОКРУГ - ЮГРА, Г.О. СУРГУТ, Г СУРГУТ, ПРОЕЗД ПЕРВОПРОХОДЦЕВ, Д. 18, КВ. 43</t>
  </si>
  <si>
    <t>ИП РОВЕНКО ДУМИТРУ</t>
  </si>
  <si>
    <t>ИП ФИЛАТОВ ВИКТОР НИКОЛАЕВИЧ</t>
  </si>
  <si>
    <t>ИП ШАХРАЙ АЛЕКСАНДР ПЕТРОВИЧ</t>
  </si>
  <si>
    <t>ИП АЛЕКСЕЕНКО ВИТАЛИЙ ЮРЬЕВИЧ</t>
  </si>
  <si>
    <t>ИП ПРИМАК ЮРИЙ ЯКОВЛЕВИЧ</t>
  </si>
  <si>
    <t>ООО МИДИ</t>
  </si>
  <si>
    <t>628600, ХАНТЫ-МАНСИЙСКИЙ АВТОНОМНЫЙ ОКРУГ - ЮГРА, Г НИЖНЕВАРТОВСК, УЛ ИНДУСТРИАЛЬНАЯ, Д. 85, СТР. 2, ПОМЕЩ. 1009</t>
  </si>
  <si>
    <t>ООО БЕРКУТ</t>
  </si>
  <si>
    <t>628611, ХАНТЫ-МАНСИЙСКИЙ АВТОНОМНЫЙ ОКРУГ - ЮГРА, Г НИЖНЕВАРТОВСК, УЛ ЛЕНИНА, Д.36, К.А, 27</t>
  </si>
  <si>
    <t>ООО АТАС</t>
  </si>
  <si>
    <t>628606, ХАНТЫ-МАНСИЙСКИЙ АВТОНОМНЫЙ ОКРУГ - ЮГРА, Г.О. НИЖНЕВАРТОВСК, Г НИЖНЕВАРТОВСК, УЛ ИНДУСТРИАЛЬНАЯ, ЗД. 16, СТР. 2, ПОМЕЩ. 1006</t>
  </si>
  <si>
    <t>ИП ПОЛЯКОВ АЛЕКСАНДР ГРИГОРЬЕВИЧ</t>
  </si>
  <si>
    <t>628616, ХАНТЫ-МАНСИЙСКИЙ АВТОНОМНЫЙ ОКРУГ - ЮГРА, Г НИЖНЕВАРТОВСК, УЛ СЕВЕРНАЯ, Д.4/П, СТРОЕНИЕ 1, ПАНЕЛЬ 17</t>
  </si>
  <si>
    <t>ИП НАСЫРОВ АЛМАЗ РАМИЛЕВИЧ</t>
  </si>
  <si>
    <t>ООО РЕСНА</t>
  </si>
  <si>
    <t>628616, ХАНТЫ-МАНСИЙСКИЙ АВТОНОМНЫЙ ОКРУГ - ЮГРА, Г.О. НИЖНЕВАРТОВСК, Г НИЖНЕВАРТОВСК, УЛ АВИАТОРОВ, ЗД. 16, СТР. 1, ПОМЕЩ. 10</t>
  </si>
  <si>
    <t>ИП АКУЛИЧ КОНСТАНТИН МИХАЙЛОВИЧ</t>
  </si>
  <si>
    <t>ООО ДАЛЬНОБОЙЩИК-86</t>
  </si>
  <si>
    <t>628616, ХАНТЫ-МАНСИЙСКИЙ АВТОНОМНЫЙ ОКРУГ - ЮГРА, Г НИЖНЕВАРТОВСК, Б-Р КОМСОМОЛЬСКИЙ, Д. 4, КВ. 24</t>
  </si>
  <si>
    <t>ООО АМК ГРУПП</t>
  </si>
  <si>
    <t>628616, ХАНТЫ-МАНСИЙСКИЙ АВТОНОМНЫЙ ОКРУГ - ЮГРА, Г НИЖНЕВАРТОВСК, УЛ ИНТЕРНАЦИОНАЛЬНАЯ, ЗД. 7/П, КАБИНЕТ 4</t>
  </si>
  <si>
    <t>628616, РОССИЯ, ХАНТЫ-МАНСИЙСКИЙ АВТОНОМНЫЙ ОКРУГ - ЮГРА, Г.О. НИЖНЕВАРТОВСК, Г НИЖНЕВАРТОВСК, УЛ СЕВЕРНАЯ, Д. 11, К. 1, КВ. 41</t>
  </si>
  <si>
    <t>РОССИЯ, ХАНТЫ-МАНСИЙСКИЙ АВТОНОМНЫЙ ОКРУГ - ЮГРА, Г.О. НИЖНЕВАРТОВСК, Г НИЖНЕВАРТОВСК, УЛ ИНДУСТРИАЛЬНАЯ, ЗД. 46Д, ПОМЕЩ. 1</t>
  </si>
  <si>
    <t>ИП КАЗАРИНОВ ТРОФИМ ЮРЬЕВИЧ</t>
  </si>
  <si>
    <t>ИП БЕЛЬСКАЯ АННА ВАЛЕРЬЕВНА</t>
  </si>
  <si>
    <t>ИП Куксенко Владимир Анатольевич</t>
  </si>
  <si>
    <t>ИП ПОДОПЛЕЛОВ ВАСИЛИЙ ЛЕОНИДОВИЧ</t>
  </si>
  <si>
    <t>ИП СТЕПАНОВА ЛЮДМИЛА ПЕТРОВНА</t>
  </si>
  <si>
    <t>ИП ДРОБИЦКИЙ СЕРГЕЙ ДМИТРИЕВИЧ</t>
  </si>
  <si>
    <t>ООО ЮНП</t>
  </si>
  <si>
    <t>628305, ХАНТЫ-МАНСИЙСКИЙ АВТОНОМНЫЙ ОКРУГ - ЮГРА, Г НЕФТЕЮГАНСК, УЛ СУРГУТСКАЯ, Д. 1, КАБИНЕТ 211</t>
  </si>
  <si>
    <t>ИП СОСНОВСКИХ ИРИНА СЕРГЕЕВНА</t>
  </si>
  <si>
    <t>ООО ТЕХНОЛОГИИ БИЗНЕСА</t>
  </si>
  <si>
    <t>628305, ХАНТЫ-МАНСИЙСКИЙ АВТОНОМНЫЙ ОКРУГ - ЮГРА, Г.О. НЕФТЕЮГАНСК, Г НЕФТЕЮГАНСК, МКР. 11В, Д. 10, КВ. 22</t>
  </si>
  <si>
    <t>ООО НИКБЕСТ</t>
  </si>
  <si>
    <t>628305, РОССИЯ, ХАНТЫ-МАНСИЙСКИЙ АВТОНОМНЫЙ ОКРУГ - ЮГРА, Г.О. НЕФТЕЮГАНСК, Г НЕФТЕЮГАНСК, УЛ ЖИЛАЯ, Д. 15/1, ОФИС 1</t>
  </si>
  <si>
    <t>ИП САЙФУТДИНОВ РУСТАМ АЛЬФРЕДОВИЧ</t>
  </si>
  <si>
    <t>ООО ТМА-АВТО</t>
  </si>
  <si>
    <t>628680, РОССИЯ, ХАНТЫ-МАНСИЙСКИЙ АВТОНОМНЫЙ ОКРУГ - ЮГРА, Г.О. МЕГИОН, Г МЕГИОН, ПР-КТ ПОБЕДЫ, Д. 8, КВ. 51</t>
  </si>
  <si>
    <t>ИП ЯЗОВСКИХ ИЛЬЯ СЕРГЕЕВИЧ</t>
  </si>
  <si>
    <t>ИП Печерина Тамара Николаевна</t>
  </si>
  <si>
    <t>ИП МОЙСЕЕВ ВАЛЕНТИН АЛЕКСАНДРОВИЧ</t>
  </si>
  <si>
    <t>ИП Тепсуркаев Адам Алаевич</t>
  </si>
  <si>
    <t>ИП ЗУБАРЕВА АННА НИКОЛАЕВНА</t>
  </si>
  <si>
    <t>ИП Миронов Андрей Анатолиевич</t>
  </si>
  <si>
    <t>ИП КОЧНЕВ ПАВЕЛ СЕРГЕЕВИЧ</t>
  </si>
  <si>
    <t>ИП КРАПИВКА ЕВГЕНИЙ СЕРГЕЕВИЧ</t>
  </si>
  <si>
    <t>ИП Шамилов Каримула Сайпулаевич</t>
  </si>
  <si>
    <t>ИП СЛОБОДЯНЮК АНГЕЛИНА ВЯЧЕСЛАВОВНА</t>
  </si>
  <si>
    <t>ИП ОДНОШОВИН АЛЬБЕРТ НИКОЛАЕВИЧ</t>
  </si>
  <si>
    <t>ИП СВИРИДОВ ВИКТОР МИХАЙЛОВИЧ</t>
  </si>
  <si>
    <t>ИП ЗАХАРЧЕНКО ИЛЬЯ АНАТОЛЬЕВИЧ</t>
  </si>
  <si>
    <t>ИП КОСТАРЕВ АНДРЕЙ ЛЕОНИДОВИЧ</t>
  </si>
  <si>
    <t>ООО БОШ-СЕРВИС</t>
  </si>
  <si>
    <t>628181, ХАНТЫ-МАНСИЙСКИЙ АВТОНОМНЫЙ ОКРУГ - ЮГРА, Г.О. НЯГАНЬ, Г. НЯГАНЬ, МКР. 1, Д. 44, КВ. 44</t>
  </si>
  <si>
    <t>ИП ВОЛОСНЁВА ТАТЬЯНА НИКОЛАЕВНА</t>
  </si>
  <si>
    <t>ИП ТИШКИНА ЛЕЙЛА ЭЛЬДАРОВНА</t>
  </si>
  <si>
    <t>ИП КОТЕНЕВА ИРИНА БОРИСОВНА</t>
  </si>
  <si>
    <t>ИП ГУЛАМОВ ХАЛИД ХАЛЫГ ОГЛЫ</t>
  </si>
  <si>
    <t>ИП МАКСИМОВ БОГДАН ВАДИМОВИЧ</t>
  </si>
  <si>
    <t>628126, ХАНТЫ-МАНСИЙСКИЙ АВТОНОМНЫЙ ОКРУГ - ЮГРА, Р-Н ОКТЯБРЬСКИЙ, ПГТ ПРИОБЬЕ, УЛ ЦЕНТРАЛЬНАЯ, Д. 17</t>
  </si>
  <si>
    <t>ИП ШУЛЬГА МАРСЕЛЬ ВЛАДИМИРОВИЧ</t>
  </si>
  <si>
    <t>ИП Дикунов Андрей Валентинович</t>
  </si>
  <si>
    <t>ИП ВАХРУШЕВА ГАЛИНА НИКОЛАЕВНА</t>
  </si>
  <si>
    <t>ИП Трач Ирина Николаевна</t>
  </si>
  <si>
    <t>ИП Сафронов Андрей Викторович</t>
  </si>
  <si>
    <t>ИП УСОЛЬЦЕВА ОЛЬГА АЛЕКСАНДРОВНА</t>
  </si>
  <si>
    <t>ИП КРАСНОПЕРОВ ЭДУАРД МИХАЙЛОВИЧ</t>
  </si>
  <si>
    <t>ООО ЗАПСИБИНЦЕНТР</t>
  </si>
  <si>
    <t>628422, ХАНТЫ-МАНСИЙСКИЙ АВТОНОМНЫЙ ОКРУГ - ЮГРА, Г СУРГУТ, УЛ ИНДУСТРИАЛЬНАЯ, Д. 25/2, ОФИС 1</t>
  </si>
  <si>
    <t>ИП ЦИБУХ ВАСИЛИЙ БОГДАНОВИЧ</t>
  </si>
  <si>
    <t>ИП БОЙЧУК ПЕТР АНАТОЛЬЕВИЧ</t>
  </si>
  <si>
    <t>ИП Дюбленко Геннадий Николаевич</t>
  </si>
  <si>
    <t>ИП КЛЮКИН ВАЛЕРИЙ ОЛЕГОВИЧ</t>
  </si>
  <si>
    <t>ИП ДИДЕНКО ВЯЧЕСЛАВ ВИКТОРОВИЧ</t>
  </si>
  <si>
    <t>ИП ТРОШИНА ЕЛЕНА АНАТОЛЬЕВНА</t>
  </si>
  <si>
    <t>ИП АДЖИЕВ АРТУР РУСЛАНОВИЧ</t>
  </si>
  <si>
    <t>ИП Немчинова Марина Владимировна</t>
  </si>
  <si>
    <t>ИП БУНЬКОВ СЕРГЕЙ ВЛАДИМИРОВИЧ</t>
  </si>
  <si>
    <t>ИП ШИЯБУТДИНОВ РУСТАМ ИЛЬДУСОВИЧ</t>
  </si>
  <si>
    <t>ИП АХИНА ЯНА НИКОЛАЕВНА</t>
  </si>
  <si>
    <t>ИП ЖУКОВА ОЛЬГА ВИКТОРОВНА</t>
  </si>
  <si>
    <t>ООО ПЕКИН-ЗАПЧАСТЬ</t>
  </si>
  <si>
    <t>628433, РОССИЯ, ХАНТЫ-МАНСИЙСКИЙ АВТОНОМНЫЙ ОКРУГ - ЮГРА, М.Р-Н СУРГУТСКИЙ, ПГТ БЕЛЫЙ ЯР, Г.П. БЕЛЫЙ ЯР, УЛ МАЯКОВСКОГО, Д. 4А, КВ. 55</t>
  </si>
  <si>
    <t>ИП ЕКСИНА ЕЛЕНА ИВАНОВНА</t>
  </si>
  <si>
    <t>ИП ОПАЛЕВ МАКСИМ АЛЕКСЕЕВИЧ</t>
  </si>
  <si>
    <t>АО ПКФ СПЕЦМОНТАЖ-2</t>
  </si>
  <si>
    <t>628609, ХАНТЫ-МАНСИЙСКИЙ АВТОНОМНЫЙ ОКРУГ - ЮГРА, Г НИЖНЕВАРТОВСК, УЛ ИНДУСТРИАЛЬНАЯ, ЗД7СТР1</t>
  </si>
  <si>
    <t>ИП РАСУЛОВА ЭЛЬВИРА УЛЬФАТОВНА</t>
  </si>
  <si>
    <t>ИП МАРТИРОСЯН НАТАЛЬЯ ГЕННАДЬЕВНА</t>
  </si>
  <si>
    <t>ИП ПЕРЕПЕЧИНА ОКСАНА АЛЕКСАНДРОВНА</t>
  </si>
  <si>
    <t>ООО МАКС-АВТО</t>
  </si>
  <si>
    <t>628256, ХАНТЫ-МАНСИЙСКИЙ АВТОНОМНЫЙ ОКРУГ - ЮГРА, Р-Н СОВЕТСКИЙ, ПГТ КОММУНИСТИЧЕСКИЙ, УЛ ТЮМЕНСКАЯ, Д. 1, КВ. 2</t>
  </si>
  <si>
    <t>ИП МЕНЬШИХ ДЕНИС СЕРГЕЕВИЧ</t>
  </si>
  <si>
    <t>ИП ДИДЕНКО АЛЕКСАНДР ВЯЧЕСЛАВОВИЧ</t>
  </si>
  <si>
    <t>ИП ПАЛАМАР ДАНИИЛ АЛЕКСАНДРОВИЧ</t>
  </si>
  <si>
    <t>ИП БЛАЖКО ВЛАДИМИР ВЛАДИМИРОВИЧ</t>
  </si>
  <si>
    <t>ИП БУНАС ТАМАРА АЛЕКСАНДРОВНА</t>
  </si>
  <si>
    <t>ИП БАЖЕНОВ МАКСИМ ДМИТРИЕВИЧ</t>
  </si>
  <si>
    <t>ИП Петренко Владимир Петрович</t>
  </si>
  <si>
    <t>628482, ХАНТЫ-МАНСИЙСКИЙ АВТОНОМНЫЙ ОКРУГ - ЮГРА, Г КОГАЛЫМ, ПЕР ВОЛЖСКИЙ, Д. 1</t>
  </si>
  <si>
    <t>ИП ИСАБЕКОВА АСИЯТ НАСРУТДИНОВНА</t>
  </si>
  <si>
    <t>ООО ННП</t>
  </si>
  <si>
    <t>628187, ХАНТЫ-МАНСИЙСКИЙ АВТОНОМНЫЙ ОКРУГ - ЮГРА, Г НЯГАНЬ, УЛ АВИАЦИОННАЯ, Д. 4, К. 3, ПОМЕЩ. 2</t>
  </si>
  <si>
    <t>ИП ДЕМИН ДМИТРИЙ ВИКТОРОВИЧ</t>
  </si>
  <si>
    <t>ИП Яцко Светлана Николаевна</t>
  </si>
  <si>
    <t>ООО ЦЕНТР ЗАПЧАСТЕЙ ПАРТС</t>
  </si>
  <si>
    <t>628181, ХАНТЫ-МАНСИЙСКИЙ АВТОНОМНЫЙ ОКРУГ - ЮГРА, Г.О. НЯГАНЬ, Г. НЯГАНЬ, МКР. 7, Д. 1, КВ. 174</t>
  </si>
  <si>
    <t>ИП Суворова Вера Степановна</t>
  </si>
  <si>
    <t>ИП Алхаматов Марат Султанахмедович</t>
  </si>
  <si>
    <t>ИП МЕТЛИНА ЛЮБОВЬ ВАЛЕРЬЕВНА</t>
  </si>
  <si>
    <t>ООО МАРК-СЕРВИС</t>
  </si>
  <si>
    <t>628148, ХАНТЫ-МАНСИЙСКИЙ АВТОНОМНЫЙ ОКРУГ - ЮГРА, Р-Н БЕРЕЗОВСКИЙ, С САРАНПАУЛЬ, УЛ ЯТРИНСКАЯ, Д. 22</t>
  </si>
  <si>
    <t>ИП АГЕЕВА ЕЛЕНА НИКОЛАЕВНА</t>
  </si>
  <si>
    <t>ИП ПУШКАРЕВА НАТАЛЬЯ ВЛАДИМИРОВНА</t>
  </si>
  <si>
    <t>ИП Журавков Игорь Владимирович</t>
  </si>
  <si>
    <t>ИП МОСКВИТИН ЮРИЙ СЕРГЕЕВИЧ</t>
  </si>
  <si>
    <t>ИП ШЕЛГУНОВ АНДРЕЙ СЕРГЕЕВИЧ</t>
  </si>
  <si>
    <t>ИП АНЧИН АЛЕКСАНДР ИВАНОВИЧ</t>
  </si>
  <si>
    <t>ИП ХАМДЕЕВА ЭЛЬМИРА ХАРИСОВНА</t>
  </si>
  <si>
    <t>ИП БУХЛИЦКИЙ АНДРЕЙ ПЕТРОВИЧ</t>
  </si>
  <si>
    <t>ИП ЯЦУШКО ВАЛЕРИЙ ВИКТОРОВИЧ</t>
  </si>
  <si>
    <t>628301, ХАНТЫ-МАНСИЙСКИЙ АВТОНОМНЫЙ ОКРУГ - ЮГРА, Г НЕФТЕЮГАНСК, УЛ НАБЕРЕЖНАЯ, СТР. 16, ПОМЕЩ. 305</t>
  </si>
  <si>
    <t>ИП Савина Людмила Юрьевна</t>
  </si>
  <si>
    <t>ИП Степанов Олег Леонидович</t>
  </si>
  <si>
    <t>ИП ВЕРХОЛАМОЧКИНА ЕЛЯ ГЕННАДЬЕВНА</t>
  </si>
  <si>
    <t>628263, ХАНТЫ-МАНСИЙСКИЙ АВТОНОМНЫЙ ОКРУГ - ЮГРА, Г ЮГОРСК, УЛ САХАРОВА, Д.3</t>
  </si>
  <si>
    <t>ИП ОБОРИН ВАЛЕРИЙ ИВАНОВИЧ</t>
  </si>
  <si>
    <t>ИП ФЕДОРЯКА АЛЕКСЕЙ АЛЕКСЕЕВИЧ</t>
  </si>
  <si>
    <t>ИП ТИЩЕНКО ИРИНА АНАТОЛЬЕВНА</t>
  </si>
  <si>
    <t>ИП САЛИЕВ ШАМШИДИН ХАМИДЖАНОВИЧ</t>
  </si>
  <si>
    <t>ИП ЗАХАРОВ ВАСИЛИЙ ЮРЬЕВИЧ</t>
  </si>
  <si>
    <t>ИП КАЛИМУЛЛИНА АЛЕКСАНДРА ОЛЕГОВНА</t>
  </si>
  <si>
    <t>ИП ЧЕБОТАРЬ ОЛЕГ НИКОЛАЕВИЧ</t>
  </si>
  <si>
    <t>ООО УРАЛСИБ ДЕВЕЛОПМЕНТ</t>
  </si>
  <si>
    <t>628422, ХАНТЫ-МАНСИЙСКИЙ АВТОНОМНЫЙ ОКРУГ - ЮГРА, Г СУРГУТ, УЛ БУРОВАЯ, Д. 7</t>
  </si>
  <si>
    <t>ИП Осенчук Галина Александровна</t>
  </si>
  <si>
    <t>ООО РЕМЭКС</t>
  </si>
  <si>
    <t>628407, ХАНТЫ-МАНСИЙСКИЙ АВТОНОМНЫЙ ОКРУГ - ЮГРА, Г СУРГУТ, УЛ РАЦИОНАЛИЗАТОРОВ, Д.14</t>
  </si>
  <si>
    <t>ИП Яланецкий Юрий Федотович</t>
  </si>
  <si>
    <t>ИП ГОРЬКОВА ТАТЬЯНА ВАСИЛЬЕВНА</t>
  </si>
  <si>
    <t>628616, РОССИЯ, ХАНТЫ-МАНСИЙСКИЙ АВТОНОМНЫЙ ОКРУГ - ЮГРА, Г.О. НИЖНЕВАРТОВСК, Г НИЖНЕВАРТОВСК, УЛ МИРА, ЗД. 14/П, СТР. 3</t>
  </si>
  <si>
    <t>ИП ЯЛАНЕЦКИЙ СЕРГЕЙ ЮРЬЕВИЧ</t>
  </si>
  <si>
    <t>628311, ХАНТЫ-МАНСИЙСКИЙ АВТОНОМНЫЙ ОКРУГ - ЮГРА, Г НЕФТЕЮГАНСК, МКР 16А, Д. 54, КВ. 112</t>
  </si>
  <si>
    <t>ИП ХУСАИНОВ ВАЛЕРИЙ ЖАМИГУЛОВИЧ</t>
  </si>
  <si>
    <t>ИП МЕРКУЛОВ ВЯЧЕСЛАВ ВАЛЕНТИНОВИЧ</t>
  </si>
  <si>
    <t>ООО ЗАПСНАБ</t>
  </si>
  <si>
    <t>628186, ХАНТЫ-МАНСИЙСКИЙ АВТОНОМНЫЙ ОКРУГ - ЮГРА, Г.О. НЯГАНЬ, Г. НЯГАНЬ, УЛ СИБИРСКАЯ, Д. 19Б/5, К. 1</t>
  </si>
  <si>
    <t>ИП КОВАЛЕНКО АЛЕКСАНДР СЕРГЕЕВИЧ</t>
  </si>
  <si>
    <t>ИП КУЛИК НАДЕЖДА НИКОЛАЕВНА</t>
  </si>
  <si>
    <t>ИП ПШЕНИЧНИКОВ ВАСИЛИЙ НИКОЛАЕВИЧ</t>
  </si>
  <si>
    <t>ИП БЕХАРСКИЙ АЛЕКСАНДР ЛЕОНИДОВИЧ</t>
  </si>
  <si>
    <t>ИП КАН МАКСИМ ВАЛЕРИЕВИЧ</t>
  </si>
  <si>
    <t>ИП ЦИОПА АНДРЕЙ АНАТОЛЬЕВИЧ</t>
  </si>
  <si>
    <t>Чукотский автономный округ</t>
  </si>
  <si>
    <t>ООО ЧУКОТЦВЕТМЕТСТРОЙ</t>
  </si>
  <si>
    <t>689000, РОССИЯ, ЧУКОТСКИЙ АВТОНОМНЫЙ ОКРУГ, Г.О. АНАДЫРЬ, Г АНАДЫРЬ, УЛ РУЛЬТЫТЕГИНА, Д. 2В</t>
  </si>
  <si>
    <t>ИП ГОДЖАЕВ ТЕЙМУР АЛЛАХЯР ОГЛЫ</t>
  </si>
  <si>
    <t>ИП ЮЛЬМАНБЕТОВ АМЗАТ АЛУПКАШЕВИЧ</t>
  </si>
  <si>
    <t>Ямало-Ненецкий автономный округ</t>
  </si>
  <si>
    <t>ООО ВЯТКА-ТРАНС</t>
  </si>
  <si>
    <t>629404, РОССИЯ, ЯМАЛО-НЕНЕЦКИЙ АВТОНОМНЫЙ ОКРУГ, Г.О. ГОРОД ЛАБЫТНАНГИ, Г ЛАБЫТНАНГИ, УЛ ЛЕОНИДА ГИРШГОРНА, Д. 57А, ЭТАЖ 1, КАБИНЕТ 14</t>
  </si>
  <si>
    <t>ИП Кущев Илья Андреевич</t>
  </si>
  <si>
    <t>ИП СИРОТЕНКО ЕВГЕНИЙ СЕРГЕЕВИЧ</t>
  </si>
  <si>
    <t>ООО  РЕСУРСЫ УРАЛА</t>
  </si>
  <si>
    <t>629306, ЯМАЛО-НЕНЕЦКИЙ АВТОНОМНЫЙ ОКРУГ, Г НОВЫЙ УРЕНГОЙ, УЛ МАГИСТРАЛЬНАЯ, Д. 46Б, ОФИС 1</t>
  </si>
  <si>
    <t>ИП СЕРЕБРЕННИКОВА ЕЛЕНА ЮРЬЕВНА</t>
  </si>
  <si>
    <t>ИП ПИГОРЕВА ВИКТОРИЯ ИВАНОВНА</t>
  </si>
  <si>
    <t>ИП ОСНИЦКИЙ АЛЕКСАНДР АЛЕКСАНДРОВИЧ</t>
  </si>
  <si>
    <t>ООО ЕРМАК</t>
  </si>
  <si>
    <t>629400, РОССИЯ, ЯМАЛО-НЕНЕЦКИЙ АВТОНОМНЫЙ ОКРУГ, Г.О. ГОРОД ЛАБЫТНАНГИ, Г ЛАБЫТНАНГИ, УЛ БОВАНЕНКО, Д. 47, КВ. 8</t>
  </si>
  <si>
    <t>ИП ПАРСЕГОВ АРСЕН АРКАДЬЕВИЧ</t>
  </si>
  <si>
    <t>ИП МЕДВЕДЕВ АЛЕКСЕЙ ЛЕОНИДОВИЧ</t>
  </si>
  <si>
    <t>ООО ЯМАЛ-АВТО</t>
  </si>
  <si>
    <t>629305, ЯМАЛО-НЕНЕЦКИЙ АВТОНОМНЫЙ ОКРУГ, Г НОВЫЙ УРЕНГОЙ, УЛ МАГИСТРАЛЬНАЯ, Д. 12</t>
  </si>
  <si>
    <t>ИП БОРДИАН МАРИАН ВАСИЛЬЕВИЧ</t>
  </si>
  <si>
    <t>ИП МОМЗЕРОВ МИХАИЛ НИКОЛАЕВИЧ</t>
  </si>
  <si>
    <t>ИП ПОЗДНЯКОВ РОМАН НИКОЛАЕВИЧ</t>
  </si>
  <si>
    <t>ИП ЖЕСИК ТАРАС ВАСИЛЬЕВИЧ</t>
  </si>
  <si>
    <t>ООО ОДОЛЕНЬ-СЕВЕР</t>
  </si>
  <si>
    <t>629805, РОССИЯ, ЯМАЛО-НЕНЕЦКИЙ АВТОНОМНЫЙ ОКРУГ, Г.О. ГОРОД НОЯБРЬСК, Г НОЯБРЬСК, ТЕР. ЮГО-ВОСТОЧНЫЙ ПРОМУЗЕЛ, ПАНЕЛЬ I-В, Д. 11, ОФИС 1</t>
  </si>
  <si>
    <t>ООО ЯМАЛСЕРВИСАВТО</t>
  </si>
  <si>
    <t>629804, РОССИЯ, ЯМАЛО-НЕНЕЦКИЙ АВТОНОМНЫЙ ОКРУГ, Г.О. ГОРОД НОЯБРЬСК, Г НОЯБРЬСК, УЛ ЯГЕЛЬНАЯ, Д. 26</t>
  </si>
  <si>
    <t>ИП ЯРМАТОВ ФАХРИДДИН УМАРОВИЧ</t>
  </si>
  <si>
    <t>ИП НИКОЛАЕВА ОЛЬГА ЮРЬЕВНА</t>
  </si>
  <si>
    <t>ИП БОТАЛОВ АЛЕКСЕЙ НИКОЛАЕВИЧ</t>
  </si>
  <si>
    <t>ИП НАЧЁСА НИНА ВИТАЛЬЕВНА</t>
  </si>
  <si>
    <t>ООО СЕРВИС ТРЕЙД</t>
  </si>
  <si>
    <t>629832, РОССИЯ, ЯМАЛО-НЕНЕЦКИЙ АВТОНОМНЫЙ ОКРУГ, Г.О. ГОРОД ГУБКИНСКИЙ, Г ГУБКИНСКИЙ, МКР № 6, Д. 45, КВ. 3</t>
  </si>
  <si>
    <t>ИП Апальков Артём Викторович</t>
  </si>
  <si>
    <t>629851, РОССИЯ, ЯМАЛО-НЕНЕЦКИЙ АВТОНОМНЫЙ ОКРУГ, М.О. ПУРОВСКИЙ РАЙОН, Г ТАРКО-САЛЕ, ПРОМЗОНА ПРОМБАЗА АТП, Д. 10</t>
  </si>
  <si>
    <t>ИП ДМИТРИШИНА ЕЛЕНА ВИКТОРОВНА</t>
  </si>
  <si>
    <t>ИП Шалыгин Валерий Валерьевич</t>
  </si>
  <si>
    <t>ИП АМИНОВ ДАНИЛ АЗАМАТОВИЧ</t>
  </si>
  <si>
    <t>ООО АЛЕКСКАР</t>
  </si>
  <si>
    <t>629420, РОССИЯ, ЯМАЛО-НЕНЕЦКИЙ АВТОНОМНЫЙ ОКРУГ, Г.О. ГОРОД ЛАБЫТНАНГИ, ПГТ ХАРП, УЛ ГАГАРИНА, Д. 9, КВ. 13</t>
  </si>
  <si>
    <t>ИП СУТЯГИН НИКОЛАЙ ВИТАЛЬЕВИЧ</t>
  </si>
  <si>
    <t>ИП Пузейчук Ростислав Васильевич</t>
  </si>
  <si>
    <t>ИП ХУДАЙБЕРДИН МАРАТ МИНИБУЛАТОВИЧ</t>
  </si>
  <si>
    <t>ООО ФИРМА БАТЫР</t>
  </si>
  <si>
    <t>629736, ЯМАЛО-НЕНЕЦКИЙ АВТОНОМНЫЙ ОКРУГ, М.О. НАДЫМСКИЙ РАЙОН, Г НАДЫМ, УЛ ИГОРЯ ШАПОВАЛОВА, СТР. 7/26, ПОМЕЩ. 1</t>
  </si>
  <si>
    <t>ООО НГ-СЕРВИС-НОРД</t>
  </si>
  <si>
    <t>629736, ЯМАЛО-НЕНЕЦКИЙ АВТОНОМНЫЙ ОКРУГ, М.О. НАДЫМСКИЙ РАЙОН, Г НАДЫМ, Р-Н ФИНСКИЙ КОМПЛЕКС, СТР. 21/2, ПОМЕЩ. 18</t>
  </si>
  <si>
    <t>ИП БИГАШОВА ИРИНА ВАЛЕРИЕВНА</t>
  </si>
  <si>
    <t>ИП ХАРЛАМОВА ГУЗЕЛЬ РАФИКОВНА</t>
  </si>
  <si>
    <t>ООО НГ-СЕРВИС ВОСТОК</t>
  </si>
  <si>
    <t>629309, ЯМАЛО-НЕНЕЦКИЙ АВТОНОМНЫЙ ОКРУГ, Г НОВЫЙ УРЕНГОЙ, УЛ ВЕСЁЛАЯ (ЗАИМКА ТЕР. СНТ), Д. 19</t>
  </si>
  <si>
    <t>ИП Морараш Виктор Николаевич</t>
  </si>
  <si>
    <t>ИП ГРЕБЕНЮК ВЛАДИМИР АЛЕКСАНДРОВИЧ</t>
  </si>
  <si>
    <t>ИП САЛИН ЮРИЙ АНАТОЛЬЕВИЧ</t>
  </si>
  <si>
    <t>ООО СК-МОТОРС НОЯБРЬСК</t>
  </si>
  <si>
    <t>629805, ЯМАЛО-НЕНЕЦКИЙ АВТОНОМНЫЙ ОКРУГ, Г.О. ГОРОД НОЯБРЬСК, Г НОЯБРЬСК, УЛ МАГИСТРАЛЬНАЯ, Д. 87А</t>
  </si>
  <si>
    <t>ИП ХУЗИН АЙРАТ РАФИАТОВИЧ</t>
  </si>
  <si>
    <t>ИП ЗАГИДУЛЛИН РАВГАТ ШАЙХУЛЛОВИЧ</t>
  </si>
  <si>
    <t>ИП МАТЮШОНОК МАКСИМ АЛЕКСАНДРОВИЧ</t>
  </si>
  <si>
    <t>ИП ГРАЧЁВ СЕРГЕЙ ИВАНОВИЧ</t>
  </si>
  <si>
    <t>ИП КОБЗЕВА ТАТЬЯНА ЮРЬЕВНА</t>
  </si>
  <si>
    <t>ИП ГРАЧЕВА ЛАРИСА СЕРГЕЕВНА</t>
  </si>
  <si>
    <t>ИП РЫБИНА ТАТЬЯНА АЛЕКСАНДРОВНА</t>
  </si>
  <si>
    <t>ИП СИЗЮК АНАТОЛИЙ АНАТОЛЬЕВИЧ</t>
  </si>
  <si>
    <t>ИП ДАВЫДЕНКО НАТАЛЬЯ НИКОЛАЕВНА</t>
  </si>
  <si>
    <t>ИП БОРХОВИК КИРИЛЛ КИРИЛЛОВИЧ</t>
  </si>
  <si>
    <t>ИП МАТИЕНКО ОЛЕГ НИКОЛАЕВИЧ</t>
  </si>
  <si>
    <t>ИП МАКАРОВ АЛЕКСЕЙ ВЛАДИМИРОВИЧ</t>
  </si>
  <si>
    <t>ИП МИХАЙЛЕНКО ГЕОРГИЙ АЛЕКСАНДРОВИЧ</t>
  </si>
  <si>
    <t>ИП ГАРРО ОЛЕГ ВЛАДИМИРОВИЧ</t>
  </si>
  <si>
    <t>ИП ВЛАСОВ МИХАИЛ ЮРЬЕВИЧ</t>
  </si>
  <si>
    <t>ИП КОЗЛОВ РОМАН АЛЕКСАНДРОВИЧ</t>
  </si>
  <si>
    <t>ООО ТД УСТС</t>
  </si>
  <si>
    <t>629307, ЯМАЛО-НЕНЕЦКИЙ АВТОНОМНЫЙ ОКРУГ, Г НОВЫЙ УРЕНГОЙ, УЛ КРАЙНЯЯ, Д. 3</t>
  </si>
  <si>
    <t>629305, ЯМАЛО-НЕНЕЦКИЙ АВТОНОМНЫЙ ОКРУГ, Г НОВЫЙ УРЕНГОЙ, УЛ ТАЕЖНАЯ, Д. 30А, КВ. 17</t>
  </si>
  <si>
    <t>ООО ООО СОБСЕРВИС</t>
  </si>
  <si>
    <t>629306, РОССИЯ, ЯМАЛО-НЕНЕЦКИЙ АВТОНОМНЫЙ ОКРУГ, Г.О. ГОРОД НОВЫЙ УРЕНГОЙ, Г НОВЫЙ УРЕНГОЙ, УЛ ПРОМЫШЛЕННАЯ, Д. 8А, ОФИС 1</t>
  </si>
  <si>
    <t>ИП АЛИЕВ ОРХАН ЭЛЬХАН ОГЛЫ</t>
  </si>
  <si>
    <t>ИП ЗАХАРОВ ВАЛЕНТИН ПАВЛОВИЧ</t>
  </si>
  <si>
    <t>ИП ТИМЧЕНКО ЕВГЕНИЙ ИГОРЕВИЧ</t>
  </si>
  <si>
    <t>ИП НАГИБИНА МАРИЯ СЕРГЕЕВНА</t>
  </si>
  <si>
    <t>ИП ШАЙЛООБАЕВА АЙНАГУЛ КЕРИМОВНА</t>
  </si>
  <si>
    <t>ИП ХИТРИНА ЛЮБОВЬ АЛЕКСАНДРОВНА</t>
  </si>
  <si>
    <t>ИП АЛЁШИНА ЛЮДМИЛА ПЕТРОСОВНА</t>
  </si>
  <si>
    <t>ИП МИРЗОЯН РУЗАННА ЮРЬЕВНА</t>
  </si>
  <si>
    <t>ИП ГВОЗДЕВ ИГОРЬ КОНСТАНТИНОВИЧ</t>
  </si>
  <si>
    <t>ООО НГ-СЕРВИС КАМАЗ</t>
  </si>
  <si>
    <t>629306, ЯМАЛО-НЕНЕЦКИЙ АВТОНОМНЫЙ ОКРУГ, Г НОВЫЙ УРЕНГОЙ, УЛ МАГИСТРАЛЬНАЯ, Д. 46, К. Б, ОФИС 2</t>
  </si>
  <si>
    <t>629303, ЯМАЛО-НЕНЕЦКИЙ АВТОНОМНЫЙ ОКРУГ, Г НОВЫЙ УРЕНГОЙ, МКР МИРНЫЙ, Д. 3, К. 2, КВ. 58</t>
  </si>
  <si>
    <t>ИП РЕЧАПОВ АЗАТ ДАНАИЛЬЕВИЧ</t>
  </si>
  <si>
    <t>ИП РУБЦОВ МИХАИЛ АЛЕКСЕЕВИЧ</t>
  </si>
  <si>
    <t>Запорожская Область</t>
  </si>
  <si>
    <t>272563, РОССИЯ, ЗАПОРОЖСКАЯ ОБЛАСТЬ, Г.О. МЕЛИТОПОЛЬ, ПГТ. КИРИЛЛОВКА, УЛ. ФЕДОТОВА КОСА, Д. 272</t>
  </si>
  <si>
    <t>ИП ПЕРЧАК СВЕТЛАНА ГЕННАДИЕВНА</t>
  </si>
  <si>
    <t>ИП ХАЛИКОВ РУСЛАН ОЛЕГОВИЧ</t>
  </si>
  <si>
    <t>ИП РАЕВСКИЙ ЮРИЙ ВАСИЛЬЕВИЧ</t>
  </si>
  <si>
    <t>ИП КОТЛЯР СЕРГЕЙ ВАЛЕРЬЕВИЧ</t>
  </si>
  <si>
    <t>ГБУЗ ЗО ОБСМЭ</t>
  </si>
  <si>
    <t>272319, РОССИЯ, ЗАПОРОЖСКАЯ ОБЛАСТЬ, Г.О. МЕЛИТОПОЛЬ, Г. МЕЛИТОПОЛЬ, ПР-КТ БОГДАНА ХМЕЛЬНИЦКОГО, Д. 46/9</t>
  </si>
  <si>
    <t>ГБУЗ ДГСП</t>
  </si>
  <si>
    <t>271630, РОССИЯ, ЗАПОРОЖСКАЯ ОБЛАСТЬ, М.О. ВАСИЛЬЕВСКИЙ, Г. ДНЕПРОРУДНОЕ, УЛ. ЛЕНИНА, Д. 47</t>
  </si>
  <si>
    <t>ООО МЕЛЬНИК</t>
  </si>
  <si>
    <t>272318, РОССИЯ, ЗАПОРОЖСКАЯ ОБЛАСТЬ, Г.О. МЕЛИТОПОЛЬ, Г. МЕЛИТОПОЛЬ, УЛ. ЧКАЛОВА, Д. 84</t>
  </si>
  <si>
    <t>ИП СИВАЩЕНКО АНДРЕЙ СЕРГЕЕВИЧ</t>
  </si>
  <si>
    <t>ИП ШТУКОВАННЫЙ ДМИТРИЙ АЛЕКСАНДРОВИЧ</t>
  </si>
  <si>
    <t>ИП БУДОВСКАЯ ЕЛЕНА ВЛАДИМИРОВНА</t>
  </si>
  <si>
    <t>ООО МПРТАВР</t>
  </si>
  <si>
    <t>271118, РОССИЯ, ЗАПОРОЖСКАЯ ОБЛАСТЬ, Г.О. БЕРДЯНСК, Г. БЕРДЯНСК, УЛ. ДЮМИНА, Д. 55</t>
  </si>
  <si>
    <t>ГУП КР ЗО</t>
  </si>
  <si>
    <t>272319, РОССИЯ, ЗАПОРОЖСКАЯ ОБЛАСТЬ, Г.О. МЕЛИТОПОЛЬ, Г. МЕЛИТОПОЛЬ, УЛ. ИВАНА АЛЕКСЕЕВА, Д. 5, КАБИНЕТ 47, 48</t>
  </si>
  <si>
    <t>ООО ЗООТОПИЯ</t>
  </si>
  <si>
    <t>272311, РОССИЯ, ЗАПОРОЖСКАЯ ОБЛАСТЬ, Г.О. МЕЛИТОПОЛЬ, Г. МЕЛИТОПОЛЬ, Ш. КАХОВСКОЕ, Д. 24/2</t>
  </si>
  <si>
    <t>ООО НПП АВИКС ГРУП</t>
  </si>
  <si>
    <t>271101, РОССИЯ, ЗАПОРОЖСКАЯ ОБЛАСТЬ, Г.О. БЕРДЯНСК, Г. БЕРДЯНСК, УЛ. КАБЕЛЬЩИКОВ, Д. 3Ч</t>
  </si>
  <si>
    <t>ООО ‹‹ТЭС-ТЕРМИНАЛ-2››</t>
  </si>
  <si>
    <t>272319, РОССИЯ, ЗАПОРОЖСКАЯ ОБЛАСТЬ, Г.О. МЕЛИТОПОЛЬ, Г. МЕЛИТОПОЛЬ, УЛ. ШМИДТА, Д. 49/1</t>
  </si>
  <si>
    <t>ООО АГРО-СФЕРА.КОМ</t>
  </si>
  <si>
    <t>РОССИЯ, ЗАПОРОЖСКАЯ ОБЛАСТЬ, Г.О. МЕЛИТОПОЛЬ, Г. МЕЛИТОПОЛЬ, УЛ. ЛОМОНОСОВА, Д. 368/1</t>
  </si>
  <si>
    <t>ИП СЕРБИНОВ СЕРГЕЙ ВИКТОРОВИЧ</t>
  </si>
  <si>
    <t>ООО ТК ГЕФЕСТ +</t>
  </si>
  <si>
    <t>272312, РОССИЯ, ЗАПОРОЖСКАЯ ОБЛАСТЬ, Г.О. МЕЛИТОПОЛЬ, Г. МЕЛИТОПОЛЬ, ПР-КТ БОГДАНА ХМЕЛЬНИЦКОГО, Д. 36</t>
  </si>
  <si>
    <t>ИП БОНДАРЕНКО ОЛЬГА НИКОЛАЕВНА</t>
  </si>
  <si>
    <t>Республика Крым</t>
  </si>
  <si>
    <t>ИП ТЕМЕШОВ АРМАН ХАВДУЛХАНОВИЧ</t>
  </si>
  <si>
    <t>ИП ПАВЛЕНКО УЛЬЯНА АЛЕКСЕЕВНА</t>
  </si>
  <si>
    <t>ИП УСЕИНОВ АРСЕН ТАЛЯТОВИЧ</t>
  </si>
  <si>
    <t>ИП ШТАНЬКО ЯРОСЛАВ ЮРЬЕВИЧ</t>
  </si>
  <si>
    <t>ИП ФИТЦ ЕКАТЕРИНА ЕВГЕНЬЕВНА</t>
  </si>
  <si>
    <t>ИП БАРДАХЧИЯН ГРИГОРИЙ ВАРДАНОВИЧ</t>
  </si>
  <si>
    <t>ИП МАЗИНА ЛЕЙЛА ШЕВКЕТОВНА</t>
  </si>
  <si>
    <t>ООО МЕДТЕХСЕРВИС</t>
  </si>
  <si>
    <t>295050, РОССИЯ, РЕСПУБЛИКА КРЫМ, Г.О. СИМФЕРОПОЛЬ, Г СИМФЕРОПОЛЬ, УЛ ШАЛФЕЙНАЯ, Д. 1, ОФИС - СЕРВИСНЫЙ ЦЕНТР 28</t>
  </si>
  <si>
    <t>ООО ПЛАЗА-МОТОРС</t>
  </si>
  <si>
    <t>295003, РЕСПУБЛИКА КРЫМ, Г СИМФЕРОПОЛЬ, УЛ БАЛАКЛАВСКАЯ, Д. 68, ЛИТЕР Д, ПОМЕЩ. 23,23А,23Б</t>
  </si>
  <si>
    <t>ИП КОХТАШВИЛИ ГАРИЙ ТЕНГИЗОВИЧ</t>
  </si>
  <si>
    <t>ООО СТРОЙ МИР КРЫМ</t>
  </si>
  <si>
    <t>295014, РЕСПУБЛИКА КРЫМ, Г.О. СИМФЕРОПОЛЬ, Г СИМФЕРОПОЛЬ, УЛ ХАРЬКОВСКАЯ, Д. 1, ОФИС 2</t>
  </si>
  <si>
    <t>ИП БЛИЗНЮК РОМАН ВЛАДИМИРОВИЧ</t>
  </si>
  <si>
    <t>ИП ДЕМЬЯНОВ СЕРГЕЙ АЛЕКСАНДРОВИЧ</t>
  </si>
  <si>
    <t>ИП ГАВРИЛОВ ИГОРЬ ВАСИЛЬЕВИЧ</t>
  </si>
  <si>
    <t>ИП ЕРЕНКОВ СЕРГЕЙ НИКОЛАЕВИЧ</t>
  </si>
  <si>
    <t>ИП ЧАЛАБИЕВ АБДУЛЛА ЧАЛАБИЕВИЧ</t>
  </si>
  <si>
    <t>ИП ХАЗИЕВА КСЕНИЯ ВАЛЕРЬЕВНА</t>
  </si>
  <si>
    <t>ИП ЦЫГАНКОВ АЛЕКСАНДР НИКОЛАЕВИЧ</t>
  </si>
  <si>
    <t>ИП Широкая Наталья Васильевна</t>
  </si>
  <si>
    <t>ООО АВТОДЕЛЬ</t>
  </si>
  <si>
    <t>295034, РОССИЯ, РЕСПУБЛИКА КРЫМ, Г.О. СИМФЕРОПОЛЬ, Г СИМФЕРОПОЛЬ, ПР-КТ ПОБЕДЫ, ЗД. 110/37</t>
  </si>
  <si>
    <t>ИП ЗАРЕЧЕНСКИЙ ГЕННАДИЙ СЕРГЕЕВИЧ</t>
  </si>
  <si>
    <t>295014, РЕСПУБЛИКА КРЫМ, Г СИМФЕРОПОЛЬ, Ш ЕВПАТОРИЙСКОЕ, Д. 8</t>
  </si>
  <si>
    <t>ИП КЕЗОВ НИКОЛАЙ ВИКТОРОВИЧ</t>
  </si>
  <si>
    <t>ООО КРЫМСПЕЦСНАБ</t>
  </si>
  <si>
    <t>295022, РЕСПУБЛИКА КРЫМ, Г СИМФЕРОПОЛЬ, УЛ КУБАНСКАЯ, Д. 14А</t>
  </si>
  <si>
    <t>ООО ЧЕРНОМОРСКАЯ ТОРГОВАЯ КОМПАНИЯ</t>
  </si>
  <si>
    <t>295047, РЕСПУБЛИКА КРЫМ, Г СИМФЕРОПОЛЬ, УЛ УЗЛОВАЯ, Д. 12</t>
  </si>
  <si>
    <t>ООО ТД ТЭС</t>
  </si>
  <si>
    <t>295493, РОССИЯ, РЕСПУБЛИКА КРЫМ, Г.О. СИМФЕРОПОЛЬ, ПГТ ГРЭСОВСКИЙ, УЛ КРЖИЖАНОВСКОГО, ЗД. 38, ОФИС 501/1</t>
  </si>
  <si>
    <t>ИП ЛИСЮК АЛЕКСАНДР АЛЕКСАНДРОВИЧ</t>
  </si>
  <si>
    <t>ИП КОЖУХОВ ГЕННАДИЙ НИКОЛАЕВИЧ</t>
  </si>
  <si>
    <t>ООО СТЕНЛЕЙ</t>
  </si>
  <si>
    <t>295493, РЕСПУБЛИКА КРЫМ, Г СИМФЕРОПОЛЬ, ПГТ ГРЭСОВСКИЙ, УЛ МОНТАЖНАЯ, Д. 12</t>
  </si>
  <si>
    <t>ИП ПОПОВ АНТОН СЕРГЕЕВИЧ</t>
  </si>
  <si>
    <t>ООО  ГРОНА-ПЛЮС</t>
  </si>
  <si>
    <t>295051, РЕСПУБЛИКА КРЫМ, Г СИМФЕРОПОЛЬ, ПЕР ЭЛЕВАТОРНЫЙ, Д. 3</t>
  </si>
  <si>
    <t>ИП НИКОНОВА ДАРЬЯ АЛЕКСАНДРОВНА</t>
  </si>
  <si>
    <t>ООО МИЛТОШ</t>
  </si>
  <si>
    <t>295015, РЕСПУБЛИКА КРЫМ, Г СИМФЕРОПОЛЬ, УЛ СЕВАСТОПОЛЬСКАЯ, ЗД. 31А, КАБИНЕТ 1</t>
  </si>
  <si>
    <t>ООО РЕДКРОФТ</t>
  </si>
  <si>
    <t>295493, РЕСПУБЛИКА КРЫМ, Г СИМФЕРОПОЛЬ, ПГТ ГРЭСОВСКИЙ, УЛ ЯБЛОЧКОВА, Д. 19, КАБИНЕТ 1</t>
  </si>
  <si>
    <t>ИП ГАРМАСАР ОЛЕГ ОЛЕГОВИЧ</t>
  </si>
  <si>
    <t>ИП КОРОЛЕНКО ИГОРЬ ВИКТОРОВИЧ</t>
  </si>
  <si>
    <t>ИП ГРУЗИНОВ ИГОРЬ НИКОЛАЕВИЧ</t>
  </si>
  <si>
    <t>ИП АБДУРАХМАНОВ МУСТАФА АНВАРОВИЧ</t>
  </si>
  <si>
    <t>ИП ГРАЧЕВ СЕРГЕЙ ВАЛЕРИЕВИЧ</t>
  </si>
  <si>
    <t>ИП СЕМЁНОВ АНДРЕЙ ИГОРЕВИЧ</t>
  </si>
  <si>
    <t>ООО ГЕЛИОС ГРУПП</t>
  </si>
  <si>
    <t>295001, РЕСПУБЛИКА КРЫМ, Г СИМФЕРОПОЛЬ, УЛ В.Ф.ЖИДКОВА, Д. 76</t>
  </si>
  <si>
    <t>ООО СИНАП</t>
  </si>
  <si>
    <t>295035, РЕСПУБЛИКА КРЫМ, Г СИМФЕРОПОЛЬ, УЛ МАРШАЛА ЖУКОВА, Д. 21</t>
  </si>
  <si>
    <t>ООО АВЭКС-К</t>
  </si>
  <si>
    <t>295035, РЕСПУБЛИКА КРЫМ, Г.О. СИМФЕРОПОЛЬ, Г СИМФЕРОПОЛЬ, УЛ МЕМЕТА НУЗЕТА, ЗД. 8, ПОМЕЩ. 1</t>
  </si>
  <si>
    <t>ООО СТРОЙТЕКА</t>
  </si>
  <si>
    <t>295022, РОССИЯ, РЕСПУБЛИКА КРЫМ, Г.О. СИМФЕРОПОЛЬ, Г СИМФЕРОПОЛЬ, УЛ КУБАНСКАЯ, Д. 23Б, ЛИТЕРА У</t>
  </si>
  <si>
    <t>ИП БОНДАРЕНКО ВЛАДИМИР ВИКТОРОВИЧ</t>
  </si>
  <si>
    <t>ООО АВТОШОП</t>
  </si>
  <si>
    <t>295051, РОССИЯ, РЕСПУБЛИКА КРЫМ, Г.О. СИМФЕРОПОЛЬ, Г СИМФЕРОПОЛЬ, ПЕР ГРУЗОВОЙ, Д. 6, КВ. 1</t>
  </si>
  <si>
    <t>ООО СТРОЙЦЕНТР</t>
  </si>
  <si>
    <t>295022, РОССИЯ, РЕСПУБЛИКА КРЫМ, Г.О. СИМФЕРОПОЛЬ, Г СИМФЕРОПОЛЬ, ПР-КТ ПОБЕДЫ, ЗД. 245</t>
  </si>
  <si>
    <t>ООО АРС-ГРУПП</t>
  </si>
  <si>
    <t>295017, РОССИЯ, РЕСПУБЛИКА КРЫМ, Г.О. СИМФЕРОПОЛЬ, Г СИМФЕРОПОЛЬ, УЛ 51-Й АРМИИ, Д. 54/33, КВ. 9</t>
  </si>
  <si>
    <t>ИП ФЕДОРОВ СЕРГЕЙ СЕРГЕЕВИЧ</t>
  </si>
  <si>
    <t>ИП АНТИМЕНКОВ АЛЕКСЕЙ АНДРЕЕВИЧ</t>
  </si>
  <si>
    <t>ООО ДЖЕНЕРАЛ-СТРОЙ</t>
  </si>
  <si>
    <t>298612, РЕСПУБЛИКА КРЫМ, Г ЯЛТА, УЛ РАБОЧАЯ, Д. 26, ЭТАЖ 2 ПОМ. 5-21</t>
  </si>
  <si>
    <t>ИП УРАМОВ ВЯЧЕСЛАВ МИХАЙЛОВИЧ</t>
  </si>
  <si>
    <t>ООО СК ФОРМУЛА</t>
  </si>
  <si>
    <t>295050, РЕСПУБЛИКА КРЫМ, Г СИМФЕРОПОЛЬ, УЛ КИЕВСКАЯ, Д. 179, ПОМЕЩ. 5</t>
  </si>
  <si>
    <t>ООО ТД ГЕОТЕК</t>
  </si>
  <si>
    <t>295050, РЕСПУБЛИКА КРЫМ, Г СИМФЕРОПОЛЬ, УЛ ЛИЗЫ ЧАЙКИНОЙ, Д. 1, ОФИС 423</t>
  </si>
  <si>
    <t>ООО АРМЕД-ЮГ</t>
  </si>
  <si>
    <t>295050, РЕСПУБЛИКА КРЫМ, Г.О. СИМФЕРОПОЛЬ, Г СИМФЕРОПОЛЬ, УЛ ШАЛФЕЙНАЯ, Д. 1, ОФИС 8</t>
  </si>
  <si>
    <t>ООО КРЫМЗАПЧАСТЬ</t>
  </si>
  <si>
    <t>295018, РЕСПУБЛИКА КРЫМ, Г СИМФЕРОПОЛЬ, УЛ РАКЕТНАЯ, Д. 18/93, КВ. 40</t>
  </si>
  <si>
    <t>295047, РЕСПУБЛИКА КРЫМ, Г СИМФЕРОПОЛЬ, УЛ ГЕРОЕВ СТАЛИНГРАДА, Д. 10</t>
  </si>
  <si>
    <t>ООО ДОБРОСЛАВ</t>
  </si>
  <si>
    <t>295493, РЕСПУБЛИКА КРЫМ, Г СИМФЕРОПОЛЬ, УЛ ВНЕШНЯЯ, Д. 28, ЛИТЕРА Г, ОФИС 3</t>
  </si>
  <si>
    <t>ИП МЕМЕТОВ ФЕВЗИ НУРИЕВИЧ</t>
  </si>
  <si>
    <t>ИП БОЖЕНОВ ДМИТРИЙ АЛЕКСАНДРОВИЧ</t>
  </si>
  <si>
    <t>ИП МАМУТОВА ЭЛЬМИРА ЭИПОВНА</t>
  </si>
  <si>
    <t>ИП ТЕФИКОВ ИЗЗЕТ ЭБУЛЕИСОВИЧ</t>
  </si>
  <si>
    <t>295047, РОССИЯ, РЕСПУБЛИКА КРЫМ, Г.О. СИМФЕРОПОЛЬ, Г СИМФЕРОПОЛЬ, УЛ ГЕРОЕВ СТАЛИНГРАДА, Д. 6В, ПОМЕЩ. 3</t>
  </si>
  <si>
    <t>295014, РЕСПУБЛИКА КРЫМ, Г.О. СИМФЕРОПОЛЬ, Г СИМФЕРОПОЛЬ, ПЕР ПЕРСИКОВЫЙ, Д. 2, ПОМЕЩ. 1</t>
  </si>
  <si>
    <t>ИП ХАРЛАМПИЕВА УЛЬЯНА АЛЕКСЕЕВНА</t>
  </si>
  <si>
    <t>ИП МАТУЗКОВ ЮРИЙ АЛЕКСАНДРОВИЧ</t>
  </si>
  <si>
    <t>АО ВАРДА +</t>
  </si>
  <si>
    <t>298690, РОССИЯ, РЕСПУБЛИКА КРЫМ, Г.О. ЯЛТА, ПГТ ФОРОС, СПУСК ФОРОССКИЙ, ЗД. 1Д, СТР. 1</t>
  </si>
  <si>
    <t>ООО ГАММА-ГРУПП</t>
  </si>
  <si>
    <t>298403, РЕСПУБЛИКА КРЫМ, Р-Н БАХЧИСАРАЙСКИЙ, Г БАХЧИСАРАЙ, УЛ СИМОНА, Д. 32</t>
  </si>
  <si>
    <t>ООО МАК-КРЫМ</t>
  </si>
  <si>
    <t>298400, РЕСПУБЛИКА КРЫМ, Р-Н БАХЧИСАРАЙСКИЙ, Г БАХЧИСАРАЙ, УЛ МИНДАЛЬНАЯ, Д. 24</t>
  </si>
  <si>
    <t>ИП КОЗЛОВ ИЛЬЯ ЮРЬЕВИЧ</t>
  </si>
  <si>
    <t>ИП ГРАБОВЕНКО ОКСАНА ОЛЕГОВНА</t>
  </si>
  <si>
    <t>ИП МАЗУР ОКСАНА АЛЕКСАНДРОВНА</t>
  </si>
  <si>
    <t>ООО УЭЛСИ</t>
  </si>
  <si>
    <t>295493, РЕСПУБЛИКА КРЫМ, Г СИМФЕРОПОЛЬ, УЛ МОНТАЖНАЯ, Д. 12</t>
  </si>
  <si>
    <t>ООО ЛИГА ГРУПП</t>
  </si>
  <si>
    <t>295047, РЕСПУБЛИКА КРЫМ, Г СИМФЕРОПОЛЬ, УЛ УЗЛОВАЯ, Д. 20, ЛИТЕРА Ш КАБИНЕТ 1-3</t>
  </si>
  <si>
    <t>ОООЮТК</t>
  </si>
  <si>
    <t>297540, РОССИЯ, РЕСПУБЛИКА КРЫМ, М.Р-Н СИМФЕРОПОЛЬСКИЙ, С РОДНИКОВО, С.П. РОДНИКОВСКОЕ, ПЕР АЭРОФЛОТСКИЙ, Д. 8, ОФИС 1</t>
  </si>
  <si>
    <t>ИП КУРШИН ДМИТРИЙ ЮРЬЕВИЧ</t>
  </si>
  <si>
    <t>ИП АБАУЛИН ДАНИЛ АЛЕКСЕЕВИЧ</t>
  </si>
  <si>
    <t>ООО МЕЛРОУЗ</t>
  </si>
  <si>
    <t>295015, РЕСПУБЛИКА КРЫМ, Г СИМФЕРОПОЛЬ, УЛ СЕВАСТОПОЛЬСКАЯ, ЗД. 31А, КАБИНЕТ 3</t>
  </si>
  <si>
    <t>АО ЗАВОД ФИОЛЕНТ</t>
  </si>
  <si>
    <t>295017, РЕСПУБЛИКА КРЫМ, Г СИМФЕРОПОЛЬ, УЛ КИЕВСКАЯ, Д. 34/2</t>
  </si>
  <si>
    <t>ИП ПАШКИН АРТЕМ СЕРГЕЕВИЧ</t>
  </si>
  <si>
    <t>ООО АВТОЦЕНТР ТАВРИДА</t>
  </si>
  <si>
    <t>295022, РЕСПУБЛИКА КРЫМ, Г.О. СИМФЕРОПОЛЬ, Г СИМФЕРОПОЛЬ, УЛ КУБАНСКАЯ, Д. 21А, ПОМЕЩ. 2</t>
  </si>
  <si>
    <t>ГБУ РК СП ДПИ</t>
  </si>
  <si>
    <t>295022, РЕСПУБЛИКА КРЫМ, Г СИМФЕРОПОЛЬ, УЛ НАДИНСКОГО, Д. 20</t>
  </si>
  <si>
    <t>ИП МУРАВЬЕВА ЕЛЕНА ЮРЬЕВНА</t>
  </si>
  <si>
    <t>ИП ПОЛИЩУК СВЕТЛАНА НИКОЛАЕВНА</t>
  </si>
  <si>
    <t>ИП АРИФОВ РУСТЕМ ЛЕНЗИЕВИЧ</t>
  </si>
  <si>
    <t>ИП УЛАНОВ ЭДЕМ ДИЛЯВЕРОВИЧ</t>
  </si>
  <si>
    <t>ООО МЕЖДУНАРОДНЫЙ АЭРОПОРТ СИМФЕРОПОЛЬ</t>
  </si>
  <si>
    <t>295491, РЕСПУБЛИКА КРЫМ, Г СИМФЕРОПОЛЬ, ПГТ АЭРОФЛОТСКИЙ, УЛ МАЛЬЧЕНКО, Д. 16</t>
  </si>
  <si>
    <t>ИП МАКАРОВА ОЛЬГА АНДРЕЕВНА</t>
  </si>
  <si>
    <t>ИП ТАРАСЕНКО ДАРЬЯ АНАТОЛЬЕВНА</t>
  </si>
  <si>
    <t>ООО КРЫМ-ПАРТС</t>
  </si>
  <si>
    <t>295022, РОССИЯ, РЕСПУБЛИКА КРЫМ, Г.О. СИМФЕРОПОЛЬ, Г СИМФЕРОПОЛЬ, УЛ КУБАНСКАЯ, Д. 11, КВ. 72</t>
  </si>
  <si>
    <t>ИП ШЕРЕФЕДИНОВА ЗЕРА РУСТЕМОВНА</t>
  </si>
  <si>
    <t>ООО ТЕНДР</t>
  </si>
  <si>
    <t>295022, РОССИЯ, РЕСПУБЛИКА КРЫМ, Г.О. СИМФЕРОПОЛЬ, Г СИМФЕРОПОЛЬ, УЛ КУБАНСКАЯ, Д. 12, ОФИС 11</t>
  </si>
  <si>
    <t>ООО ФИРМА СТС</t>
  </si>
  <si>
    <t>298645, РЕСПУБЛИКА КРЫМ, Г ЯЛТА, ПГТ ГУРЗУФ, УЛ ЯЛТИНСКАЯ, Д. 22</t>
  </si>
  <si>
    <t>ООО ДС-ГРУПП</t>
  </si>
  <si>
    <t>298612, РЕСПУБЛИКА КРЫМ, Г.О. ЯЛТА, Г ЯЛТА, УЛ РАБОЧАЯ, Д. 26, ЛИТЕР А БЛОК 2, ПОМЕЩ. 2-1</t>
  </si>
  <si>
    <t>ИП ТАМАРОВ КОНСТАНТИН АЛЕКСЕЕВИЧ</t>
  </si>
  <si>
    <t>ИП ВЛАСЮК АННА МИХАЙЛОВНА</t>
  </si>
  <si>
    <t>ООО УК КРАСОТЕЛЬ</t>
  </si>
  <si>
    <t>298635, РЕСПУБЛИКА КРЫМ, Г ЯЛТА, ПАРК ПРИМОРСКИЙ, Д. 3А</t>
  </si>
  <si>
    <t>ИП ПАК АНТОНИНА ЮРЬЕВНА</t>
  </si>
  <si>
    <t>ИП ИВАНОВ ВИТАЛИЙ СЕРГЕЕВИЧ</t>
  </si>
  <si>
    <t>ИП АМЕТОВ ИЛЬЯС СЕРВЕРОВИЧ</t>
  </si>
  <si>
    <t>ООО ДС-КРЫМ</t>
  </si>
  <si>
    <t>298403, РЕСПУБЛИКА КРЫМ, М.Р-Н БАХЧИСАРАЙСКИЙ, Г БАХЧИСАРАЙ, Г.П. БАХЧИСАРАЙ, УЛ ФРУНЗЕ, Д. 17, ОФИС 1</t>
  </si>
  <si>
    <t>ИП ОВСЯННИКОВ ВЛАДИМИР ВИТАЛЬЕВИЧ</t>
  </si>
  <si>
    <t>ИП ИНИН ЭДУАРД ЛЕОНИДОВИЧ</t>
  </si>
  <si>
    <t>ИП Кобзарев Валентин Васильевич</t>
  </si>
  <si>
    <t>ИП ГАЗИЕВ УСЕИН ЭСКАНДЕРОВИЧ</t>
  </si>
  <si>
    <t>ИП АВРАМЕНКО ОЛЕГ АЛЕКСАНДРОВИЧ</t>
  </si>
  <si>
    <t>ИП Чудак Игорь Данилович</t>
  </si>
  <si>
    <t>ИП ИЗМАИЛОВ АЛИМ РУСТЕМОВИЧ</t>
  </si>
  <si>
    <t>ИП ПОЧЕКВА АЛЕКСАНДР ИВАНОВИЧ</t>
  </si>
  <si>
    <t>ИП ВИНОКУРОВА ТАТЬЯНА ВЛАДИМИРОВНА</t>
  </si>
  <si>
    <t>ИП ДЖАНБАЕВ ДЖЕМИЛЬ СЕЛИМОВИЧ</t>
  </si>
  <si>
    <t>ИП ИЗМАИЛОВА ФЕВЗИЕ ИБРАГИМОВНА</t>
  </si>
  <si>
    <t>ИП РУДЕНКО НАДЕЖДА ВЛАДИМИРОВНА</t>
  </si>
  <si>
    <t>ИП БОРОВИЦКАЯ ВЛАДА ИГОРЕВНА</t>
  </si>
  <si>
    <t>ООО АВИРС-КРЫМ</t>
  </si>
  <si>
    <t>296010, РЕСПУБЛИКА КРЫМ, Г АРМЯНСК, С СУВОРОВО, УЛ БАТОВА, Д. 1</t>
  </si>
  <si>
    <t>ИП МАМАЕВ АЛЕКСАНДР ЮРЬЕВИЧ</t>
  </si>
  <si>
    <t>ИП ЛОХМАТОВ АЛЕКСАНДР ВЛАДИМИРОВИЧ</t>
  </si>
  <si>
    <t>ИП Билялов Рамазан Энверович</t>
  </si>
  <si>
    <t>ИП ЧОРНИЙ ДЕНИС ИВАНОВИЧ</t>
  </si>
  <si>
    <t>ООО СОЛНЕЧНЫЙ БЕРЕГ</t>
  </si>
  <si>
    <t>296500, РЕСПУБЛИКА КРЫМ, Г САКИ, УЛ МОРСКАЯ, Д. 12А</t>
  </si>
  <si>
    <t>ИП МАМОНОВ ВАДИМ ЕВГЕНЬЕВИЧ</t>
  </si>
  <si>
    <t>ИП Годжен Асан Джаферович</t>
  </si>
  <si>
    <t>ИП МОЙСЕЕНКО ВЛАДИМИР АЛЕКСАНДРОВИЧ</t>
  </si>
  <si>
    <t>ИП ВАСИЛЕНКОВА ЕЛЕНА АЛЕКСАНДРОВНА</t>
  </si>
  <si>
    <t>ИП СПИЛКА ТАТЬЯНА ВЛАДИМИРОВНА</t>
  </si>
  <si>
    <t>ИП ОДИНЕЦ АЛЕКСАНДР АЛЕКСАНДРОВИЧ</t>
  </si>
  <si>
    <t>ИП БАКИЕВ МАРЛЕН РАВИЛЬЕВИЧ</t>
  </si>
  <si>
    <t>ИП ТОКАРЕВ ВИТАЛИЙ ВИКТОРОВИЧ</t>
  </si>
  <si>
    <t>ИП ДЕРЕВЯНКО АЛЕКСЕЙ АНДРЕЕВИЧ</t>
  </si>
  <si>
    <t>ИП ЛОГВИНОВ ЮРИЙ АЛЕКСАНДРОВИЧ</t>
  </si>
  <si>
    <t>ИП ФЕЙЗУЛАЕВ ЭНВЕР ЛЕНУРОВИЧ</t>
  </si>
  <si>
    <t>ИП МУСАЕВ АЙСЕР МЕДАТОВИЧ</t>
  </si>
  <si>
    <t>ИП СЕРГЕЕВ АНДРЕЙ ПИМЕНОВИЧ</t>
  </si>
  <si>
    <t>ИП ГАФАРОВ ЭЛЬДАР ЭНВЕРОВИЧ</t>
  </si>
  <si>
    <t>ИП ЗИНЕТДИНОВ МАРЛЕН АКИМОВИЧ</t>
  </si>
  <si>
    <t>298112, РЕСПУБЛИКА КРЫМ, Г ФЕОДОСИЯ, Ш КЕРЧЕНСКОЕ, Д. 38</t>
  </si>
  <si>
    <t>ИП БАРИЕВ СЕРАН ИСВЕТОВИЧ</t>
  </si>
  <si>
    <t>ИП Янов Олег Николаевич</t>
  </si>
  <si>
    <t>ИП ЧЕРНЫШОВ ОЛЕГ ВИКТОРОВИЧ</t>
  </si>
  <si>
    <t>ИП ПЕШКО ДМИТРИЙ ВЛАДИМИРОВИЧ</t>
  </si>
  <si>
    <t>ИП ПРОСКУРНИНА СВЕТЛАНА РОМАНОВНА</t>
  </si>
  <si>
    <t>ИП КУТАЕВ СЕРГЕЙ ВЛАДИМИРОВИЧ</t>
  </si>
  <si>
    <t>ИП МУАРЕМОВ АРСЕН РЕШАТОВИЧ</t>
  </si>
  <si>
    <t>ИП АХТЕМОВ АКИМ ИСМАИЛОВИЧ</t>
  </si>
  <si>
    <t>ИП ПОЛУН ГРИГОРИЙ АЛЕКСЕЕВИЧ</t>
  </si>
  <si>
    <t>ИП КОВАЛЬ ЕЛЕНА СЕРГЕЕВНА</t>
  </si>
  <si>
    <t>ИП Стародубов Сергей Александрович</t>
  </si>
  <si>
    <t>ИП ИВАНОВСКАЯ АЛЛА АЛЕКСАНДРОВНА</t>
  </si>
  <si>
    <t>ИП ИСМАИЛОВА ЛЕЙЛА АЗИЗОВНА</t>
  </si>
  <si>
    <t>ИП Подкладнев Евгений Александрович</t>
  </si>
  <si>
    <t>ИП ШУЛЬГАЧ МАКСИМ ВИКТОРОВИЧ</t>
  </si>
  <si>
    <t>ИП САЛИЕВ РУСТАМ ШАМАТОВИЧ</t>
  </si>
  <si>
    <t>ИП МАМАЕВА НАТАЛИЯ ВИКТОРОВНА</t>
  </si>
  <si>
    <t>ИП РЕПЕНКО ИВАН АЛЕКСАНДРОВИЧ</t>
  </si>
  <si>
    <t>ИП ХАЙБУЛЛАЕВ ЭРПАН ИЛИМДАРОВИЧ</t>
  </si>
  <si>
    <t>ИП ОНУФРИЕНКО АЛЕКСАНДР АНТОНОВИЧ</t>
  </si>
  <si>
    <t>ИП ГИМАДЗИНОВ РУСТЕМ ТАГИРОВИЧ</t>
  </si>
  <si>
    <t>ИП СЕЙТУМЕРОВ РУСТЕМ АХТЕМОВИЧ</t>
  </si>
  <si>
    <t>ИП ЯКУБОВ ТЕМУР РЕШЕТОВИЧ</t>
  </si>
  <si>
    <t>ИП КУЧЕРЕНКО НАРИМАН ВЛАДИМИРОВИЧ</t>
  </si>
  <si>
    <t>ИП БЕЛЯВЦЕВ ВИКТОР АЛЕКСАНДРОВИЧ</t>
  </si>
  <si>
    <t>ООО ТЕХНО-ЮГ</t>
  </si>
  <si>
    <t>297505, РЕСПУБЛИКА КРЫМ, Р-Н СИМФЕРОПОЛЬСКИЙ, С БЕЛОГЛИНКА, УЛ САЛГИРНАЯ, ЗД. 10А, КАБИНЕТ 1</t>
  </si>
  <si>
    <t>ООО СТРОЙСИТИ</t>
  </si>
  <si>
    <t>297571, РОССИЯ, РЕСПУБЛИКА КРЫМ, М.Р-Н СИМФЕРОПОЛЬСКИЙ, С ЗАРЕЧНОЕ, С.П. ДОБРОВСКОЕ, УЛ САЛГИРНАЯ, ЗД. 18А</t>
  </si>
  <si>
    <t>ООО ТЕКСОЛ СЕРВИС</t>
  </si>
  <si>
    <t>297535, РОССИЯ, РЕСПУБЛИКА КРЫМ, М.Р-Н СИМФЕРОПОЛЬСКИЙ, С УРОЖАЙНОЕ, С.П. УРОЖАЙНОВСКОЕ, УЛ ГАГАРИНА, Д. 114</t>
  </si>
  <si>
    <t>ИП ИВАНЕЦ АЛЕКСАНДР ВЛАДИМИРОВИЧ</t>
  </si>
  <si>
    <t>ИП ФАКИДОВ ДИЛЯВЕР МАМЕТОВИЧ</t>
  </si>
  <si>
    <t>ИП МУХЧИЕВА ЭЛЬЗАРА АХТЕМОВНА</t>
  </si>
  <si>
    <t>ИП ПЕРЕПЁЛКА БОРИС ВИКТОРОВИЧ</t>
  </si>
  <si>
    <t>ООО КАРАНФИЛЬ</t>
  </si>
  <si>
    <t>297408, РЕСПУБЛИКА КРЫМ, Г ЕВПАТОРИЯ, УЛ ИНТЕРНАЦИОНАЛЬНАЯ, Д. 89А</t>
  </si>
  <si>
    <t>297420, РЕСПУБЛИКА КРЫМ, Г ЕВПАТОРИЯ, УЛ ЧАПАЕВА, Д. 3, ПОМЕЩ. 140</t>
  </si>
  <si>
    <t>ООО ГУРМАН</t>
  </si>
  <si>
    <t>297491, РЕСПУБЛИКА КРЫМ, Г ЕВПАТОРИЯ, ПГТ НОВООЗЕРНОЕ, УЛ ГЕРОЕВ-ДЕСАНТНИКОВ, Д. 2Б</t>
  </si>
  <si>
    <t>ООО РДР</t>
  </si>
  <si>
    <t>297415, РЕСПУБЛИКА КРЫМ, Г ЕВПАТОРИЯ, УЛ ЧОКРАК (ИСМАИЛ-БЕЙ МКР.), Д. 1</t>
  </si>
  <si>
    <t>ИП ГАФАРОВ ЭСКЕНДЕР ЭШРЕПОВИЧ</t>
  </si>
  <si>
    <t>ИП ЯЛЫНЕЦКИЙ АЛЕКСЕЙ ПАВЛОВИЧ</t>
  </si>
  <si>
    <t>ИП КОЗАК ОЛЕГ ЮРЬЕВИЧ</t>
  </si>
  <si>
    <t>ИП КОМИРДЖИЕВА ЭЛЬНАРА МУРТАЗАЕВНА</t>
  </si>
  <si>
    <t>ИП ПЕТЛЕНКО ДМИТРИЙ НИКОЛАЕВИЧ</t>
  </si>
  <si>
    <t>ИП ПРИЛИПКО НАДЕЖДА АЛЕКСАНДРОВНА</t>
  </si>
  <si>
    <t>ИП Константинов Андрей Юрьевич</t>
  </si>
  <si>
    <t>ООО НОВАГРУП</t>
  </si>
  <si>
    <t>298303, РЕСПУБЛИКА КРЫМ, Г КЕРЧЬ, УЛ КОКОРИНА, ЗД. 63, ОФИС 1</t>
  </si>
  <si>
    <t>ИП ЕРШОВА МАРИЯ ВЛАДИМИРОВНА</t>
  </si>
  <si>
    <t>ИП ЛИННИК АЛЕКСЕЙ СЕРГЕЕВИЧ</t>
  </si>
  <si>
    <t>ИП ЗЫКОВ АЛЕКСЕЙ ВИТАЛЬЕВИЧ</t>
  </si>
  <si>
    <t>ООО КСТ-КРЫМ</t>
  </si>
  <si>
    <t>298100, РЕСПУБЛИКА КРЫМ, Г ФЕОДОСИЯ, Ш СИМФЕРОПОЛЬСКОЕ, Д. 24-Е, ПОМЕЩ. 1</t>
  </si>
  <si>
    <t>ИП ШЕВЦОВ ИГОРЬ ЮРЬЕВИЧ</t>
  </si>
  <si>
    <t>ИП ЛОБОДА ДАРЬЯ ПАВЛОВНА</t>
  </si>
  <si>
    <t>ООО ТЕХНОТОРГ-КРЫМ</t>
  </si>
  <si>
    <t>295493, РОССИЯ, РЕСПУБЛИКА КРЫМ, Г.О. СИМФЕРОПОЛЬ, П БИТУМНОЕ, УЛ ВНЕШНЯЯ, ЗД. 30А, СТР. 1</t>
  </si>
  <si>
    <t>ИП ШИШКИН ВАЛЕРИЙ АЛЕКСАНДРОВИЧ</t>
  </si>
  <si>
    <t>ООО ТСП КАМА</t>
  </si>
  <si>
    <t>297505, РОССИЯ, РЕСПУБЛИКА КРЫМ, М.Р-Н СИМФЕРОПОЛЬСКИЙ, С МИРНОЕ, С.П. МИРНОВСКОЕ, УЛ ЕВПАТОРИЙСКАЯ, Д. 62А, СТР. 1</t>
  </si>
  <si>
    <t>ИП ХИЯСЕДИНОВ АРСЕН КУРТВЕЛИЕВИЧ</t>
  </si>
  <si>
    <t>ООО ТОПСТРОЙ</t>
  </si>
  <si>
    <t>297571, РЕСПУБЛИКА КРЫМ, Р-Н СИМФЕРОПОЛЬСКИЙ, С ДОБРОЕ, УЛ 40 ЛЕТ ПОБЕДЫ, ЗД. 11Б, ОФИС 2</t>
  </si>
  <si>
    <t>ООО МАКС-ДРАЙВ</t>
  </si>
  <si>
    <t>297505, РЕСПУБЛИКА КРЫМ, Р-Н СИМФЕРОПОЛЬСКИЙ, С БЕЛОГЛИНКА, УЛ СКВОЗНАЯ, Д. 92, ОФИС 8</t>
  </si>
  <si>
    <t>ИП ПАЛАМАРЧУК ВЯЧЕСЛАВ ВЛАДИМИРОВИЧ</t>
  </si>
  <si>
    <t>ООО КРЫМТОРГ</t>
  </si>
  <si>
    <t>295043, РОССИЯ, РЕСПУБЛИКА КРЫМ, М.Р-Н СИМФЕРОПОЛЬСКИЙ, ПГТ МОЛОДЕЖНОЕ, С.П. МОЛОДЕЖНЕНСКОЕ, УЛ ОБЪЕЗДНАЯ, Д. 1</t>
  </si>
  <si>
    <t>ИП ДЖИОЕВ КОНСТАНТИН ВАДИМОВИЧ</t>
  </si>
  <si>
    <t>ИП Харитоненко Валерий Викторович</t>
  </si>
  <si>
    <t>ИП ПОПОВА ЛЮБОВЬ АЛЕКСАНДРОВНА</t>
  </si>
  <si>
    <t>ИП МЕДОВНИК ЮЛИЯ АЛЕКСАНДРОВНА</t>
  </si>
  <si>
    <t>ИП ЛЕОНИК ОКСАНА АЛЕКСАНДРОВНА</t>
  </si>
  <si>
    <t>ИП СОФИН СЕРГЕЙ ВИКТОРОВИЧ</t>
  </si>
  <si>
    <t>ООО ЭЙ ДЖИ ЭЙ КРЫМ</t>
  </si>
  <si>
    <t>298109, РЕСПУБЛИКА КРЫМ, Г ФЕОДОСИЯ, УЛ ГРИНА, Д. 2А, ОФИС 1</t>
  </si>
  <si>
    <t>ИП АСТАХОВ ВИТАЛИЙ КИМОВИЧ</t>
  </si>
  <si>
    <t>ИП САВИЦКИЙ СЕРГЕЙ ЮРЬЕВИЧ</t>
  </si>
  <si>
    <t>ИП ЮРЧУК АННА АНАТОЛЬЕВНА</t>
  </si>
  <si>
    <t>ИП ФЕДУКИНА МАРИЯ МИХАЙЛОВНА</t>
  </si>
  <si>
    <t>ИП АХМЕТОВА ЭЛЬВИНА РЕФАТОВНА</t>
  </si>
  <si>
    <t>ИП ТОЛОКНЕЕВА ЮЛИЯ ВЯЧЕСЛАВОВНА</t>
  </si>
  <si>
    <t>ИП ПУЧКОВ ДМИТРИЙ СЕРГЕЕВИЧ</t>
  </si>
  <si>
    <t>ИП КИНИГОПУЛО ДМИТРИЙ ИВАНОВИЧ</t>
  </si>
  <si>
    <t>ГБПОУ КСПУОР ИМ. Л. Ф. ЯРОВОГО</t>
  </si>
  <si>
    <t>297571, РЕСПУБЛИКА КРЫМ, Р-Н СИМФЕРОПОЛЬСКИЙ, С КРАСНОЛЕСЬЕ, УЛ ПАРКОВАЯ, ЗД. 71Б</t>
  </si>
  <si>
    <t>ИП ЗЕКЕРЬЯЕВ АЛИМ ФАХРИЕВИЧ</t>
  </si>
  <si>
    <t>ООО СПЕЦСЕРВИСКАР</t>
  </si>
  <si>
    <t>297503, РОССИЯ, РЕСПУБЛИКА КРЫМ, М.Р-Н СИМФЕРОПОЛЬСКИЙ, С МИРНОЕ, С.П. МИРНОВСКОЕ, УЛ БЕЛОВА, ЗД. 5, К. 1</t>
  </si>
  <si>
    <t>ИП РЯБИНИНА МАРГАРИТА АСХАТОВНА</t>
  </si>
  <si>
    <t>ИП ХАРАЧИХ ДИЛЯРА МУДЕСИРОВНА</t>
  </si>
  <si>
    <t>ИП ЭБУБЕКИРОВ ЭСКЕНДЕР ФЕВЗИЕВИЧ</t>
  </si>
  <si>
    <t>ИП ХАЛИЛОВ СУЛЕЙМАН ИБРАМОВИЧ</t>
  </si>
  <si>
    <t>ИП ПОВЫДЫШ ДМИТРИЙ ВАЛЕРИЕВИЧ</t>
  </si>
  <si>
    <t>ИП ВЕРХОВИНИН КОНСТАНТИН ВИКТОРОВИЧ</t>
  </si>
  <si>
    <t>ИП ГАНОЦКИЙ ЕВГЕНИЙ АНАТОЛЬЕВИЧ</t>
  </si>
  <si>
    <t>ИП ГАВРИЛОВА ГАЛИНА МИХАЙЛОВНА</t>
  </si>
  <si>
    <t>ИП Чагарный Павел Николаевич</t>
  </si>
  <si>
    <t>ИП ЧУПРИН МИХАИЛ АЛЕКСАНДРОВИЧ</t>
  </si>
  <si>
    <t>ООО ДЕЛИШЕС</t>
  </si>
  <si>
    <t>295047, РЕСПУБЛИКА КРЫМ, Г СИМФЕРОПОЛЬ, УЛ ГЕРОЕВ СТАЛИНГРАДА, Д. 3А</t>
  </si>
  <si>
    <t>ООО ГРИН АЙС</t>
  </si>
  <si>
    <t>295022, РЕСПУБЛИКА КРЫМ, Г СИМФЕРОПОЛЬ, УЛ ГЛИНКИ, Д. 68, КАБИНЕТ 2</t>
  </si>
  <si>
    <t>ИП ЧАГАРНАЯ ЗОЯ НИКОЛАЕВНА</t>
  </si>
  <si>
    <t>ИП МЕМЕТОВ РЕМЗИ НУРИЕВИЧ</t>
  </si>
  <si>
    <t>ИП КЛИНЦОВ ГЕОРГИЙ ГЕОРГИЕВИЧ</t>
  </si>
  <si>
    <t>ООО АРС СЕРВИС</t>
  </si>
  <si>
    <t>295000, РЕСПУБЛИКА КРЫМ, Г СИМФЕРОПОЛЬ, УЛ ИМЕНИ ГАЗЕТЫ КРЫМСКАЯ ПРАВДА, Д. 12</t>
  </si>
  <si>
    <t>ИП СМОЛА ЮРИЙ ВИЛЕНОВИЧ</t>
  </si>
  <si>
    <t>ИП СВЯТОЙ СЕРГЕЙ ПЕТРОВИЧ</t>
  </si>
  <si>
    <t>ИП СОПОВ ВИТАЛИЙ ВАСИЛЬЕВИЧ</t>
  </si>
  <si>
    <t>ИП КУРТСЕИТОВ МУРАД АБДУРАХМАНОВИЧ</t>
  </si>
  <si>
    <t>ИП АБСЕЛЯМОВА АЙШЕ АНОРОВНА</t>
  </si>
  <si>
    <t>ИП ЕРШОВ ОЛЕГ ВАСИЛЬЕВИЧ</t>
  </si>
  <si>
    <t>ИП ПОПОВИЧ ПАВЕЛ ПЕТРОВИЧ</t>
  </si>
  <si>
    <t>ИП МАМБЕТОВ ЭМИН ИЛИМДАРОВИЧ</t>
  </si>
  <si>
    <t>ИП ЦВЕТКОВ ИВАН ЮРЬЕВИЧ</t>
  </si>
  <si>
    <t>ИП СУЛТАНОВ МАРЛЕН ЭНВЕРОВИЧ</t>
  </si>
  <si>
    <t>ИП ОСТАНИН АЛЕКСАНДР АЛЕКСАНДРОВИЧ</t>
  </si>
  <si>
    <t>ИП КАРПОВ АНДРЕЙ ВАДИМОВИЧ</t>
  </si>
  <si>
    <t>ИП МАЛЯР РОМАН ЮРЬЕВИЧ</t>
  </si>
  <si>
    <t>ИП НОВИКОВ ВАЛЕРИЙ АЛЕКСАНДРОВИЧ</t>
  </si>
  <si>
    <t>ИП БРИЧКА МАРИНА АЛЕКСАНДРОВНА</t>
  </si>
  <si>
    <t>ИП БЕЛЕНЬКАЯ СВЕТЛАНА ИГОРЕВНА</t>
  </si>
  <si>
    <t>ИП КРОПИВСКИЙ СЕРГЕЙ ПЕТРОВИЧ</t>
  </si>
  <si>
    <t>ООО ИНТЕХ-ТРЕЙД</t>
  </si>
  <si>
    <t>295493, РОССИЯ, РЕСПУБЛИКА КРЫМ, М.Р-Н СИМФЕРОПОЛЬСКИЙ, ПГТ МОЛОДЕЖНОЕ, С.П. МОЛОДЕЖНЕНСКОЕ, УЛ МОСКОВСКОЕ ШОССЕ, ЗД. 11А</t>
  </si>
  <si>
    <t>ИП АНИСИМОВА АНАСТАСИЯ ВИКТОРОВНА</t>
  </si>
  <si>
    <t>ИП ДЖПАНЯН САМВЕЛ АРТЕМОВИЧ</t>
  </si>
  <si>
    <t>Севастополь</t>
  </si>
  <si>
    <t>ИП ЧВИЛЬ РАИСА МИХАЙЛОВНА</t>
  </si>
  <si>
    <t>ИП ВАЛУЕВА ЗОЯ ЕВГЕНЬЕВНА</t>
  </si>
  <si>
    <t>ИП КУРУСЬ ЮРИЙ НИКОЛАЕВИЧ</t>
  </si>
  <si>
    <t>ИП НАГНИБЕДА АРТЕМ АЛЕКСАНДРОВИЧ</t>
  </si>
  <si>
    <t>ИП МАЗЮК АРТЕМ АНДРЕЕВИЧ</t>
  </si>
  <si>
    <t>ИП ДМИТРИЕВ АЛЕКСАНДР НИКОЛАЕВИЧ</t>
  </si>
  <si>
    <t>ООО ТАВРИДА ОЙЛ</t>
  </si>
  <si>
    <t>299014, Г.СЕВАСТОПОЛЬ, ВН.ТЕР.Г. ГАГАРИНСКИЙ МУНИЦИПАЛЬНЫЙ ОКРУГ, УЛ ПАВЛА КОРЧАГИНА, Д. 23, КВ. 139</t>
  </si>
  <si>
    <t>ООО АВТООЙЛ-КРЫМ</t>
  </si>
  <si>
    <t>299040, Г.СЕВАСТОПОЛЬ, ПР-Д ИНДУСТРИАЛЬНЫЙ, ЗД. 10</t>
  </si>
  <si>
    <t>ИП СЕРГЕЕВА СВЕТЛАНА ИВАНОВНА</t>
  </si>
  <si>
    <t>ИП ДЮКАРЕВА ГАЛИНА ВИКТОРОВНА</t>
  </si>
  <si>
    <t>ООО ПРЕСТИЖ-АВТО</t>
  </si>
  <si>
    <t>299053, Г.СЕВАСТОПОЛЬ, УЛ РУДНЕВА, Д. 35Г</t>
  </si>
  <si>
    <t>ООО РИЧНЕТ</t>
  </si>
  <si>
    <t>299028, Г.СЕВАСТОПОЛЬ, УЛ ЕФРЕМОВА, Д. 24, КВ. 43</t>
  </si>
  <si>
    <t>ИП ПРОКОПЕНКО СТАНИСЛАВ ВАЛЕРИЕВИЧ</t>
  </si>
  <si>
    <t>ИП ШИПИЛОВ АЛЕКСАНДР СЕРГЕЕВИЧ</t>
  </si>
  <si>
    <t>ООО ТРАНЗИТ-ПОСТАВКА</t>
  </si>
  <si>
    <t>299055, Г.СЕВАСТОПОЛЬ, ПР-КТ ГЕНЕРАЛА ОСТРЯКОВА, Д. 225, КВ. 23</t>
  </si>
  <si>
    <t>ИП ЧУБАРЬ ЕВГЕНИЙ НИКОЛАЕВИЧ</t>
  </si>
  <si>
    <t>ООО ЛИГОЛ</t>
  </si>
  <si>
    <t>299029, Г.СЕВАСТОПОЛЬ, ПР-КТ ГЕНЕРАЛА ОСТРЯКОВА, Д. 64, КАБИНЕТ 1</t>
  </si>
  <si>
    <t>ООО АЗК</t>
  </si>
  <si>
    <t>299029, РОССИЯ, Г.СЕВАСТОПОЛЬ, ВН.ТЕР.Г. ЛЕНИНСКИЙ МУНИЦИПАЛЬНЫЙ ОКРУГ, ПР-КТ ГЕНЕРАЛА ОСТРЯКОВА, Д. 60, КВ. 20</t>
  </si>
  <si>
    <t>ООО АВТО-ЛЮКС</t>
  </si>
  <si>
    <t>299053, Г.СЕВАСТОПОЛЬ, УЛ ВАКУЛЕНЧУКА, Д. 47</t>
  </si>
  <si>
    <t>ИП Феоктистов Владислав Викторович</t>
  </si>
  <si>
    <t>ООО АВТО МОТОРС СЕВАСТОПОЛЬ</t>
  </si>
  <si>
    <t>299055, Г.СЕВАСТОПОЛЬ, Ш КАМЫШОВОЕ, Д. 2В</t>
  </si>
  <si>
    <t>ООО ТРЕЙД АВТО СЕВАСТОПОЛЬ</t>
  </si>
  <si>
    <t>ООО КРЫМКАР ПЛЮС</t>
  </si>
  <si>
    <t>299055, Г.СЕВАСТОПОЛЬ, Ш КАМЫШОВОЕ, ЗД. 2Г</t>
  </si>
  <si>
    <t>ООО КРЫМПРОМСЕРВИС</t>
  </si>
  <si>
    <t>299006, Г.СЕВАСТОПОЛЬ, Ш ФИОЛЕНТОВСКОЕ, ЗД. 9В/2</t>
  </si>
  <si>
    <t>ООО ТД КРЫМ-ОЙЛ</t>
  </si>
  <si>
    <t>299029, Г.СЕВАСТОПОЛЬ, ВН.ТЕР.Г. ЛЕНИНСКИЙ МУНИЦИПАЛЬНЫЙ ОКРУГ, УЛ СОЛОВЬЕВА, Д. 4, НЕЖИЛЫЕ ПОМЕЩЕНИЯ ВТОРОГО ЭТАЖА № 2, 5, 6, 7</t>
  </si>
  <si>
    <t>ИП СВЕТАШОВА ЛИДИЯ ЛЕОНИДОВНА</t>
  </si>
  <si>
    <t>ИП ПРАВЕДНЫЙ АНДРЕЙ ВЛАДИМИРОВИЧ</t>
  </si>
  <si>
    <t>ИП КОВАЛЬ АРТУР ВЛАДИМИРОВИЧ</t>
  </si>
  <si>
    <t>ООО АЛЬТЕРНАТИВА ЮГ</t>
  </si>
  <si>
    <t>299003, Г.СЕВАСТОПОЛЬ, ВН.ТЕР.Г. ЛЕНИНСКИЙ МУНИЦИПАЛЬНЫЙ ОКРУГ, УЛ РУДНЕВА, Д. 1Г, БОКС ЛИТ К</t>
  </si>
  <si>
    <t>ИП ЛУШНИКОВ СЕРГЕЙ АЛЕКСАНДРОВИЧ</t>
  </si>
  <si>
    <t>ИП ДОЛЖЕНКОВ КОНСТАНТИН ЕВГЕНЬЕВИЧ</t>
  </si>
  <si>
    <t>ИП БЕЛИК АЛЕКСАНДР ВАСИЛЬЕВИЧ</t>
  </si>
  <si>
    <t>ООО АРУНА-ТРАНС ГРУПП</t>
  </si>
  <si>
    <t>299055, Г.СЕВАСТОПОЛЬ, ВН.ТЕР.Г. ГАГАРИНСКИЙ МУНИЦИПАЛЬНЫЙ ОКРУГ, Ш КАМЫШОВОЕ, ЗД. 6, ПОМЕЩ. 18</t>
  </si>
  <si>
    <t>ООО КРЫМ ОИЛ</t>
  </si>
  <si>
    <t>299007, Г.СЕВАСТОПОЛЬ, УЛ ОЛЕГА КОШЕВОГО, Д. 1-А</t>
  </si>
  <si>
    <t>ООО ЛД</t>
  </si>
  <si>
    <t>299038, Г.СЕВАСТОПОЛЬ, ВН.ТЕР.Г. ГАГАРИНСКИЙ МУНИЦИПАЛЬНЫЙ ОКРУГ, УЛ КОЛОБОВА, Д. 40, ПОМЕЩ. ВСТРОЕННЫЕ ТОРГОВО-ОФИСНЫЕ ПОМЕЩЕНИЯ В ЛИТ. А; А1 СОСТОЯТ ИЗ V-1; V-2; VI</t>
  </si>
  <si>
    <t>ИП СВИРИН ИВАН ИВАНОВИЧ</t>
  </si>
  <si>
    <t>ИП СТЕПАНОВА КАРИНА НИКОЛАЕВНА</t>
  </si>
  <si>
    <t>ИП КОСАШ ОЛЬГА ВАЛЕРЬЕВНА</t>
  </si>
  <si>
    <t>ООО ТРАКПАРТС</t>
  </si>
  <si>
    <t>299014, Г.СЕВАСТОПОЛЬ, ВН.ТЕР.Г. ГАГАРИНСКИЙ МУНИЦИПАЛЬНЫЙ ОКРУГ, Ш КАМЫШОВОЕ, ЗД. 20</t>
  </si>
  <si>
    <t>ООО КРЫМ АВТО ХОЛДИНГ</t>
  </si>
  <si>
    <t>299053, Г.СЕВАСТОПОЛЬ, Ш ФИОЛЕНТОВСКОЕ, Д. 5Б</t>
  </si>
  <si>
    <t>ИП БЫКОВА МАРИНА ПЕТРОВНА</t>
  </si>
  <si>
    <t>ИП ЗАЙЦЕВ ВИКТОР СЕРГЕЕВИЧ</t>
  </si>
  <si>
    <t>ООО ВАВИЛОН</t>
  </si>
  <si>
    <t>ИП СОРОКА ПАВЕЛ СЕРГЕЕВИЧ</t>
  </si>
  <si>
    <t>ООО АВТОПРОДСЕРВИС-9</t>
  </si>
  <si>
    <t>299010, Г.СЕВАСТОПОЛЬ, УЛ ЧЕРНОРЕЧЕНСКАЯ, Д. 129</t>
  </si>
  <si>
    <t>ООО АЗБ</t>
  </si>
  <si>
    <t>299018, Г.СЕВАСТОПОЛЬ, УЛ КРЕСТОВСКОГО, ЗД. 66</t>
  </si>
  <si>
    <t>ООО СПЕЦЗАПЧАСТЬ</t>
  </si>
  <si>
    <t>299022, Г.СЕВАСТОПОЛЬ, УЛ ГОРПИЩЕНКО, Д. 110, КВ. 3</t>
  </si>
  <si>
    <t>ИП КУРДЮКОВ ВИТАЛИЙ ВАЛЕРЬЕВИЧ</t>
  </si>
  <si>
    <t>ИП ЕРМИШИН АЛЕКСАНДР ЭДУАРДОВИЧ</t>
  </si>
  <si>
    <t>ООО СТК ДОБРОСТРОЙ</t>
  </si>
  <si>
    <t>299011, Г.СЕВАСТОПОЛЬ, УЛ ГОГОЛЯ, Д. 2, ОФИС 333</t>
  </si>
  <si>
    <t>ООО БЕЛ-КРЫМ</t>
  </si>
  <si>
    <t>299003, Г.СЕВАСТОПОЛЬ, УЛ РУДНЕВА, Д. 2А</t>
  </si>
  <si>
    <t>ООО ФОРВАРД АВТО СЕВАСТОПОЛЬ</t>
  </si>
  <si>
    <t>ИП Сухенко Юлия Валериевна</t>
  </si>
  <si>
    <t>ИП МОЧУЛЯК МАРК ПЕТРОВИЧ</t>
  </si>
  <si>
    <t>ООО РЕНЕТ</t>
  </si>
  <si>
    <t>299029, Г.СЕВАСТОПОЛЬ, ПР-КТ ГЕНЕРАЛА ОСТРЯКОВА, Д. 64, КАБИНЕТ 2</t>
  </si>
  <si>
    <t>ООО СВ-СЕРВИС</t>
  </si>
  <si>
    <t>299053, Г.СЕВАСТОПОЛЬ, Ш ФИОЛЕНТОВСКОЕ, ЗД. 1/2</t>
  </si>
  <si>
    <t>ООО ПРОФКАНЦ</t>
  </si>
  <si>
    <t>299029, Г.СЕВАСТОПОЛЬ, УЛ СОЛОВЬЕВА, Д. 6</t>
  </si>
  <si>
    <t>ИП ГУРЕЕВ АЛЕКСАНДР АНАТОЛЬЕВИЧ</t>
  </si>
  <si>
    <t>ИП АВРАХОВ АНДРЕЙ ПЕТРОВИЧ</t>
  </si>
  <si>
    <t>ИП Смоков Эдуард Леонидович</t>
  </si>
  <si>
    <t>ИП БЕЛИК НАТАЛИЯ СЕРГЕЕВНА</t>
  </si>
  <si>
    <t>ООО ПЛАНЕТА СПОРТ</t>
  </si>
  <si>
    <t>299023, Г.СЕВАСТОПОЛЬ, УЛ СЕМИПАЛАТИНСКАЯ, Д. 2Б</t>
  </si>
  <si>
    <t>ИП РЕДЬКО ВАЛЕРИЙ ВИКТОРОВИЧ</t>
  </si>
  <si>
    <t>ИП КОРЫТЬКО АРКАДИЙ СЕРГЕЕВИЧ</t>
  </si>
  <si>
    <t>Донецкая Народная Республика</t>
  </si>
  <si>
    <t>ИП САВКОВ ДЕНИС ИГОРЕВИЧ</t>
  </si>
  <si>
    <t>ИП АЛЕНГОЗ ОЛЕСЯ ОЛЕГОВНА</t>
  </si>
  <si>
    <t>ИП ДАЦСКИЙ ДМИТРИЙ СЕРГЕЕВИЧ</t>
  </si>
  <si>
    <t>ИП ПЕРЕДЕРИЙ ТАТЬЯНА ГЕОРГИЕВНА</t>
  </si>
  <si>
    <t>ИП СИДОРОВА СВЕТЛАНА ИВАНОВНА</t>
  </si>
  <si>
    <t>ИП ТАРАБАНЬКО ДМИТРИЙ ВИКТОРОВИЧ</t>
  </si>
  <si>
    <t>ИП БАРАКАЕВА ОЛЬГА ИГОРЕВНА</t>
  </si>
  <si>
    <t>ИП ШУТОВА ВАЛЕНТИНА ГРИГОРЬЕВНА</t>
  </si>
  <si>
    <t>ИП ПАРФЕНОВ ДМИТРИЙ ПАВЛОВИЧ</t>
  </si>
  <si>
    <t>ИП ФИДИРКО ТАТЬЯНА НИКОЛАЕВНА</t>
  </si>
  <si>
    <t>ИП СОЛОМЫКИН ВАДИМ ВЛАДИМИРОВИЧ</t>
  </si>
  <si>
    <t>ИП ФЕДОСЕЕВА НИНА ГРИГОРЬЕВНА</t>
  </si>
  <si>
    <t>ИП АКИМОВ РОМАН ВАЛЕНТИНОВИЧ</t>
  </si>
  <si>
    <t>ИП ГОРОХОВ ДМИТРИЙ ГЕННАДЬЕВИЧ</t>
  </si>
  <si>
    <t>ИП НОВИКОВА АЛЕКСАНДРА РОСТИСЛАВОВНА</t>
  </si>
  <si>
    <t>ИП НЕСТЕРУК АННА НИКОЛАЕВНА</t>
  </si>
  <si>
    <t>ИП ОМЕСЬ ГРИГОРИЙ ВАСИЛЬЕВИЧ</t>
  </si>
  <si>
    <t>ИП ГУТОРОВА МАРИНА ВИТАЛЬЕВНА</t>
  </si>
  <si>
    <t>ИП СКОБЛО ЯНА ПАВЛОВНА</t>
  </si>
  <si>
    <t>ИП ПОЛЕЩУК ДАРЬЯ ДМИТРИЕВНА</t>
  </si>
  <si>
    <t>ИП КОСТЕНКО ВЛАДИМИР ЛЕОНИДОВИЧ</t>
  </si>
  <si>
    <t>ИП ПЕФТИЕВ ВЛАДИСЛАВ ЭДУАРДОВИЧ</t>
  </si>
  <si>
    <t>ИП ЧИКАЧЕВА НАТАЛЬЯ ВИКТОРОВНА</t>
  </si>
  <si>
    <t>ИП ДЖЕНИШАЕВА МАЙЯ СЕРГЕЕВНА</t>
  </si>
  <si>
    <t>ИП ГОРЕЛОВ ВЛАДИМИР ЭДУАРДОВИЧ</t>
  </si>
  <si>
    <t>ИП ЧЕВЕРДА АЛЕКСАНДР НИКОЛАЕВИЧ</t>
  </si>
  <si>
    <t>ИП ПЫЛЫПЕНКО МАРИНА НИКОЛАЕВНА</t>
  </si>
  <si>
    <t>ИП ДОНСКОЙ ЮРИЙ ИВАНОВИЧ</t>
  </si>
  <si>
    <t>ИП РАДЧЕНКО ВИТАЛИЙ ВАЛЕРИЕВИЧ</t>
  </si>
  <si>
    <t>ООО ТЕХМАСЛА</t>
  </si>
  <si>
    <t>283050, РОССИЯ, ДОНЕЦКАЯ НАРОДНАЯ РЕСПУБЛИКА, Г.О. ДОНЕЦК, Г. ДОНЕЦК, УЛ. ЩОРСА, Д. 24</t>
  </si>
  <si>
    <t>ИП ПАШКОВСКАЯ ЮЛИЯ ФЕДОРОВНА</t>
  </si>
  <si>
    <t>ИП ЦЕСЕЛЬСКИЙ ВИТАЛИЙ ВАЛЕРИЕВИЧ</t>
  </si>
  <si>
    <t>ИП МАТЮШЕНКО АЛЕКСАНДР АЛЕКСАНДРОВИЧ</t>
  </si>
  <si>
    <t>ООО СТАР-ТРЕЙД</t>
  </si>
  <si>
    <t>283092, РОССИЯ, ДОНЕЦКАЯ НАРОДНАЯ РЕСПУБЛИКА, Г.О. ДОНЕЦК, Г. ДОНЕЦК, УЛ. 230-Й СТРЕЛКОВОЙ ДИВИЗИИ, Д. 1А</t>
  </si>
  <si>
    <t>ООО ДАКАР</t>
  </si>
  <si>
    <t>283030, РОССИЯ, ДОНЕЦКАЯ НАРОДНАЯ РЕСПУБЛИКА, Г.О. ДОНЕЦК, Г. ДОНЕЦК, УЛ. КРАСНООКТЯБРЬСКАЯ, Д. 111</t>
  </si>
  <si>
    <t>ИП ЕВСЮКОВ ДМИТРИЙ СЕРГЕЕВИЧ</t>
  </si>
  <si>
    <t>ИП РОМАНЕНКО АЛЕКСЕЙ ИГОРЕВИЧ</t>
  </si>
  <si>
    <t>ООО РОВЕСНИК-АВТО</t>
  </si>
  <si>
    <t>283049, РОССИЯ, ДОНЕЦКАЯ НАРОДНАЯ РЕСПУБЛИКА, Г.О. ДОНЕЦК, Г. ДОНЕЦК, ПР-КТ ЛЕНИНСКИЙ, Д. 37Б</t>
  </si>
  <si>
    <t>ИП СЕРГА АЛЕКСАНДР СЕРГЕЕВИЧ</t>
  </si>
  <si>
    <t>ООО АНКОР</t>
  </si>
  <si>
    <t>283017, РОССИЯ, ДОНЕЦКАЯ НАРОДНАЯ РЕСПУБЛИКА, Г.О. ДОНЕЦК, Г. ДОНЕЦК, ПР-КТ МИРА, Д. 40</t>
  </si>
  <si>
    <t>ООО ПКФ ДОНТРАНССЕРВИС</t>
  </si>
  <si>
    <t>283001, РОССИЯ, ДОНЕЦКАЯ НАРОДНАЯ РЕСПУБЛИКА, Г.О. ДОНЕЦК, Г. ДОНЕЦК, ПР-КТ КОМСОМОЛЬСКИЙ, Д. 8</t>
  </si>
  <si>
    <t>ООО КЛЮЧ АВТО ДОНЕЦК</t>
  </si>
  <si>
    <t>283014, РОССИЯ, ДОНЕЦКАЯ НАРОДНАЯ РЕСПУБЛИКА, Г.О. ДОНЕЦК, Г. ДОНЕЦК, УЛ. ЛЕВОБЕРЕЖНАЯ, Д. 68Г</t>
  </si>
  <si>
    <t>ООО МПРТОРГ</t>
  </si>
  <si>
    <t>283050, РОССИЯ, ДОНЕЦКАЯ НАРОДНАЯ РЕСПУБЛИКА, Г.О. ДОНЕЦК, Г. ДОНЕЦК, УЛ. ЩОРСА, Д. 47Б, ОФИС 302</t>
  </si>
  <si>
    <t>ООО ДОНТЕХОЙЛ</t>
  </si>
  <si>
    <t>283023, РОССИЯ, ДОНЕЦКАЯ НАРОДНАЯ РЕСПУБЛИКА, Г.О. ДОНЕЦК, Г. ДОНЕЦК, УЛ. ЧЕРНИГОВСКАЯ, Д. 12</t>
  </si>
  <si>
    <t>ООО МПР НР</t>
  </si>
  <si>
    <t>283086, РОССИЯ, ДОНЕЦКАЯ НАРОДНАЯ РЕСПУБЛИКА, Г.О. ДОНЕЦК, Г. ДОНЕЦК, ПЛ. КОММУНАРОВ, Д. 1, ОФИС 5</t>
  </si>
  <si>
    <t>ООО ТРАБЕН ГРУПП</t>
  </si>
  <si>
    <t>283001, РОССИЯ, ДОНЕЦКАЯ НАРОДНАЯ РЕСПУБЛИКА, Г.О. ДОНЕЦК, Г. ДОНЕЦК, УЛ. 50-ЛЕТИЯ СССР, Д. 150, ПОМЕЩ. 1</t>
  </si>
  <si>
    <t>ИП ЧЕБОТАРЁВ БОРИС ЛЕОНИДОВИЧ</t>
  </si>
  <si>
    <t>ИП ХАЛЯВКА ВЕРА ПЕТРОВНА</t>
  </si>
  <si>
    <t>ИП МИХАЙЛИЧЕНКО НАТАЛЬЯ НИКОЛАЕВНА</t>
  </si>
  <si>
    <t>ИП ДЕГТЯРЬ ВАЛЕРИЙ ОЛЕГОВИЧ</t>
  </si>
  <si>
    <t>ООО АВТОМАГ-ТЕХНИКА</t>
  </si>
  <si>
    <t>283004, РОССИЯ, ДОНЕЦКАЯ НАРОДНАЯ РЕСПУБЛИКА, Г.О. ДОНЕЦК, Г. ДОНЕЦК, ПР-КТ КИЕВСКИЙ, Д. 8</t>
  </si>
  <si>
    <t>ГУП ДНР РТК</t>
  </si>
  <si>
    <t>РОССИЯ, ДОНЕЦКАЯ НАРОДНАЯ РЕСПУБЛИКА, Г.О. ДОНЕЦК, Г. ДОНЕЦК, УЛ. ПЕТРОВСКОГО, Д. 4/8</t>
  </si>
  <si>
    <t>ИП ШЕНДРИКОВ ИГОРЬ ВАЛЕРИЕВИЧ</t>
  </si>
  <si>
    <t>ООО БАРСИЯ</t>
  </si>
  <si>
    <t>286607, РОССИЯ, ДОНЕЦКАЯ НАРОДНАЯ РЕСПУБЛИКА, Г.О. ТОРЕЗ, Г. ТОРЕЗ, УЛ. ШОССЕЙНАЯ, Д. 5</t>
  </si>
  <si>
    <t>ИП ЗАБЛОЦКИЙ ИГОРЬ ИВАНОВИЧ</t>
  </si>
  <si>
    <t>ИП КОСМАН НАТАЛЬЯ НИКОЛАЕВНА</t>
  </si>
  <si>
    <t>ИП КОРНЕЕВ АЛЕКСАНДР ОЛЕГОВИЧ</t>
  </si>
  <si>
    <t>ИП ВЕНГЕРЕНКО АЛЕКСАНДР ВАЛЕРИЕВИЧ</t>
  </si>
  <si>
    <t>ООО БИЗНЕС ТЕХНИК</t>
  </si>
  <si>
    <t>283023, РОССИЯ, ДОНЕЦКАЯ НАРОДНАЯ РЕСПУБЛИКА, Г.О. ДОНЕЦК, Г. ДОНЕЦК, ПР-КТ ПАВШИХ КОММУНАРОВ, Д. 105</t>
  </si>
  <si>
    <t>ООО МПР БЫТ</t>
  </si>
  <si>
    <t>283015, РОССИЯ, ДОНЕЦКАЯ НАРОДНАЯ РЕСПУБЛИКА, Г.О. ДОНЕЦК, Г. ДОНЕЦК, ПР-КТ МИРА, Д. 17, ОФИС 124</t>
  </si>
  <si>
    <t>ИП БАРАНОВСКИЙ АЛЕКСЕЙ ВЛАДИМИРОВИЧ</t>
  </si>
  <si>
    <t>ООО МЯСО МАРКЕТ</t>
  </si>
  <si>
    <t>РОССИЯ, ДОНЕЦКАЯ НАРОДНАЯ РЕСПУБЛИКА, Г.О. МАРИУПОЛЬ, Г. МАРИУПОЛЬ, УЛ. ЭНГЕЛЬСА, Д. 26/2, ПОМЕЩ. 2</t>
  </si>
  <si>
    <t>286123, РОССИЯ, ДОНЕЦКАЯ НАРОДНАЯ РЕСПУБЛИКА, Г.О. МАКЕЕВКА, Г. МАКЕЕВКА, УЛ. ТАЁЖНАЯ, Д. 1К</t>
  </si>
  <si>
    <t>ИП ЗАЙЦЕВ РУСЛАН АЛЕКСАНДРОВИЧ</t>
  </si>
  <si>
    <t>ИП ИВАЩЕНКО ВИКТОР АНАТОЛЬЕВИЧ</t>
  </si>
  <si>
    <t>ИП КАЛАУШЕНКО ОЛЕГ ВИКТОРОВИЧ</t>
  </si>
  <si>
    <t>ООО НАМЕСТНИК</t>
  </si>
  <si>
    <t>286115, РОССИЯ, ДОНЕЦКАЯ НАРОДНАЯ РЕСПУБЛИКА, Г.О. МАКЕЕВКА, Г. МАКЕЕВКА, УЛ. 250-ЛЕТИЯ ДОНБАССА, Д. 74</t>
  </si>
  <si>
    <t>ООО КЦД</t>
  </si>
  <si>
    <t>283012, РОССИЯ, ДОНЕЦКАЯ НАРОДНАЯ РЕСПУБЛИКА, Г.О. ДОНЕЦК, Г. ДОНЕЦК, УЛ. ГОРНОВАЯ, Д. 2А, ОФИС 2</t>
  </si>
  <si>
    <t>ООО ДОНБАСС-СТС</t>
  </si>
  <si>
    <t>283049, РОССИЯ, ДОНЕЦКАЯ НАРОДНАЯ РЕСПУБЛИКА, Г.О. ДОНЕЦК, Г. ДОНЕЦК, УЛ. ЛЕБЕДИНСКОГО, Д. 7Б</t>
  </si>
  <si>
    <t>ООО ОБИХОД ТОВАРЫ</t>
  </si>
  <si>
    <t>283004, РОССИЯ, ДОНЕЦКАЯ НАРОДНАЯ РЕСПУБЛИКА, Г.О. ДОНЕЦК, Г. ДОНЕЦК, УЛ. АРТЕМА, Д. 138А, КОМ. 1404</t>
  </si>
  <si>
    <t>ИП ЧМЫГА МИХАИЛ АЛЕКСАНДРОВИЧ</t>
  </si>
  <si>
    <t>РОССИЯ, ДОНЕЦКАЯ НАРОДНАЯ РЕСПУБЛИКА, Г.О. МАКЕЕВКА, Г. МАКЕЕВКА, УЛ. АВТОТРАНСПОРТНАЯ, Д. 47/1</t>
  </si>
  <si>
    <t>ИП БОНДАРЕНКО ДМИТРИЙ АНАТОЛЬЕВИЧ</t>
  </si>
  <si>
    <t>Луганская Народная Республика</t>
  </si>
  <si>
    <t>ИП ЯНКОВСКАЯ ЛЮДМИЛА АНАТОЛЬЕВНА</t>
  </si>
  <si>
    <t>ИП ГОРОХОВ СЕРГЕЙ ВИКТОРОВИЧ</t>
  </si>
  <si>
    <t>ИП БАБИЧЕВ МАКСИМ ВЛАДИМИРОВИЧ</t>
  </si>
  <si>
    <t>ИП ОРЯН ДЕНИС СЕРГЕЕВИЧ</t>
  </si>
  <si>
    <t>ИП ЧАБАННАЯ ЕКАТЕРИНА МИХАЙЛОВНА</t>
  </si>
  <si>
    <t>ИП ХАРЧЕНКО ВИТАЛИЙ АНАТОЛЬЕВИЧ</t>
  </si>
  <si>
    <t>ИП ГОВОРУНОВ ДМИТРИЙ ВЛАДИМИРОВИЧ</t>
  </si>
  <si>
    <t>ИП МЕЛЕНТЬЕВА ЮЛИЯ ПЕТРОВНА</t>
  </si>
  <si>
    <t>ИП РИПКА ЕКАТЕРИНА АЛЕКСАНДРОВНА</t>
  </si>
  <si>
    <t>ИП КОВАЛЕНКО ТАТЬЯНА СЕРГЕЕВНА</t>
  </si>
  <si>
    <t>ИП ИГУМЕНОВ ВИТАЛИЙ ВИКТОРОВИЧ</t>
  </si>
  <si>
    <t>ИП ФИШЕР АННА СЕРГЕЕВНА</t>
  </si>
  <si>
    <t>ИП КОВАЛЁВ ВИКТОР АЛЕКСАНДРОВИЧ</t>
  </si>
  <si>
    <t>ИП ГРЕЧИШКИНА МАРИЯ МИХАЙЛОВНА</t>
  </si>
  <si>
    <t>ИП КРАСНЯНСКАЯ ЮЛИЯ ВЛАДИМИРОВНА</t>
  </si>
  <si>
    <t>ИП ЧЕРЕДНИЧЕНКО СОФИЯ РОМАНОВНА</t>
  </si>
  <si>
    <t>ИП БАРМИН АЛЕКСАНДР ГЕННАДИЕВИЧ</t>
  </si>
  <si>
    <t>ИП ВИХРОВ АНАТОЛИЙ НИКОЛАЕВИЧ</t>
  </si>
  <si>
    <t>ИП КЛИМЕНКО ПАВЕЛ ДМИТРИЕВИЧ</t>
  </si>
  <si>
    <t>ИП ГЕРАСИМОВ МАКСИМ СЕРГЕЕВИЧ</t>
  </si>
  <si>
    <t>ИП КОВЫНЕВ ИГОРЬ ВАЛЕНТИНОВИЧ</t>
  </si>
  <si>
    <t>ИП ПЕТРОВЕЦ АРТЁМ ИВАНОВИЧ</t>
  </si>
  <si>
    <t>ИП СЛИНЬКО ТАТЬЯНА ВАСИЛЬЕВНА</t>
  </si>
  <si>
    <t>ИП ПРОКУРА ДАРЬЯ АЛЕКСАНДРОВНА</t>
  </si>
  <si>
    <t>ИП ПЕТРАКОВ АЛЕКСАНДР НИКОЛАЕВИЧ</t>
  </si>
  <si>
    <t>ООО ГАЛС ПЛЮС</t>
  </si>
  <si>
    <t>291047, РОССИЯ, ЛУГАНСКАЯ НАРОДНАЯ РЕСПУБЛИКА, Г.О. ГОРОД ЛУГАНСК, Г. ЛУГАНСК, УЛ. ОБОРОННАЯ, Д. 44Б</t>
  </si>
  <si>
    <t>ООО ГРАД</t>
  </si>
  <si>
    <t>291011, РОССИЯ, ЛУГАНСКАЯ НАРОДНАЯ РЕСПУБЛИКА, Г.О. ГОРОД ЛУГАНСК, Г. ЛУГАНСК, УЛ. СОВЕТСКАЯ, Д. 249, ПОМЕЩ. 210</t>
  </si>
  <si>
    <t>ИП ФИШЕР ВЛАДИМИР АЛЕКСЕЕВИЧ</t>
  </si>
  <si>
    <t>ИП КУЗНЕЦОВ ИГОРЬ МИХАЙЛОВИЧ</t>
  </si>
  <si>
    <t>ИП БУРДО ОЛЬГА СЕРГЕЕВНА</t>
  </si>
  <si>
    <t>ИП ПОЛЕВОЙ ВИКТОР ЯРОСЛАВОВИЧ</t>
  </si>
  <si>
    <t>ИП КОЗЛОВСКИЙ СЕРГЕЙ ВЛАДИМИРОВИЧ</t>
  </si>
  <si>
    <t>ИП РЯБКО ИННА КОНСТАНТИНОВНА</t>
  </si>
  <si>
    <t>ИП КАЗИМИРОВ ВЛАДИМИР АНАТОЛЬЕВИЧ</t>
  </si>
  <si>
    <t>ИП КАЗИМИРОВ АЛЕКСАНДР ВЛАДИМИРОВИЧ</t>
  </si>
  <si>
    <t>ГУП ЛНР ЛНП</t>
  </si>
  <si>
    <t>291016, РОССИЯ, ЛУГАНСКАЯ НАРОДНАЯ РЕСПУБЛИКА, Г.О. ГОРОД ЛУГАНСК, Г. ЛУГАНСК, УЛ. ЛЕРМОНТОВА, Д. 1В</t>
  </si>
  <si>
    <t>ООО ЛАК</t>
  </si>
  <si>
    <t>291047, РОССИЯ, ЛУГАНСКАЯ НАРОДНАЯ РЕСПУБЛИКА, Г.О. ГОРОД ЛУГАНСК, Г. ЛУГАНСК, УЛ. МОЛОДЕЖНАЯ, Д. 20</t>
  </si>
  <si>
    <t>АО ЛУГАНСК-ЛАДА</t>
  </si>
  <si>
    <t>291054, РОССИЯ, ЛУГАНСКАЯ НАРОДНАЯ РЕСПУБЛИКА, Г.О. ГОРОД ЛУГАНСК, Г. ЛУГАНСК, УЛ. МОНТАЖНАЯ, Д. 28</t>
  </si>
  <si>
    <t>ИП ТИЩЕНКО ЕВГЕНИЙ НИКОЛАЕВИЧ</t>
  </si>
  <si>
    <t>ИП ШОВГАРЯН РУБЕН КАРАПЕТОВИЧ</t>
  </si>
  <si>
    <t>ООО ПРОМАВТОХИМ</t>
  </si>
  <si>
    <t>291019, РОССИЯ, ЛУГАНСКАЯ НАРОДНАЯ РЕСПУБЛИКА, Г.О. ГОРОД ЛУГАНСК, Г. ЛУГАНСК, УЛ. РУДЯ, Д. 32</t>
  </si>
  <si>
    <t>ИП ГОВОРУНОВ ВЛАДИМИР ДМИТРИЕВИЧ</t>
  </si>
  <si>
    <t>ООО ГСМ СНАБ</t>
  </si>
  <si>
    <t>291047, РОССИЯ, ЛУГАНСКАЯ НАРОДНАЯ РЕСПУБЛИКА, Г.О. ГОРОД ЛУГАНСК, Г. ЛУГАНСК, УЛ. 26 БАКИНСКИХ КОМИССАРОВ, Д. 162</t>
  </si>
  <si>
    <t>ООО АВТО-СФЕРА</t>
  </si>
  <si>
    <t>291011, РОССИЯ, ЛУГАНСКАЯ НАРОДНАЯ РЕСПУБЛИКА, Г.О. ГОРОД ЛУГАНСК, Г. ЛУГАНСК, УЛ. ОБОРОННАЯ, Д. 9А</t>
  </si>
  <si>
    <t>ИП СКРЕБЦОВА ЛЮБОВЬ ИВАНОВНА</t>
  </si>
  <si>
    <t>ИП БЕРЕЗИН ДЕНИС ОЛЕГОВИЧ</t>
  </si>
  <si>
    <t>ИП МЕЩЕРЯКОВ СЕРГЕЙ БОРИСОВИЧ</t>
  </si>
  <si>
    <t>ООО СЕРВИС-ОЙЛ</t>
  </si>
  <si>
    <t>294407, РОССИЯ, ЛУГАНСКАЯ НАРОДНАЯ РЕСПУБЛИКА, М.О. КРАСНОДОНСКИЙ, Г. КРАСНОДОН, УЛ. ХАЛТУРИНА, Д. 22А</t>
  </si>
  <si>
    <t>ИП РЯБУХА МАКСИМ ВИТАЛЬЕВИЧ</t>
  </si>
  <si>
    <t>ИП РАКША ЛАРИСА АЛЕКСАНДРОВНА</t>
  </si>
  <si>
    <t>Херсонская Область</t>
  </si>
  <si>
    <t>ИП КНУРОВ ВЯЧЕСЛАВ ОЛЕГОВИЧ</t>
  </si>
  <si>
    <t>ИП БЫТКИН ИГОРЬ АЛЕКСАНДРОВИЧ</t>
  </si>
  <si>
    <t>ИП ВАСИЛЬКОВСКАЯ ИРИНА АНАНИЕВНА</t>
  </si>
  <si>
    <t>ООО ИМПОСТ</t>
  </si>
  <si>
    <t>275502, РОССИЯ, ХЕРСОНСКАЯ ОБЛАСТЬ, М.О. ГЕНИЧЕСКИЙ, Г. ГЕНИЧЕСК, ПР-КТ МИРА, Д. 52</t>
  </si>
  <si>
    <t>ИП КУЦАК АЛЕКСАНДР НИКОЛАЕВИЧ</t>
  </si>
  <si>
    <t>ИП ПОТАПОВ НИКОЛАЙ АЛЕКСАНДРОВИЧ</t>
  </si>
  <si>
    <t>ИП ШЕВЧЕНКО ВИКТОР ВИКТОРОВИЧ</t>
  </si>
  <si>
    <t>ИП ГРИГОРЯН АРЦРУН ВАРДАНОВИЧ</t>
  </si>
  <si>
    <t>ГБУЗ ХО ОТЦЭМП И МК</t>
  </si>
  <si>
    <t>273003, РОССИЯ, ХЕРСОНСКАЯ ОБЛАСТЬ, Г.О. ГОРОД ХЕРСОН, Г. ХЕРСОН, УЛ. ОЛЕСЯ ГОНЧАРА, Д. 6</t>
  </si>
  <si>
    <t>ООО ТОРГОВЫЙ ДОМ ПЛАНЕТА</t>
  </si>
  <si>
    <t>275700, РОССИЯ, ХЕРСОНСКАЯ ОБЛАСТЬ, М.О. СКАДОВСКИЙ, Г. СКАДОВСК, УЛ. СВОБОДЫ, Д. 3, К. А, КВ. 30</t>
  </si>
  <si>
    <t>ИП РОМАНОВА КРИСТИНА АНАТОЛЬЕВНА</t>
  </si>
  <si>
    <t>ИП ПАРИЙЧУК ВЕРА АЛЕКСАНДРОВНА</t>
  </si>
  <si>
    <t>ИП ДИМИН АНДРЕЙ АЛЕКСАНДРОВИЧ</t>
  </si>
  <si>
    <t>ИП БРАГА АНАТОЛИЙ ГРИГОРЬЕВИЧ</t>
  </si>
  <si>
    <t>ИП НОВАКОВА АНАСТАСИЯ АЛЕКСАНДРОВНА</t>
  </si>
  <si>
    <t>ИП ГУПАЛИК ЛЮБОВЬ СТЕПАНОВНА</t>
  </si>
  <si>
    <t>274900, РОССИЯ, ХЕРСОНСКАЯ ОБЛАСТЬ, Г.О. ГОРОД НОВАЯ КАХОВКА, Г. НОВАЯ КАХОВКА, УЛ. ФРАНЦУЗСКАЯ, Д. 2С</t>
  </si>
  <si>
    <t>ООО ТАБИТИ</t>
  </si>
  <si>
    <t>275502, РОССИЯ, ХЕРСОНСКАЯ ОБЛАСТЬ, М.О. ГЕНИЧЕСКИЙ, Г. ГЕНИЧЕСК, УЛ. ЦЕНТРАЛЬНАЯ, Д. 87А</t>
  </si>
  <si>
    <t>ИП БРИТ ЕКАТЕРИНА АЛЕКСАНДРОВНА</t>
  </si>
  <si>
    <t>ИП ГАШИЦКИЙ ДМИТРИЙ АНАТОЛЬЕВИЧ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</si>
</sst>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3" fillId="7" borderId="7" applyNumberFormat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67"/>
  <sheetViews>
    <sheetView tabSelected="1" topLeftCell="A17869" workbookViewId="0">
      <selection activeCell="B17906" sqref="B17906"/>
    </sheetView>
  </sheetViews>
  <sheetFormatPr defaultRowHeight="15" x14ac:dyDescent="0.25"/>
  <cols>
    <col min="1" max="1" width="27.42578125" customWidth="1"/>
    <col min="2" max="2" width="5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tr">
        <f>"0100001223"</f>
        <v>0100001223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tr">
        <f>"010400084883"</f>
        <v>010400084883</v>
      </c>
      <c r="B3" t="s">
        <v>11</v>
      </c>
      <c r="C3" t="s">
        <v>7</v>
      </c>
      <c r="D3" t="s">
        <v>12</v>
      </c>
      <c r="E3" t="s">
        <v>9</v>
      </c>
    </row>
    <row r="4" spans="1:6" x14ac:dyDescent="0.25">
      <c r="A4" t="str">
        <f>"010401737493"</f>
        <v>010401737493</v>
      </c>
      <c r="B4" t="s">
        <v>13</v>
      </c>
      <c r="C4" t="s">
        <v>7</v>
      </c>
      <c r="D4" t="s">
        <v>14</v>
      </c>
      <c r="E4" t="s">
        <v>9</v>
      </c>
    </row>
    <row r="5" spans="1:6" x14ac:dyDescent="0.25">
      <c r="A5" t="str">
        <f>"010401928610"</f>
        <v>010401928610</v>
      </c>
      <c r="B5" t="s">
        <v>15</v>
      </c>
      <c r="C5" t="s">
        <v>7</v>
      </c>
      <c r="D5" t="s">
        <v>14</v>
      </c>
      <c r="E5" t="s">
        <v>9</v>
      </c>
    </row>
    <row r="6" spans="1:6" x14ac:dyDescent="0.25">
      <c r="A6" t="str">
        <f>"010502284433"</f>
        <v>010502284433</v>
      </c>
      <c r="B6" t="s">
        <v>16</v>
      </c>
      <c r="C6" t="s">
        <v>7</v>
      </c>
      <c r="D6" t="s">
        <v>14</v>
      </c>
      <c r="E6" t="s">
        <v>9</v>
      </c>
    </row>
    <row r="7" spans="1:6" x14ac:dyDescent="0.25">
      <c r="A7" t="str">
        <f>"0105080998"</f>
        <v>0105080998</v>
      </c>
      <c r="B7" t="s">
        <v>17</v>
      </c>
      <c r="C7" t="s">
        <v>7</v>
      </c>
      <c r="D7" t="s">
        <v>12</v>
      </c>
      <c r="E7" t="s">
        <v>9</v>
      </c>
      <c r="F7" t="s">
        <v>18</v>
      </c>
    </row>
    <row r="8" spans="1:6" x14ac:dyDescent="0.25">
      <c r="A8" t="str">
        <f>"010512714660"</f>
        <v>010512714660</v>
      </c>
      <c r="B8" t="s">
        <v>19</v>
      </c>
      <c r="C8" t="s">
        <v>7</v>
      </c>
      <c r="D8" t="s">
        <v>14</v>
      </c>
      <c r="E8" t="s">
        <v>9</v>
      </c>
    </row>
    <row r="9" spans="1:6" x14ac:dyDescent="0.25">
      <c r="A9" t="str">
        <f>"0107021148"</f>
        <v>0107021148</v>
      </c>
      <c r="B9" t="s">
        <v>20</v>
      </c>
      <c r="C9" t="s">
        <v>7</v>
      </c>
      <c r="D9" t="s">
        <v>14</v>
      </c>
      <c r="E9" t="s">
        <v>9</v>
      </c>
      <c r="F9" t="s">
        <v>21</v>
      </c>
    </row>
    <row r="10" spans="1:6" x14ac:dyDescent="0.25">
      <c r="A10" t="str">
        <f>"0107029073"</f>
        <v>0107029073</v>
      </c>
      <c r="B10" t="s">
        <v>22</v>
      </c>
      <c r="C10" t="s">
        <v>7</v>
      </c>
      <c r="D10" t="s">
        <v>12</v>
      </c>
      <c r="E10" t="s">
        <v>9</v>
      </c>
      <c r="F10" t="s">
        <v>23</v>
      </c>
    </row>
    <row r="11" spans="1:6" x14ac:dyDescent="0.25">
      <c r="A11" t="str">
        <f>"010800809319"</f>
        <v>010800809319</v>
      </c>
      <c r="B11" t="s">
        <v>24</v>
      </c>
      <c r="C11" t="s">
        <v>7</v>
      </c>
      <c r="D11" t="s">
        <v>14</v>
      </c>
      <c r="E11" t="s">
        <v>9</v>
      </c>
    </row>
    <row r="12" spans="1:6" x14ac:dyDescent="0.25">
      <c r="A12" t="str">
        <f>"010102925308"</f>
        <v>010102925308</v>
      </c>
      <c r="B12" t="s">
        <v>25</v>
      </c>
      <c r="C12" t="s">
        <v>7</v>
      </c>
      <c r="D12" t="s">
        <v>14</v>
      </c>
      <c r="E12" t="s">
        <v>9</v>
      </c>
    </row>
    <row r="13" spans="1:6" x14ac:dyDescent="0.25">
      <c r="A13" t="str">
        <f>"010200014600"</f>
        <v>010200014600</v>
      </c>
      <c r="B13" t="s">
        <v>26</v>
      </c>
      <c r="C13" t="s">
        <v>7</v>
      </c>
      <c r="D13" t="s">
        <v>14</v>
      </c>
      <c r="E13" t="s">
        <v>9</v>
      </c>
    </row>
    <row r="14" spans="1:6" x14ac:dyDescent="0.25">
      <c r="A14" t="str">
        <f>"010500199221"</f>
        <v>010500199221</v>
      </c>
      <c r="B14" t="s">
        <v>27</v>
      </c>
      <c r="C14" t="s">
        <v>7</v>
      </c>
      <c r="D14" t="s">
        <v>28</v>
      </c>
      <c r="E14" t="s">
        <v>9</v>
      </c>
    </row>
    <row r="15" spans="1:6" x14ac:dyDescent="0.25">
      <c r="A15" t="str">
        <f>"010502095210"</f>
        <v>010502095210</v>
      </c>
      <c r="B15" t="s">
        <v>29</v>
      </c>
      <c r="C15" t="s">
        <v>7</v>
      </c>
      <c r="D15" t="s">
        <v>14</v>
      </c>
      <c r="E15" t="s">
        <v>9</v>
      </c>
    </row>
    <row r="16" spans="1:6" x14ac:dyDescent="0.25">
      <c r="A16" t="str">
        <f>"010510932060"</f>
        <v>010510932060</v>
      </c>
      <c r="B16" t="s">
        <v>30</v>
      </c>
      <c r="C16" t="s">
        <v>7</v>
      </c>
      <c r="D16" t="s">
        <v>14</v>
      </c>
      <c r="E16" t="s">
        <v>9</v>
      </c>
    </row>
    <row r="17" spans="1:6" x14ac:dyDescent="0.25">
      <c r="A17" t="str">
        <f>"010513924460"</f>
        <v>010513924460</v>
      </c>
      <c r="B17" t="s">
        <v>31</v>
      </c>
      <c r="C17" t="s">
        <v>7</v>
      </c>
      <c r="D17" t="s">
        <v>14</v>
      </c>
      <c r="E17" t="s">
        <v>9</v>
      </c>
    </row>
    <row r="18" spans="1:6" x14ac:dyDescent="0.25">
      <c r="A18" t="str">
        <f>"010516019717"</f>
        <v>010516019717</v>
      </c>
      <c r="B18" t="s">
        <v>32</v>
      </c>
      <c r="C18" t="s">
        <v>7</v>
      </c>
      <c r="D18" t="s">
        <v>33</v>
      </c>
      <c r="E18" t="s">
        <v>9</v>
      </c>
    </row>
    <row r="19" spans="1:6" x14ac:dyDescent="0.25">
      <c r="A19" t="str">
        <f>"010516152050"</f>
        <v>010516152050</v>
      </c>
      <c r="B19" t="s">
        <v>34</v>
      </c>
      <c r="C19" t="s">
        <v>7</v>
      </c>
      <c r="D19" t="s">
        <v>14</v>
      </c>
      <c r="E19" t="s">
        <v>9</v>
      </c>
    </row>
    <row r="20" spans="1:6" x14ac:dyDescent="0.25">
      <c r="A20" t="str">
        <f>"010516188306"</f>
        <v>010516188306</v>
      </c>
      <c r="B20" t="s">
        <v>35</v>
      </c>
      <c r="C20" t="s">
        <v>7</v>
      </c>
      <c r="D20" t="s">
        <v>14</v>
      </c>
      <c r="E20" t="s">
        <v>9</v>
      </c>
    </row>
    <row r="21" spans="1:6" x14ac:dyDescent="0.25">
      <c r="A21" t="str">
        <f>"010600025268"</f>
        <v>010600025268</v>
      </c>
      <c r="B21" t="s">
        <v>36</v>
      </c>
      <c r="C21" t="s">
        <v>7</v>
      </c>
      <c r="D21" t="s">
        <v>12</v>
      </c>
      <c r="E21" t="s">
        <v>9</v>
      </c>
    </row>
    <row r="22" spans="1:6" x14ac:dyDescent="0.25">
      <c r="A22" t="str">
        <f>"010605253187"</f>
        <v>010605253187</v>
      </c>
      <c r="B22" t="s">
        <v>37</v>
      </c>
      <c r="C22" t="s">
        <v>7</v>
      </c>
      <c r="D22" t="s">
        <v>14</v>
      </c>
      <c r="E22" t="s">
        <v>9</v>
      </c>
    </row>
    <row r="23" spans="1:6" x14ac:dyDescent="0.25">
      <c r="A23" t="str">
        <f>"0107013299"</f>
        <v>0107013299</v>
      </c>
      <c r="B23" t="s">
        <v>38</v>
      </c>
      <c r="C23" t="s">
        <v>7</v>
      </c>
      <c r="D23" t="s">
        <v>12</v>
      </c>
      <c r="E23" t="s">
        <v>9</v>
      </c>
      <c r="F23" t="s">
        <v>21</v>
      </c>
    </row>
    <row r="24" spans="1:6" x14ac:dyDescent="0.25">
      <c r="A24" t="str">
        <f>"0107020264"</f>
        <v>0107020264</v>
      </c>
      <c r="B24" t="s">
        <v>39</v>
      </c>
      <c r="C24" t="s">
        <v>7</v>
      </c>
      <c r="D24" t="s">
        <v>14</v>
      </c>
      <c r="E24" t="s">
        <v>9</v>
      </c>
      <c r="F24" t="s">
        <v>21</v>
      </c>
    </row>
    <row r="25" spans="1:6" x14ac:dyDescent="0.25">
      <c r="A25" t="str">
        <f>"0107028930"</f>
        <v>0107028930</v>
      </c>
      <c r="B25" t="s">
        <v>40</v>
      </c>
      <c r="C25" t="s">
        <v>7</v>
      </c>
      <c r="D25" t="s">
        <v>14</v>
      </c>
      <c r="E25" t="s">
        <v>9</v>
      </c>
      <c r="F25" t="s">
        <v>41</v>
      </c>
    </row>
    <row r="26" spans="1:6" x14ac:dyDescent="0.25">
      <c r="A26" t="str">
        <f>"010100085220"</f>
        <v>010100085220</v>
      </c>
      <c r="B26" t="s">
        <v>42</v>
      </c>
      <c r="C26" t="s">
        <v>7</v>
      </c>
      <c r="D26" t="s">
        <v>14</v>
      </c>
      <c r="E26" t="s">
        <v>9</v>
      </c>
    </row>
    <row r="27" spans="1:6" x14ac:dyDescent="0.25">
      <c r="A27" t="str">
        <f>"010201908102"</f>
        <v>010201908102</v>
      </c>
      <c r="B27" t="s">
        <v>43</v>
      </c>
      <c r="C27" t="s">
        <v>7</v>
      </c>
      <c r="D27" t="s">
        <v>14</v>
      </c>
      <c r="E27" t="s">
        <v>9</v>
      </c>
    </row>
    <row r="28" spans="1:6" x14ac:dyDescent="0.25">
      <c r="A28" t="str">
        <f>"0104005564"</f>
        <v>0104005564</v>
      </c>
      <c r="B28" t="s">
        <v>44</v>
      </c>
      <c r="C28" t="s">
        <v>7</v>
      </c>
      <c r="D28" t="s">
        <v>14</v>
      </c>
      <c r="E28" t="s">
        <v>9</v>
      </c>
      <c r="F28" t="s">
        <v>45</v>
      </c>
    </row>
    <row r="29" spans="1:6" x14ac:dyDescent="0.25">
      <c r="A29" t="str">
        <f>"010402619950"</f>
        <v>010402619950</v>
      </c>
      <c r="B29" t="s">
        <v>46</v>
      </c>
      <c r="C29" t="s">
        <v>7</v>
      </c>
      <c r="D29" t="s">
        <v>14</v>
      </c>
      <c r="E29" t="s">
        <v>9</v>
      </c>
    </row>
    <row r="30" spans="1:6" x14ac:dyDescent="0.25">
      <c r="A30" t="str">
        <f>"010504551003"</f>
        <v>010504551003</v>
      </c>
      <c r="B30" t="s">
        <v>47</v>
      </c>
      <c r="C30" t="s">
        <v>7</v>
      </c>
      <c r="D30" t="s">
        <v>14</v>
      </c>
      <c r="E30" t="s">
        <v>9</v>
      </c>
    </row>
    <row r="31" spans="1:6" x14ac:dyDescent="0.25">
      <c r="A31" t="str">
        <f>"0105066425"</f>
        <v>0105066425</v>
      </c>
      <c r="B31" t="s">
        <v>48</v>
      </c>
      <c r="C31" t="s">
        <v>7</v>
      </c>
      <c r="D31" t="s">
        <v>14</v>
      </c>
      <c r="E31" t="s">
        <v>9</v>
      </c>
      <c r="F31" t="s">
        <v>49</v>
      </c>
    </row>
    <row r="32" spans="1:6" x14ac:dyDescent="0.25">
      <c r="A32" t="str">
        <f>"010515046718"</f>
        <v>010515046718</v>
      </c>
      <c r="B32" t="s">
        <v>50</v>
      </c>
      <c r="C32" t="s">
        <v>7</v>
      </c>
      <c r="D32" t="s">
        <v>14</v>
      </c>
      <c r="E32" t="s">
        <v>9</v>
      </c>
    </row>
    <row r="33" spans="1:6" x14ac:dyDescent="0.25">
      <c r="A33" t="str">
        <f>"010515988701"</f>
        <v>010515988701</v>
      </c>
      <c r="B33" t="s">
        <v>51</v>
      </c>
      <c r="C33" t="s">
        <v>7</v>
      </c>
      <c r="D33" t="s">
        <v>14</v>
      </c>
      <c r="E33" t="s">
        <v>9</v>
      </c>
    </row>
    <row r="34" spans="1:6" x14ac:dyDescent="0.25">
      <c r="A34" t="str">
        <f>"0107014782"</f>
        <v>0107014782</v>
      </c>
      <c r="B34" t="s">
        <v>52</v>
      </c>
      <c r="C34" t="s">
        <v>7</v>
      </c>
      <c r="D34" t="s">
        <v>12</v>
      </c>
      <c r="E34" t="s">
        <v>9</v>
      </c>
      <c r="F34" t="s">
        <v>53</v>
      </c>
    </row>
    <row r="35" spans="1:6" x14ac:dyDescent="0.25">
      <c r="A35" t="str">
        <f>"0107021677"</f>
        <v>0107021677</v>
      </c>
      <c r="B35" t="s">
        <v>54</v>
      </c>
      <c r="C35" t="s">
        <v>7</v>
      </c>
      <c r="D35" t="s">
        <v>12</v>
      </c>
      <c r="E35" t="s">
        <v>9</v>
      </c>
      <c r="F35" t="s">
        <v>55</v>
      </c>
    </row>
    <row r="36" spans="1:6" x14ac:dyDescent="0.25">
      <c r="A36" t="str">
        <f>"0107023480"</f>
        <v>0107023480</v>
      </c>
      <c r="B36" t="s">
        <v>56</v>
      </c>
      <c r="C36" t="s">
        <v>7</v>
      </c>
      <c r="D36" t="s">
        <v>12</v>
      </c>
      <c r="E36" t="s">
        <v>9</v>
      </c>
      <c r="F36" t="s">
        <v>21</v>
      </c>
    </row>
    <row r="37" spans="1:6" x14ac:dyDescent="0.25">
      <c r="A37" t="str">
        <f>"0107023730"</f>
        <v>0107023730</v>
      </c>
      <c r="B37" t="s">
        <v>57</v>
      </c>
      <c r="C37" t="s">
        <v>7</v>
      </c>
      <c r="D37" t="s">
        <v>12</v>
      </c>
      <c r="E37" t="s">
        <v>9</v>
      </c>
      <c r="F37" t="s">
        <v>58</v>
      </c>
    </row>
    <row r="38" spans="1:6" x14ac:dyDescent="0.25">
      <c r="A38" t="str">
        <f>"010705801172"</f>
        <v>010705801172</v>
      </c>
      <c r="B38" t="s">
        <v>59</v>
      </c>
      <c r="C38" t="s">
        <v>7</v>
      </c>
      <c r="D38" t="s">
        <v>14</v>
      </c>
      <c r="E38" t="s">
        <v>9</v>
      </c>
    </row>
    <row r="39" spans="1:6" x14ac:dyDescent="0.25">
      <c r="A39" t="str">
        <f>"2310122556"</f>
        <v>2310122556</v>
      </c>
      <c r="B39" t="s">
        <v>60</v>
      </c>
      <c r="C39" t="s">
        <v>7</v>
      </c>
      <c r="D39" t="s">
        <v>12</v>
      </c>
      <c r="E39" t="s">
        <v>9</v>
      </c>
      <c r="F39" t="s">
        <v>21</v>
      </c>
    </row>
    <row r="40" spans="1:6" x14ac:dyDescent="0.25">
      <c r="A40" t="str">
        <f>"230817465086"</f>
        <v>230817465086</v>
      </c>
      <c r="B40" t="s">
        <v>61</v>
      </c>
      <c r="C40" t="s">
        <v>7</v>
      </c>
      <c r="D40" t="s">
        <v>14</v>
      </c>
      <c r="E40" t="s">
        <v>9</v>
      </c>
    </row>
    <row r="41" spans="1:6" x14ac:dyDescent="0.25">
      <c r="A41" t="str">
        <f>"081601764162"</f>
        <v>081601764162</v>
      </c>
      <c r="B41" t="s">
        <v>62</v>
      </c>
      <c r="C41" t="s">
        <v>7</v>
      </c>
      <c r="D41" t="s">
        <v>28</v>
      </c>
      <c r="E41" t="s">
        <v>9</v>
      </c>
    </row>
    <row r="42" spans="1:6" x14ac:dyDescent="0.25">
      <c r="A42" t="str">
        <f>"2310079830"</f>
        <v>2310079830</v>
      </c>
      <c r="B42" t="s">
        <v>63</v>
      </c>
      <c r="C42" t="s">
        <v>7</v>
      </c>
      <c r="D42" t="s">
        <v>14</v>
      </c>
      <c r="E42" t="s">
        <v>9</v>
      </c>
      <c r="F42" t="s">
        <v>64</v>
      </c>
    </row>
    <row r="43" spans="1:6" x14ac:dyDescent="0.25">
      <c r="A43" t="str">
        <f>"232300032516"</f>
        <v>232300032516</v>
      </c>
      <c r="B43" t="s">
        <v>65</v>
      </c>
      <c r="C43" t="s">
        <v>7</v>
      </c>
      <c r="D43" t="s">
        <v>14</v>
      </c>
      <c r="E43" t="s">
        <v>9</v>
      </c>
    </row>
    <row r="44" spans="1:6" x14ac:dyDescent="0.25">
      <c r="A44" t="str">
        <f>"233303420325"</f>
        <v>233303420325</v>
      </c>
      <c r="B44" t="s">
        <v>66</v>
      </c>
      <c r="C44" t="s">
        <v>7</v>
      </c>
      <c r="D44" t="s">
        <v>12</v>
      </c>
      <c r="E44" t="s">
        <v>9</v>
      </c>
    </row>
    <row r="45" spans="1:6" x14ac:dyDescent="0.25">
      <c r="A45" t="str">
        <f>"7714949365"</f>
        <v>7714949365</v>
      </c>
      <c r="B45" t="s">
        <v>67</v>
      </c>
      <c r="C45" t="s">
        <v>7</v>
      </c>
      <c r="D45" t="s">
        <v>8</v>
      </c>
      <c r="E45" t="s">
        <v>9</v>
      </c>
      <c r="F45" t="s">
        <v>68</v>
      </c>
    </row>
    <row r="46" spans="1:6" x14ac:dyDescent="0.25">
      <c r="A46" t="str">
        <f>"020206901097"</f>
        <v>020206901097</v>
      </c>
      <c r="B46" t="s">
        <v>69</v>
      </c>
      <c r="C46" t="s">
        <v>7</v>
      </c>
      <c r="D46" t="s">
        <v>14</v>
      </c>
      <c r="E46" t="s">
        <v>70</v>
      </c>
    </row>
    <row r="47" spans="1:6" x14ac:dyDescent="0.25">
      <c r="A47" t="str">
        <f>"021000152512"</f>
        <v>021000152512</v>
      </c>
      <c r="B47" t="s">
        <v>71</v>
      </c>
      <c r="C47" t="s">
        <v>7</v>
      </c>
      <c r="D47" t="s">
        <v>14</v>
      </c>
      <c r="E47" t="s">
        <v>70</v>
      </c>
    </row>
    <row r="48" spans="1:6" x14ac:dyDescent="0.25">
      <c r="A48" t="str">
        <f>"021200486897"</f>
        <v>021200486897</v>
      </c>
      <c r="B48" t="s">
        <v>72</v>
      </c>
      <c r="C48" t="s">
        <v>7</v>
      </c>
      <c r="D48" t="s">
        <v>14</v>
      </c>
      <c r="E48" t="s">
        <v>70</v>
      </c>
    </row>
    <row r="49" spans="1:5" x14ac:dyDescent="0.25">
      <c r="A49" t="str">
        <f>"021600412956"</f>
        <v>021600412956</v>
      </c>
      <c r="B49" t="s">
        <v>73</v>
      </c>
      <c r="C49" t="s">
        <v>7</v>
      </c>
      <c r="D49" t="s">
        <v>14</v>
      </c>
      <c r="E49" t="s">
        <v>70</v>
      </c>
    </row>
    <row r="50" spans="1:5" x14ac:dyDescent="0.25">
      <c r="A50" t="str">
        <f>"022004010101"</f>
        <v>022004010101</v>
      </c>
      <c r="B50" t="s">
        <v>74</v>
      </c>
      <c r="C50" t="s">
        <v>7</v>
      </c>
      <c r="D50" t="s">
        <v>14</v>
      </c>
      <c r="E50" t="s">
        <v>70</v>
      </c>
    </row>
    <row r="51" spans="1:5" x14ac:dyDescent="0.25">
      <c r="A51" t="str">
        <f>"022500283096"</f>
        <v>022500283096</v>
      </c>
      <c r="B51" t="s">
        <v>75</v>
      </c>
      <c r="C51" t="s">
        <v>7</v>
      </c>
      <c r="D51" t="s">
        <v>14</v>
      </c>
      <c r="E51" t="s">
        <v>70</v>
      </c>
    </row>
    <row r="52" spans="1:5" x14ac:dyDescent="0.25">
      <c r="A52" t="str">
        <f>"022700898530"</f>
        <v>022700898530</v>
      </c>
      <c r="B52" t="s">
        <v>76</v>
      </c>
      <c r="C52" t="s">
        <v>7</v>
      </c>
      <c r="D52" t="s">
        <v>14</v>
      </c>
      <c r="E52" t="s">
        <v>70</v>
      </c>
    </row>
    <row r="53" spans="1:5" x14ac:dyDescent="0.25">
      <c r="A53" t="str">
        <f>"022800169355"</f>
        <v>022800169355</v>
      </c>
      <c r="B53" t="s">
        <v>77</v>
      </c>
      <c r="C53" t="s">
        <v>7</v>
      </c>
      <c r="D53" t="s">
        <v>33</v>
      </c>
      <c r="E53" t="s">
        <v>70</v>
      </c>
    </row>
    <row r="54" spans="1:5" x14ac:dyDescent="0.25">
      <c r="A54" t="str">
        <f>"022905624756"</f>
        <v>022905624756</v>
      </c>
      <c r="B54" t="s">
        <v>78</v>
      </c>
      <c r="C54" t="s">
        <v>7</v>
      </c>
      <c r="D54" t="s">
        <v>14</v>
      </c>
      <c r="E54" t="s">
        <v>70</v>
      </c>
    </row>
    <row r="55" spans="1:5" x14ac:dyDescent="0.25">
      <c r="A55" t="str">
        <f>"023002181390"</f>
        <v>023002181390</v>
      </c>
      <c r="B55" t="s">
        <v>79</v>
      </c>
      <c r="C55" t="s">
        <v>7</v>
      </c>
      <c r="D55" t="s">
        <v>14</v>
      </c>
      <c r="E55" t="s">
        <v>70</v>
      </c>
    </row>
    <row r="56" spans="1:5" x14ac:dyDescent="0.25">
      <c r="A56" t="str">
        <f>"023700634890"</f>
        <v>023700634890</v>
      </c>
      <c r="B56" t="s">
        <v>80</v>
      </c>
      <c r="C56" t="s">
        <v>7</v>
      </c>
      <c r="D56" t="s">
        <v>14</v>
      </c>
      <c r="E56" t="s">
        <v>70</v>
      </c>
    </row>
    <row r="57" spans="1:5" x14ac:dyDescent="0.25">
      <c r="A57" t="str">
        <f>"024506608298"</f>
        <v>024506608298</v>
      </c>
      <c r="B57" t="s">
        <v>81</v>
      </c>
      <c r="C57" t="s">
        <v>7</v>
      </c>
      <c r="D57" t="s">
        <v>12</v>
      </c>
      <c r="E57" t="s">
        <v>70</v>
      </c>
    </row>
    <row r="58" spans="1:5" x14ac:dyDescent="0.25">
      <c r="A58" t="str">
        <f>"025102750068"</f>
        <v>025102750068</v>
      </c>
      <c r="B58" t="s">
        <v>82</v>
      </c>
      <c r="C58" t="s">
        <v>7</v>
      </c>
      <c r="D58" t="s">
        <v>14</v>
      </c>
      <c r="E58" t="s">
        <v>70</v>
      </c>
    </row>
    <row r="59" spans="1:5" x14ac:dyDescent="0.25">
      <c r="A59" t="str">
        <f>"025300851237"</f>
        <v>025300851237</v>
      </c>
      <c r="B59" t="s">
        <v>83</v>
      </c>
      <c r="C59" t="s">
        <v>7</v>
      </c>
      <c r="D59" t="s">
        <v>14</v>
      </c>
      <c r="E59" t="s">
        <v>70</v>
      </c>
    </row>
    <row r="60" spans="1:5" x14ac:dyDescent="0.25">
      <c r="A60" t="str">
        <f>"025400719948"</f>
        <v>025400719948</v>
      </c>
      <c r="B60" t="s">
        <v>84</v>
      </c>
      <c r="C60" t="s">
        <v>7</v>
      </c>
      <c r="D60" t="s">
        <v>14</v>
      </c>
      <c r="E60" t="s">
        <v>70</v>
      </c>
    </row>
    <row r="61" spans="1:5" x14ac:dyDescent="0.25">
      <c r="A61" t="str">
        <f>"025501354531"</f>
        <v>025501354531</v>
      </c>
      <c r="B61" t="s">
        <v>85</v>
      </c>
      <c r="C61" t="s">
        <v>7</v>
      </c>
      <c r="D61" t="s">
        <v>14</v>
      </c>
      <c r="E61" t="s">
        <v>70</v>
      </c>
    </row>
    <row r="62" spans="1:5" x14ac:dyDescent="0.25">
      <c r="A62" t="str">
        <f>"025501447472"</f>
        <v>025501447472</v>
      </c>
      <c r="B62" t="s">
        <v>86</v>
      </c>
      <c r="C62" t="s">
        <v>7</v>
      </c>
      <c r="D62" t="s">
        <v>12</v>
      </c>
      <c r="E62" t="s">
        <v>70</v>
      </c>
    </row>
    <row r="63" spans="1:5" x14ac:dyDescent="0.25">
      <c r="A63" t="str">
        <f>"025507152147"</f>
        <v>025507152147</v>
      </c>
      <c r="B63" t="s">
        <v>87</v>
      </c>
      <c r="C63" t="s">
        <v>7</v>
      </c>
      <c r="D63" t="s">
        <v>14</v>
      </c>
      <c r="E63" t="s">
        <v>70</v>
      </c>
    </row>
    <row r="64" spans="1:5" x14ac:dyDescent="0.25">
      <c r="A64" t="str">
        <f>"026103229974"</f>
        <v>026103229974</v>
      </c>
      <c r="B64" t="s">
        <v>88</v>
      </c>
      <c r="C64" t="s">
        <v>7</v>
      </c>
      <c r="D64" t="s">
        <v>14</v>
      </c>
      <c r="E64" t="s">
        <v>70</v>
      </c>
    </row>
    <row r="65" spans="1:6" x14ac:dyDescent="0.25">
      <c r="A65" t="str">
        <f>"0264079412"</f>
        <v>0264079412</v>
      </c>
      <c r="B65" t="s">
        <v>89</v>
      </c>
      <c r="C65" t="s">
        <v>7</v>
      </c>
      <c r="D65" t="s">
        <v>14</v>
      </c>
      <c r="E65" t="s">
        <v>70</v>
      </c>
      <c r="F65" t="s">
        <v>90</v>
      </c>
    </row>
    <row r="66" spans="1:6" x14ac:dyDescent="0.25">
      <c r="A66" t="str">
        <f>"0265049587"</f>
        <v>0265049587</v>
      </c>
      <c r="B66" t="s">
        <v>91</v>
      </c>
      <c r="C66" t="s">
        <v>7</v>
      </c>
      <c r="D66" t="s">
        <v>14</v>
      </c>
      <c r="E66" t="s">
        <v>70</v>
      </c>
      <c r="F66" t="s">
        <v>92</v>
      </c>
    </row>
    <row r="67" spans="1:6" x14ac:dyDescent="0.25">
      <c r="A67" t="str">
        <f>"026906282407"</f>
        <v>026906282407</v>
      </c>
      <c r="B67" t="s">
        <v>93</v>
      </c>
      <c r="C67" t="s">
        <v>7</v>
      </c>
      <c r="D67" t="s">
        <v>14</v>
      </c>
      <c r="E67" t="s">
        <v>70</v>
      </c>
    </row>
    <row r="68" spans="1:6" x14ac:dyDescent="0.25">
      <c r="A68" t="str">
        <f>"0272023290"</f>
        <v>0272023290</v>
      </c>
      <c r="B68" t="s">
        <v>94</v>
      </c>
      <c r="C68" t="s">
        <v>7</v>
      </c>
      <c r="D68" t="s">
        <v>33</v>
      </c>
      <c r="E68" t="s">
        <v>70</v>
      </c>
      <c r="F68" t="s">
        <v>95</v>
      </c>
    </row>
    <row r="69" spans="1:6" x14ac:dyDescent="0.25">
      <c r="A69" t="str">
        <f>"027415273177"</f>
        <v>027415273177</v>
      </c>
      <c r="B69" t="s">
        <v>96</v>
      </c>
      <c r="C69" t="s">
        <v>7</v>
      </c>
      <c r="D69" t="s">
        <v>14</v>
      </c>
      <c r="E69" t="s">
        <v>70</v>
      </c>
    </row>
    <row r="70" spans="1:6" x14ac:dyDescent="0.25">
      <c r="A70" t="str">
        <f>"0274963028"</f>
        <v>0274963028</v>
      </c>
      <c r="B70" t="s">
        <v>97</v>
      </c>
      <c r="C70" t="s">
        <v>7</v>
      </c>
      <c r="D70" t="s">
        <v>98</v>
      </c>
      <c r="E70" t="s">
        <v>70</v>
      </c>
      <c r="F70" t="s">
        <v>99</v>
      </c>
    </row>
    <row r="71" spans="1:6" x14ac:dyDescent="0.25">
      <c r="A71" t="str">
        <f>"0275921976"</f>
        <v>0275921976</v>
      </c>
      <c r="B71" t="s">
        <v>100</v>
      </c>
      <c r="C71" t="s">
        <v>7</v>
      </c>
      <c r="D71" t="s">
        <v>33</v>
      </c>
      <c r="E71" t="s">
        <v>70</v>
      </c>
      <c r="F71" t="s">
        <v>101</v>
      </c>
    </row>
    <row r="72" spans="1:6" x14ac:dyDescent="0.25">
      <c r="A72" t="str">
        <f>"0276057011"</f>
        <v>0276057011</v>
      </c>
      <c r="B72" t="s">
        <v>102</v>
      </c>
      <c r="C72" t="s">
        <v>7</v>
      </c>
      <c r="D72" t="s">
        <v>33</v>
      </c>
      <c r="E72" t="s">
        <v>70</v>
      </c>
      <c r="F72" t="s">
        <v>103</v>
      </c>
    </row>
    <row r="73" spans="1:6" x14ac:dyDescent="0.25">
      <c r="A73" t="str">
        <f>"0276133960"</f>
        <v>0276133960</v>
      </c>
      <c r="B73" t="s">
        <v>104</v>
      </c>
      <c r="C73" t="s">
        <v>7</v>
      </c>
      <c r="D73" t="s">
        <v>14</v>
      </c>
      <c r="E73" t="s">
        <v>70</v>
      </c>
      <c r="F73" t="s">
        <v>105</v>
      </c>
    </row>
    <row r="74" spans="1:6" x14ac:dyDescent="0.25">
      <c r="A74" t="str">
        <f>"027701490743"</f>
        <v>027701490743</v>
      </c>
      <c r="B74" t="s">
        <v>106</v>
      </c>
      <c r="C74" t="s">
        <v>7</v>
      </c>
      <c r="D74" t="s">
        <v>14</v>
      </c>
      <c r="E74" t="s">
        <v>70</v>
      </c>
    </row>
    <row r="75" spans="1:6" x14ac:dyDescent="0.25">
      <c r="A75" t="str">
        <f>"027708529397"</f>
        <v>027708529397</v>
      </c>
      <c r="B75" t="s">
        <v>107</v>
      </c>
      <c r="C75" t="s">
        <v>7</v>
      </c>
      <c r="D75" t="s">
        <v>14</v>
      </c>
      <c r="E75" t="s">
        <v>70</v>
      </c>
    </row>
    <row r="76" spans="1:6" x14ac:dyDescent="0.25">
      <c r="A76" t="str">
        <f>"0277125987"</f>
        <v>0277125987</v>
      </c>
      <c r="B76" t="s">
        <v>108</v>
      </c>
      <c r="C76" t="s">
        <v>7</v>
      </c>
      <c r="D76" t="s">
        <v>33</v>
      </c>
      <c r="E76" t="s">
        <v>70</v>
      </c>
      <c r="F76" t="s">
        <v>109</v>
      </c>
    </row>
    <row r="77" spans="1:6" x14ac:dyDescent="0.25">
      <c r="A77" t="str">
        <f>"027716319322"</f>
        <v>027716319322</v>
      </c>
      <c r="B77" t="s">
        <v>110</v>
      </c>
      <c r="C77" t="s">
        <v>7</v>
      </c>
      <c r="D77" t="s">
        <v>14</v>
      </c>
      <c r="E77" t="s">
        <v>70</v>
      </c>
    </row>
    <row r="78" spans="1:6" x14ac:dyDescent="0.25">
      <c r="A78" t="str">
        <f>"0277909484"</f>
        <v>0277909484</v>
      </c>
      <c r="B78" t="s">
        <v>111</v>
      </c>
      <c r="C78" t="s">
        <v>7</v>
      </c>
      <c r="D78" t="s">
        <v>12</v>
      </c>
      <c r="E78" t="s">
        <v>70</v>
      </c>
      <c r="F78" t="s">
        <v>112</v>
      </c>
    </row>
    <row r="79" spans="1:6" x14ac:dyDescent="0.25">
      <c r="A79" t="str">
        <f>"0278092621"</f>
        <v>0278092621</v>
      </c>
      <c r="B79" t="s">
        <v>113</v>
      </c>
      <c r="C79" t="s">
        <v>7</v>
      </c>
      <c r="D79" t="s">
        <v>33</v>
      </c>
      <c r="E79" t="s">
        <v>70</v>
      </c>
      <c r="F79" t="s">
        <v>114</v>
      </c>
    </row>
    <row r="80" spans="1:6" x14ac:dyDescent="0.25">
      <c r="A80" t="str">
        <f>"027812537820"</f>
        <v>027812537820</v>
      </c>
      <c r="B80" t="s">
        <v>115</v>
      </c>
      <c r="C80" t="s">
        <v>7</v>
      </c>
      <c r="D80" t="s">
        <v>14</v>
      </c>
      <c r="E80" t="s">
        <v>70</v>
      </c>
    </row>
    <row r="81" spans="1:6" x14ac:dyDescent="0.25">
      <c r="A81" t="str">
        <f>"0278210057"</f>
        <v>0278210057</v>
      </c>
      <c r="B81" t="s">
        <v>116</v>
      </c>
      <c r="C81" t="s">
        <v>7</v>
      </c>
      <c r="D81" t="s">
        <v>33</v>
      </c>
      <c r="E81" t="s">
        <v>70</v>
      </c>
      <c r="F81" t="s">
        <v>117</v>
      </c>
    </row>
    <row r="82" spans="1:6" x14ac:dyDescent="0.25">
      <c r="A82" t="str">
        <f>"0278946753"</f>
        <v>0278946753</v>
      </c>
      <c r="B82" t="s">
        <v>118</v>
      </c>
      <c r="C82" t="s">
        <v>7</v>
      </c>
      <c r="D82" t="s">
        <v>14</v>
      </c>
      <c r="E82" t="s">
        <v>70</v>
      </c>
      <c r="F82" t="s">
        <v>119</v>
      </c>
    </row>
    <row r="83" spans="1:6" x14ac:dyDescent="0.25">
      <c r="A83" t="str">
        <f>"020204302605"</f>
        <v>020204302605</v>
      </c>
      <c r="B83" t="s">
        <v>120</v>
      </c>
      <c r="C83" t="s">
        <v>7</v>
      </c>
      <c r="D83" t="s">
        <v>14</v>
      </c>
      <c r="E83" t="s">
        <v>70</v>
      </c>
    </row>
    <row r="84" spans="1:6" x14ac:dyDescent="0.25">
      <c r="A84" t="str">
        <f>"020205130821"</f>
        <v>020205130821</v>
      </c>
      <c r="B84" t="s">
        <v>121</v>
      </c>
      <c r="C84" t="s">
        <v>7</v>
      </c>
      <c r="D84" t="s">
        <v>14</v>
      </c>
      <c r="E84" t="s">
        <v>70</v>
      </c>
    </row>
    <row r="85" spans="1:6" x14ac:dyDescent="0.25">
      <c r="A85" t="str">
        <f>"020504525507"</f>
        <v>020504525507</v>
      </c>
      <c r="B85" t="s">
        <v>122</v>
      </c>
      <c r="C85" t="s">
        <v>7</v>
      </c>
      <c r="D85" t="s">
        <v>14</v>
      </c>
      <c r="E85" t="s">
        <v>70</v>
      </c>
    </row>
    <row r="86" spans="1:6" x14ac:dyDescent="0.25">
      <c r="A86" t="str">
        <f>"020700031367"</f>
        <v>020700031367</v>
      </c>
      <c r="B86" t="s">
        <v>123</v>
      </c>
      <c r="C86" t="s">
        <v>7</v>
      </c>
      <c r="D86" t="s">
        <v>14</v>
      </c>
      <c r="E86" t="s">
        <v>70</v>
      </c>
    </row>
    <row r="87" spans="1:6" x14ac:dyDescent="0.25">
      <c r="A87" t="str">
        <f>"020702436746"</f>
        <v>020702436746</v>
      </c>
      <c r="B87" t="s">
        <v>124</v>
      </c>
      <c r="C87" t="s">
        <v>7</v>
      </c>
      <c r="D87" t="s">
        <v>14</v>
      </c>
      <c r="E87" t="s">
        <v>70</v>
      </c>
    </row>
    <row r="88" spans="1:6" x14ac:dyDescent="0.25">
      <c r="A88" t="str">
        <f>"020801248207"</f>
        <v>020801248207</v>
      </c>
      <c r="B88" t="s">
        <v>125</v>
      </c>
      <c r="C88" t="s">
        <v>7</v>
      </c>
      <c r="D88" t="s">
        <v>14</v>
      </c>
      <c r="E88" t="s">
        <v>70</v>
      </c>
    </row>
    <row r="89" spans="1:6" x14ac:dyDescent="0.25">
      <c r="A89" t="str">
        <f>"020801284702"</f>
        <v>020801284702</v>
      </c>
      <c r="B89" t="s">
        <v>126</v>
      </c>
      <c r="C89" t="s">
        <v>7</v>
      </c>
      <c r="D89" t="s">
        <v>14</v>
      </c>
      <c r="E89" t="s">
        <v>70</v>
      </c>
    </row>
    <row r="90" spans="1:6" x14ac:dyDescent="0.25">
      <c r="A90" t="str">
        <f>"020802536712"</f>
        <v>020802536712</v>
      </c>
      <c r="B90" t="s">
        <v>127</v>
      </c>
      <c r="C90" t="s">
        <v>7</v>
      </c>
      <c r="D90" t="s">
        <v>14</v>
      </c>
      <c r="E90" t="s">
        <v>70</v>
      </c>
    </row>
    <row r="91" spans="1:6" x14ac:dyDescent="0.25">
      <c r="A91" t="str">
        <f>"021000688247"</f>
        <v>021000688247</v>
      </c>
      <c r="B91" t="s">
        <v>128</v>
      </c>
      <c r="C91" t="s">
        <v>7</v>
      </c>
      <c r="D91" t="s">
        <v>14</v>
      </c>
      <c r="E91" t="s">
        <v>70</v>
      </c>
    </row>
    <row r="92" spans="1:6" x14ac:dyDescent="0.25">
      <c r="A92" t="str">
        <f>"021202750184"</f>
        <v>021202750184</v>
      </c>
      <c r="B92" t="s">
        <v>129</v>
      </c>
      <c r="C92" t="s">
        <v>7</v>
      </c>
      <c r="D92" t="s">
        <v>14</v>
      </c>
      <c r="E92" t="s">
        <v>70</v>
      </c>
    </row>
    <row r="93" spans="1:6" x14ac:dyDescent="0.25">
      <c r="A93" t="str">
        <f>"021600031703"</f>
        <v>021600031703</v>
      </c>
      <c r="B93" t="s">
        <v>130</v>
      </c>
      <c r="C93" t="s">
        <v>7</v>
      </c>
      <c r="D93" t="s">
        <v>14</v>
      </c>
      <c r="E93" t="s">
        <v>70</v>
      </c>
    </row>
    <row r="94" spans="1:6" x14ac:dyDescent="0.25">
      <c r="A94" t="str">
        <f>"021600490471"</f>
        <v>021600490471</v>
      </c>
      <c r="B94" t="s">
        <v>131</v>
      </c>
      <c r="C94" t="s">
        <v>7</v>
      </c>
      <c r="D94" t="s">
        <v>14</v>
      </c>
      <c r="E94" t="s">
        <v>70</v>
      </c>
    </row>
    <row r="95" spans="1:6" x14ac:dyDescent="0.25">
      <c r="A95" t="str">
        <f>"021603000132"</f>
        <v>021603000132</v>
      </c>
      <c r="B95" t="s">
        <v>132</v>
      </c>
      <c r="C95" t="s">
        <v>7</v>
      </c>
      <c r="D95" t="s">
        <v>14</v>
      </c>
      <c r="E95" t="s">
        <v>70</v>
      </c>
    </row>
    <row r="96" spans="1:6" x14ac:dyDescent="0.25">
      <c r="A96" t="str">
        <f>"021902719944"</f>
        <v>021902719944</v>
      </c>
      <c r="B96" t="s">
        <v>133</v>
      </c>
      <c r="C96" t="s">
        <v>7</v>
      </c>
      <c r="D96" t="s">
        <v>14</v>
      </c>
      <c r="E96" t="s">
        <v>70</v>
      </c>
    </row>
    <row r="97" spans="1:6" x14ac:dyDescent="0.25">
      <c r="A97" t="str">
        <f>"022003230986"</f>
        <v>022003230986</v>
      </c>
      <c r="B97" t="s">
        <v>134</v>
      </c>
      <c r="C97" t="s">
        <v>7</v>
      </c>
      <c r="D97" t="s">
        <v>14</v>
      </c>
      <c r="E97" t="s">
        <v>70</v>
      </c>
    </row>
    <row r="98" spans="1:6" x14ac:dyDescent="0.25">
      <c r="A98" t="str">
        <f>"022004151720"</f>
        <v>022004151720</v>
      </c>
      <c r="B98" t="s">
        <v>135</v>
      </c>
      <c r="C98" t="s">
        <v>7</v>
      </c>
      <c r="D98" t="s">
        <v>14</v>
      </c>
      <c r="E98" t="s">
        <v>70</v>
      </c>
    </row>
    <row r="99" spans="1:6" x14ac:dyDescent="0.25">
      <c r="A99" t="str">
        <f>"0224951891"</f>
        <v>0224951891</v>
      </c>
      <c r="B99" t="s">
        <v>136</v>
      </c>
      <c r="C99" t="s">
        <v>7</v>
      </c>
      <c r="D99" t="s">
        <v>14</v>
      </c>
      <c r="E99" t="s">
        <v>70</v>
      </c>
      <c r="F99" t="s">
        <v>137</v>
      </c>
    </row>
    <row r="100" spans="1:6" x14ac:dyDescent="0.25">
      <c r="A100" t="str">
        <f>"022703093936"</f>
        <v>022703093936</v>
      </c>
      <c r="B100" t="s">
        <v>138</v>
      </c>
      <c r="C100" t="s">
        <v>7</v>
      </c>
      <c r="D100" t="s">
        <v>14</v>
      </c>
      <c r="E100" t="s">
        <v>70</v>
      </c>
    </row>
    <row r="101" spans="1:6" x14ac:dyDescent="0.25">
      <c r="A101" t="str">
        <f>"022803808144"</f>
        <v>022803808144</v>
      </c>
      <c r="B101" t="s">
        <v>139</v>
      </c>
      <c r="C101" t="s">
        <v>7</v>
      </c>
      <c r="D101" t="s">
        <v>14</v>
      </c>
      <c r="E101" t="s">
        <v>70</v>
      </c>
    </row>
    <row r="102" spans="1:6" x14ac:dyDescent="0.25">
      <c r="A102" t="str">
        <f>"022901989499"</f>
        <v>022901989499</v>
      </c>
      <c r="B102" t="s">
        <v>140</v>
      </c>
      <c r="C102" t="s">
        <v>7</v>
      </c>
      <c r="D102" t="s">
        <v>14</v>
      </c>
      <c r="E102" t="s">
        <v>70</v>
      </c>
    </row>
    <row r="103" spans="1:6" x14ac:dyDescent="0.25">
      <c r="A103" t="str">
        <f>"023001908467"</f>
        <v>023001908467</v>
      </c>
      <c r="B103" t="s">
        <v>141</v>
      </c>
      <c r="C103" t="s">
        <v>7</v>
      </c>
      <c r="D103" t="s">
        <v>14</v>
      </c>
      <c r="E103" t="s">
        <v>70</v>
      </c>
    </row>
    <row r="104" spans="1:6" x14ac:dyDescent="0.25">
      <c r="A104" t="str">
        <f>"023002145680"</f>
        <v>023002145680</v>
      </c>
      <c r="B104" t="s">
        <v>142</v>
      </c>
      <c r="C104" t="s">
        <v>7</v>
      </c>
      <c r="D104" t="s">
        <v>14</v>
      </c>
      <c r="E104" t="s">
        <v>70</v>
      </c>
    </row>
    <row r="105" spans="1:6" x14ac:dyDescent="0.25">
      <c r="A105" t="str">
        <f>"023100704425"</f>
        <v>023100704425</v>
      </c>
      <c r="B105" t="s">
        <v>143</v>
      </c>
      <c r="C105" t="s">
        <v>7</v>
      </c>
      <c r="D105" t="s">
        <v>14</v>
      </c>
      <c r="E105" t="s">
        <v>70</v>
      </c>
    </row>
    <row r="106" spans="1:6" x14ac:dyDescent="0.25">
      <c r="A106" t="str">
        <f>"023203056303"</f>
        <v>023203056303</v>
      </c>
      <c r="B106" t="s">
        <v>144</v>
      </c>
      <c r="C106" t="s">
        <v>7</v>
      </c>
      <c r="D106" t="s">
        <v>14</v>
      </c>
      <c r="E106" t="s">
        <v>70</v>
      </c>
    </row>
    <row r="107" spans="1:6" x14ac:dyDescent="0.25">
      <c r="A107" t="str">
        <f>"0234005653"</f>
        <v>0234005653</v>
      </c>
      <c r="B107" t="s">
        <v>145</v>
      </c>
      <c r="C107" t="s">
        <v>7</v>
      </c>
      <c r="D107" t="s">
        <v>146</v>
      </c>
      <c r="E107" t="s">
        <v>70</v>
      </c>
      <c r="F107" t="s">
        <v>147</v>
      </c>
    </row>
    <row r="108" spans="1:6" x14ac:dyDescent="0.25">
      <c r="A108" t="str">
        <f>"023801654807"</f>
        <v>023801654807</v>
      </c>
      <c r="B108" t="s">
        <v>148</v>
      </c>
      <c r="C108" t="s">
        <v>7</v>
      </c>
      <c r="D108" t="s">
        <v>14</v>
      </c>
      <c r="E108" t="s">
        <v>70</v>
      </c>
    </row>
    <row r="109" spans="1:6" x14ac:dyDescent="0.25">
      <c r="A109" t="str">
        <f>"023900873045"</f>
        <v>023900873045</v>
      </c>
      <c r="B109" t="s">
        <v>149</v>
      </c>
      <c r="C109" t="s">
        <v>7</v>
      </c>
      <c r="D109" t="s">
        <v>14</v>
      </c>
      <c r="E109" t="s">
        <v>70</v>
      </c>
    </row>
    <row r="110" spans="1:6" x14ac:dyDescent="0.25">
      <c r="A110" t="str">
        <f>"0240007659"</f>
        <v>0240007659</v>
      </c>
      <c r="B110" t="s">
        <v>150</v>
      </c>
      <c r="C110" t="s">
        <v>7</v>
      </c>
      <c r="D110" t="s">
        <v>14</v>
      </c>
      <c r="E110" t="s">
        <v>70</v>
      </c>
      <c r="F110" t="s">
        <v>151</v>
      </c>
    </row>
    <row r="111" spans="1:6" x14ac:dyDescent="0.25">
      <c r="A111" t="str">
        <f>"024001280625"</f>
        <v>024001280625</v>
      </c>
      <c r="B111" t="s">
        <v>152</v>
      </c>
      <c r="C111" t="s">
        <v>7</v>
      </c>
      <c r="D111" t="s">
        <v>14</v>
      </c>
      <c r="E111" t="s">
        <v>70</v>
      </c>
    </row>
    <row r="112" spans="1:6" x14ac:dyDescent="0.25">
      <c r="A112" t="str">
        <f>"024301426353"</f>
        <v>024301426353</v>
      </c>
      <c r="B112" t="s">
        <v>153</v>
      </c>
      <c r="C112" t="s">
        <v>7</v>
      </c>
      <c r="D112" t="s">
        <v>14</v>
      </c>
      <c r="E112" t="s">
        <v>70</v>
      </c>
    </row>
    <row r="113" spans="1:6" x14ac:dyDescent="0.25">
      <c r="A113" t="str">
        <f>"024500741014"</f>
        <v>024500741014</v>
      </c>
      <c r="B113" t="s">
        <v>154</v>
      </c>
      <c r="C113" t="s">
        <v>7</v>
      </c>
      <c r="D113" t="s">
        <v>14</v>
      </c>
      <c r="E113" t="s">
        <v>70</v>
      </c>
    </row>
    <row r="114" spans="1:6" x14ac:dyDescent="0.25">
      <c r="A114" t="str">
        <f>"024501031761"</f>
        <v>024501031761</v>
      </c>
      <c r="B114" t="s">
        <v>155</v>
      </c>
      <c r="C114" t="s">
        <v>7</v>
      </c>
      <c r="D114" t="s">
        <v>14</v>
      </c>
      <c r="E114" t="s">
        <v>70</v>
      </c>
    </row>
    <row r="115" spans="1:6" x14ac:dyDescent="0.25">
      <c r="A115" t="str">
        <f>"1831090630"</f>
        <v>1831090630</v>
      </c>
      <c r="B115" t="s">
        <v>156</v>
      </c>
      <c r="C115" t="s">
        <v>7</v>
      </c>
      <c r="D115" t="s">
        <v>14</v>
      </c>
      <c r="E115" t="s">
        <v>70</v>
      </c>
      <c r="F115" t="s">
        <v>157</v>
      </c>
    </row>
    <row r="116" spans="1:6" x14ac:dyDescent="0.25">
      <c r="A116" t="str">
        <f>"0201014081"</f>
        <v>0201014081</v>
      </c>
      <c r="B116" t="s">
        <v>158</v>
      </c>
      <c r="C116" t="s">
        <v>7</v>
      </c>
      <c r="D116" t="s">
        <v>12</v>
      </c>
      <c r="E116" t="s">
        <v>70</v>
      </c>
      <c r="F116" t="s">
        <v>159</v>
      </c>
    </row>
    <row r="117" spans="1:6" x14ac:dyDescent="0.25">
      <c r="A117" t="str">
        <f>"020402501384"</f>
        <v>020402501384</v>
      </c>
      <c r="B117" t="s">
        <v>160</v>
      </c>
      <c r="C117" t="s">
        <v>7</v>
      </c>
      <c r="D117" t="s">
        <v>14</v>
      </c>
      <c r="E117" t="s">
        <v>70</v>
      </c>
    </row>
    <row r="118" spans="1:6" x14ac:dyDescent="0.25">
      <c r="A118" t="str">
        <f>"020703797174"</f>
        <v>020703797174</v>
      </c>
      <c r="B118" t="s">
        <v>161</v>
      </c>
      <c r="C118" t="s">
        <v>7</v>
      </c>
      <c r="D118" t="s">
        <v>14</v>
      </c>
      <c r="E118" t="s">
        <v>70</v>
      </c>
    </row>
    <row r="119" spans="1:6" x14ac:dyDescent="0.25">
      <c r="A119" t="str">
        <f>"021200645071"</f>
        <v>021200645071</v>
      </c>
      <c r="B119" t="s">
        <v>162</v>
      </c>
      <c r="C119" t="s">
        <v>7</v>
      </c>
      <c r="D119" t="s">
        <v>14</v>
      </c>
      <c r="E119" t="s">
        <v>70</v>
      </c>
    </row>
    <row r="120" spans="1:6" x14ac:dyDescent="0.25">
      <c r="A120" t="str">
        <f>"021202119772"</f>
        <v>021202119772</v>
      </c>
      <c r="B120" t="s">
        <v>163</v>
      </c>
      <c r="C120" t="s">
        <v>7</v>
      </c>
      <c r="D120" t="s">
        <v>14</v>
      </c>
      <c r="E120" t="s">
        <v>70</v>
      </c>
    </row>
    <row r="121" spans="1:6" x14ac:dyDescent="0.25">
      <c r="A121" t="str">
        <f>"021402450759"</f>
        <v>021402450759</v>
      </c>
      <c r="B121" t="s">
        <v>164</v>
      </c>
      <c r="C121" t="s">
        <v>7</v>
      </c>
      <c r="D121" t="s">
        <v>14</v>
      </c>
      <c r="E121" t="s">
        <v>70</v>
      </c>
    </row>
    <row r="122" spans="1:6" x14ac:dyDescent="0.25">
      <c r="A122" t="str">
        <f>"021601072501"</f>
        <v>021601072501</v>
      </c>
      <c r="B122" t="s">
        <v>165</v>
      </c>
      <c r="C122" t="s">
        <v>7</v>
      </c>
      <c r="D122" t="s">
        <v>12</v>
      </c>
      <c r="E122" t="s">
        <v>70</v>
      </c>
    </row>
    <row r="123" spans="1:6" x14ac:dyDescent="0.25">
      <c r="A123" t="str">
        <f>"021602497698"</f>
        <v>021602497698</v>
      </c>
      <c r="B123" t="s">
        <v>166</v>
      </c>
      <c r="C123" t="s">
        <v>7</v>
      </c>
      <c r="D123" t="s">
        <v>14</v>
      </c>
      <c r="E123" t="s">
        <v>70</v>
      </c>
    </row>
    <row r="124" spans="1:6" x14ac:dyDescent="0.25">
      <c r="A124" t="str">
        <f>"021702022874"</f>
        <v>021702022874</v>
      </c>
      <c r="B124" t="s">
        <v>167</v>
      </c>
      <c r="C124" t="s">
        <v>7</v>
      </c>
      <c r="D124" t="s">
        <v>14</v>
      </c>
      <c r="E124" t="s">
        <v>70</v>
      </c>
    </row>
    <row r="125" spans="1:6" x14ac:dyDescent="0.25">
      <c r="A125" t="str">
        <f>"021903925724"</f>
        <v>021903925724</v>
      </c>
      <c r="B125" t="s">
        <v>168</v>
      </c>
      <c r="C125" t="s">
        <v>7</v>
      </c>
      <c r="D125" t="s">
        <v>14</v>
      </c>
      <c r="E125" t="s">
        <v>70</v>
      </c>
    </row>
    <row r="126" spans="1:6" x14ac:dyDescent="0.25">
      <c r="A126" t="str">
        <f>"022000678000"</f>
        <v>022000678000</v>
      </c>
      <c r="B126" t="s">
        <v>169</v>
      </c>
      <c r="C126" t="s">
        <v>7</v>
      </c>
      <c r="D126" t="s">
        <v>14</v>
      </c>
      <c r="E126" t="s">
        <v>70</v>
      </c>
    </row>
    <row r="127" spans="1:6" x14ac:dyDescent="0.25">
      <c r="A127" t="str">
        <f>"022002266330"</f>
        <v>022002266330</v>
      </c>
      <c r="B127" t="s">
        <v>170</v>
      </c>
      <c r="C127" t="s">
        <v>7</v>
      </c>
      <c r="D127" t="s">
        <v>14</v>
      </c>
      <c r="E127" t="s">
        <v>70</v>
      </c>
    </row>
    <row r="128" spans="1:6" x14ac:dyDescent="0.25">
      <c r="A128" t="str">
        <f>"022101693990"</f>
        <v>022101693990</v>
      </c>
      <c r="B128" t="s">
        <v>171</v>
      </c>
      <c r="C128" t="s">
        <v>7</v>
      </c>
      <c r="D128" t="s">
        <v>12</v>
      </c>
      <c r="E128" t="s">
        <v>70</v>
      </c>
    </row>
    <row r="129" spans="1:6" x14ac:dyDescent="0.25">
      <c r="A129" t="str">
        <f>"022102044204"</f>
        <v>022102044204</v>
      </c>
      <c r="B129" t="s">
        <v>172</v>
      </c>
      <c r="C129" t="s">
        <v>7</v>
      </c>
      <c r="D129" t="s">
        <v>14</v>
      </c>
      <c r="E129" t="s">
        <v>70</v>
      </c>
    </row>
    <row r="130" spans="1:6" x14ac:dyDescent="0.25">
      <c r="A130" t="str">
        <f>"022203091803"</f>
        <v>022203091803</v>
      </c>
      <c r="B130" t="s">
        <v>173</v>
      </c>
      <c r="C130" t="s">
        <v>7</v>
      </c>
      <c r="D130" t="s">
        <v>14</v>
      </c>
      <c r="E130" t="s">
        <v>70</v>
      </c>
    </row>
    <row r="131" spans="1:6" x14ac:dyDescent="0.25">
      <c r="A131" t="str">
        <f>"0224950256"</f>
        <v>0224950256</v>
      </c>
      <c r="B131" t="s">
        <v>174</v>
      </c>
      <c r="C131" t="s">
        <v>7</v>
      </c>
      <c r="D131" t="s">
        <v>14</v>
      </c>
      <c r="E131" t="s">
        <v>70</v>
      </c>
      <c r="F131" t="s">
        <v>175</v>
      </c>
    </row>
    <row r="132" spans="1:6" x14ac:dyDescent="0.25">
      <c r="A132" t="str">
        <f>"022700200650"</f>
        <v>022700200650</v>
      </c>
      <c r="B132" t="s">
        <v>176</v>
      </c>
      <c r="C132" t="s">
        <v>7</v>
      </c>
      <c r="D132" t="s">
        <v>14</v>
      </c>
      <c r="E132" t="s">
        <v>70</v>
      </c>
    </row>
    <row r="133" spans="1:6" x14ac:dyDescent="0.25">
      <c r="A133" t="str">
        <f>"022702543847"</f>
        <v>022702543847</v>
      </c>
      <c r="B133" t="s">
        <v>177</v>
      </c>
      <c r="C133" t="s">
        <v>7</v>
      </c>
      <c r="D133" t="s">
        <v>14</v>
      </c>
      <c r="E133" t="s">
        <v>70</v>
      </c>
    </row>
    <row r="134" spans="1:6" x14ac:dyDescent="0.25">
      <c r="A134" t="str">
        <f>"022703466063"</f>
        <v>022703466063</v>
      </c>
      <c r="B134" t="s">
        <v>178</v>
      </c>
      <c r="C134" t="s">
        <v>7</v>
      </c>
      <c r="D134" t="s">
        <v>14</v>
      </c>
      <c r="E134" t="s">
        <v>70</v>
      </c>
    </row>
    <row r="135" spans="1:6" x14ac:dyDescent="0.25">
      <c r="A135" t="str">
        <f>"022800966738"</f>
        <v>022800966738</v>
      </c>
      <c r="B135" t="s">
        <v>179</v>
      </c>
      <c r="C135" t="s">
        <v>7</v>
      </c>
      <c r="D135" t="s">
        <v>14</v>
      </c>
      <c r="E135" t="s">
        <v>70</v>
      </c>
    </row>
    <row r="136" spans="1:6" x14ac:dyDescent="0.25">
      <c r="A136" t="str">
        <f>"023203209020"</f>
        <v>023203209020</v>
      </c>
      <c r="B136" t="s">
        <v>180</v>
      </c>
      <c r="C136" t="s">
        <v>7</v>
      </c>
      <c r="D136" t="s">
        <v>14</v>
      </c>
      <c r="E136" t="s">
        <v>70</v>
      </c>
    </row>
    <row r="137" spans="1:6" x14ac:dyDescent="0.25">
      <c r="A137" t="str">
        <f>"023302135796"</f>
        <v>023302135796</v>
      </c>
      <c r="B137" t="s">
        <v>181</v>
      </c>
      <c r="C137" t="s">
        <v>7</v>
      </c>
      <c r="D137" t="s">
        <v>14</v>
      </c>
      <c r="E137" t="s">
        <v>70</v>
      </c>
    </row>
    <row r="138" spans="1:6" x14ac:dyDescent="0.25">
      <c r="A138" t="str">
        <f>"023600072774"</f>
        <v>023600072774</v>
      </c>
      <c r="B138" t="s">
        <v>182</v>
      </c>
      <c r="C138" t="s">
        <v>7</v>
      </c>
      <c r="D138" t="s">
        <v>14</v>
      </c>
      <c r="E138" t="s">
        <v>70</v>
      </c>
    </row>
    <row r="139" spans="1:6" x14ac:dyDescent="0.25">
      <c r="A139" t="str">
        <f>"023601302702"</f>
        <v>023601302702</v>
      </c>
      <c r="B139" t="s">
        <v>183</v>
      </c>
      <c r="C139" t="s">
        <v>7</v>
      </c>
      <c r="D139" t="s">
        <v>14</v>
      </c>
      <c r="E139" t="s">
        <v>70</v>
      </c>
    </row>
    <row r="140" spans="1:6" x14ac:dyDescent="0.25">
      <c r="A140" t="str">
        <f>"023803779287"</f>
        <v>023803779287</v>
      </c>
      <c r="B140" t="s">
        <v>184</v>
      </c>
      <c r="C140" t="s">
        <v>7</v>
      </c>
      <c r="D140" t="s">
        <v>12</v>
      </c>
      <c r="E140" t="s">
        <v>70</v>
      </c>
    </row>
    <row r="141" spans="1:6" x14ac:dyDescent="0.25">
      <c r="A141" t="str">
        <f>"024000333320"</f>
        <v>024000333320</v>
      </c>
      <c r="B141" t="s">
        <v>185</v>
      </c>
      <c r="C141" t="s">
        <v>7</v>
      </c>
      <c r="D141" t="s">
        <v>14</v>
      </c>
      <c r="E141" t="s">
        <v>70</v>
      </c>
    </row>
    <row r="142" spans="1:6" x14ac:dyDescent="0.25">
      <c r="A142" t="str">
        <f>"024403119707"</f>
        <v>024403119707</v>
      </c>
      <c r="B142" t="s">
        <v>186</v>
      </c>
      <c r="C142" t="s">
        <v>7</v>
      </c>
      <c r="D142" t="s">
        <v>14</v>
      </c>
      <c r="E142" t="s">
        <v>70</v>
      </c>
    </row>
    <row r="143" spans="1:6" x14ac:dyDescent="0.25">
      <c r="A143" t="str">
        <f>"024504453000"</f>
        <v>024504453000</v>
      </c>
      <c r="B143" t="s">
        <v>187</v>
      </c>
      <c r="C143" t="s">
        <v>7</v>
      </c>
      <c r="D143" t="s">
        <v>14</v>
      </c>
      <c r="E143" t="s">
        <v>70</v>
      </c>
    </row>
    <row r="144" spans="1:6" x14ac:dyDescent="0.25">
      <c r="A144" t="str">
        <f>"691101006519"</f>
        <v>691101006519</v>
      </c>
      <c r="B144" t="s">
        <v>188</v>
      </c>
      <c r="C144" t="s">
        <v>7</v>
      </c>
      <c r="D144" t="s">
        <v>189</v>
      </c>
      <c r="E144" t="s">
        <v>70</v>
      </c>
    </row>
    <row r="145" spans="1:6" x14ac:dyDescent="0.25">
      <c r="A145" t="str">
        <f>"020400305592"</f>
        <v>020400305592</v>
      </c>
      <c r="B145" t="s">
        <v>190</v>
      </c>
      <c r="C145" t="s">
        <v>7</v>
      </c>
      <c r="D145" t="s">
        <v>14</v>
      </c>
      <c r="E145" t="s">
        <v>70</v>
      </c>
    </row>
    <row r="146" spans="1:6" x14ac:dyDescent="0.25">
      <c r="A146" t="str">
        <f>"020900084214"</f>
        <v>020900084214</v>
      </c>
      <c r="B146" t="s">
        <v>191</v>
      </c>
      <c r="C146" t="s">
        <v>7</v>
      </c>
      <c r="D146" t="s">
        <v>14</v>
      </c>
      <c r="E146" t="s">
        <v>70</v>
      </c>
    </row>
    <row r="147" spans="1:6" x14ac:dyDescent="0.25">
      <c r="A147" t="str">
        <f>"021000167452"</f>
        <v>021000167452</v>
      </c>
      <c r="B147" t="s">
        <v>192</v>
      </c>
      <c r="C147" t="s">
        <v>7</v>
      </c>
      <c r="D147" t="s">
        <v>14</v>
      </c>
      <c r="E147" t="s">
        <v>70</v>
      </c>
    </row>
    <row r="148" spans="1:6" x14ac:dyDescent="0.25">
      <c r="A148" t="str">
        <f>"021400430933"</f>
        <v>021400430933</v>
      </c>
      <c r="B148" t="s">
        <v>193</v>
      </c>
      <c r="C148" t="s">
        <v>7</v>
      </c>
      <c r="D148" t="s">
        <v>14</v>
      </c>
      <c r="E148" t="s">
        <v>70</v>
      </c>
    </row>
    <row r="149" spans="1:6" x14ac:dyDescent="0.25">
      <c r="A149" t="str">
        <f>"0214005542"</f>
        <v>0214005542</v>
      </c>
      <c r="B149" t="s">
        <v>194</v>
      </c>
      <c r="C149" t="s">
        <v>7</v>
      </c>
      <c r="D149" t="s">
        <v>14</v>
      </c>
      <c r="E149" t="s">
        <v>70</v>
      </c>
      <c r="F149" t="s">
        <v>195</v>
      </c>
    </row>
    <row r="150" spans="1:6" x14ac:dyDescent="0.25">
      <c r="A150" t="str">
        <f>"021903135317"</f>
        <v>021903135317</v>
      </c>
      <c r="B150" t="s">
        <v>196</v>
      </c>
      <c r="C150" t="s">
        <v>7</v>
      </c>
      <c r="D150" t="s">
        <v>14</v>
      </c>
      <c r="E150" t="s">
        <v>70</v>
      </c>
    </row>
    <row r="151" spans="1:6" x14ac:dyDescent="0.25">
      <c r="A151" t="str">
        <f>"022402978244"</f>
        <v>022402978244</v>
      </c>
      <c r="B151" t="s">
        <v>197</v>
      </c>
      <c r="C151" t="s">
        <v>7</v>
      </c>
      <c r="D151" t="s">
        <v>14</v>
      </c>
      <c r="E151" t="s">
        <v>70</v>
      </c>
    </row>
    <row r="152" spans="1:6" x14ac:dyDescent="0.25">
      <c r="A152" t="str">
        <f>"0224950249"</f>
        <v>0224950249</v>
      </c>
      <c r="B152" t="s">
        <v>198</v>
      </c>
      <c r="C152" t="s">
        <v>7</v>
      </c>
      <c r="D152" t="s">
        <v>14</v>
      </c>
      <c r="E152" t="s">
        <v>70</v>
      </c>
      <c r="F152" t="s">
        <v>199</v>
      </c>
    </row>
    <row r="153" spans="1:6" x14ac:dyDescent="0.25">
      <c r="A153" t="str">
        <f>"0224955617"</f>
        <v>0224955617</v>
      </c>
      <c r="B153" t="s">
        <v>200</v>
      </c>
      <c r="C153" t="s">
        <v>7</v>
      </c>
      <c r="D153" t="s">
        <v>33</v>
      </c>
      <c r="E153" t="s">
        <v>70</v>
      </c>
      <c r="F153" t="s">
        <v>201</v>
      </c>
    </row>
    <row r="154" spans="1:6" x14ac:dyDescent="0.25">
      <c r="A154" t="str">
        <f>"022501819319"</f>
        <v>022501819319</v>
      </c>
      <c r="B154" t="s">
        <v>202</v>
      </c>
      <c r="C154" t="s">
        <v>7</v>
      </c>
      <c r="D154" t="s">
        <v>14</v>
      </c>
      <c r="E154" t="s">
        <v>70</v>
      </c>
    </row>
    <row r="155" spans="1:6" x14ac:dyDescent="0.25">
      <c r="A155" t="str">
        <f>"022501896024"</f>
        <v>022501896024</v>
      </c>
      <c r="B155" t="s">
        <v>203</v>
      </c>
      <c r="C155" t="s">
        <v>7</v>
      </c>
      <c r="D155" t="s">
        <v>14</v>
      </c>
      <c r="E155" t="s">
        <v>70</v>
      </c>
    </row>
    <row r="156" spans="1:6" x14ac:dyDescent="0.25">
      <c r="A156" t="str">
        <f>"023203638710"</f>
        <v>023203638710</v>
      </c>
      <c r="B156" t="s">
        <v>204</v>
      </c>
      <c r="C156" t="s">
        <v>7</v>
      </c>
      <c r="D156" t="s">
        <v>14</v>
      </c>
      <c r="E156" t="s">
        <v>70</v>
      </c>
    </row>
    <row r="157" spans="1:6" x14ac:dyDescent="0.25">
      <c r="A157" t="str">
        <f>"023900317425"</f>
        <v>023900317425</v>
      </c>
      <c r="B157" t="s">
        <v>205</v>
      </c>
      <c r="C157" t="s">
        <v>7</v>
      </c>
      <c r="D157" t="s">
        <v>14</v>
      </c>
      <c r="E157" t="s">
        <v>70</v>
      </c>
    </row>
    <row r="158" spans="1:6" x14ac:dyDescent="0.25">
      <c r="A158" t="str">
        <f>"023901674476"</f>
        <v>023901674476</v>
      </c>
      <c r="B158" t="s">
        <v>206</v>
      </c>
      <c r="C158" t="s">
        <v>7</v>
      </c>
      <c r="D158" t="s">
        <v>14</v>
      </c>
      <c r="E158" t="s">
        <v>70</v>
      </c>
    </row>
    <row r="159" spans="1:6" x14ac:dyDescent="0.25">
      <c r="A159" t="str">
        <f>"024302807873"</f>
        <v>024302807873</v>
      </c>
      <c r="B159" t="s">
        <v>207</v>
      </c>
      <c r="C159" t="s">
        <v>7</v>
      </c>
      <c r="D159" t="s">
        <v>14</v>
      </c>
      <c r="E159" t="s">
        <v>70</v>
      </c>
    </row>
    <row r="160" spans="1:6" x14ac:dyDescent="0.25">
      <c r="A160" t="str">
        <f>"0245015766"</f>
        <v>0245015766</v>
      </c>
      <c r="B160" t="s">
        <v>208</v>
      </c>
      <c r="C160" t="s">
        <v>7</v>
      </c>
      <c r="D160" t="s">
        <v>14</v>
      </c>
      <c r="E160" t="s">
        <v>70</v>
      </c>
      <c r="F160" t="s">
        <v>209</v>
      </c>
    </row>
    <row r="161" spans="1:6" x14ac:dyDescent="0.25">
      <c r="A161" t="str">
        <f>"0245019834"</f>
        <v>0245019834</v>
      </c>
      <c r="B161" t="s">
        <v>210</v>
      </c>
      <c r="C161" t="s">
        <v>7</v>
      </c>
      <c r="D161" t="s">
        <v>33</v>
      </c>
      <c r="E161" t="s">
        <v>70</v>
      </c>
      <c r="F161" t="s">
        <v>211</v>
      </c>
    </row>
    <row r="162" spans="1:6" x14ac:dyDescent="0.25">
      <c r="A162" t="str">
        <f>"0245024337"</f>
        <v>0245024337</v>
      </c>
      <c r="B162" t="s">
        <v>212</v>
      </c>
      <c r="C162" t="s">
        <v>7</v>
      </c>
      <c r="D162" t="s">
        <v>14</v>
      </c>
      <c r="E162" t="s">
        <v>70</v>
      </c>
      <c r="F162" t="s">
        <v>213</v>
      </c>
    </row>
    <row r="163" spans="1:6" x14ac:dyDescent="0.25">
      <c r="A163" t="str">
        <f>"0245025404"</f>
        <v>0245025404</v>
      </c>
      <c r="B163" t="s">
        <v>214</v>
      </c>
      <c r="C163" t="s">
        <v>7</v>
      </c>
      <c r="D163" t="s">
        <v>12</v>
      </c>
      <c r="E163" t="s">
        <v>70</v>
      </c>
      <c r="F163" t="s">
        <v>215</v>
      </c>
    </row>
    <row r="164" spans="1:6" x14ac:dyDescent="0.25">
      <c r="A164" t="str">
        <f>"025000317553"</f>
        <v>025000317553</v>
      </c>
      <c r="B164" t="s">
        <v>216</v>
      </c>
      <c r="C164" t="s">
        <v>7</v>
      </c>
      <c r="D164" t="s">
        <v>12</v>
      </c>
      <c r="E164" t="s">
        <v>70</v>
      </c>
    </row>
    <row r="165" spans="1:6" x14ac:dyDescent="0.25">
      <c r="A165" t="str">
        <f>"025002702310"</f>
        <v>025002702310</v>
      </c>
      <c r="B165" t="s">
        <v>217</v>
      </c>
      <c r="C165" t="s">
        <v>7</v>
      </c>
      <c r="D165" t="s">
        <v>14</v>
      </c>
      <c r="E165" t="s">
        <v>70</v>
      </c>
    </row>
    <row r="166" spans="1:6" x14ac:dyDescent="0.25">
      <c r="A166" t="str">
        <f>"025100378373"</f>
        <v>025100378373</v>
      </c>
      <c r="B166" t="s">
        <v>218</v>
      </c>
      <c r="C166" t="s">
        <v>7</v>
      </c>
      <c r="D166" t="s">
        <v>14</v>
      </c>
      <c r="E166" t="s">
        <v>70</v>
      </c>
    </row>
    <row r="167" spans="1:6" x14ac:dyDescent="0.25">
      <c r="A167" t="str">
        <f>"025102750131"</f>
        <v>025102750131</v>
      </c>
      <c r="B167" t="s">
        <v>219</v>
      </c>
      <c r="C167" t="s">
        <v>7</v>
      </c>
      <c r="D167" t="s">
        <v>14</v>
      </c>
      <c r="E167" t="s">
        <v>70</v>
      </c>
    </row>
    <row r="168" spans="1:6" x14ac:dyDescent="0.25">
      <c r="A168" t="str">
        <f>"025300140730"</f>
        <v>025300140730</v>
      </c>
      <c r="B168" t="s">
        <v>220</v>
      </c>
      <c r="C168" t="s">
        <v>7</v>
      </c>
      <c r="D168" t="s">
        <v>14</v>
      </c>
      <c r="E168" t="s">
        <v>70</v>
      </c>
    </row>
    <row r="169" spans="1:6" x14ac:dyDescent="0.25">
      <c r="A169" t="str">
        <f>"025300327312"</f>
        <v>025300327312</v>
      </c>
      <c r="B169" t="s">
        <v>221</v>
      </c>
      <c r="C169" t="s">
        <v>7</v>
      </c>
      <c r="D169" t="s">
        <v>14</v>
      </c>
      <c r="E169" t="s">
        <v>70</v>
      </c>
    </row>
    <row r="170" spans="1:6" x14ac:dyDescent="0.25">
      <c r="A170" t="str">
        <f>"0253009759"</f>
        <v>0253009759</v>
      </c>
      <c r="B170" t="s">
        <v>222</v>
      </c>
      <c r="C170" t="s">
        <v>7</v>
      </c>
      <c r="D170" t="s">
        <v>33</v>
      </c>
      <c r="E170" t="s">
        <v>70</v>
      </c>
      <c r="F170" t="s">
        <v>223</v>
      </c>
    </row>
    <row r="171" spans="1:6" x14ac:dyDescent="0.25">
      <c r="A171" t="str">
        <f>"025502644593"</f>
        <v>025502644593</v>
      </c>
      <c r="B171" t="s">
        <v>224</v>
      </c>
      <c r="C171" t="s">
        <v>7</v>
      </c>
      <c r="D171" t="s">
        <v>14</v>
      </c>
      <c r="E171" t="s">
        <v>70</v>
      </c>
    </row>
    <row r="172" spans="1:6" x14ac:dyDescent="0.25">
      <c r="A172" t="str">
        <f>"025506265187"</f>
        <v>025506265187</v>
      </c>
      <c r="B172" t="s">
        <v>225</v>
      </c>
      <c r="C172" t="s">
        <v>7</v>
      </c>
      <c r="D172" t="s">
        <v>14</v>
      </c>
      <c r="E172" t="s">
        <v>70</v>
      </c>
    </row>
    <row r="173" spans="1:6" x14ac:dyDescent="0.25">
      <c r="A173" t="str">
        <f>"025507667629"</f>
        <v>025507667629</v>
      </c>
      <c r="B173" t="s">
        <v>226</v>
      </c>
      <c r="C173" t="s">
        <v>7</v>
      </c>
      <c r="D173" t="s">
        <v>14</v>
      </c>
      <c r="E173" t="s">
        <v>70</v>
      </c>
    </row>
    <row r="174" spans="1:6" x14ac:dyDescent="0.25">
      <c r="A174" t="str">
        <f>"025507928119"</f>
        <v>025507928119</v>
      </c>
      <c r="B174" t="s">
        <v>227</v>
      </c>
      <c r="C174" t="s">
        <v>7</v>
      </c>
      <c r="D174" t="s">
        <v>12</v>
      </c>
      <c r="E174" t="s">
        <v>70</v>
      </c>
    </row>
    <row r="175" spans="1:6" x14ac:dyDescent="0.25">
      <c r="A175" t="str">
        <f>"025700607508"</f>
        <v>025700607508</v>
      </c>
      <c r="B175" t="s">
        <v>228</v>
      </c>
      <c r="C175" t="s">
        <v>7</v>
      </c>
      <c r="D175" t="s">
        <v>14</v>
      </c>
      <c r="E175" t="s">
        <v>70</v>
      </c>
    </row>
    <row r="176" spans="1:6" x14ac:dyDescent="0.25">
      <c r="A176" t="str">
        <f>"025800224185"</f>
        <v>025800224185</v>
      </c>
      <c r="B176" t="s">
        <v>229</v>
      </c>
      <c r="C176" t="s">
        <v>7</v>
      </c>
      <c r="D176" t="s">
        <v>14</v>
      </c>
      <c r="E176" t="s">
        <v>70</v>
      </c>
    </row>
    <row r="177" spans="1:6" x14ac:dyDescent="0.25">
      <c r="A177" t="str">
        <f>"0258009079"</f>
        <v>0258009079</v>
      </c>
      <c r="B177" t="s">
        <v>230</v>
      </c>
      <c r="C177" t="s">
        <v>7</v>
      </c>
      <c r="D177" t="s">
        <v>98</v>
      </c>
      <c r="E177" t="s">
        <v>70</v>
      </c>
      <c r="F177" t="s">
        <v>231</v>
      </c>
    </row>
    <row r="178" spans="1:6" x14ac:dyDescent="0.25">
      <c r="A178" t="str">
        <f>"025805061375"</f>
        <v>025805061375</v>
      </c>
      <c r="B178" t="s">
        <v>232</v>
      </c>
      <c r="C178" t="s">
        <v>7</v>
      </c>
      <c r="D178" t="s">
        <v>14</v>
      </c>
      <c r="E178" t="s">
        <v>70</v>
      </c>
    </row>
    <row r="179" spans="1:6" x14ac:dyDescent="0.25">
      <c r="A179" t="str">
        <f>"025900256582"</f>
        <v>025900256582</v>
      </c>
      <c r="B179" t="s">
        <v>233</v>
      </c>
      <c r="C179" t="s">
        <v>7</v>
      </c>
      <c r="D179" t="s">
        <v>14</v>
      </c>
      <c r="E179" t="s">
        <v>70</v>
      </c>
    </row>
    <row r="180" spans="1:6" x14ac:dyDescent="0.25">
      <c r="A180" t="str">
        <f>"025900987374"</f>
        <v>025900987374</v>
      </c>
      <c r="B180" t="s">
        <v>234</v>
      </c>
      <c r="C180" t="s">
        <v>7</v>
      </c>
      <c r="D180" t="s">
        <v>14</v>
      </c>
      <c r="E180" t="s">
        <v>70</v>
      </c>
    </row>
    <row r="181" spans="1:6" x14ac:dyDescent="0.25">
      <c r="A181" t="str">
        <f>"026002844148"</f>
        <v>026002844148</v>
      </c>
      <c r="B181" t="s">
        <v>235</v>
      </c>
      <c r="C181" t="s">
        <v>7</v>
      </c>
      <c r="D181" t="s">
        <v>14</v>
      </c>
      <c r="E181" t="s">
        <v>70</v>
      </c>
    </row>
    <row r="182" spans="1:6" x14ac:dyDescent="0.25">
      <c r="A182" t="str">
        <f>"026005877864"</f>
        <v>026005877864</v>
      </c>
      <c r="B182" t="s">
        <v>236</v>
      </c>
      <c r="C182" t="s">
        <v>7</v>
      </c>
      <c r="D182" t="s">
        <v>14</v>
      </c>
      <c r="E182" t="s">
        <v>70</v>
      </c>
    </row>
    <row r="183" spans="1:6" x14ac:dyDescent="0.25">
      <c r="A183" t="str">
        <f>"026006306327"</f>
        <v>026006306327</v>
      </c>
      <c r="B183" t="s">
        <v>237</v>
      </c>
      <c r="C183" t="s">
        <v>7</v>
      </c>
      <c r="D183" t="s">
        <v>14</v>
      </c>
      <c r="E183" t="s">
        <v>70</v>
      </c>
    </row>
    <row r="184" spans="1:6" x14ac:dyDescent="0.25">
      <c r="A184" t="str">
        <f>"026105524615"</f>
        <v>026105524615</v>
      </c>
      <c r="B184" t="s">
        <v>238</v>
      </c>
      <c r="C184" t="s">
        <v>7</v>
      </c>
      <c r="D184" t="s">
        <v>14</v>
      </c>
      <c r="E184" t="s">
        <v>70</v>
      </c>
    </row>
    <row r="185" spans="1:6" x14ac:dyDescent="0.25">
      <c r="A185" t="str">
        <f>"026105874899"</f>
        <v>026105874899</v>
      </c>
      <c r="B185" t="s">
        <v>239</v>
      </c>
      <c r="C185" t="s">
        <v>7</v>
      </c>
      <c r="D185" t="s">
        <v>12</v>
      </c>
      <c r="E185" t="s">
        <v>70</v>
      </c>
    </row>
    <row r="186" spans="1:6" x14ac:dyDescent="0.25">
      <c r="A186" t="str">
        <f>"026106406935"</f>
        <v>026106406935</v>
      </c>
      <c r="B186" t="s">
        <v>240</v>
      </c>
      <c r="C186" t="s">
        <v>7</v>
      </c>
      <c r="D186" t="s">
        <v>14</v>
      </c>
      <c r="E186" t="s">
        <v>70</v>
      </c>
    </row>
    <row r="187" spans="1:6" x14ac:dyDescent="0.25">
      <c r="A187" t="str">
        <f>"026202922058"</f>
        <v>026202922058</v>
      </c>
      <c r="B187" t="s">
        <v>241</v>
      </c>
      <c r="C187" t="s">
        <v>7</v>
      </c>
      <c r="D187" t="s">
        <v>33</v>
      </c>
      <c r="E187" t="s">
        <v>70</v>
      </c>
    </row>
    <row r="188" spans="1:6" x14ac:dyDescent="0.25">
      <c r="A188" t="str">
        <f>"026207954310"</f>
        <v>026207954310</v>
      </c>
      <c r="B188" t="s">
        <v>242</v>
      </c>
      <c r="C188" t="s">
        <v>7</v>
      </c>
      <c r="D188" t="s">
        <v>14</v>
      </c>
      <c r="E188" t="s">
        <v>70</v>
      </c>
    </row>
    <row r="189" spans="1:6" x14ac:dyDescent="0.25">
      <c r="A189" t="str">
        <f>"026303625005"</f>
        <v>026303625005</v>
      </c>
      <c r="B189" t="s">
        <v>243</v>
      </c>
      <c r="C189" t="s">
        <v>7</v>
      </c>
      <c r="D189" t="s">
        <v>14</v>
      </c>
      <c r="E189" t="s">
        <v>70</v>
      </c>
    </row>
    <row r="190" spans="1:6" x14ac:dyDescent="0.25">
      <c r="A190" t="str">
        <f>"0264064744"</f>
        <v>0264064744</v>
      </c>
      <c r="B190" t="s">
        <v>244</v>
      </c>
      <c r="C190" t="s">
        <v>7</v>
      </c>
      <c r="D190" t="s">
        <v>14</v>
      </c>
      <c r="E190" t="s">
        <v>70</v>
      </c>
      <c r="F190" t="s">
        <v>245</v>
      </c>
    </row>
    <row r="191" spans="1:6" x14ac:dyDescent="0.25">
      <c r="A191" t="str">
        <f>"026409856563"</f>
        <v>026409856563</v>
      </c>
      <c r="B191" t="s">
        <v>246</v>
      </c>
      <c r="C191" t="s">
        <v>7</v>
      </c>
      <c r="D191" t="s">
        <v>14</v>
      </c>
      <c r="E191" t="s">
        <v>70</v>
      </c>
    </row>
    <row r="192" spans="1:6" x14ac:dyDescent="0.25">
      <c r="A192" t="str">
        <f>"026411049359"</f>
        <v>026411049359</v>
      </c>
      <c r="B192" t="s">
        <v>247</v>
      </c>
      <c r="C192" t="s">
        <v>7</v>
      </c>
      <c r="D192" t="s">
        <v>14</v>
      </c>
      <c r="E192" t="s">
        <v>70</v>
      </c>
    </row>
    <row r="193" spans="1:6" x14ac:dyDescent="0.25">
      <c r="A193" t="str">
        <f>"0265018645"</f>
        <v>0265018645</v>
      </c>
      <c r="B193" t="s">
        <v>248</v>
      </c>
      <c r="C193" t="s">
        <v>7</v>
      </c>
      <c r="D193" t="s">
        <v>14</v>
      </c>
      <c r="E193" t="s">
        <v>70</v>
      </c>
      <c r="F193" t="s">
        <v>249</v>
      </c>
    </row>
    <row r="194" spans="1:6" x14ac:dyDescent="0.25">
      <c r="A194" t="str">
        <f>"0265033379"</f>
        <v>0265033379</v>
      </c>
      <c r="B194" t="s">
        <v>250</v>
      </c>
      <c r="C194" t="s">
        <v>7</v>
      </c>
      <c r="D194" t="s">
        <v>14</v>
      </c>
      <c r="E194" t="s">
        <v>70</v>
      </c>
      <c r="F194" t="s">
        <v>251</v>
      </c>
    </row>
    <row r="195" spans="1:6" x14ac:dyDescent="0.25">
      <c r="A195" t="str">
        <f>"026505672311"</f>
        <v>026505672311</v>
      </c>
      <c r="B195" t="s">
        <v>252</v>
      </c>
      <c r="C195" t="s">
        <v>7</v>
      </c>
      <c r="D195" t="s">
        <v>14</v>
      </c>
      <c r="E195" t="s">
        <v>70</v>
      </c>
    </row>
    <row r="196" spans="1:6" x14ac:dyDescent="0.25">
      <c r="A196" t="str">
        <f>"026506680851"</f>
        <v>026506680851</v>
      </c>
      <c r="B196" t="s">
        <v>253</v>
      </c>
      <c r="C196" t="s">
        <v>7</v>
      </c>
      <c r="D196" t="s">
        <v>14</v>
      </c>
      <c r="E196" t="s">
        <v>70</v>
      </c>
    </row>
    <row r="197" spans="1:6" x14ac:dyDescent="0.25">
      <c r="A197" t="str">
        <f>"026507064929"</f>
        <v>026507064929</v>
      </c>
      <c r="B197" t="s">
        <v>254</v>
      </c>
      <c r="C197" t="s">
        <v>7</v>
      </c>
      <c r="D197" t="s">
        <v>14</v>
      </c>
      <c r="E197" t="s">
        <v>70</v>
      </c>
    </row>
    <row r="198" spans="1:6" x14ac:dyDescent="0.25">
      <c r="A198" t="str">
        <f>"026609149280"</f>
        <v>026609149280</v>
      </c>
      <c r="B198" t="s">
        <v>255</v>
      </c>
      <c r="C198" t="s">
        <v>7</v>
      </c>
      <c r="D198" t="s">
        <v>14</v>
      </c>
      <c r="E198" t="s">
        <v>70</v>
      </c>
    </row>
    <row r="199" spans="1:6" x14ac:dyDescent="0.25">
      <c r="A199" t="str">
        <f>"026701998366"</f>
        <v>026701998366</v>
      </c>
      <c r="B199" t="s">
        <v>256</v>
      </c>
      <c r="C199" t="s">
        <v>7</v>
      </c>
      <c r="D199" t="s">
        <v>14</v>
      </c>
      <c r="E199" t="s">
        <v>70</v>
      </c>
    </row>
    <row r="200" spans="1:6" x14ac:dyDescent="0.25">
      <c r="A200" t="str">
        <f>"026702828769"</f>
        <v>026702828769</v>
      </c>
      <c r="B200" t="s">
        <v>257</v>
      </c>
      <c r="C200" t="s">
        <v>7</v>
      </c>
      <c r="D200" t="s">
        <v>14</v>
      </c>
      <c r="E200" t="s">
        <v>70</v>
      </c>
    </row>
    <row r="201" spans="1:6" x14ac:dyDescent="0.25">
      <c r="A201" t="str">
        <f>"026704630860"</f>
        <v>026704630860</v>
      </c>
      <c r="B201" t="s">
        <v>258</v>
      </c>
      <c r="C201" t="s">
        <v>7</v>
      </c>
      <c r="D201" t="s">
        <v>14</v>
      </c>
      <c r="E201" t="s">
        <v>70</v>
      </c>
    </row>
    <row r="202" spans="1:6" x14ac:dyDescent="0.25">
      <c r="A202" t="str">
        <f>"026705536147"</f>
        <v>026705536147</v>
      </c>
      <c r="B202" t="s">
        <v>259</v>
      </c>
      <c r="C202" t="s">
        <v>7</v>
      </c>
      <c r="D202" t="s">
        <v>14</v>
      </c>
      <c r="E202" t="s">
        <v>70</v>
      </c>
    </row>
    <row r="203" spans="1:6" x14ac:dyDescent="0.25">
      <c r="A203" t="str">
        <f>"026705892402"</f>
        <v>026705892402</v>
      </c>
      <c r="B203" t="s">
        <v>260</v>
      </c>
      <c r="C203" t="s">
        <v>7</v>
      </c>
      <c r="D203" t="s">
        <v>14</v>
      </c>
      <c r="E203" t="s">
        <v>70</v>
      </c>
    </row>
    <row r="204" spans="1:6" x14ac:dyDescent="0.25">
      <c r="A204" t="str">
        <f>"0268002019"</f>
        <v>0268002019</v>
      </c>
      <c r="B204" t="s">
        <v>261</v>
      </c>
      <c r="C204" t="s">
        <v>7</v>
      </c>
      <c r="D204" t="s">
        <v>14</v>
      </c>
      <c r="E204" t="s">
        <v>70</v>
      </c>
      <c r="F204" t="s">
        <v>262</v>
      </c>
    </row>
    <row r="205" spans="1:6" x14ac:dyDescent="0.25">
      <c r="A205" t="str">
        <f>"0268048912"</f>
        <v>0268048912</v>
      </c>
      <c r="B205" t="s">
        <v>263</v>
      </c>
      <c r="C205" t="s">
        <v>7</v>
      </c>
      <c r="D205" t="s">
        <v>14</v>
      </c>
      <c r="E205" t="s">
        <v>70</v>
      </c>
      <c r="F205" t="s">
        <v>264</v>
      </c>
    </row>
    <row r="206" spans="1:6" x14ac:dyDescent="0.25">
      <c r="A206" t="str">
        <f>"0268066020"</f>
        <v>0268066020</v>
      </c>
      <c r="B206" t="s">
        <v>265</v>
      </c>
      <c r="C206" t="s">
        <v>7</v>
      </c>
      <c r="D206" t="s">
        <v>33</v>
      </c>
      <c r="E206" t="s">
        <v>70</v>
      </c>
      <c r="F206" t="s">
        <v>266</v>
      </c>
    </row>
    <row r="207" spans="1:6" x14ac:dyDescent="0.25">
      <c r="A207" t="str">
        <f>"0268068757"</f>
        <v>0268068757</v>
      </c>
      <c r="B207" t="s">
        <v>267</v>
      </c>
      <c r="C207" t="s">
        <v>7</v>
      </c>
      <c r="D207" t="s">
        <v>14</v>
      </c>
      <c r="E207" t="s">
        <v>70</v>
      </c>
      <c r="F207" t="s">
        <v>264</v>
      </c>
    </row>
    <row r="208" spans="1:6" x14ac:dyDescent="0.25">
      <c r="A208" t="str">
        <f>"0268074912"</f>
        <v>0268074912</v>
      </c>
      <c r="B208" t="s">
        <v>268</v>
      </c>
      <c r="C208" t="s">
        <v>7</v>
      </c>
      <c r="D208" t="s">
        <v>28</v>
      </c>
      <c r="E208" t="s">
        <v>70</v>
      </c>
      <c r="F208" t="s">
        <v>269</v>
      </c>
    </row>
    <row r="209" spans="1:6" x14ac:dyDescent="0.25">
      <c r="A209" t="str">
        <f>"026810168904"</f>
        <v>026810168904</v>
      </c>
      <c r="B209" t="s">
        <v>270</v>
      </c>
      <c r="C209" t="s">
        <v>7</v>
      </c>
      <c r="D209" t="s">
        <v>12</v>
      </c>
      <c r="E209" t="s">
        <v>70</v>
      </c>
    </row>
    <row r="210" spans="1:6" x14ac:dyDescent="0.25">
      <c r="A210" t="str">
        <f>"026814738400"</f>
        <v>026814738400</v>
      </c>
      <c r="B210" t="s">
        <v>271</v>
      </c>
      <c r="C210" t="s">
        <v>7</v>
      </c>
      <c r="D210" t="s">
        <v>14</v>
      </c>
      <c r="E210" t="s">
        <v>70</v>
      </c>
    </row>
    <row r="211" spans="1:6" x14ac:dyDescent="0.25">
      <c r="A211" t="str">
        <f>"026901283686"</f>
        <v>026901283686</v>
      </c>
      <c r="B211" t="s">
        <v>272</v>
      </c>
      <c r="C211" t="s">
        <v>7</v>
      </c>
      <c r="D211" t="s">
        <v>14</v>
      </c>
      <c r="E211" t="s">
        <v>70</v>
      </c>
    </row>
    <row r="212" spans="1:6" x14ac:dyDescent="0.25">
      <c r="A212" t="str">
        <f>"026904106396"</f>
        <v>026904106396</v>
      </c>
      <c r="B212" t="s">
        <v>273</v>
      </c>
      <c r="C212" t="s">
        <v>7</v>
      </c>
      <c r="D212" t="s">
        <v>14</v>
      </c>
      <c r="E212" t="s">
        <v>70</v>
      </c>
    </row>
    <row r="213" spans="1:6" x14ac:dyDescent="0.25">
      <c r="A213" t="str">
        <f>"026907391800"</f>
        <v>026907391800</v>
      </c>
      <c r="B213" t="s">
        <v>274</v>
      </c>
      <c r="C213" t="s">
        <v>7</v>
      </c>
      <c r="D213" t="s">
        <v>14</v>
      </c>
      <c r="E213" t="s">
        <v>70</v>
      </c>
    </row>
    <row r="214" spans="1:6" x14ac:dyDescent="0.25">
      <c r="A214" t="str">
        <f>"0245961925"</f>
        <v>0245961925</v>
      </c>
      <c r="B214" t="s">
        <v>275</v>
      </c>
      <c r="C214" t="s">
        <v>7</v>
      </c>
      <c r="D214" t="s">
        <v>14</v>
      </c>
      <c r="E214" t="s">
        <v>70</v>
      </c>
      <c r="F214" t="s">
        <v>276</v>
      </c>
    </row>
    <row r="215" spans="1:6" x14ac:dyDescent="0.25">
      <c r="A215" t="str">
        <f>"0245964901"</f>
        <v>0245964901</v>
      </c>
      <c r="B215" t="s">
        <v>277</v>
      </c>
      <c r="C215" t="s">
        <v>7</v>
      </c>
      <c r="D215" t="s">
        <v>14</v>
      </c>
      <c r="E215" t="s">
        <v>70</v>
      </c>
      <c r="F215" t="s">
        <v>278</v>
      </c>
    </row>
    <row r="216" spans="1:6" x14ac:dyDescent="0.25">
      <c r="A216" t="str">
        <f>"0245966521"</f>
        <v>0245966521</v>
      </c>
      <c r="B216" t="s">
        <v>279</v>
      </c>
      <c r="C216" t="s">
        <v>7</v>
      </c>
      <c r="D216" t="s">
        <v>12</v>
      </c>
      <c r="E216" t="s">
        <v>70</v>
      </c>
      <c r="F216" t="s">
        <v>280</v>
      </c>
    </row>
    <row r="217" spans="1:6" x14ac:dyDescent="0.25">
      <c r="A217" t="str">
        <f>"0245972162"</f>
        <v>0245972162</v>
      </c>
      <c r="B217" t="s">
        <v>281</v>
      </c>
      <c r="C217" t="s">
        <v>7</v>
      </c>
      <c r="D217" t="s">
        <v>14</v>
      </c>
      <c r="E217" t="s">
        <v>70</v>
      </c>
      <c r="F217" t="s">
        <v>282</v>
      </c>
    </row>
    <row r="218" spans="1:6" x14ac:dyDescent="0.25">
      <c r="A218" t="str">
        <f>"024800500411"</f>
        <v>024800500411</v>
      </c>
      <c r="B218" t="s">
        <v>283</v>
      </c>
      <c r="C218" t="s">
        <v>7</v>
      </c>
      <c r="D218" t="s">
        <v>14</v>
      </c>
      <c r="E218" t="s">
        <v>70</v>
      </c>
    </row>
    <row r="219" spans="1:6" x14ac:dyDescent="0.25">
      <c r="A219" t="str">
        <f>"024800747970"</f>
        <v>024800747970</v>
      </c>
      <c r="B219" t="s">
        <v>284</v>
      </c>
      <c r="C219" t="s">
        <v>7</v>
      </c>
      <c r="D219" t="s">
        <v>14</v>
      </c>
      <c r="E219" t="s">
        <v>70</v>
      </c>
    </row>
    <row r="220" spans="1:6" x14ac:dyDescent="0.25">
      <c r="A220" t="str">
        <f>"024901292052"</f>
        <v>024901292052</v>
      </c>
      <c r="B220" t="s">
        <v>285</v>
      </c>
      <c r="C220" t="s">
        <v>7</v>
      </c>
      <c r="D220" t="s">
        <v>12</v>
      </c>
      <c r="E220" t="s">
        <v>70</v>
      </c>
    </row>
    <row r="221" spans="1:6" x14ac:dyDescent="0.25">
      <c r="A221" t="str">
        <f>"025003607420"</f>
        <v>025003607420</v>
      </c>
      <c r="B221" t="s">
        <v>286</v>
      </c>
      <c r="C221" t="s">
        <v>7</v>
      </c>
      <c r="D221" t="s">
        <v>14</v>
      </c>
      <c r="E221" t="s">
        <v>70</v>
      </c>
    </row>
    <row r="222" spans="1:6" x14ac:dyDescent="0.25">
      <c r="A222" t="str">
        <f>"025102033938"</f>
        <v>025102033938</v>
      </c>
      <c r="B222" t="s">
        <v>287</v>
      </c>
      <c r="C222" t="s">
        <v>7</v>
      </c>
      <c r="D222" t="s">
        <v>14</v>
      </c>
      <c r="E222" t="s">
        <v>70</v>
      </c>
    </row>
    <row r="223" spans="1:6" x14ac:dyDescent="0.25">
      <c r="A223" t="str">
        <f>"025300185361"</f>
        <v>025300185361</v>
      </c>
      <c r="B223" t="s">
        <v>288</v>
      </c>
      <c r="C223" t="s">
        <v>7</v>
      </c>
      <c r="D223" t="s">
        <v>14</v>
      </c>
      <c r="E223" t="s">
        <v>70</v>
      </c>
    </row>
    <row r="224" spans="1:6" x14ac:dyDescent="0.25">
      <c r="A224" t="str">
        <f>"025404340068"</f>
        <v>025404340068</v>
      </c>
      <c r="B224" t="s">
        <v>289</v>
      </c>
      <c r="C224" t="s">
        <v>7</v>
      </c>
      <c r="D224" t="s">
        <v>14</v>
      </c>
      <c r="E224" t="s">
        <v>70</v>
      </c>
    </row>
    <row r="225" spans="1:6" x14ac:dyDescent="0.25">
      <c r="A225" t="str">
        <f>"025501466637"</f>
        <v>025501466637</v>
      </c>
      <c r="B225" t="s">
        <v>290</v>
      </c>
      <c r="C225" t="s">
        <v>7</v>
      </c>
      <c r="D225" t="s">
        <v>14</v>
      </c>
      <c r="E225" t="s">
        <v>70</v>
      </c>
    </row>
    <row r="226" spans="1:6" x14ac:dyDescent="0.25">
      <c r="A226" t="str">
        <f>"025601291451"</f>
        <v>025601291451</v>
      </c>
      <c r="B226" t="s">
        <v>291</v>
      </c>
      <c r="C226" t="s">
        <v>7</v>
      </c>
      <c r="D226" t="s">
        <v>14</v>
      </c>
      <c r="E226" t="s">
        <v>70</v>
      </c>
    </row>
    <row r="227" spans="1:6" x14ac:dyDescent="0.25">
      <c r="A227" t="str">
        <f>"0256017557"</f>
        <v>0256017557</v>
      </c>
      <c r="B227" t="s">
        <v>292</v>
      </c>
      <c r="C227" t="s">
        <v>7</v>
      </c>
      <c r="D227" t="s">
        <v>14</v>
      </c>
      <c r="E227" t="s">
        <v>70</v>
      </c>
      <c r="F227" t="s">
        <v>293</v>
      </c>
    </row>
    <row r="228" spans="1:6" x14ac:dyDescent="0.25">
      <c r="A228" t="str">
        <f>"025603903646"</f>
        <v>025603903646</v>
      </c>
      <c r="B228" t="s">
        <v>294</v>
      </c>
      <c r="C228" t="s">
        <v>7</v>
      </c>
      <c r="D228" t="s">
        <v>14</v>
      </c>
      <c r="E228" t="s">
        <v>70</v>
      </c>
    </row>
    <row r="229" spans="1:6" x14ac:dyDescent="0.25">
      <c r="A229" t="str">
        <f>"025606508620"</f>
        <v>025606508620</v>
      </c>
      <c r="B229" t="s">
        <v>295</v>
      </c>
      <c r="C229" t="s">
        <v>7</v>
      </c>
      <c r="D229" t="s">
        <v>12</v>
      </c>
      <c r="E229" t="s">
        <v>70</v>
      </c>
    </row>
    <row r="230" spans="1:6" x14ac:dyDescent="0.25">
      <c r="A230" t="str">
        <f>"0256085564"</f>
        <v>0256085564</v>
      </c>
      <c r="B230" t="s">
        <v>296</v>
      </c>
      <c r="C230" t="s">
        <v>7</v>
      </c>
      <c r="D230" t="s">
        <v>12</v>
      </c>
      <c r="E230" t="s">
        <v>70</v>
      </c>
      <c r="F230" t="s">
        <v>297</v>
      </c>
    </row>
    <row r="231" spans="1:6" x14ac:dyDescent="0.25">
      <c r="A231" t="str">
        <f>"025702339170"</f>
        <v>025702339170</v>
      </c>
      <c r="B231" t="s">
        <v>298</v>
      </c>
      <c r="C231" t="s">
        <v>7</v>
      </c>
      <c r="D231" t="s">
        <v>14</v>
      </c>
      <c r="E231" t="s">
        <v>70</v>
      </c>
    </row>
    <row r="232" spans="1:6" x14ac:dyDescent="0.25">
      <c r="A232" t="str">
        <f>"025801809758"</f>
        <v>025801809758</v>
      </c>
      <c r="B232" t="s">
        <v>299</v>
      </c>
      <c r="C232" t="s">
        <v>7</v>
      </c>
      <c r="D232" t="s">
        <v>14</v>
      </c>
      <c r="E232" t="s">
        <v>70</v>
      </c>
    </row>
    <row r="233" spans="1:6" x14ac:dyDescent="0.25">
      <c r="A233" t="str">
        <f>"025802840687"</f>
        <v>025802840687</v>
      </c>
      <c r="B233" t="s">
        <v>300</v>
      </c>
      <c r="C233" t="s">
        <v>7</v>
      </c>
      <c r="D233" t="s">
        <v>14</v>
      </c>
      <c r="E233" t="s">
        <v>70</v>
      </c>
    </row>
    <row r="234" spans="1:6" x14ac:dyDescent="0.25">
      <c r="A234" t="str">
        <f>"0259013737"</f>
        <v>0259013737</v>
      </c>
      <c r="B234" t="s">
        <v>301</v>
      </c>
      <c r="C234" t="s">
        <v>7</v>
      </c>
      <c r="D234" t="s">
        <v>14</v>
      </c>
      <c r="E234" t="s">
        <v>70</v>
      </c>
      <c r="F234" t="s">
        <v>302</v>
      </c>
    </row>
    <row r="235" spans="1:6" x14ac:dyDescent="0.25">
      <c r="A235" t="str">
        <f>"025901574394"</f>
        <v>025901574394</v>
      </c>
      <c r="B235" t="s">
        <v>303</v>
      </c>
      <c r="C235" t="s">
        <v>7</v>
      </c>
      <c r="D235" t="s">
        <v>14</v>
      </c>
      <c r="E235" t="s">
        <v>70</v>
      </c>
    </row>
    <row r="236" spans="1:6" x14ac:dyDescent="0.25">
      <c r="A236" t="str">
        <f>"025904394262"</f>
        <v>025904394262</v>
      </c>
      <c r="B236" t="s">
        <v>304</v>
      </c>
      <c r="C236" t="s">
        <v>7</v>
      </c>
      <c r="D236" t="s">
        <v>14</v>
      </c>
      <c r="E236" t="s">
        <v>70</v>
      </c>
    </row>
    <row r="237" spans="1:6" x14ac:dyDescent="0.25">
      <c r="A237" t="str">
        <f>"026102267960"</f>
        <v>026102267960</v>
      </c>
      <c r="B237" t="s">
        <v>305</v>
      </c>
      <c r="C237" t="s">
        <v>7</v>
      </c>
      <c r="D237" t="s">
        <v>14</v>
      </c>
      <c r="E237" t="s">
        <v>70</v>
      </c>
    </row>
    <row r="238" spans="1:6" x14ac:dyDescent="0.25">
      <c r="A238" t="str">
        <f>"026102371008"</f>
        <v>026102371008</v>
      </c>
      <c r="B238" t="s">
        <v>306</v>
      </c>
      <c r="C238" t="s">
        <v>7</v>
      </c>
      <c r="D238" t="s">
        <v>14</v>
      </c>
      <c r="E238" t="s">
        <v>70</v>
      </c>
    </row>
    <row r="239" spans="1:6" x14ac:dyDescent="0.25">
      <c r="A239" t="str">
        <f>"026104317567"</f>
        <v>026104317567</v>
      </c>
      <c r="B239" t="s">
        <v>307</v>
      </c>
      <c r="C239" t="s">
        <v>7</v>
      </c>
      <c r="D239" t="s">
        <v>12</v>
      </c>
      <c r="E239" t="s">
        <v>70</v>
      </c>
    </row>
    <row r="240" spans="1:6" x14ac:dyDescent="0.25">
      <c r="A240" t="str">
        <f>"0261044700"</f>
        <v>0261044700</v>
      </c>
      <c r="B240" t="s">
        <v>308</v>
      </c>
      <c r="C240" t="s">
        <v>7</v>
      </c>
      <c r="D240" t="s">
        <v>14</v>
      </c>
      <c r="E240" t="s">
        <v>70</v>
      </c>
      <c r="F240" t="s">
        <v>309</v>
      </c>
    </row>
    <row r="241" spans="1:6" x14ac:dyDescent="0.25">
      <c r="A241" t="str">
        <f>"026106342590"</f>
        <v>026106342590</v>
      </c>
      <c r="B241" t="s">
        <v>310</v>
      </c>
      <c r="C241" t="s">
        <v>7</v>
      </c>
      <c r="D241" t="s">
        <v>14</v>
      </c>
      <c r="E241" t="s">
        <v>70</v>
      </c>
    </row>
    <row r="242" spans="1:6" x14ac:dyDescent="0.25">
      <c r="A242" t="str">
        <f>"026106407030"</f>
        <v>026106407030</v>
      </c>
      <c r="B242" t="s">
        <v>311</v>
      </c>
      <c r="C242" t="s">
        <v>7</v>
      </c>
      <c r="D242" t="s">
        <v>14</v>
      </c>
      <c r="E242" t="s">
        <v>70</v>
      </c>
    </row>
    <row r="243" spans="1:6" x14ac:dyDescent="0.25">
      <c r="A243" t="str">
        <f>"026200872387"</f>
        <v>026200872387</v>
      </c>
      <c r="B243" t="s">
        <v>312</v>
      </c>
      <c r="C243" t="s">
        <v>7</v>
      </c>
      <c r="D243" t="s">
        <v>14</v>
      </c>
      <c r="E243" t="s">
        <v>70</v>
      </c>
    </row>
    <row r="244" spans="1:6" x14ac:dyDescent="0.25">
      <c r="A244" t="str">
        <f>"026201965651"</f>
        <v>026201965651</v>
      </c>
      <c r="B244" t="s">
        <v>313</v>
      </c>
      <c r="C244" t="s">
        <v>7</v>
      </c>
      <c r="D244" t="s">
        <v>14</v>
      </c>
      <c r="E244" t="s">
        <v>70</v>
      </c>
    </row>
    <row r="245" spans="1:6" x14ac:dyDescent="0.25">
      <c r="A245" t="str">
        <f>"026204565669"</f>
        <v>026204565669</v>
      </c>
      <c r="B245" t="s">
        <v>314</v>
      </c>
      <c r="C245" t="s">
        <v>7</v>
      </c>
      <c r="D245" t="s">
        <v>14</v>
      </c>
      <c r="E245" t="s">
        <v>70</v>
      </c>
    </row>
    <row r="246" spans="1:6" x14ac:dyDescent="0.25">
      <c r="A246" t="str">
        <f>"026205889641"</f>
        <v>026205889641</v>
      </c>
      <c r="B246" t="s">
        <v>315</v>
      </c>
      <c r="C246" t="s">
        <v>7</v>
      </c>
      <c r="D246" t="s">
        <v>14</v>
      </c>
      <c r="E246" t="s">
        <v>70</v>
      </c>
    </row>
    <row r="247" spans="1:6" x14ac:dyDescent="0.25">
      <c r="A247" t="str">
        <f>"026205931533"</f>
        <v>026205931533</v>
      </c>
      <c r="B247" t="s">
        <v>316</v>
      </c>
      <c r="C247" t="s">
        <v>7</v>
      </c>
      <c r="D247" t="s">
        <v>14</v>
      </c>
      <c r="E247" t="s">
        <v>70</v>
      </c>
    </row>
    <row r="248" spans="1:6" x14ac:dyDescent="0.25">
      <c r="A248" t="str">
        <f>"026305179300"</f>
        <v>026305179300</v>
      </c>
      <c r="B248" t="s">
        <v>317</v>
      </c>
      <c r="C248" t="s">
        <v>7</v>
      </c>
      <c r="D248" t="s">
        <v>12</v>
      </c>
      <c r="E248" t="s">
        <v>70</v>
      </c>
    </row>
    <row r="249" spans="1:6" x14ac:dyDescent="0.25">
      <c r="A249" t="str">
        <f>"026306484112"</f>
        <v>026306484112</v>
      </c>
      <c r="B249" t="s">
        <v>318</v>
      </c>
      <c r="C249" t="s">
        <v>7</v>
      </c>
      <c r="D249" t="s">
        <v>14</v>
      </c>
      <c r="E249" t="s">
        <v>70</v>
      </c>
    </row>
    <row r="250" spans="1:6" x14ac:dyDescent="0.25">
      <c r="A250" t="str">
        <f>"026403503280"</f>
        <v>026403503280</v>
      </c>
      <c r="B250" t="s">
        <v>319</v>
      </c>
      <c r="C250" t="s">
        <v>7</v>
      </c>
      <c r="D250" t="s">
        <v>14</v>
      </c>
      <c r="E250" t="s">
        <v>70</v>
      </c>
    </row>
    <row r="251" spans="1:6" x14ac:dyDescent="0.25">
      <c r="A251" t="str">
        <f>"026403960720"</f>
        <v>026403960720</v>
      </c>
      <c r="B251" t="s">
        <v>320</v>
      </c>
      <c r="C251" t="s">
        <v>7</v>
      </c>
      <c r="D251" t="s">
        <v>14</v>
      </c>
      <c r="E251" t="s">
        <v>70</v>
      </c>
    </row>
    <row r="252" spans="1:6" x14ac:dyDescent="0.25">
      <c r="A252" t="str">
        <f>"0264055806"</f>
        <v>0264055806</v>
      </c>
      <c r="B252" t="s">
        <v>321</v>
      </c>
      <c r="C252" t="s">
        <v>7</v>
      </c>
      <c r="D252" t="s">
        <v>33</v>
      </c>
      <c r="E252" t="s">
        <v>70</v>
      </c>
      <c r="F252" t="s">
        <v>322</v>
      </c>
    </row>
    <row r="253" spans="1:6" x14ac:dyDescent="0.25">
      <c r="A253" t="str">
        <f>"026406817397"</f>
        <v>026406817397</v>
      </c>
      <c r="B253" t="s">
        <v>323</v>
      </c>
      <c r="C253" t="s">
        <v>7</v>
      </c>
      <c r="D253" t="s">
        <v>14</v>
      </c>
      <c r="E253" t="s">
        <v>70</v>
      </c>
    </row>
    <row r="254" spans="1:6" x14ac:dyDescent="0.25">
      <c r="A254" t="str">
        <f>"026407121901"</f>
        <v>026407121901</v>
      </c>
      <c r="B254" t="s">
        <v>324</v>
      </c>
      <c r="C254" t="s">
        <v>7</v>
      </c>
      <c r="D254" t="s">
        <v>14</v>
      </c>
      <c r="E254" t="s">
        <v>70</v>
      </c>
    </row>
    <row r="255" spans="1:6" x14ac:dyDescent="0.25">
      <c r="A255" t="str">
        <f>"0264071759"</f>
        <v>0264071759</v>
      </c>
      <c r="B255" t="s">
        <v>325</v>
      </c>
      <c r="C255" t="s">
        <v>7</v>
      </c>
      <c r="D255" t="s">
        <v>14</v>
      </c>
      <c r="E255" t="s">
        <v>70</v>
      </c>
      <c r="F255" t="s">
        <v>326</v>
      </c>
    </row>
    <row r="256" spans="1:6" x14ac:dyDescent="0.25">
      <c r="A256" t="str">
        <f>"0265038458"</f>
        <v>0265038458</v>
      </c>
      <c r="B256" t="s">
        <v>327</v>
      </c>
      <c r="C256" t="s">
        <v>7</v>
      </c>
      <c r="D256" t="s">
        <v>14</v>
      </c>
      <c r="E256" t="s">
        <v>70</v>
      </c>
      <c r="F256" t="s">
        <v>328</v>
      </c>
    </row>
    <row r="257" spans="1:6" x14ac:dyDescent="0.25">
      <c r="A257" t="str">
        <f>"0266023905"</f>
        <v>0266023905</v>
      </c>
      <c r="B257" t="s">
        <v>329</v>
      </c>
      <c r="C257" t="s">
        <v>7</v>
      </c>
      <c r="D257" t="s">
        <v>14</v>
      </c>
      <c r="E257" t="s">
        <v>70</v>
      </c>
      <c r="F257" t="s">
        <v>330</v>
      </c>
    </row>
    <row r="258" spans="1:6" x14ac:dyDescent="0.25">
      <c r="A258" t="str">
        <f>"026606889800"</f>
        <v>026606889800</v>
      </c>
      <c r="B258" t="s">
        <v>331</v>
      </c>
      <c r="C258" t="s">
        <v>7</v>
      </c>
      <c r="D258" t="s">
        <v>14</v>
      </c>
      <c r="E258" t="s">
        <v>70</v>
      </c>
    </row>
    <row r="259" spans="1:6" x14ac:dyDescent="0.25">
      <c r="A259" t="str">
        <f>"026611679407"</f>
        <v>026611679407</v>
      </c>
      <c r="B259" t="s">
        <v>332</v>
      </c>
      <c r="C259" t="s">
        <v>7</v>
      </c>
      <c r="D259" t="s">
        <v>14</v>
      </c>
      <c r="E259" t="s">
        <v>70</v>
      </c>
    </row>
    <row r="260" spans="1:6" x14ac:dyDescent="0.25">
      <c r="A260" t="str">
        <f>"0267017982"</f>
        <v>0267017982</v>
      </c>
      <c r="B260" t="s">
        <v>333</v>
      </c>
      <c r="C260" t="s">
        <v>7</v>
      </c>
      <c r="D260" t="s">
        <v>14</v>
      </c>
      <c r="E260" t="s">
        <v>70</v>
      </c>
      <c r="F260" t="s">
        <v>334</v>
      </c>
    </row>
    <row r="261" spans="1:6" x14ac:dyDescent="0.25">
      <c r="A261" t="str">
        <f>"026701951262"</f>
        <v>026701951262</v>
      </c>
      <c r="B261" t="s">
        <v>335</v>
      </c>
      <c r="C261" t="s">
        <v>7</v>
      </c>
      <c r="D261" t="s">
        <v>14</v>
      </c>
      <c r="E261" t="s">
        <v>70</v>
      </c>
    </row>
    <row r="262" spans="1:6" x14ac:dyDescent="0.25">
      <c r="A262" t="str">
        <f>"026800109201"</f>
        <v>026800109201</v>
      </c>
      <c r="B262" t="s">
        <v>336</v>
      </c>
      <c r="C262" t="s">
        <v>7</v>
      </c>
      <c r="D262" t="s">
        <v>14</v>
      </c>
      <c r="E262" t="s">
        <v>70</v>
      </c>
    </row>
    <row r="263" spans="1:6" x14ac:dyDescent="0.25">
      <c r="A263" t="str">
        <f>"026800653595"</f>
        <v>026800653595</v>
      </c>
      <c r="B263" t="s">
        <v>337</v>
      </c>
      <c r="C263" t="s">
        <v>7</v>
      </c>
      <c r="D263" t="s">
        <v>14</v>
      </c>
      <c r="E263" t="s">
        <v>70</v>
      </c>
    </row>
    <row r="264" spans="1:6" x14ac:dyDescent="0.25">
      <c r="A264" t="str">
        <f>"026800653669"</f>
        <v>026800653669</v>
      </c>
      <c r="B264" t="s">
        <v>338</v>
      </c>
      <c r="C264" t="s">
        <v>7</v>
      </c>
      <c r="D264" t="s">
        <v>14</v>
      </c>
      <c r="E264" t="s">
        <v>70</v>
      </c>
    </row>
    <row r="265" spans="1:6" x14ac:dyDescent="0.25">
      <c r="A265" t="str">
        <f>"0268075521"</f>
        <v>0268075521</v>
      </c>
      <c r="B265" t="s">
        <v>339</v>
      </c>
      <c r="C265" t="s">
        <v>7</v>
      </c>
      <c r="D265" t="s">
        <v>14</v>
      </c>
      <c r="E265" t="s">
        <v>70</v>
      </c>
      <c r="F265" t="s">
        <v>340</v>
      </c>
    </row>
    <row r="266" spans="1:6" x14ac:dyDescent="0.25">
      <c r="A266" t="str">
        <f>"026807936867"</f>
        <v>026807936867</v>
      </c>
      <c r="B266" t="s">
        <v>341</v>
      </c>
      <c r="C266" t="s">
        <v>7</v>
      </c>
      <c r="D266" t="s">
        <v>14</v>
      </c>
      <c r="E266" t="s">
        <v>70</v>
      </c>
    </row>
    <row r="267" spans="1:6" x14ac:dyDescent="0.25">
      <c r="A267" t="str">
        <f>"026808271020"</f>
        <v>026808271020</v>
      </c>
      <c r="B267" t="s">
        <v>342</v>
      </c>
      <c r="C267" t="s">
        <v>7</v>
      </c>
      <c r="D267" t="s">
        <v>33</v>
      </c>
      <c r="E267" t="s">
        <v>70</v>
      </c>
    </row>
    <row r="268" spans="1:6" x14ac:dyDescent="0.25">
      <c r="A268" t="str">
        <f>"026823624061"</f>
        <v>026823624061</v>
      </c>
      <c r="B268" t="s">
        <v>343</v>
      </c>
      <c r="C268" t="s">
        <v>7</v>
      </c>
      <c r="D268" t="s">
        <v>14</v>
      </c>
      <c r="E268" t="s">
        <v>70</v>
      </c>
    </row>
    <row r="269" spans="1:6" x14ac:dyDescent="0.25">
      <c r="A269" t="str">
        <f>"026824496253"</f>
        <v>026824496253</v>
      </c>
      <c r="B269" t="s">
        <v>344</v>
      </c>
      <c r="C269" t="s">
        <v>7</v>
      </c>
      <c r="D269" t="s">
        <v>14</v>
      </c>
      <c r="E269" t="s">
        <v>70</v>
      </c>
    </row>
    <row r="270" spans="1:6" x14ac:dyDescent="0.25">
      <c r="A270" t="str">
        <f>"026900452564"</f>
        <v>026900452564</v>
      </c>
      <c r="B270" t="s">
        <v>345</v>
      </c>
      <c r="C270" t="s">
        <v>7</v>
      </c>
      <c r="D270" t="s">
        <v>14</v>
      </c>
      <c r="E270" t="s">
        <v>70</v>
      </c>
    </row>
    <row r="271" spans="1:6" x14ac:dyDescent="0.25">
      <c r="A271" t="str">
        <f>"026903079774"</f>
        <v>026903079774</v>
      </c>
      <c r="B271" t="s">
        <v>346</v>
      </c>
      <c r="C271" t="s">
        <v>7</v>
      </c>
      <c r="D271" t="s">
        <v>14</v>
      </c>
      <c r="E271" t="s">
        <v>70</v>
      </c>
    </row>
    <row r="272" spans="1:6" x14ac:dyDescent="0.25">
      <c r="A272" t="str">
        <f>"026903080000"</f>
        <v>026903080000</v>
      </c>
      <c r="B272" t="s">
        <v>347</v>
      </c>
      <c r="C272" t="s">
        <v>7</v>
      </c>
      <c r="D272" t="s">
        <v>14</v>
      </c>
      <c r="E272" t="s">
        <v>70</v>
      </c>
    </row>
    <row r="273" spans="1:6" x14ac:dyDescent="0.25">
      <c r="A273" t="str">
        <f>"0269047870"</f>
        <v>0269047870</v>
      </c>
      <c r="B273" t="s">
        <v>348</v>
      </c>
      <c r="C273" t="s">
        <v>7</v>
      </c>
      <c r="D273" t="s">
        <v>33</v>
      </c>
      <c r="E273" t="s">
        <v>70</v>
      </c>
      <c r="F273" t="s">
        <v>349</v>
      </c>
    </row>
    <row r="274" spans="1:6" x14ac:dyDescent="0.25">
      <c r="A274" t="str">
        <f>"0269995634"</f>
        <v>0269995634</v>
      </c>
      <c r="B274" t="s">
        <v>350</v>
      </c>
      <c r="C274" t="s">
        <v>7</v>
      </c>
      <c r="D274" t="s">
        <v>14</v>
      </c>
      <c r="E274" t="s">
        <v>70</v>
      </c>
      <c r="F274" t="s">
        <v>351</v>
      </c>
    </row>
    <row r="275" spans="1:6" x14ac:dyDescent="0.25">
      <c r="A275" t="str">
        <f>"0245968960"</f>
        <v>0245968960</v>
      </c>
      <c r="B275" t="s">
        <v>352</v>
      </c>
      <c r="C275" t="s">
        <v>7</v>
      </c>
      <c r="D275" t="s">
        <v>14</v>
      </c>
      <c r="E275" t="s">
        <v>70</v>
      </c>
      <c r="F275" t="s">
        <v>353</v>
      </c>
    </row>
    <row r="276" spans="1:6" x14ac:dyDescent="0.25">
      <c r="A276" t="str">
        <f>"0245972170"</f>
        <v>0245972170</v>
      </c>
      <c r="B276" t="s">
        <v>354</v>
      </c>
      <c r="C276" t="s">
        <v>7</v>
      </c>
      <c r="D276" t="s">
        <v>14</v>
      </c>
      <c r="E276" t="s">
        <v>70</v>
      </c>
      <c r="F276" t="s">
        <v>355</v>
      </c>
    </row>
    <row r="277" spans="1:6" x14ac:dyDescent="0.25">
      <c r="A277" t="str">
        <f>"024800171005"</f>
        <v>024800171005</v>
      </c>
      <c r="B277" t="s">
        <v>356</v>
      </c>
      <c r="C277" t="s">
        <v>7</v>
      </c>
      <c r="D277" t="s">
        <v>14</v>
      </c>
      <c r="E277" t="s">
        <v>70</v>
      </c>
    </row>
    <row r="278" spans="1:6" x14ac:dyDescent="0.25">
      <c r="A278" t="str">
        <f>"024800748148"</f>
        <v>024800748148</v>
      </c>
      <c r="B278" t="s">
        <v>357</v>
      </c>
      <c r="C278" t="s">
        <v>7</v>
      </c>
      <c r="D278" t="s">
        <v>14</v>
      </c>
      <c r="E278" t="s">
        <v>70</v>
      </c>
    </row>
    <row r="279" spans="1:6" x14ac:dyDescent="0.25">
      <c r="A279" t="str">
        <f>"024903215409"</f>
        <v>024903215409</v>
      </c>
      <c r="B279" t="s">
        <v>358</v>
      </c>
      <c r="C279" t="s">
        <v>7</v>
      </c>
      <c r="D279" t="s">
        <v>33</v>
      </c>
      <c r="E279" t="s">
        <v>70</v>
      </c>
    </row>
    <row r="280" spans="1:6" x14ac:dyDescent="0.25">
      <c r="A280" t="str">
        <f>"025000013347"</f>
        <v>025000013347</v>
      </c>
      <c r="B280" t="s">
        <v>359</v>
      </c>
      <c r="C280" t="s">
        <v>7</v>
      </c>
      <c r="D280" t="s">
        <v>14</v>
      </c>
      <c r="E280" t="s">
        <v>70</v>
      </c>
    </row>
    <row r="281" spans="1:6" x14ac:dyDescent="0.25">
      <c r="A281" t="str">
        <f>"025000611890"</f>
        <v>025000611890</v>
      </c>
      <c r="B281" t="s">
        <v>360</v>
      </c>
      <c r="C281" t="s">
        <v>7</v>
      </c>
      <c r="D281" t="s">
        <v>14</v>
      </c>
      <c r="E281" t="s">
        <v>70</v>
      </c>
    </row>
    <row r="282" spans="1:6" x14ac:dyDescent="0.25">
      <c r="A282" t="str">
        <f>"025000850916"</f>
        <v>025000850916</v>
      </c>
      <c r="B282" t="s">
        <v>361</v>
      </c>
      <c r="C282" t="s">
        <v>7</v>
      </c>
      <c r="D282" t="s">
        <v>14</v>
      </c>
      <c r="E282" t="s">
        <v>70</v>
      </c>
    </row>
    <row r="283" spans="1:6" x14ac:dyDescent="0.25">
      <c r="A283" t="str">
        <f>"025000952058"</f>
        <v>025000952058</v>
      </c>
      <c r="B283" t="s">
        <v>362</v>
      </c>
      <c r="C283" t="s">
        <v>7</v>
      </c>
      <c r="D283" t="s">
        <v>14</v>
      </c>
      <c r="E283" t="s">
        <v>70</v>
      </c>
    </row>
    <row r="284" spans="1:6" x14ac:dyDescent="0.25">
      <c r="A284" t="str">
        <f>"025001803098"</f>
        <v>025001803098</v>
      </c>
      <c r="B284" t="s">
        <v>363</v>
      </c>
      <c r="C284" t="s">
        <v>7</v>
      </c>
      <c r="D284" t="s">
        <v>14</v>
      </c>
      <c r="E284" t="s">
        <v>70</v>
      </c>
    </row>
    <row r="285" spans="1:6" x14ac:dyDescent="0.25">
      <c r="A285" t="str">
        <f>"025102037700"</f>
        <v>025102037700</v>
      </c>
      <c r="B285" t="s">
        <v>364</v>
      </c>
      <c r="C285" t="s">
        <v>7</v>
      </c>
      <c r="D285" t="s">
        <v>14</v>
      </c>
      <c r="E285" t="s">
        <v>70</v>
      </c>
    </row>
    <row r="286" spans="1:6" x14ac:dyDescent="0.25">
      <c r="A286" t="str">
        <f>"025300521422"</f>
        <v>025300521422</v>
      </c>
      <c r="B286" t="s">
        <v>365</v>
      </c>
      <c r="C286" t="s">
        <v>7</v>
      </c>
      <c r="D286" t="s">
        <v>14</v>
      </c>
      <c r="E286" t="s">
        <v>70</v>
      </c>
    </row>
    <row r="287" spans="1:6" x14ac:dyDescent="0.25">
      <c r="A287" t="str">
        <f>"025501707794"</f>
        <v>025501707794</v>
      </c>
      <c r="B287" t="s">
        <v>366</v>
      </c>
      <c r="C287" t="s">
        <v>7</v>
      </c>
      <c r="D287" t="s">
        <v>14</v>
      </c>
      <c r="E287" t="s">
        <v>70</v>
      </c>
    </row>
    <row r="288" spans="1:6" x14ac:dyDescent="0.25">
      <c r="A288" t="str">
        <f>"025505303802"</f>
        <v>025505303802</v>
      </c>
      <c r="B288" t="s">
        <v>367</v>
      </c>
      <c r="C288" t="s">
        <v>7</v>
      </c>
      <c r="D288" t="s">
        <v>14</v>
      </c>
      <c r="E288" t="s">
        <v>70</v>
      </c>
    </row>
    <row r="289" spans="1:5" x14ac:dyDescent="0.25">
      <c r="A289" t="str">
        <f>"025507662268"</f>
        <v>025507662268</v>
      </c>
      <c r="B289" t="s">
        <v>368</v>
      </c>
      <c r="C289" t="s">
        <v>7</v>
      </c>
      <c r="D289" t="s">
        <v>14</v>
      </c>
      <c r="E289" t="s">
        <v>70</v>
      </c>
    </row>
    <row r="290" spans="1:5" x14ac:dyDescent="0.25">
      <c r="A290" t="str">
        <f>"025603472245"</f>
        <v>025603472245</v>
      </c>
      <c r="B290" t="s">
        <v>369</v>
      </c>
      <c r="C290" t="s">
        <v>7</v>
      </c>
      <c r="D290" t="s">
        <v>14</v>
      </c>
      <c r="E290" t="s">
        <v>70</v>
      </c>
    </row>
    <row r="291" spans="1:5" x14ac:dyDescent="0.25">
      <c r="A291" t="str">
        <f>"025607368301"</f>
        <v>025607368301</v>
      </c>
      <c r="B291" t="s">
        <v>370</v>
      </c>
      <c r="C291" t="s">
        <v>7</v>
      </c>
      <c r="D291" t="s">
        <v>14</v>
      </c>
      <c r="E291" t="s">
        <v>70</v>
      </c>
    </row>
    <row r="292" spans="1:5" x14ac:dyDescent="0.25">
      <c r="A292" t="str">
        <f>"025700089045"</f>
        <v>025700089045</v>
      </c>
      <c r="B292" t="s">
        <v>371</v>
      </c>
      <c r="C292" t="s">
        <v>7</v>
      </c>
      <c r="D292" t="s">
        <v>14</v>
      </c>
      <c r="E292" t="s">
        <v>70</v>
      </c>
    </row>
    <row r="293" spans="1:5" x14ac:dyDescent="0.25">
      <c r="A293" t="str">
        <f>"025701727999"</f>
        <v>025701727999</v>
      </c>
      <c r="B293" t="s">
        <v>372</v>
      </c>
      <c r="C293" t="s">
        <v>7</v>
      </c>
      <c r="D293" t="s">
        <v>14</v>
      </c>
      <c r="E293" t="s">
        <v>70</v>
      </c>
    </row>
    <row r="294" spans="1:5" x14ac:dyDescent="0.25">
      <c r="A294" t="str">
        <f>"025702015137"</f>
        <v>025702015137</v>
      </c>
      <c r="B294" t="s">
        <v>373</v>
      </c>
      <c r="C294" t="s">
        <v>7</v>
      </c>
      <c r="D294" t="s">
        <v>14</v>
      </c>
      <c r="E294" t="s">
        <v>70</v>
      </c>
    </row>
    <row r="295" spans="1:5" x14ac:dyDescent="0.25">
      <c r="A295" t="str">
        <f>"025703631442"</f>
        <v>025703631442</v>
      </c>
      <c r="B295" t="s">
        <v>374</v>
      </c>
      <c r="C295" t="s">
        <v>7</v>
      </c>
      <c r="D295" t="s">
        <v>14</v>
      </c>
      <c r="E295" t="s">
        <v>70</v>
      </c>
    </row>
    <row r="296" spans="1:5" x14ac:dyDescent="0.25">
      <c r="A296" t="str">
        <f>"025800819746"</f>
        <v>025800819746</v>
      </c>
      <c r="B296" t="s">
        <v>375</v>
      </c>
      <c r="C296" t="s">
        <v>7</v>
      </c>
      <c r="D296" t="s">
        <v>14</v>
      </c>
      <c r="E296" t="s">
        <v>70</v>
      </c>
    </row>
    <row r="297" spans="1:5" x14ac:dyDescent="0.25">
      <c r="A297" t="str">
        <f>"025801466469"</f>
        <v>025801466469</v>
      </c>
      <c r="B297" t="s">
        <v>376</v>
      </c>
      <c r="C297" t="s">
        <v>7</v>
      </c>
      <c r="D297" t="s">
        <v>14</v>
      </c>
      <c r="E297" t="s">
        <v>70</v>
      </c>
    </row>
    <row r="298" spans="1:5" x14ac:dyDescent="0.25">
      <c r="A298" t="str">
        <f>"025804906703"</f>
        <v>025804906703</v>
      </c>
      <c r="B298" t="s">
        <v>377</v>
      </c>
      <c r="C298" t="s">
        <v>7</v>
      </c>
      <c r="D298" t="s">
        <v>14</v>
      </c>
      <c r="E298" t="s">
        <v>70</v>
      </c>
    </row>
    <row r="299" spans="1:5" x14ac:dyDescent="0.25">
      <c r="A299" t="str">
        <f>"025804907513"</f>
        <v>025804907513</v>
      </c>
      <c r="B299" t="s">
        <v>378</v>
      </c>
      <c r="C299" t="s">
        <v>7</v>
      </c>
      <c r="D299" t="s">
        <v>14</v>
      </c>
      <c r="E299" t="s">
        <v>70</v>
      </c>
    </row>
    <row r="300" spans="1:5" x14ac:dyDescent="0.25">
      <c r="A300" t="str">
        <f>"025805421282"</f>
        <v>025805421282</v>
      </c>
      <c r="B300" t="s">
        <v>379</v>
      </c>
      <c r="C300" t="s">
        <v>7</v>
      </c>
      <c r="D300" t="s">
        <v>14</v>
      </c>
      <c r="E300" t="s">
        <v>70</v>
      </c>
    </row>
    <row r="301" spans="1:5" x14ac:dyDescent="0.25">
      <c r="A301" t="str">
        <f>"026004269408"</f>
        <v>026004269408</v>
      </c>
      <c r="B301" t="s">
        <v>380</v>
      </c>
      <c r="C301" t="s">
        <v>7</v>
      </c>
      <c r="D301" t="s">
        <v>14</v>
      </c>
      <c r="E301" t="s">
        <v>70</v>
      </c>
    </row>
    <row r="302" spans="1:5" x14ac:dyDescent="0.25">
      <c r="A302" t="str">
        <f>"026100354173"</f>
        <v>026100354173</v>
      </c>
      <c r="B302" t="s">
        <v>381</v>
      </c>
      <c r="C302" t="s">
        <v>7</v>
      </c>
      <c r="D302" t="s">
        <v>14</v>
      </c>
      <c r="E302" t="s">
        <v>70</v>
      </c>
    </row>
    <row r="303" spans="1:5" x14ac:dyDescent="0.25">
      <c r="A303" t="str">
        <f>"026105523805"</f>
        <v>026105523805</v>
      </c>
      <c r="B303" t="s">
        <v>382</v>
      </c>
      <c r="C303" t="s">
        <v>7</v>
      </c>
      <c r="D303" t="s">
        <v>14</v>
      </c>
      <c r="E303" t="s">
        <v>70</v>
      </c>
    </row>
    <row r="304" spans="1:5" x14ac:dyDescent="0.25">
      <c r="A304" t="str">
        <f>"026108284873"</f>
        <v>026108284873</v>
      </c>
      <c r="B304" t="s">
        <v>383</v>
      </c>
      <c r="C304" t="s">
        <v>7</v>
      </c>
      <c r="D304" t="s">
        <v>14</v>
      </c>
      <c r="E304" t="s">
        <v>70</v>
      </c>
    </row>
    <row r="305" spans="1:6" x14ac:dyDescent="0.25">
      <c r="A305" t="str">
        <f>"026206679372"</f>
        <v>026206679372</v>
      </c>
      <c r="B305" t="s">
        <v>384</v>
      </c>
      <c r="C305" t="s">
        <v>7</v>
      </c>
      <c r="D305" t="s">
        <v>14</v>
      </c>
      <c r="E305" t="s">
        <v>70</v>
      </c>
    </row>
    <row r="306" spans="1:6" x14ac:dyDescent="0.25">
      <c r="A306" t="str">
        <f>"026207691990"</f>
        <v>026207691990</v>
      </c>
      <c r="B306" t="s">
        <v>385</v>
      </c>
      <c r="C306" t="s">
        <v>7</v>
      </c>
      <c r="D306" t="s">
        <v>14</v>
      </c>
      <c r="E306" t="s">
        <v>70</v>
      </c>
    </row>
    <row r="307" spans="1:6" x14ac:dyDescent="0.25">
      <c r="A307" t="str">
        <f>"026303875446"</f>
        <v>026303875446</v>
      </c>
      <c r="B307" t="s">
        <v>386</v>
      </c>
      <c r="C307" t="s">
        <v>7</v>
      </c>
      <c r="D307" t="s">
        <v>12</v>
      </c>
      <c r="E307" t="s">
        <v>70</v>
      </c>
    </row>
    <row r="308" spans="1:6" x14ac:dyDescent="0.25">
      <c r="A308" t="str">
        <f>"026403551188"</f>
        <v>026403551188</v>
      </c>
      <c r="B308" t="s">
        <v>387</v>
      </c>
      <c r="C308" t="s">
        <v>7</v>
      </c>
      <c r="D308" t="s">
        <v>14</v>
      </c>
      <c r="E308" t="s">
        <v>70</v>
      </c>
    </row>
    <row r="309" spans="1:6" x14ac:dyDescent="0.25">
      <c r="A309" t="str">
        <f>"026403587900"</f>
        <v>026403587900</v>
      </c>
      <c r="B309" t="s">
        <v>388</v>
      </c>
      <c r="C309" t="s">
        <v>7</v>
      </c>
      <c r="D309" t="s">
        <v>12</v>
      </c>
      <c r="E309" t="s">
        <v>70</v>
      </c>
    </row>
    <row r="310" spans="1:6" x14ac:dyDescent="0.25">
      <c r="A310" t="str">
        <f>"026403960656"</f>
        <v>026403960656</v>
      </c>
      <c r="B310" t="s">
        <v>389</v>
      </c>
      <c r="C310" t="s">
        <v>7</v>
      </c>
      <c r="D310" t="s">
        <v>12</v>
      </c>
      <c r="E310" t="s">
        <v>70</v>
      </c>
    </row>
    <row r="311" spans="1:6" x14ac:dyDescent="0.25">
      <c r="A311" t="str">
        <f>"0264064328"</f>
        <v>0264064328</v>
      </c>
      <c r="B311" t="s">
        <v>390</v>
      </c>
      <c r="C311" t="s">
        <v>7</v>
      </c>
      <c r="D311" t="s">
        <v>14</v>
      </c>
      <c r="E311" t="s">
        <v>70</v>
      </c>
      <c r="F311" t="s">
        <v>391</v>
      </c>
    </row>
    <row r="312" spans="1:6" x14ac:dyDescent="0.25">
      <c r="A312" t="str">
        <f>"026413519345"</f>
        <v>026413519345</v>
      </c>
      <c r="B312" t="s">
        <v>392</v>
      </c>
      <c r="C312" t="s">
        <v>7</v>
      </c>
      <c r="D312" t="s">
        <v>14</v>
      </c>
      <c r="E312" t="s">
        <v>70</v>
      </c>
    </row>
    <row r="313" spans="1:6" x14ac:dyDescent="0.25">
      <c r="A313" t="str">
        <f>"026413549036"</f>
        <v>026413549036</v>
      </c>
      <c r="B313" t="s">
        <v>393</v>
      </c>
      <c r="C313" t="s">
        <v>7</v>
      </c>
      <c r="D313" t="s">
        <v>14</v>
      </c>
      <c r="E313" t="s">
        <v>70</v>
      </c>
    </row>
    <row r="314" spans="1:6" x14ac:dyDescent="0.25">
      <c r="A314" t="str">
        <f>"026500906301"</f>
        <v>026500906301</v>
      </c>
      <c r="B314" t="s">
        <v>394</v>
      </c>
      <c r="C314" t="s">
        <v>7</v>
      </c>
      <c r="D314" t="s">
        <v>14</v>
      </c>
      <c r="E314" t="s">
        <v>70</v>
      </c>
    </row>
    <row r="315" spans="1:6" x14ac:dyDescent="0.25">
      <c r="A315" t="str">
        <f>"026501677485"</f>
        <v>026501677485</v>
      </c>
      <c r="B315" t="s">
        <v>395</v>
      </c>
      <c r="C315" t="s">
        <v>7</v>
      </c>
      <c r="D315" t="s">
        <v>14</v>
      </c>
      <c r="E315" t="s">
        <v>70</v>
      </c>
    </row>
    <row r="316" spans="1:6" x14ac:dyDescent="0.25">
      <c r="A316" t="str">
        <f>"026504465400"</f>
        <v>026504465400</v>
      </c>
      <c r="B316" t="s">
        <v>396</v>
      </c>
      <c r="C316" t="s">
        <v>7</v>
      </c>
      <c r="D316" t="s">
        <v>14</v>
      </c>
      <c r="E316" t="s">
        <v>70</v>
      </c>
    </row>
    <row r="317" spans="1:6" x14ac:dyDescent="0.25">
      <c r="A317" t="str">
        <f>"026504829016"</f>
        <v>026504829016</v>
      </c>
      <c r="B317" t="s">
        <v>397</v>
      </c>
      <c r="C317" t="s">
        <v>7</v>
      </c>
      <c r="D317" t="s">
        <v>14</v>
      </c>
      <c r="E317" t="s">
        <v>70</v>
      </c>
    </row>
    <row r="318" spans="1:6" x14ac:dyDescent="0.25">
      <c r="A318" t="str">
        <f>"026507461997"</f>
        <v>026507461997</v>
      </c>
      <c r="B318" t="s">
        <v>398</v>
      </c>
      <c r="C318" t="s">
        <v>7</v>
      </c>
      <c r="D318" t="s">
        <v>14</v>
      </c>
      <c r="E318" t="s">
        <v>70</v>
      </c>
    </row>
    <row r="319" spans="1:6" x14ac:dyDescent="0.25">
      <c r="A319" t="str">
        <f>"026601470501"</f>
        <v>026601470501</v>
      </c>
      <c r="B319" t="s">
        <v>399</v>
      </c>
      <c r="C319" t="s">
        <v>7</v>
      </c>
      <c r="D319" t="s">
        <v>14</v>
      </c>
      <c r="E319" t="s">
        <v>70</v>
      </c>
    </row>
    <row r="320" spans="1:6" x14ac:dyDescent="0.25">
      <c r="A320" t="str">
        <f>"026611550210"</f>
        <v>026611550210</v>
      </c>
      <c r="B320" t="s">
        <v>400</v>
      </c>
      <c r="C320" t="s">
        <v>7</v>
      </c>
      <c r="D320" t="s">
        <v>12</v>
      </c>
      <c r="E320" t="s">
        <v>70</v>
      </c>
    </row>
    <row r="321" spans="1:6" x14ac:dyDescent="0.25">
      <c r="A321" t="str">
        <f>"026616196756"</f>
        <v>026616196756</v>
      </c>
      <c r="B321" t="s">
        <v>401</v>
      </c>
      <c r="C321" t="s">
        <v>7</v>
      </c>
      <c r="D321" t="s">
        <v>14</v>
      </c>
      <c r="E321" t="s">
        <v>70</v>
      </c>
    </row>
    <row r="322" spans="1:6" x14ac:dyDescent="0.25">
      <c r="A322" t="str">
        <f>"026704140181"</f>
        <v>026704140181</v>
      </c>
      <c r="B322" t="s">
        <v>402</v>
      </c>
      <c r="C322" t="s">
        <v>7</v>
      </c>
      <c r="D322" t="s">
        <v>14</v>
      </c>
      <c r="E322" t="s">
        <v>70</v>
      </c>
    </row>
    <row r="323" spans="1:6" x14ac:dyDescent="0.25">
      <c r="A323" t="str">
        <f>"026705342342"</f>
        <v>026705342342</v>
      </c>
      <c r="B323" t="s">
        <v>403</v>
      </c>
      <c r="C323" t="s">
        <v>7</v>
      </c>
      <c r="D323" t="s">
        <v>14</v>
      </c>
      <c r="E323" t="s">
        <v>70</v>
      </c>
    </row>
    <row r="324" spans="1:6" x14ac:dyDescent="0.25">
      <c r="A324" t="str">
        <f>"026705489289"</f>
        <v>026705489289</v>
      </c>
      <c r="B324" t="s">
        <v>404</v>
      </c>
      <c r="C324" t="s">
        <v>7</v>
      </c>
      <c r="D324" t="s">
        <v>14</v>
      </c>
      <c r="E324" t="s">
        <v>70</v>
      </c>
    </row>
    <row r="325" spans="1:6" x14ac:dyDescent="0.25">
      <c r="A325" t="str">
        <f>"026800109064"</f>
        <v>026800109064</v>
      </c>
      <c r="B325" t="s">
        <v>405</v>
      </c>
      <c r="C325" t="s">
        <v>7</v>
      </c>
      <c r="D325" t="s">
        <v>12</v>
      </c>
      <c r="E325" t="s">
        <v>70</v>
      </c>
    </row>
    <row r="326" spans="1:6" x14ac:dyDescent="0.25">
      <c r="A326" t="str">
        <f>"026803526355"</f>
        <v>026803526355</v>
      </c>
      <c r="B326" t="s">
        <v>406</v>
      </c>
      <c r="C326" t="s">
        <v>7</v>
      </c>
      <c r="D326" t="s">
        <v>14</v>
      </c>
      <c r="E326" t="s">
        <v>70</v>
      </c>
    </row>
    <row r="327" spans="1:6" x14ac:dyDescent="0.25">
      <c r="A327" t="str">
        <f>"0268036924"</f>
        <v>0268036924</v>
      </c>
      <c r="B327" t="s">
        <v>407</v>
      </c>
      <c r="C327" t="s">
        <v>7</v>
      </c>
      <c r="D327" t="s">
        <v>14</v>
      </c>
      <c r="E327" t="s">
        <v>70</v>
      </c>
      <c r="F327" t="s">
        <v>408</v>
      </c>
    </row>
    <row r="328" spans="1:6" x14ac:dyDescent="0.25">
      <c r="A328" t="str">
        <f>"0268057547"</f>
        <v>0268057547</v>
      </c>
      <c r="B328" t="s">
        <v>409</v>
      </c>
      <c r="C328" t="s">
        <v>7</v>
      </c>
      <c r="D328" t="s">
        <v>14</v>
      </c>
      <c r="E328" t="s">
        <v>70</v>
      </c>
      <c r="F328" t="s">
        <v>410</v>
      </c>
    </row>
    <row r="329" spans="1:6" x14ac:dyDescent="0.25">
      <c r="A329" t="str">
        <f>"026807548889"</f>
        <v>026807548889</v>
      </c>
      <c r="B329" t="s">
        <v>411</v>
      </c>
      <c r="C329" t="s">
        <v>7</v>
      </c>
      <c r="D329" t="s">
        <v>14</v>
      </c>
      <c r="E329" t="s">
        <v>70</v>
      </c>
    </row>
    <row r="330" spans="1:6" x14ac:dyDescent="0.25">
      <c r="A330" t="str">
        <f>"026808050503"</f>
        <v>026808050503</v>
      </c>
      <c r="B330" t="s">
        <v>412</v>
      </c>
      <c r="C330" t="s">
        <v>7</v>
      </c>
      <c r="D330" t="s">
        <v>12</v>
      </c>
      <c r="E330" t="s">
        <v>70</v>
      </c>
    </row>
    <row r="331" spans="1:6" x14ac:dyDescent="0.25">
      <c r="A331" t="str">
        <f>"026811102374"</f>
        <v>026811102374</v>
      </c>
      <c r="B331" t="s">
        <v>413</v>
      </c>
      <c r="C331" t="s">
        <v>7</v>
      </c>
      <c r="D331" t="s">
        <v>14</v>
      </c>
      <c r="E331" t="s">
        <v>70</v>
      </c>
    </row>
    <row r="332" spans="1:6" x14ac:dyDescent="0.25">
      <c r="A332" t="str">
        <f>"026812286558"</f>
        <v>026812286558</v>
      </c>
      <c r="B332" t="s">
        <v>414</v>
      </c>
      <c r="C332" t="s">
        <v>7</v>
      </c>
      <c r="D332" t="s">
        <v>14</v>
      </c>
      <c r="E332" t="s">
        <v>70</v>
      </c>
    </row>
    <row r="333" spans="1:6" x14ac:dyDescent="0.25">
      <c r="A333" t="str">
        <f>"026815813001"</f>
        <v>026815813001</v>
      </c>
      <c r="B333" t="s">
        <v>415</v>
      </c>
      <c r="C333" t="s">
        <v>7</v>
      </c>
      <c r="D333" t="s">
        <v>14</v>
      </c>
      <c r="E333" t="s">
        <v>70</v>
      </c>
    </row>
    <row r="334" spans="1:6" x14ac:dyDescent="0.25">
      <c r="A334" t="str">
        <f>"026820326620"</f>
        <v>026820326620</v>
      </c>
      <c r="B334" t="s">
        <v>416</v>
      </c>
      <c r="C334" t="s">
        <v>7</v>
      </c>
      <c r="D334" t="s">
        <v>14</v>
      </c>
      <c r="E334" t="s">
        <v>70</v>
      </c>
    </row>
    <row r="335" spans="1:6" x14ac:dyDescent="0.25">
      <c r="A335" t="str">
        <f>"026820872066"</f>
        <v>026820872066</v>
      </c>
      <c r="B335" t="s">
        <v>417</v>
      </c>
      <c r="C335" t="s">
        <v>7</v>
      </c>
      <c r="D335" t="s">
        <v>14</v>
      </c>
      <c r="E335" t="s">
        <v>70</v>
      </c>
    </row>
    <row r="336" spans="1:6" x14ac:dyDescent="0.25">
      <c r="A336" t="str">
        <f>"026825070411"</f>
        <v>026825070411</v>
      </c>
      <c r="B336" t="s">
        <v>418</v>
      </c>
      <c r="C336" t="s">
        <v>7</v>
      </c>
      <c r="D336" t="s">
        <v>12</v>
      </c>
      <c r="E336" t="s">
        <v>70</v>
      </c>
    </row>
    <row r="337" spans="1:6" x14ac:dyDescent="0.25">
      <c r="A337" t="str">
        <f>"026901731521"</f>
        <v>026901731521</v>
      </c>
      <c r="B337" t="s">
        <v>419</v>
      </c>
      <c r="C337" t="s">
        <v>7</v>
      </c>
      <c r="D337" t="s">
        <v>14</v>
      </c>
      <c r="E337" t="s">
        <v>70</v>
      </c>
    </row>
    <row r="338" spans="1:6" x14ac:dyDescent="0.25">
      <c r="A338" t="str">
        <f>"026903079848"</f>
        <v>026903079848</v>
      </c>
      <c r="B338" t="s">
        <v>420</v>
      </c>
      <c r="C338" t="s">
        <v>7</v>
      </c>
      <c r="D338" t="s">
        <v>14</v>
      </c>
      <c r="E338" t="s">
        <v>70</v>
      </c>
    </row>
    <row r="339" spans="1:6" x14ac:dyDescent="0.25">
      <c r="A339" t="str">
        <f>"026905819488"</f>
        <v>026905819488</v>
      </c>
      <c r="B339" t="s">
        <v>421</v>
      </c>
      <c r="C339" t="s">
        <v>7</v>
      </c>
      <c r="D339" t="s">
        <v>14</v>
      </c>
      <c r="E339" t="s">
        <v>70</v>
      </c>
    </row>
    <row r="340" spans="1:6" x14ac:dyDescent="0.25">
      <c r="A340" t="str">
        <f>"026906273674"</f>
        <v>026906273674</v>
      </c>
      <c r="B340" t="s">
        <v>422</v>
      </c>
      <c r="C340" t="s">
        <v>7</v>
      </c>
      <c r="D340" t="s">
        <v>14</v>
      </c>
      <c r="E340" t="s">
        <v>70</v>
      </c>
    </row>
    <row r="341" spans="1:6" x14ac:dyDescent="0.25">
      <c r="A341" t="str">
        <f>"026910565327"</f>
        <v>026910565327</v>
      </c>
      <c r="B341" t="s">
        <v>423</v>
      </c>
      <c r="C341" t="s">
        <v>7</v>
      </c>
      <c r="D341" t="s">
        <v>14</v>
      </c>
      <c r="E341" t="s">
        <v>70</v>
      </c>
    </row>
    <row r="342" spans="1:6" x14ac:dyDescent="0.25">
      <c r="A342" t="str">
        <f>"027001391218"</f>
        <v>027001391218</v>
      </c>
      <c r="B342" t="s">
        <v>424</v>
      </c>
      <c r="C342" t="s">
        <v>7</v>
      </c>
      <c r="D342" t="s">
        <v>14</v>
      </c>
      <c r="E342" t="s">
        <v>70</v>
      </c>
    </row>
    <row r="343" spans="1:6" x14ac:dyDescent="0.25">
      <c r="A343" t="str">
        <f>"027002162884"</f>
        <v>027002162884</v>
      </c>
      <c r="B343" t="s">
        <v>425</v>
      </c>
      <c r="C343" t="s">
        <v>7</v>
      </c>
      <c r="D343" t="s">
        <v>14</v>
      </c>
      <c r="E343" t="s">
        <v>70</v>
      </c>
    </row>
    <row r="344" spans="1:6" x14ac:dyDescent="0.25">
      <c r="A344" t="str">
        <f>"027004858691"</f>
        <v>027004858691</v>
      </c>
      <c r="B344" t="s">
        <v>426</v>
      </c>
      <c r="C344" t="s">
        <v>7</v>
      </c>
      <c r="D344" t="s">
        <v>14</v>
      </c>
      <c r="E344" t="s">
        <v>70</v>
      </c>
    </row>
    <row r="345" spans="1:6" x14ac:dyDescent="0.25">
      <c r="A345" t="str">
        <f>"027005005248"</f>
        <v>027005005248</v>
      </c>
      <c r="B345" t="s">
        <v>427</v>
      </c>
      <c r="C345" t="s">
        <v>7</v>
      </c>
      <c r="D345" t="s">
        <v>14</v>
      </c>
      <c r="E345" t="s">
        <v>70</v>
      </c>
    </row>
    <row r="346" spans="1:6" x14ac:dyDescent="0.25">
      <c r="A346" t="str">
        <f>"027008845037"</f>
        <v>027008845037</v>
      </c>
      <c r="B346" t="s">
        <v>428</v>
      </c>
      <c r="C346" t="s">
        <v>7</v>
      </c>
      <c r="D346" t="s">
        <v>12</v>
      </c>
      <c r="E346" t="s">
        <v>70</v>
      </c>
    </row>
    <row r="347" spans="1:6" x14ac:dyDescent="0.25">
      <c r="A347" t="str">
        <f>"027102928410"</f>
        <v>027102928410</v>
      </c>
      <c r="B347" t="s">
        <v>429</v>
      </c>
      <c r="C347" t="s">
        <v>7</v>
      </c>
      <c r="D347" t="s">
        <v>14</v>
      </c>
      <c r="E347" t="s">
        <v>70</v>
      </c>
    </row>
    <row r="348" spans="1:6" x14ac:dyDescent="0.25">
      <c r="A348" t="str">
        <f>"0272021060"</f>
        <v>0272021060</v>
      </c>
      <c r="B348" t="s">
        <v>430</v>
      </c>
      <c r="C348" t="s">
        <v>7</v>
      </c>
      <c r="D348" t="s">
        <v>14</v>
      </c>
      <c r="E348" t="s">
        <v>70</v>
      </c>
      <c r="F348" t="s">
        <v>431</v>
      </c>
    </row>
    <row r="349" spans="1:6" x14ac:dyDescent="0.25">
      <c r="A349" t="str">
        <f>"027202791664"</f>
        <v>027202791664</v>
      </c>
      <c r="B349" t="s">
        <v>432</v>
      </c>
      <c r="C349" t="s">
        <v>7</v>
      </c>
      <c r="D349" t="s">
        <v>14</v>
      </c>
      <c r="E349" t="s">
        <v>70</v>
      </c>
    </row>
    <row r="350" spans="1:6" x14ac:dyDescent="0.25">
      <c r="A350" t="str">
        <f>"027203963429"</f>
        <v>027203963429</v>
      </c>
      <c r="B350" t="s">
        <v>433</v>
      </c>
      <c r="C350" t="s">
        <v>7</v>
      </c>
      <c r="D350" t="s">
        <v>14</v>
      </c>
      <c r="E350" t="s">
        <v>70</v>
      </c>
    </row>
    <row r="351" spans="1:6" x14ac:dyDescent="0.25">
      <c r="A351" t="str">
        <f>"027204300400"</f>
        <v>027204300400</v>
      </c>
      <c r="B351" t="s">
        <v>434</v>
      </c>
      <c r="C351" t="s">
        <v>7</v>
      </c>
      <c r="D351" t="s">
        <v>12</v>
      </c>
      <c r="E351" t="s">
        <v>70</v>
      </c>
    </row>
    <row r="352" spans="1:6" x14ac:dyDescent="0.25">
      <c r="A352" t="str">
        <f>"027204800339"</f>
        <v>027204800339</v>
      </c>
      <c r="B352" t="s">
        <v>435</v>
      </c>
      <c r="C352" t="s">
        <v>7</v>
      </c>
      <c r="D352" t="s">
        <v>14</v>
      </c>
      <c r="E352" t="s">
        <v>70</v>
      </c>
    </row>
    <row r="353" spans="1:6" x14ac:dyDescent="0.25">
      <c r="A353" t="str">
        <f>"027205744503"</f>
        <v>027205744503</v>
      </c>
      <c r="B353" t="s">
        <v>436</v>
      </c>
      <c r="C353" t="s">
        <v>7</v>
      </c>
      <c r="D353" t="s">
        <v>14</v>
      </c>
      <c r="E353" t="s">
        <v>70</v>
      </c>
    </row>
    <row r="354" spans="1:6" x14ac:dyDescent="0.25">
      <c r="A354" t="str">
        <f>"0272916216"</f>
        <v>0272916216</v>
      </c>
      <c r="B354" t="s">
        <v>437</v>
      </c>
      <c r="C354" t="s">
        <v>7</v>
      </c>
      <c r="D354" t="s">
        <v>12</v>
      </c>
      <c r="E354" t="s">
        <v>70</v>
      </c>
      <c r="F354" t="s">
        <v>438</v>
      </c>
    </row>
    <row r="355" spans="1:6" x14ac:dyDescent="0.25">
      <c r="A355" t="str">
        <f>"0272920526"</f>
        <v>0272920526</v>
      </c>
      <c r="B355" t="s">
        <v>439</v>
      </c>
      <c r="C355" t="s">
        <v>7</v>
      </c>
      <c r="D355" t="s">
        <v>189</v>
      </c>
      <c r="E355" t="s">
        <v>70</v>
      </c>
      <c r="F355" t="s">
        <v>440</v>
      </c>
    </row>
    <row r="356" spans="1:6" x14ac:dyDescent="0.25">
      <c r="A356" t="str">
        <f>"0273053523"</f>
        <v>0273053523</v>
      </c>
      <c r="B356" t="s">
        <v>441</v>
      </c>
      <c r="C356" t="s">
        <v>7</v>
      </c>
      <c r="D356" t="s">
        <v>33</v>
      </c>
      <c r="E356" t="s">
        <v>70</v>
      </c>
      <c r="F356" t="s">
        <v>442</v>
      </c>
    </row>
    <row r="357" spans="1:6" x14ac:dyDescent="0.25">
      <c r="A357" t="str">
        <f>"0273059765"</f>
        <v>0273059765</v>
      </c>
      <c r="B357" t="s">
        <v>443</v>
      </c>
      <c r="C357" t="s">
        <v>7</v>
      </c>
      <c r="D357" t="s">
        <v>14</v>
      </c>
      <c r="E357" t="s">
        <v>70</v>
      </c>
      <c r="F357" t="s">
        <v>444</v>
      </c>
    </row>
    <row r="358" spans="1:6" x14ac:dyDescent="0.25">
      <c r="A358" t="str">
        <f>"0273059853"</f>
        <v>0273059853</v>
      </c>
      <c r="B358" t="s">
        <v>445</v>
      </c>
      <c r="C358" t="s">
        <v>7</v>
      </c>
      <c r="D358" t="s">
        <v>14</v>
      </c>
      <c r="E358" t="s">
        <v>70</v>
      </c>
      <c r="F358" t="s">
        <v>446</v>
      </c>
    </row>
    <row r="359" spans="1:6" x14ac:dyDescent="0.25">
      <c r="A359" t="str">
        <f>"027308752496"</f>
        <v>027308752496</v>
      </c>
      <c r="B359" t="s">
        <v>447</v>
      </c>
      <c r="C359" t="s">
        <v>7</v>
      </c>
      <c r="D359" t="s">
        <v>14</v>
      </c>
      <c r="E359" t="s">
        <v>70</v>
      </c>
    </row>
    <row r="360" spans="1:6" x14ac:dyDescent="0.25">
      <c r="A360" t="str">
        <f>"0273088220"</f>
        <v>0273088220</v>
      </c>
      <c r="B360" t="s">
        <v>448</v>
      </c>
      <c r="C360" t="s">
        <v>7</v>
      </c>
      <c r="D360" t="s">
        <v>33</v>
      </c>
      <c r="E360" t="s">
        <v>70</v>
      </c>
      <c r="F360" t="s">
        <v>449</v>
      </c>
    </row>
    <row r="361" spans="1:6" x14ac:dyDescent="0.25">
      <c r="A361" t="str">
        <f>"0273098919"</f>
        <v>0273098919</v>
      </c>
      <c r="B361" t="s">
        <v>450</v>
      </c>
      <c r="C361" t="s">
        <v>7</v>
      </c>
      <c r="D361" t="s">
        <v>12</v>
      </c>
      <c r="E361" t="s">
        <v>70</v>
      </c>
      <c r="F361" t="s">
        <v>451</v>
      </c>
    </row>
    <row r="362" spans="1:6" x14ac:dyDescent="0.25">
      <c r="A362" t="str">
        <f>"027313392190"</f>
        <v>027313392190</v>
      </c>
      <c r="B362" t="s">
        <v>452</v>
      </c>
      <c r="C362" t="s">
        <v>7</v>
      </c>
      <c r="D362" t="s">
        <v>14</v>
      </c>
      <c r="E362" t="s">
        <v>70</v>
      </c>
    </row>
    <row r="363" spans="1:6" x14ac:dyDescent="0.25">
      <c r="A363" t="str">
        <f>"027319144122"</f>
        <v>027319144122</v>
      </c>
      <c r="B363" t="s">
        <v>453</v>
      </c>
      <c r="C363" t="s">
        <v>7</v>
      </c>
      <c r="D363" t="s">
        <v>12</v>
      </c>
      <c r="E363" t="s">
        <v>70</v>
      </c>
    </row>
    <row r="364" spans="1:6" x14ac:dyDescent="0.25">
      <c r="A364" t="str">
        <f>"027320283829"</f>
        <v>027320283829</v>
      </c>
      <c r="B364" t="s">
        <v>454</v>
      </c>
      <c r="C364" t="s">
        <v>7</v>
      </c>
      <c r="D364" t="s">
        <v>14</v>
      </c>
      <c r="E364" t="s">
        <v>70</v>
      </c>
    </row>
    <row r="365" spans="1:6" x14ac:dyDescent="0.25">
      <c r="A365" t="str">
        <f>"0273922188"</f>
        <v>0273922188</v>
      </c>
      <c r="B365" t="s">
        <v>455</v>
      </c>
      <c r="C365" t="s">
        <v>7</v>
      </c>
      <c r="D365" t="s">
        <v>98</v>
      </c>
      <c r="E365" t="s">
        <v>70</v>
      </c>
      <c r="F365" t="s">
        <v>456</v>
      </c>
    </row>
    <row r="366" spans="1:6" x14ac:dyDescent="0.25">
      <c r="A366" t="str">
        <f>"0273937113"</f>
        <v>0273937113</v>
      </c>
      <c r="B366" t="s">
        <v>457</v>
      </c>
      <c r="C366" t="s">
        <v>7</v>
      </c>
      <c r="D366" t="s">
        <v>33</v>
      </c>
      <c r="E366" t="s">
        <v>70</v>
      </c>
      <c r="F366" t="s">
        <v>458</v>
      </c>
    </row>
    <row r="367" spans="1:6" x14ac:dyDescent="0.25">
      <c r="A367" t="str">
        <f>"0273945530"</f>
        <v>0273945530</v>
      </c>
      <c r="B367" t="s">
        <v>459</v>
      </c>
      <c r="C367" t="s">
        <v>7</v>
      </c>
      <c r="D367" t="s">
        <v>460</v>
      </c>
      <c r="E367" t="s">
        <v>70</v>
      </c>
      <c r="F367" t="s">
        <v>461</v>
      </c>
    </row>
    <row r="368" spans="1:6" x14ac:dyDescent="0.25">
      <c r="A368" t="str">
        <f>"0273947841"</f>
        <v>0273947841</v>
      </c>
      <c r="B368" t="s">
        <v>462</v>
      </c>
      <c r="C368" t="s">
        <v>7</v>
      </c>
      <c r="D368" t="s">
        <v>463</v>
      </c>
      <c r="E368" t="s">
        <v>70</v>
      </c>
      <c r="F368" t="s">
        <v>464</v>
      </c>
    </row>
    <row r="369" spans="1:6" x14ac:dyDescent="0.25">
      <c r="A369" t="str">
        <f>"0274023088"</f>
        <v>0274023088</v>
      </c>
      <c r="B369" t="s">
        <v>465</v>
      </c>
      <c r="C369" t="s">
        <v>7</v>
      </c>
      <c r="D369" t="s">
        <v>14</v>
      </c>
      <c r="E369" t="s">
        <v>70</v>
      </c>
      <c r="F369" t="s">
        <v>466</v>
      </c>
    </row>
    <row r="370" spans="1:6" x14ac:dyDescent="0.25">
      <c r="A370" t="str">
        <f>"027403525905"</f>
        <v>027403525905</v>
      </c>
      <c r="B370" t="s">
        <v>467</v>
      </c>
      <c r="C370" t="s">
        <v>7</v>
      </c>
      <c r="D370" t="s">
        <v>12</v>
      </c>
      <c r="E370" t="s">
        <v>70</v>
      </c>
    </row>
    <row r="371" spans="1:6" x14ac:dyDescent="0.25">
      <c r="A371" t="str">
        <f>"0274047152"</f>
        <v>0274047152</v>
      </c>
      <c r="B371" t="s">
        <v>468</v>
      </c>
      <c r="C371" t="s">
        <v>7</v>
      </c>
      <c r="D371" t="s">
        <v>8</v>
      </c>
      <c r="E371" t="s">
        <v>70</v>
      </c>
      <c r="F371" t="s">
        <v>469</v>
      </c>
    </row>
    <row r="372" spans="1:6" x14ac:dyDescent="0.25">
      <c r="A372" t="str">
        <f>"027407223221"</f>
        <v>027407223221</v>
      </c>
      <c r="B372" t="s">
        <v>470</v>
      </c>
      <c r="C372" t="s">
        <v>7</v>
      </c>
      <c r="D372" t="s">
        <v>14</v>
      </c>
      <c r="E372" t="s">
        <v>70</v>
      </c>
    </row>
    <row r="373" spans="1:6" x14ac:dyDescent="0.25">
      <c r="A373" t="str">
        <f>"027409052067"</f>
        <v>027409052067</v>
      </c>
      <c r="B373" t="s">
        <v>471</v>
      </c>
      <c r="C373" t="s">
        <v>7</v>
      </c>
      <c r="D373" t="s">
        <v>14</v>
      </c>
      <c r="E373" t="s">
        <v>70</v>
      </c>
    </row>
    <row r="374" spans="1:6" x14ac:dyDescent="0.25">
      <c r="A374" t="str">
        <f>"027409579590"</f>
        <v>027409579590</v>
      </c>
      <c r="B374" t="s">
        <v>472</v>
      </c>
      <c r="C374" t="s">
        <v>7</v>
      </c>
      <c r="D374" t="s">
        <v>14</v>
      </c>
      <c r="E374" t="s">
        <v>70</v>
      </c>
    </row>
    <row r="375" spans="1:6" x14ac:dyDescent="0.25">
      <c r="A375" t="str">
        <f>"0274108302"</f>
        <v>0274108302</v>
      </c>
      <c r="B375" t="s">
        <v>473</v>
      </c>
      <c r="C375" t="s">
        <v>7</v>
      </c>
      <c r="D375" t="s">
        <v>12</v>
      </c>
      <c r="E375" t="s">
        <v>70</v>
      </c>
      <c r="F375" t="s">
        <v>474</v>
      </c>
    </row>
    <row r="376" spans="1:6" x14ac:dyDescent="0.25">
      <c r="A376" t="str">
        <f>"0274394188"</f>
        <v>0274394188</v>
      </c>
      <c r="B376" t="s">
        <v>475</v>
      </c>
      <c r="C376" t="s">
        <v>7</v>
      </c>
      <c r="D376" t="s">
        <v>33</v>
      </c>
      <c r="E376" t="s">
        <v>70</v>
      </c>
      <c r="F376" t="s">
        <v>476</v>
      </c>
    </row>
    <row r="377" spans="1:6" x14ac:dyDescent="0.25">
      <c r="A377" t="str">
        <f>"0274906848"</f>
        <v>0274906848</v>
      </c>
      <c r="B377" t="s">
        <v>477</v>
      </c>
      <c r="C377" t="s">
        <v>7</v>
      </c>
      <c r="D377" t="s">
        <v>14</v>
      </c>
      <c r="E377" t="s">
        <v>70</v>
      </c>
      <c r="F377" t="s">
        <v>478</v>
      </c>
    </row>
    <row r="378" spans="1:6" x14ac:dyDescent="0.25">
      <c r="A378" t="str">
        <f>"0274941056"</f>
        <v>0274941056</v>
      </c>
      <c r="B378" t="s">
        <v>479</v>
      </c>
      <c r="C378" t="s">
        <v>7</v>
      </c>
      <c r="D378" t="s">
        <v>14</v>
      </c>
      <c r="E378" t="s">
        <v>70</v>
      </c>
      <c r="F378" t="s">
        <v>480</v>
      </c>
    </row>
    <row r="379" spans="1:6" x14ac:dyDescent="0.25">
      <c r="A379" t="str">
        <f>"0274968308"</f>
        <v>0274968308</v>
      </c>
      <c r="B379" t="s">
        <v>481</v>
      </c>
      <c r="C379" t="s">
        <v>7</v>
      </c>
      <c r="D379" t="s">
        <v>33</v>
      </c>
      <c r="E379" t="s">
        <v>70</v>
      </c>
      <c r="F379" t="s">
        <v>482</v>
      </c>
    </row>
    <row r="380" spans="1:6" x14ac:dyDescent="0.25">
      <c r="A380" t="str">
        <f>"0275022922"</f>
        <v>0275022922</v>
      </c>
      <c r="B380" t="s">
        <v>483</v>
      </c>
      <c r="C380" t="s">
        <v>7</v>
      </c>
      <c r="D380" t="s">
        <v>14</v>
      </c>
      <c r="E380" t="s">
        <v>70</v>
      </c>
      <c r="F380" t="s">
        <v>484</v>
      </c>
    </row>
    <row r="381" spans="1:6" x14ac:dyDescent="0.25">
      <c r="A381" t="str">
        <f>"0275040907"</f>
        <v>0275040907</v>
      </c>
      <c r="B381" t="s">
        <v>485</v>
      </c>
      <c r="C381" t="s">
        <v>7</v>
      </c>
      <c r="D381" t="s">
        <v>12</v>
      </c>
      <c r="E381" t="s">
        <v>70</v>
      </c>
      <c r="F381" t="s">
        <v>486</v>
      </c>
    </row>
    <row r="382" spans="1:6" x14ac:dyDescent="0.25">
      <c r="A382" t="str">
        <f>"027504094229"</f>
        <v>027504094229</v>
      </c>
      <c r="B382" t="s">
        <v>487</v>
      </c>
      <c r="C382" t="s">
        <v>7</v>
      </c>
      <c r="D382" t="s">
        <v>12</v>
      </c>
      <c r="E382" t="s">
        <v>70</v>
      </c>
    </row>
    <row r="383" spans="1:6" x14ac:dyDescent="0.25">
      <c r="A383" t="str">
        <f>"027507153497"</f>
        <v>027507153497</v>
      </c>
      <c r="B383" t="s">
        <v>488</v>
      </c>
      <c r="C383" t="s">
        <v>7</v>
      </c>
      <c r="D383" t="s">
        <v>14</v>
      </c>
      <c r="E383" t="s">
        <v>70</v>
      </c>
    </row>
    <row r="384" spans="1:6" x14ac:dyDescent="0.25">
      <c r="A384" t="str">
        <f>"0275077738"</f>
        <v>0275077738</v>
      </c>
      <c r="B384" t="s">
        <v>489</v>
      </c>
      <c r="C384" t="s">
        <v>7</v>
      </c>
      <c r="D384" t="s">
        <v>14</v>
      </c>
      <c r="E384" t="s">
        <v>70</v>
      </c>
      <c r="F384" t="s">
        <v>490</v>
      </c>
    </row>
    <row r="385" spans="1:6" x14ac:dyDescent="0.25">
      <c r="A385" t="str">
        <f>"0275928756"</f>
        <v>0275928756</v>
      </c>
      <c r="B385" t="s">
        <v>491</v>
      </c>
      <c r="C385" t="s">
        <v>7</v>
      </c>
      <c r="D385" t="s">
        <v>33</v>
      </c>
      <c r="E385" t="s">
        <v>70</v>
      </c>
      <c r="F385" t="s">
        <v>492</v>
      </c>
    </row>
    <row r="386" spans="1:6" x14ac:dyDescent="0.25">
      <c r="A386" t="str">
        <f>"027613483553"</f>
        <v>027613483553</v>
      </c>
      <c r="B386" t="s">
        <v>493</v>
      </c>
      <c r="C386" t="s">
        <v>7</v>
      </c>
      <c r="D386" t="s">
        <v>12</v>
      </c>
      <c r="E386" t="s">
        <v>70</v>
      </c>
    </row>
    <row r="387" spans="1:6" x14ac:dyDescent="0.25">
      <c r="A387" t="str">
        <f>"0276135848"</f>
        <v>0276135848</v>
      </c>
      <c r="B387" t="s">
        <v>494</v>
      </c>
      <c r="C387" t="s">
        <v>7</v>
      </c>
      <c r="D387" t="s">
        <v>33</v>
      </c>
      <c r="E387" t="s">
        <v>70</v>
      </c>
      <c r="F387" t="s">
        <v>495</v>
      </c>
    </row>
    <row r="388" spans="1:6" x14ac:dyDescent="0.25">
      <c r="A388" t="str">
        <f>"0276155643"</f>
        <v>0276155643</v>
      </c>
      <c r="B388" t="s">
        <v>496</v>
      </c>
      <c r="C388" t="s">
        <v>7</v>
      </c>
      <c r="D388" t="s">
        <v>12</v>
      </c>
      <c r="E388" t="s">
        <v>70</v>
      </c>
      <c r="F388" t="s">
        <v>497</v>
      </c>
    </row>
    <row r="389" spans="1:6" x14ac:dyDescent="0.25">
      <c r="A389" t="str">
        <f>"0276177083"</f>
        <v>0276177083</v>
      </c>
      <c r="B389" t="s">
        <v>498</v>
      </c>
      <c r="C389" t="s">
        <v>7</v>
      </c>
      <c r="D389" t="s">
        <v>12</v>
      </c>
      <c r="E389" t="s">
        <v>70</v>
      </c>
      <c r="F389" t="s">
        <v>499</v>
      </c>
    </row>
    <row r="390" spans="1:6" x14ac:dyDescent="0.25">
      <c r="A390" t="str">
        <f>"027620947069"</f>
        <v>027620947069</v>
      </c>
      <c r="B390" t="s">
        <v>500</v>
      </c>
      <c r="C390" t="s">
        <v>7</v>
      </c>
      <c r="D390" t="s">
        <v>12</v>
      </c>
      <c r="E390" t="s">
        <v>70</v>
      </c>
    </row>
    <row r="391" spans="1:6" x14ac:dyDescent="0.25">
      <c r="A391" t="str">
        <f>"0276913671"</f>
        <v>0276913671</v>
      </c>
      <c r="B391" t="s">
        <v>501</v>
      </c>
      <c r="C391" t="s">
        <v>7</v>
      </c>
      <c r="D391" t="s">
        <v>33</v>
      </c>
      <c r="E391" t="s">
        <v>70</v>
      </c>
      <c r="F391" t="s">
        <v>502</v>
      </c>
    </row>
    <row r="392" spans="1:6" x14ac:dyDescent="0.25">
      <c r="A392" t="str">
        <f>"0276955657"</f>
        <v>0276955657</v>
      </c>
      <c r="B392" t="s">
        <v>503</v>
      </c>
      <c r="C392" t="s">
        <v>7</v>
      </c>
      <c r="D392" t="s">
        <v>14</v>
      </c>
      <c r="E392" t="s">
        <v>70</v>
      </c>
      <c r="F392" t="s">
        <v>504</v>
      </c>
    </row>
    <row r="393" spans="1:6" x14ac:dyDescent="0.25">
      <c r="A393" t="str">
        <f>"027696978620"</f>
        <v>027696978620</v>
      </c>
      <c r="B393" t="s">
        <v>505</v>
      </c>
      <c r="C393" t="s">
        <v>7</v>
      </c>
      <c r="D393" t="s">
        <v>14</v>
      </c>
      <c r="E393" t="s">
        <v>70</v>
      </c>
    </row>
    <row r="394" spans="1:6" x14ac:dyDescent="0.25">
      <c r="A394" t="str">
        <f>"0276975999"</f>
        <v>0276975999</v>
      </c>
      <c r="B394" t="s">
        <v>506</v>
      </c>
      <c r="C394" t="s">
        <v>7</v>
      </c>
      <c r="D394" t="s">
        <v>33</v>
      </c>
      <c r="E394" t="s">
        <v>70</v>
      </c>
      <c r="F394" t="s">
        <v>507</v>
      </c>
    </row>
    <row r="395" spans="1:6" x14ac:dyDescent="0.25">
      <c r="A395" t="str">
        <f>"027700578811"</f>
        <v>027700578811</v>
      </c>
      <c r="B395" t="s">
        <v>508</v>
      </c>
      <c r="C395" t="s">
        <v>7</v>
      </c>
      <c r="D395" t="s">
        <v>14</v>
      </c>
      <c r="E395" t="s">
        <v>70</v>
      </c>
    </row>
    <row r="396" spans="1:6" x14ac:dyDescent="0.25">
      <c r="A396" t="str">
        <f>"027704215093"</f>
        <v>027704215093</v>
      </c>
      <c r="B396" t="s">
        <v>509</v>
      </c>
      <c r="C396" t="s">
        <v>7</v>
      </c>
      <c r="D396" t="s">
        <v>14</v>
      </c>
      <c r="E396" t="s">
        <v>70</v>
      </c>
    </row>
    <row r="397" spans="1:6" x14ac:dyDescent="0.25">
      <c r="A397" t="str">
        <f>"0277063473"</f>
        <v>0277063473</v>
      </c>
      <c r="B397" t="s">
        <v>510</v>
      </c>
      <c r="C397" t="s">
        <v>7</v>
      </c>
      <c r="D397" t="s">
        <v>12</v>
      </c>
      <c r="E397" t="s">
        <v>70</v>
      </c>
      <c r="F397" t="s">
        <v>511</v>
      </c>
    </row>
    <row r="398" spans="1:6" x14ac:dyDescent="0.25">
      <c r="A398" t="str">
        <f>"027710648747"</f>
        <v>027710648747</v>
      </c>
      <c r="B398" t="s">
        <v>512</v>
      </c>
      <c r="C398" t="s">
        <v>7</v>
      </c>
      <c r="D398" t="s">
        <v>33</v>
      </c>
      <c r="E398" t="s">
        <v>70</v>
      </c>
    </row>
    <row r="399" spans="1:6" x14ac:dyDescent="0.25">
      <c r="A399" t="str">
        <f>"027712478466"</f>
        <v>027712478466</v>
      </c>
      <c r="B399" t="s">
        <v>513</v>
      </c>
      <c r="C399" t="s">
        <v>7</v>
      </c>
      <c r="D399" t="s">
        <v>12</v>
      </c>
      <c r="E399" t="s">
        <v>70</v>
      </c>
    </row>
    <row r="400" spans="1:6" x14ac:dyDescent="0.25">
      <c r="A400" t="str">
        <f>"0277140872"</f>
        <v>0277140872</v>
      </c>
      <c r="B400" t="s">
        <v>514</v>
      </c>
      <c r="C400" t="s">
        <v>7</v>
      </c>
      <c r="D400" t="s">
        <v>12</v>
      </c>
      <c r="E400" t="s">
        <v>70</v>
      </c>
      <c r="F400" t="s">
        <v>515</v>
      </c>
    </row>
    <row r="401" spans="1:6" x14ac:dyDescent="0.25">
      <c r="A401" t="str">
        <f>"027714671828"</f>
        <v>027714671828</v>
      </c>
      <c r="B401" t="s">
        <v>516</v>
      </c>
      <c r="C401" t="s">
        <v>7</v>
      </c>
      <c r="D401" t="s">
        <v>14</v>
      </c>
      <c r="E401" t="s">
        <v>70</v>
      </c>
    </row>
    <row r="402" spans="1:6" x14ac:dyDescent="0.25">
      <c r="A402" t="str">
        <f>"027716292504"</f>
        <v>027716292504</v>
      </c>
      <c r="B402" t="s">
        <v>517</v>
      </c>
      <c r="C402" t="s">
        <v>7</v>
      </c>
      <c r="D402" t="s">
        <v>14</v>
      </c>
      <c r="E402" t="s">
        <v>70</v>
      </c>
    </row>
    <row r="403" spans="1:6" x14ac:dyDescent="0.25">
      <c r="A403" t="str">
        <f>"027716309780"</f>
        <v>027716309780</v>
      </c>
      <c r="B403" t="s">
        <v>518</v>
      </c>
      <c r="C403" t="s">
        <v>7</v>
      </c>
      <c r="D403" t="s">
        <v>14</v>
      </c>
      <c r="E403" t="s">
        <v>70</v>
      </c>
    </row>
    <row r="404" spans="1:6" x14ac:dyDescent="0.25">
      <c r="A404" t="str">
        <f>"027722319377"</f>
        <v>027722319377</v>
      </c>
      <c r="B404" t="s">
        <v>519</v>
      </c>
      <c r="C404" t="s">
        <v>7</v>
      </c>
      <c r="D404" t="s">
        <v>14</v>
      </c>
      <c r="E404" t="s">
        <v>70</v>
      </c>
    </row>
    <row r="405" spans="1:6" x14ac:dyDescent="0.25">
      <c r="A405" t="str">
        <f>"027722320492"</f>
        <v>027722320492</v>
      </c>
      <c r="B405" t="s">
        <v>520</v>
      </c>
      <c r="C405" t="s">
        <v>7</v>
      </c>
      <c r="D405" t="s">
        <v>14</v>
      </c>
      <c r="E405" t="s">
        <v>70</v>
      </c>
    </row>
    <row r="406" spans="1:6" x14ac:dyDescent="0.25">
      <c r="A406" t="str">
        <f>"0277925817"</f>
        <v>0277925817</v>
      </c>
      <c r="B406" t="s">
        <v>521</v>
      </c>
      <c r="C406" t="s">
        <v>7</v>
      </c>
      <c r="D406" t="s">
        <v>12</v>
      </c>
      <c r="E406" t="s">
        <v>70</v>
      </c>
      <c r="F406" t="s">
        <v>522</v>
      </c>
    </row>
    <row r="407" spans="1:6" x14ac:dyDescent="0.25">
      <c r="A407" t="str">
        <f>"0277961389"</f>
        <v>0277961389</v>
      </c>
      <c r="B407" t="s">
        <v>523</v>
      </c>
      <c r="C407" t="s">
        <v>7</v>
      </c>
      <c r="D407" t="s">
        <v>8</v>
      </c>
      <c r="E407" t="s">
        <v>70</v>
      </c>
      <c r="F407" t="s">
        <v>524</v>
      </c>
    </row>
    <row r="408" spans="1:6" x14ac:dyDescent="0.25">
      <c r="A408" t="str">
        <f>"0277962978"</f>
        <v>0277962978</v>
      </c>
      <c r="B408" t="s">
        <v>525</v>
      </c>
      <c r="C408" t="s">
        <v>7</v>
      </c>
      <c r="D408" t="s">
        <v>33</v>
      </c>
      <c r="E408" t="s">
        <v>70</v>
      </c>
      <c r="F408" t="s">
        <v>526</v>
      </c>
    </row>
    <row r="409" spans="1:6" x14ac:dyDescent="0.25">
      <c r="A409" t="str">
        <f>"027804556989"</f>
        <v>027804556989</v>
      </c>
      <c r="B409" t="s">
        <v>527</v>
      </c>
      <c r="C409" t="s">
        <v>7</v>
      </c>
      <c r="D409" t="s">
        <v>14</v>
      </c>
      <c r="E409" t="s">
        <v>70</v>
      </c>
    </row>
    <row r="410" spans="1:6" x14ac:dyDescent="0.25">
      <c r="A410" t="str">
        <f>"027804557301"</f>
        <v>027804557301</v>
      </c>
      <c r="B410" t="s">
        <v>528</v>
      </c>
      <c r="C410" t="s">
        <v>7</v>
      </c>
      <c r="D410" t="s">
        <v>14</v>
      </c>
      <c r="E410" t="s">
        <v>70</v>
      </c>
    </row>
    <row r="411" spans="1:6" x14ac:dyDescent="0.25">
      <c r="A411" t="str">
        <f>"027804557799"</f>
        <v>027804557799</v>
      </c>
      <c r="B411" t="s">
        <v>529</v>
      </c>
      <c r="C411" t="s">
        <v>7</v>
      </c>
      <c r="D411" t="s">
        <v>14</v>
      </c>
      <c r="E411" t="s">
        <v>70</v>
      </c>
    </row>
    <row r="412" spans="1:6" x14ac:dyDescent="0.25">
      <c r="A412" t="str">
        <f>"027810800321"</f>
        <v>027810800321</v>
      </c>
      <c r="B412" t="s">
        <v>530</v>
      </c>
      <c r="C412" t="s">
        <v>7</v>
      </c>
      <c r="D412" t="s">
        <v>12</v>
      </c>
      <c r="E412" t="s">
        <v>70</v>
      </c>
    </row>
    <row r="413" spans="1:6" x14ac:dyDescent="0.25">
      <c r="A413" t="str">
        <f>"0278109628"</f>
        <v>0278109628</v>
      </c>
      <c r="B413" t="s">
        <v>531</v>
      </c>
      <c r="C413" t="s">
        <v>7</v>
      </c>
      <c r="D413" t="s">
        <v>33</v>
      </c>
      <c r="E413" t="s">
        <v>70</v>
      </c>
      <c r="F413" t="s">
        <v>532</v>
      </c>
    </row>
    <row r="414" spans="1:6" x14ac:dyDescent="0.25">
      <c r="A414" t="str">
        <f>"0278120653"</f>
        <v>0278120653</v>
      </c>
      <c r="B414" t="s">
        <v>533</v>
      </c>
      <c r="C414" t="s">
        <v>7</v>
      </c>
      <c r="D414" t="s">
        <v>12</v>
      </c>
      <c r="E414" t="s">
        <v>70</v>
      </c>
      <c r="F414" t="s">
        <v>534</v>
      </c>
    </row>
    <row r="415" spans="1:6" x14ac:dyDescent="0.25">
      <c r="A415" t="str">
        <f>"027812698497"</f>
        <v>027812698497</v>
      </c>
      <c r="B415" t="s">
        <v>535</v>
      </c>
      <c r="C415" t="s">
        <v>7</v>
      </c>
      <c r="D415" t="s">
        <v>14</v>
      </c>
      <c r="E415" t="s">
        <v>70</v>
      </c>
    </row>
    <row r="416" spans="1:6" x14ac:dyDescent="0.25">
      <c r="A416" t="str">
        <f>"027816579300"</f>
        <v>027816579300</v>
      </c>
      <c r="B416" t="s">
        <v>536</v>
      </c>
      <c r="C416" t="s">
        <v>7</v>
      </c>
      <c r="D416" t="s">
        <v>12</v>
      </c>
      <c r="E416" t="s">
        <v>70</v>
      </c>
    </row>
    <row r="417" spans="1:6" x14ac:dyDescent="0.25">
      <c r="A417" t="str">
        <f>"0278949641"</f>
        <v>0278949641</v>
      </c>
      <c r="B417" t="s">
        <v>537</v>
      </c>
      <c r="C417" t="s">
        <v>7</v>
      </c>
      <c r="D417" t="s">
        <v>33</v>
      </c>
      <c r="E417" t="s">
        <v>70</v>
      </c>
      <c r="F417" t="s">
        <v>538</v>
      </c>
    </row>
    <row r="418" spans="1:6" x14ac:dyDescent="0.25">
      <c r="A418" t="str">
        <f>"0278952605"</f>
        <v>0278952605</v>
      </c>
      <c r="B418" t="s">
        <v>539</v>
      </c>
      <c r="C418" t="s">
        <v>7</v>
      </c>
      <c r="D418" t="s">
        <v>33</v>
      </c>
      <c r="E418" t="s">
        <v>70</v>
      </c>
      <c r="F418" t="s">
        <v>540</v>
      </c>
    </row>
    <row r="419" spans="1:6" x14ac:dyDescent="0.25">
      <c r="A419" t="str">
        <f>"0278961078"</f>
        <v>0278961078</v>
      </c>
      <c r="B419" t="s">
        <v>541</v>
      </c>
      <c r="C419" t="s">
        <v>7</v>
      </c>
      <c r="D419" t="s">
        <v>14</v>
      </c>
      <c r="E419" t="s">
        <v>70</v>
      </c>
      <c r="F419" t="s">
        <v>542</v>
      </c>
    </row>
    <row r="420" spans="1:6" x14ac:dyDescent="0.25">
      <c r="A420" t="str">
        <f>"0278974567"</f>
        <v>0278974567</v>
      </c>
      <c r="B420" t="s">
        <v>543</v>
      </c>
      <c r="C420" t="s">
        <v>7</v>
      </c>
      <c r="D420" t="s">
        <v>14</v>
      </c>
      <c r="E420" t="s">
        <v>70</v>
      </c>
      <c r="F420" t="s">
        <v>544</v>
      </c>
    </row>
    <row r="421" spans="1:6" x14ac:dyDescent="0.25">
      <c r="A421" t="str">
        <f>"0279000310"</f>
        <v>0279000310</v>
      </c>
      <c r="B421" t="s">
        <v>545</v>
      </c>
      <c r="C421" t="s">
        <v>7</v>
      </c>
      <c r="D421" t="s">
        <v>14</v>
      </c>
      <c r="E421" t="s">
        <v>70</v>
      </c>
      <c r="F421" t="s">
        <v>546</v>
      </c>
    </row>
    <row r="422" spans="1:6" x14ac:dyDescent="0.25">
      <c r="A422" t="str">
        <f>"027006826590"</f>
        <v>027006826590</v>
      </c>
      <c r="B422" t="s">
        <v>547</v>
      </c>
      <c r="C422" t="s">
        <v>7</v>
      </c>
      <c r="D422" t="s">
        <v>14</v>
      </c>
      <c r="E422" t="s">
        <v>70</v>
      </c>
    </row>
    <row r="423" spans="1:6" x14ac:dyDescent="0.25">
      <c r="A423" t="str">
        <f>"0272020324"</f>
        <v>0272020324</v>
      </c>
      <c r="B423" t="s">
        <v>548</v>
      </c>
      <c r="C423" t="s">
        <v>7</v>
      </c>
      <c r="D423" t="s">
        <v>33</v>
      </c>
      <c r="E423" t="s">
        <v>70</v>
      </c>
      <c r="F423" t="s">
        <v>549</v>
      </c>
    </row>
    <row r="424" spans="1:6" x14ac:dyDescent="0.25">
      <c r="A424" t="str">
        <f>"027203337904"</f>
        <v>027203337904</v>
      </c>
      <c r="B424" t="s">
        <v>550</v>
      </c>
      <c r="C424" t="s">
        <v>7</v>
      </c>
      <c r="D424" t="s">
        <v>14</v>
      </c>
      <c r="E424" t="s">
        <v>70</v>
      </c>
    </row>
    <row r="425" spans="1:6" x14ac:dyDescent="0.25">
      <c r="A425" t="str">
        <f>"027205090748"</f>
        <v>027205090748</v>
      </c>
      <c r="B425" t="s">
        <v>551</v>
      </c>
      <c r="C425" t="s">
        <v>7</v>
      </c>
      <c r="D425" t="s">
        <v>14</v>
      </c>
      <c r="E425" t="s">
        <v>70</v>
      </c>
    </row>
    <row r="426" spans="1:6" x14ac:dyDescent="0.25">
      <c r="A426" t="str">
        <f>"0272902372"</f>
        <v>0272902372</v>
      </c>
      <c r="B426" t="s">
        <v>552</v>
      </c>
      <c r="C426" t="s">
        <v>7</v>
      </c>
      <c r="D426" t="s">
        <v>33</v>
      </c>
      <c r="E426" t="s">
        <v>70</v>
      </c>
      <c r="F426" t="s">
        <v>553</v>
      </c>
    </row>
    <row r="427" spans="1:6" x14ac:dyDescent="0.25">
      <c r="A427" t="str">
        <f>"0272907902"</f>
        <v>0272907902</v>
      </c>
      <c r="B427" t="s">
        <v>554</v>
      </c>
      <c r="C427" t="s">
        <v>7</v>
      </c>
      <c r="D427" t="s">
        <v>14</v>
      </c>
      <c r="E427" t="s">
        <v>70</v>
      </c>
      <c r="F427" t="s">
        <v>555</v>
      </c>
    </row>
    <row r="428" spans="1:6" x14ac:dyDescent="0.25">
      <c r="A428" t="str">
        <f>"0272908208"</f>
        <v>0272908208</v>
      </c>
      <c r="B428" t="s">
        <v>556</v>
      </c>
      <c r="C428" t="s">
        <v>7</v>
      </c>
      <c r="D428" t="s">
        <v>33</v>
      </c>
      <c r="E428" t="s">
        <v>70</v>
      </c>
      <c r="F428" t="s">
        <v>557</v>
      </c>
    </row>
    <row r="429" spans="1:6" x14ac:dyDescent="0.25">
      <c r="A429" t="str">
        <f>"0272913896"</f>
        <v>0272913896</v>
      </c>
      <c r="B429" t="s">
        <v>558</v>
      </c>
      <c r="C429" t="s">
        <v>7</v>
      </c>
      <c r="D429" t="s">
        <v>33</v>
      </c>
      <c r="E429" t="s">
        <v>70</v>
      </c>
      <c r="F429" t="s">
        <v>559</v>
      </c>
    </row>
    <row r="430" spans="1:6" x14ac:dyDescent="0.25">
      <c r="A430" t="str">
        <f>"0272918439"</f>
        <v>0272918439</v>
      </c>
      <c r="B430" t="s">
        <v>560</v>
      </c>
      <c r="C430" t="s">
        <v>7</v>
      </c>
      <c r="D430" t="s">
        <v>12</v>
      </c>
      <c r="E430" t="s">
        <v>70</v>
      </c>
      <c r="F430" t="s">
        <v>561</v>
      </c>
    </row>
    <row r="431" spans="1:6" x14ac:dyDescent="0.25">
      <c r="A431" t="str">
        <f>"0272928966"</f>
        <v>0272928966</v>
      </c>
      <c r="B431" t="s">
        <v>562</v>
      </c>
      <c r="C431" t="s">
        <v>7</v>
      </c>
      <c r="D431" t="s">
        <v>14</v>
      </c>
      <c r="E431" t="s">
        <v>70</v>
      </c>
      <c r="F431" t="s">
        <v>563</v>
      </c>
    </row>
    <row r="432" spans="1:6" x14ac:dyDescent="0.25">
      <c r="A432" t="str">
        <f>"0273027925"</f>
        <v>0273027925</v>
      </c>
      <c r="B432" t="s">
        <v>564</v>
      </c>
      <c r="C432" t="s">
        <v>7</v>
      </c>
      <c r="D432" t="s">
        <v>98</v>
      </c>
      <c r="E432" t="s">
        <v>70</v>
      </c>
      <c r="F432" t="s">
        <v>565</v>
      </c>
    </row>
    <row r="433" spans="1:6" x14ac:dyDescent="0.25">
      <c r="A433" t="str">
        <f>"027304387394"</f>
        <v>027304387394</v>
      </c>
      <c r="B433" t="s">
        <v>566</v>
      </c>
      <c r="C433" t="s">
        <v>7</v>
      </c>
      <c r="D433" t="s">
        <v>33</v>
      </c>
      <c r="E433" t="s">
        <v>70</v>
      </c>
    </row>
    <row r="434" spans="1:6" x14ac:dyDescent="0.25">
      <c r="A434" t="str">
        <f>"0273096728"</f>
        <v>0273096728</v>
      </c>
      <c r="B434" t="s">
        <v>567</v>
      </c>
      <c r="C434" t="s">
        <v>7</v>
      </c>
      <c r="D434" t="s">
        <v>14</v>
      </c>
      <c r="E434" t="s">
        <v>70</v>
      </c>
      <c r="F434" t="s">
        <v>568</v>
      </c>
    </row>
    <row r="435" spans="1:6" x14ac:dyDescent="0.25">
      <c r="A435" t="str">
        <f>"027312151000"</f>
        <v>027312151000</v>
      </c>
      <c r="B435" t="s">
        <v>569</v>
      </c>
      <c r="C435" t="s">
        <v>7</v>
      </c>
      <c r="D435" t="s">
        <v>14</v>
      </c>
      <c r="E435" t="s">
        <v>70</v>
      </c>
    </row>
    <row r="436" spans="1:6" x14ac:dyDescent="0.25">
      <c r="A436" t="str">
        <f>"0273904020"</f>
        <v>0273904020</v>
      </c>
      <c r="B436" t="s">
        <v>570</v>
      </c>
      <c r="C436" t="s">
        <v>7</v>
      </c>
      <c r="D436" t="s">
        <v>14</v>
      </c>
      <c r="E436" t="s">
        <v>70</v>
      </c>
      <c r="F436" t="s">
        <v>571</v>
      </c>
    </row>
    <row r="437" spans="1:6" x14ac:dyDescent="0.25">
      <c r="A437" t="str">
        <f>"0273940268"</f>
        <v>0273940268</v>
      </c>
      <c r="B437" t="s">
        <v>572</v>
      </c>
      <c r="C437" t="s">
        <v>7</v>
      </c>
      <c r="D437" t="s">
        <v>14</v>
      </c>
      <c r="E437" t="s">
        <v>70</v>
      </c>
      <c r="F437" t="s">
        <v>573</v>
      </c>
    </row>
    <row r="438" spans="1:6" x14ac:dyDescent="0.25">
      <c r="A438" t="str">
        <f>"0273944199"</f>
        <v>0273944199</v>
      </c>
      <c r="B438" t="s">
        <v>574</v>
      </c>
      <c r="C438" t="s">
        <v>7</v>
      </c>
      <c r="D438" t="s">
        <v>14</v>
      </c>
      <c r="E438" t="s">
        <v>70</v>
      </c>
      <c r="F438" t="s">
        <v>575</v>
      </c>
    </row>
    <row r="439" spans="1:6" x14ac:dyDescent="0.25">
      <c r="A439" t="str">
        <f>"0273949990"</f>
        <v>0273949990</v>
      </c>
      <c r="B439" t="s">
        <v>576</v>
      </c>
      <c r="C439" t="s">
        <v>7</v>
      </c>
      <c r="D439" t="s">
        <v>33</v>
      </c>
      <c r="E439" t="s">
        <v>70</v>
      </c>
      <c r="F439" t="s">
        <v>577</v>
      </c>
    </row>
    <row r="440" spans="1:6" x14ac:dyDescent="0.25">
      <c r="A440" t="str">
        <f>"0273950548"</f>
        <v>0273950548</v>
      </c>
      <c r="B440" t="s">
        <v>578</v>
      </c>
      <c r="C440" t="s">
        <v>7</v>
      </c>
      <c r="D440" t="s">
        <v>12</v>
      </c>
      <c r="E440" t="s">
        <v>70</v>
      </c>
      <c r="F440" t="s">
        <v>579</v>
      </c>
    </row>
    <row r="441" spans="1:6" x14ac:dyDescent="0.25">
      <c r="A441" t="str">
        <f>"0273952464"</f>
        <v>0273952464</v>
      </c>
      <c r="B441" t="s">
        <v>580</v>
      </c>
      <c r="C441" t="s">
        <v>7</v>
      </c>
      <c r="D441" t="s">
        <v>14</v>
      </c>
      <c r="E441" t="s">
        <v>70</v>
      </c>
      <c r="F441" t="s">
        <v>581</v>
      </c>
    </row>
    <row r="442" spans="1:6" x14ac:dyDescent="0.25">
      <c r="A442" t="str">
        <f>"027400481103"</f>
        <v>027400481103</v>
      </c>
      <c r="B442" t="s">
        <v>582</v>
      </c>
      <c r="C442" t="s">
        <v>7</v>
      </c>
      <c r="D442" t="s">
        <v>12</v>
      </c>
      <c r="E442" t="s">
        <v>70</v>
      </c>
    </row>
    <row r="443" spans="1:6" x14ac:dyDescent="0.25">
      <c r="A443" t="str">
        <f>"027402073212"</f>
        <v>027402073212</v>
      </c>
      <c r="B443" t="s">
        <v>583</v>
      </c>
      <c r="C443" t="s">
        <v>7</v>
      </c>
      <c r="D443" t="s">
        <v>14</v>
      </c>
      <c r="E443" t="s">
        <v>70</v>
      </c>
    </row>
    <row r="444" spans="1:6" x14ac:dyDescent="0.25">
      <c r="A444" t="str">
        <f>"027405283715"</f>
        <v>027405283715</v>
      </c>
      <c r="B444" t="s">
        <v>584</v>
      </c>
      <c r="C444" t="s">
        <v>7</v>
      </c>
      <c r="D444" t="s">
        <v>12</v>
      </c>
      <c r="E444" t="s">
        <v>70</v>
      </c>
    </row>
    <row r="445" spans="1:6" x14ac:dyDescent="0.25">
      <c r="A445" t="str">
        <f>"027405829183"</f>
        <v>027405829183</v>
      </c>
      <c r="B445" t="s">
        <v>585</v>
      </c>
      <c r="C445" t="s">
        <v>7</v>
      </c>
      <c r="D445" t="s">
        <v>586</v>
      </c>
      <c r="E445" t="s">
        <v>70</v>
      </c>
    </row>
    <row r="446" spans="1:6" x14ac:dyDescent="0.25">
      <c r="A446" t="str">
        <f>"027406038089"</f>
        <v>027406038089</v>
      </c>
      <c r="B446" t="s">
        <v>587</v>
      </c>
      <c r="C446" t="s">
        <v>7</v>
      </c>
      <c r="D446" t="s">
        <v>14</v>
      </c>
      <c r="E446" t="s">
        <v>70</v>
      </c>
    </row>
    <row r="447" spans="1:6" x14ac:dyDescent="0.25">
      <c r="A447" t="str">
        <f>"027406067749"</f>
        <v>027406067749</v>
      </c>
      <c r="B447" t="s">
        <v>588</v>
      </c>
      <c r="C447" t="s">
        <v>7</v>
      </c>
      <c r="D447" t="s">
        <v>14</v>
      </c>
      <c r="E447" t="s">
        <v>70</v>
      </c>
    </row>
    <row r="448" spans="1:6" x14ac:dyDescent="0.25">
      <c r="A448" t="str">
        <f>"027412443582"</f>
        <v>027412443582</v>
      </c>
      <c r="B448" t="s">
        <v>589</v>
      </c>
      <c r="C448" t="s">
        <v>7</v>
      </c>
      <c r="D448" t="s">
        <v>14</v>
      </c>
      <c r="E448" t="s">
        <v>70</v>
      </c>
    </row>
    <row r="449" spans="1:6" x14ac:dyDescent="0.25">
      <c r="A449" t="str">
        <f>"0274141807"</f>
        <v>0274141807</v>
      </c>
      <c r="B449" t="s">
        <v>590</v>
      </c>
      <c r="C449" t="s">
        <v>7</v>
      </c>
      <c r="D449" t="s">
        <v>463</v>
      </c>
      <c r="E449" t="s">
        <v>70</v>
      </c>
      <c r="F449" t="s">
        <v>591</v>
      </c>
    </row>
    <row r="450" spans="1:6" x14ac:dyDescent="0.25">
      <c r="A450" t="str">
        <f>"0274396210"</f>
        <v>0274396210</v>
      </c>
      <c r="B450" t="s">
        <v>592</v>
      </c>
      <c r="C450" t="s">
        <v>7</v>
      </c>
      <c r="D450" t="s">
        <v>33</v>
      </c>
      <c r="E450" t="s">
        <v>70</v>
      </c>
      <c r="F450" t="s">
        <v>593</v>
      </c>
    </row>
    <row r="451" spans="1:6" x14ac:dyDescent="0.25">
      <c r="A451" t="str">
        <f>"0274923900"</f>
        <v>0274923900</v>
      </c>
      <c r="B451" t="s">
        <v>594</v>
      </c>
      <c r="C451" t="s">
        <v>7</v>
      </c>
      <c r="D451" t="s">
        <v>14</v>
      </c>
      <c r="E451" t="s">
        <v>70</v>
      </c>
      <c r="F451" t="s">
        <v>595</v>
      </c>
    </row>
    <row r="452" spans="1:6" x14ac:dyDescent="0.25">
      <c r="A452" t="str">
        <f>"0274989450"</f>
        <v>0274989450</v>
      </c>
      <c r="B452" t="s">
        <v>596</v>
      </c>
      <c r="C452" t="s">
        <v>7</v>
      </c>
      <c r="D452" t="s">
        <v>12</v>
      </c>
      <c r="E452" t="s">
        <v>70</v>
      </c>
      <c r="F452" t="s">
        <v>597</v>
      </c>
    </row>
    <row r="453" spans="1:6" x14ac:dyDescent="0.25">
      <c r="A453" t="str">
        <f>"0275021608"</f>
        <v>0275021608</v>
      </c>
      <c r="B453" t="s">
        <v>598</v>
      </c>
      <c r="C453" t="s">
        <v>7</v>
      </c>
      <c r="D453" t="s">
        <v>14</v>
      </c>
      <c r="E453" t="s">
        <v>70</v>
      </c>
      <c r="F453" t="s">
        <v>599</v>
      </c>
    </row>
    <row r="454" spans="1:6" x14ac:dyDescent="0.25">
      <c r="A454" t="str">
        <f>"0275060572"</f>
        <v>0275060572</v>
      </c>
      <c r="B454" t="s">
        <v>600</v>
      </c>
      <c r="C454" t="s">
        <v>7</v>
      </c>
      <c r="D454" t="s">
        <v>12</v>
      </c>
      <c r="E454" t="s">
        <v>70</v>
      </c>
      <c r="F454" t="s">
        <v>601</v>
      </c>
    </row>
    <row r="455" spans="1:6" x14ac:dyDescent="0.25">
      <c r="A455" t="str">
        <f>"0275907682"</f>
        <v>0275907682</v>
      </c>
      <c r="B455" t="s">
        <v>602</v>
      </c>
      <c r="C455" t="s">
        <v>7</v>
      </c>
      <c r="D455" t="s">
        <v>33</v>
      </c>
      <c r="E455" t="s">
        <v>70</v>
      </c>
      <c r="F455" t="s">
        <v>603</v>
      </c>
    </row>
    <row r="456" spans="1:6" x14ac:dyDescent="0.25">
      <c r="A456" t="str">
        <f>"0275910283"</f>
        <v>0275910283</v>
      </c>
      <c r="B456" t="s">
        <v>604</v>
      </c>
      <c r="C456" t="s">
        <v>7</v>
      </c>
      <c r="D456" t="s">
        <v>33</v>
      </c>
      <c r="E456" t="s">
        <v>70</v>
      </c>
      <c r="F456" t="s">
        <v>605</v>
      </c>
    </row>
    <row r="457" spans="1:6" x14ac:dyDescent="0.25">
      <c r="A457" t="str">
        <f>"027600098402"</f>
        <v>027600098402</v>
      </c>
      <c r="B457" t="s">
        <v>606</v>
      </c>
      <c r="C457" t="s">
        <v>7</v>
      </c>
      <c r="D457" t="s">
        <v>12</v>
      </c>
      <c r="E457" t="s">
        <v>70</v>
      </c>
    </row>
    <row r="458" spans="1:6" x14ac:dyDescent="0.25">
      <c r="A458" t="str">
        <f>"027600359069"</f>
        <v>027600359069</v>
      </c>
      <c r="B458" t="s">
        <v>607</v>
      </c>
      <c r="C458" t="s">
        <v>7</v>
      </c>
      <c r="D458" t="s">
        <v>33</v>
      </c>
      <c r="E458" t="s">
        <v>70</v>
      </c>
    </row>
    <row r="459" spans="1:6" x14ac:dyDescent="0.25">
      <c r="A459" t="str">
        <f>"0276042696"</f>
        <v>0276042696</v>
      </c>
      <c r="B459" t="s">
        <v>608</v>
      </c>
      <c r="C459" t="s">
        <v>7</v>
      </c>
      <c r="D459" t="s">
        <v>12</v>
      </c>
      <c r="E459" t="s">
        <v>70</v>
      </c>
      <c r="F459" t="s">
        <v>609</v>
      </c>
    </row>
    <row r="460" spans="1:6" x14ac:dyDescent="0.25">
      <c r="A460" t="str">
        <f>"027607279214"</f>
        <v>027607279214</v>
      </c>
      <c r="B460" t="s">
        <v>610</v>
      </c>
      <c r="C460" t="s">
        <v>7</v>
      </c>
      <c r="D460" t="s">
        <v>14</v>
      </c>
      <c r="E460" t="s">
        <v>70</v>
      </c>
    </row>
    <row r="461" spans="1:6" x14ac:dyDescent="0.25">
      <c r="A461" t="str">
        <f>"0276100010"</f>
        <v>0276100010</v>
      </c>
      <c r="B461" t="s">
        <v>611</v>
      </c>
      <c r="C461" t="s">
        <v>7</v>
      </c>
      <c r="D461" t="s">
        <v>12</v>
      </c>
      <c r="E461" t="s">
        <v>70</v>
      </c>
      <c r="F461" t="s">
        <v>612</v>
      </c>
    </row>
    <row r="462" spans="1:6" x14ac:dyDescent="0.25">
      <c r="A462" t="str">
        <f>"0276107463"</f>
        <v>0276107463</v>
      </c>
      <c r="B462" t="s">
        <v>613</v>
      </c>
      <c r="C462" t="s">
        <v>7</v>
      </c>
      <c r="D462" t="s">
        <v>33</v>
      </c>
      <c r="E462" t="s">
        <v>70</v>
      </c>
      <c r="F462" t="s">
        <v>614</v>
      </c>
    </row>
    <row r="463" spans="1:6" x14ac:dyDescent="0.25">
      <c r="A463" t="str">
        <f>"0276128199"</f>
        <v>0276128199</v>
      </c>
      <c r="B463" t="s">
        <v>615</v>
      </c>
      <c r="C463" t="s">
        <v>7</v>
      </c>
      <c r="D463" t="s">
        <v>33</v>
      </c>
      <c r="E463" t="s">
        <v>70</v>
      </c>
      <c r="F463" t="s">
        <v>616</v>
      </c>
    </row>
    <row r="464" spans="1:6" x14ac:dyDescent="0.25">
      <c r="A464" t="str">
        <f>"0276150405"</f>
        <v>0276150405</v>
      </c>
      <c r="B464" t="s">
        <v>617</v>
      </c>
      <c r="C464" t="s">
        <v>7</v>
      </c>
      <c r="D464" t="s">
        <v>12</v>
      </c>
      <c r="E464" t="s">
        <v>70</v>
      </c>
      <c r="F464" t="s">
        <v>618</v>
      </c>
    </row>
    <row r="465" spans="1:6" x14ac:dyDescent="0.25">
      <c r="A465" t="str">
        <f>"0276157440"</f>
        <v>0276157440</v>
      </c>
      <c r="B465" t="s">
        <v>619</v>
      </c>
      <c r="C465" t="s">
        <v>7</v>
      </c>
      <c r="D465" t="s">
        <v>12</v>
      </c>
      <c r="E465" t="s">
        <v>70</v>
      </c>
      <c r="F465" t="s">
        <v>620</v>
      </c>
    </row>
    <row r="466" spans="1:6" x14ac:dyDescent="0.25">
      <c r="A466" t="str">
        <f>"0276904405"</f>
        <v>0276904405</v>
      </c>
      <c r="B466" t="s">
        <v>621</v>
      </c>
      <c r="C466" t="s">
        <v>7</v>
      </c>
      <c r="D466" t="s">
        <v>33</v>
      </c>
      <c r="E466" t="s">
        <v>70</v>
      </c>
      <c r="F466" t="s">
        <v>622</v>
      </c>
    </row>
    <row r="467" spans="1:6" x14ac:dyDescent="0.25">
      <c r="A467" t="str">
        <f>"0276906755"</f>
        <v>0276906755</v>
      </c>
      <c r="B467" t="s">
        <v>623</v>
      </c>
      <c r="C467" t="s">
        <v>7</v>
      </c>
      <c r="D467" t="s">
        <v>14</v>
      </c>
      <c r="E467" t="s">
        <v>70</v>
      </c>
      <c r="F467" t="s">
        <v>624</v>
      </c>
    </row>
    <row r="468" spans="1:6" x14ac:dyDescent="0.25">
      <c r="A468" t="str">
        <f>"0276954131"</f>
        <v>0276954131</v>
      </c>
      <c r="B468" t="s">
        <v>625</v>
      </c>
      <c r="C468" t="s">
        <v>7</v>
      </c>
      <c r="D468" t="s">
        <v>12</v>
      </c>
      <c r="E468" t="s">
        <v>70</v>
      </c>
      <c r="F468" t="s">
        <v>626</v>
      </c>
    </row>
    <row r="469" spans="1:6" x14ac:dyDescent="0.25">
      <c r="A469" t="str">
        <f>"0276958062"</f>
        <v>0276958062</v>
      </c>
      <c r="B469" t="s">
        <v>627</v>
      </c>
      <c r="C469" t="s">
        <v>7</v>
      </c>
      <c r="D469" t="s">
        <v>98</v>
      </c>
      <c r="E469" t="s">
        <v>70</v>
      </c>
      <c r="F469" t="s">
        <v>628</v>
      </c>
    </row>
    <row r="470" spans="1:6" x14ac:dyDescent="0.25">
      <c r="A470" t="str">
        <f>"0276959235"</f>
        <v>0276959235</v>
      </c>
      <c r="B470" t="s">
        <v>629</v>
      </c>
      <c r="C470" t="s">
        <v>7</v>
      </c>
      <c r="D470" t="s">
        <v>14</v>
      </c>
      <c r="E470" t="s">
        <v>70</v>
      </c>
      <c r="F470" t="s">
        <v>630</v>
      </c>
    </row>
    <row r="471" spans="1:6" x14ac:dyDescent="0.25">
      <c r="A471" t="str">
        <f>"0276965084"</f>
        <v>0276965084</v>
      </c>
      <c r="B471" t="s">
        <v>631</v>
      </c>
      <c r="C471" t="s">
        <v>7</v>
      </c>
      <c r="D471" t="s">
        <v>33</v>
      </c>
      <c r="E471" t="s">
        <v>70</v>
      </c>
      <c r="F471" t="s">
        <v>632</v>
      </c>
    </row>
    <row r="472" spans="1:6" x14ac:dyDescent="0.25">
      <c r="A472" t="str">
        <f>"0277001773"</f>
        <v>0277001773</v>
      </c>
      <c r="B472" t="s">
        <v>633</v>
      </c>
      <c r="C472" t="s">
        <v>7</v>
      </c>
      <c r="D472" t="s">
        <v>14</v>
      </c>
      <c r="E472" t="s">
        <v>70</v>
      </c>
      <c r="F472" t="s">
        <v>634</v>
      </c>
    </row>
    <row r="473" spans="1:6" x14ac:dyDescent="0.25">
      <c r="A473" t="str">
        <f>"027704216756"</f>
        <v>027704216756</v>
      </c>
      <c r="B473" t="s">
        <v>635</v>
      </c>
      <c r="C473" t="s">
        <v>7</v>
      </c>
      <c r="D473" t="s">
        <v>14</v>
      </c>
      <c r="E473" t="s">
        <v>70</v>
      </c>
    </row>
    <row r="474" spans="1:6" x14ac:dyDescent="0.25">
      <c r="A474" t="str">
        <f>"027707713107"</f>
        <v>027707713107</v>
      </c>
      <c r="B474" t="s">
        <v>636</v>
      </c>
      <c r="C474" t="s">
        <v>7</v>
      </c>
      <c r="D474" t="s">
        <v>12</v>
      </c>
      <c r="E474" t="s">
        <v>70</v>
      </c>
    </row>
    <row r="475" spans="1:6" x14ac:dyDescent="0.25">
      <c r="A475" t="str">
        <f>"0277080310"</f>
        <v>0277080310</v>
      </c>
      <c r="B475" t="s">
        <v>637</v>
      </c>
      <c r="C475" t="s">
        <v>7</v>
      </c>
      <c r="D475" t="s">
        <v>14</v>
      </c>
      <c r="E475" t="s">
        <v>70</v>
      </c>
      <c r="F475" t="s">
        <v>137</v>
      </c>
    </row>
    <row r="476" spans="1:6" x14ac:dyDescent="0.25">
      <c r="A476" t="str">
        <f>"0277085244"</f>
        <v>0277085244</v>
      </c>
      <c r="B476" t="s">
        <v>638</v>
      </c>
      <c r="C476" t="s">
        <v>7</v>
      </c>
      <c r="D476" t="s">
        <v>12</v>
      </c>
      <c r="E476" t="s">
        <v>70</v>
      </c>
      <c r="F476" t="s">
        <v>639</v>
      </c>
    </row>
    <row r="477" spans="1:6" x14ac:dyDescent="0.25">
      <c r="A477" t="str">
        <f>"027709145435"</f>
        <v>027709145435</v>
      </c>
      <c r="B477" t="s">
        <v>640</v>
      </c>
      <c r="C477" t="s">
        <v>7</v>
      </c>
      <c r="D477" t="s">
        <v>14</v>
      </c>
      <c r="E477" t="s">
        <v>70</v>
      </c>
    </row>
    <row r="478" spans="1:6" x14ac:dyDescent="0.25">
      <c r="A478" t="str">
        <f>"027709881682"</f>
        <v>027709881682</v>
      </c>
      <c r="B478" t="s">
        <v>641</v>
      </c>
      <c r="C478" t="s">
        <v>7</v>
      </c>
      <c r="D478" t="s">
        <v>14</v>
      </c>
      <c r="E478" t="s">
        <v>70</v>
      </c>
    </row>
    <row r="479" spans="1:6" x14ac:dyDescent="0.25">
      <c r="A479" t="str">
        <f>"027712550296"</f>
        <v>027712550296</v>
      </c>
      <c r="B479" t="s">
        <v>642</v>
      </c>
      <c r="C479" t="s">
        <v>7</v>
      </c>
      <c r="D479" t="s">
        <v>14</v>
      </c>
      <c r="E479" t="s">
        <v>70</v>
      </c>
    </row>
    <row r="480" spans="1:6" x14ac:dyDescent="0.25">
      <c r="A480" t="str">
        <f>"027712719834"</f>
        <v>027712719834</v>
      </c>
      <c r="B480" t="s">
        <v>643</v>
      </c>
      <c r="C480" t="s">
        <v>7</v>
      </c>
      <c r="D480" t="s">
        <v>14</v>
      </c>
      <c r="E480" t="s">
        <v>70</v>
      </c>
    </row>
    <row r="481" spans="1:6" x14ac:dyDescent="0.25">
      <c r="A481" t="str">
        <f>"027713105379"</f>
        <v>027713105379</v>
      </c>
      <c r="B481" t="s">
        <v>644</v>
      </c>
      <c r="C481" t="s">
        <v>7</v>
      </c>
      <c r="D481" t="s">
        <v>14</v>
      </c>
      <c r="E481" t="s">
        <v>70</v>
      </c>
    </row>
    <row r="482" spans="1:6" x14ac:dyDescent="0.25">
      <c r="A482" t="str">
        <f>"0277133360"</f>
        <v>0277133360</v>
      </c>
      <c r="B482" t="s">
        <v>645</v>
      </c>
      <c r="C482" t="s">
        <v>7</v>
      </c>
      <c r="D482" t="s">
        <v>12</v>
      </c>
      <c r="E482" t="s">
        <v>70</v>
      </c>
      <c r="F482" t="s">
        <v>112</v>
      </c>
    </row>
    <row r="483" spans="1:6" x14ac:dyDescent="0.25">
      <c r="A483" t="str">
        <f>"0277139556"</f>
        <v>0277139556</v>
      </c>
      <c r="B483" t="s">
        <v>646</v>
      </c>
      <c r="C483" t="s">
        <v>7</v>
      </c>
      <c r="D483" t="s">
        <v>33</v>
      </c>
      <c r="E483" t="s">
        <v>70</v>
      </c>
      <c r="F483" t="s">
        <v>647</v>
      </c>
    </row>
    <row r="484" spans="1:6" x14ac:dyDescent="0.25">
      <c r="A484" t="str">
        <f>"027721959430"</f>
        <v>027721959430</v>
      </c>
      <c r="B484" t="s">
        <v>648</v>
      </c>
      <c r="C484" t="s">
        <v>7</v>
      </c>
      <c r="D484" t="s">
        <v>14</v>
      </c>
      <c r="E484" t="s">
        <v>70</v>
      </c>
    </row>
    <row r="485" spans="1:6" x14ac:dyDescent="0.25">
      <c r="A485" t="str">
        <f>"0277915569"</f>
        <v>0277915569</v>
      </c>
      <c r="B485" t="s">
        <v>649</v>
      </c>
      <c r="C485" t="s">
        <v>7</v>
      </c>
      <c r="D485" t="s">
        <v>189</v>
      </c>
      <c r="E485" t="s">
        <v>70</v>
      </c>
      <c r="F485" t="s">
        <v>650</v>
      </c>
    </row>
    <row r="486" spans="1:6" x14ac:dyDescent="0.25">
      <c r="A486" t="str">
        <f>"027805734440"</f>
        <v>027805734440</v>
      </c>
      <c r="B486" t="s">
        <v>651</v>
      </c>
      <c r="C486" t="s">
        <v>7</v>
      </c>
      <c r="D486" t="s">
        <v>14</v>
      </c>
      <c r="E486" t="s">
        <v>70</v>
      </c>
    </row>
    <row r="487" spans="1:6" x14ac:dyDescent="0.25">
      <c r="A487" t="str">
        <f>"027807731082"</f>
        <v>027807731082</v>
      </c>
      <c r="B487" t="s">
        <v>652</v>
      </c>
      <c r="C487" t="s">
        <v>7</v>
      </c>
      <c r="D487" t="s">
        <v>14</v>
      </c>
      <c r="E487" t="s">
        <v>70</v>
      </c>
    </row>
    <row r="488" spans="1:6" x14ac:dyDescent="0.25">
      <c r="A488" t="str">
        <f>"027810985129"</f>
        <v>027810985129</v>
      </c>
      <c r="B488" t="s">
        <v>653</v>
      </c>
      <c r="C488" t="s">
        <v>7</v>
      </c>
      <c r="D488" t="s">
        <v>14</v>
      </c>
      <c r="E488" t="s">
        <v>70</v>
      </c>
    </row>
    <row r="489" spans="1:6" x14ac:dyDescent="0.25">
      <c r="A489" t="str">
        <f>"027814792505"</f>
        <v>027814792505</v>
      </c>
      <c r="B489" t="s">
        <v>654</v>
      </c>
      <c r="C489" t="s">
        <v>7</v>
      </c>
      <c r="D489" t="s">
        <v>33</v>
      </c>
      <c r="E489" t="s">
        <v>70</v>
      </c>
    </row>
    <row r="490" spans="1:6" x14ac:dyDescent="0.25">
      <c r="A490" t="str">
        <f>"0278184960"</f>
        <v>0278184960</v>
      </c>
      <c r="B490" t="s">
        <v>655</v>
      </c>
      <c r="C490" t="s">
        <v>7</v>
      </c>
      <c r="D490" t="s">
        <v>14</v>
      </c>
      <c r="E490" t="s">
        <v>70</v>
      </c>
      <c r="F490" t="s">
        <v>656</v>
      </c>
    </row>
    <row r="491" spans="1:6" x14ac:dyDescent="0.25">
      <c r="A491" t="str">
        <f>"0278205106"</f>
        <v>0278205106</v>
      </c>
      <c r="B491" t="s">
        <v>657</v>
      </c>
      <c r="C491" t="s">
        <v>7</v>
      </c>
      <c r="D491" t="s">
        <v>14</v>
      </c>
      <c r="E491" t="s">
        <v>70</v>
      </c>
      <c r="F491" t="s">
        <v>658</v>
      </c>
    </row>
    <row r="492" spans="1:6" x14ac:dyDescent="0.25">
      <c r="A492" t="str">
        <f>"0278931411"</f>
        <v>0278931411</v>
      </c>
      <c r="B492" t="s">
        <v>659</v>
      </c>
      <c r="C492" t="s">
        <v>7</v>
      </c>
      <c r="D492" t="s">
        <v>33</v>
      </c>
      <c r="E492" t="s">
        <v>70</v>
      </c>
      <c r="F492" t="s">
        <v>660</v>
      </c>
    </row>
    <row r="493" spans="1:6" x14ac:dyDescent="0.25">
      <c r="A493" t="str">
        <f>"0278964872"</f>
        <v>0278964872</v>
      </c>
      <c r="B493" t="s">
        <v>661</v>
      </c>
      <c r="C493" t="s">
        <v>7</v>
      </c>
      <c r="D493" t="s">
        <v>14</v>
      </c>
      <c r="E493" t="s">
        <v>70</v>
      </c>
      <c r="F493" t="s">
        <v>662</v>
      </c>
    </row>
    <row r="494" spans="1:6" x14ac:dyDescent="0.25">
      <c r="A494" t="str">
        <f>"0278970393"</f>
        <v>0278970393</v>
      </c>
      <c r="B494" t="s">
        <v>663</v>
      </c>
      <c r="C494" t="s">
        <v>7</v>
      </c>
      <c r="D494" t="s">
        <v>33</v>
      </c>
      <c r="E494" t="s">
        <v>70</v>
      </c>
      <c r="F494" t="s">
        <v>664</v>
      </c>
    </row>
    <row r="495" spans="1:6" x14ac:dyDescent="0.25">
      <c r="A495" t="str">
        <f>"0278973154"</f>
        <v>0278973154</v>
      </c>
      <c r="B495" t="s">
        <v>665</v>
      </c>
      <c r="C495" t="s">
        <v>7</v>
      </c>
      <c r="D495" t="s">
        <v>14</v>
      </c>
      <c r="E495" t="s">
        <v>70</v>
      </c>
      <c r="F495" t="s">
        <v>666</v>
      </c>
    </row>
    <row r="496" spans="1:6" x14ac:dyDescent="0.25">
      <c r="A496" t="str">
        <f>"0278974447"</f>
        <v>0278974447</v>
      </c>
      <c r="B496" t="s">
        <v>667</v>
      </c>
      <c r="C496" t="s">
        <v>7</v>
      </c>
      <c r="D496" t="s">
        <v>14</v>
      </c>
      <c r="E496" t="s">
        <v>70</v>
      </c>
      <c r="F496" t="s">
        <v>668</v>
      </c>
    </row>
    <row r="497" spans="1:6" x14ac:dyDescent="0.25">
      <c r="A497" t="str">
        <f>"0278975433"</f>
        <v>0278975433</v>
      </c>
      <c r="B497" t="s">
        <v>669</v>
      </c>
      <c r="C497" t="s">
        <v>7</v>
      </c>
      <c r="D497" t="s">
        <v>14</v>
      </c>
      <c r="E497" t="s">
        <v>70</v>
      </c>
      <c r="F497" t="s">
        <v>670</v>
      </c>
    </row>
    <row r="498" spans="1:6" x14ac:dyDescent="0.25">
      <c r="A498" t="str">
        <f>"0278976691"</f>
        <v>0278976691</v>
      </c>
      <c r="B498" t="s">
        <v>671</v>
      </c>
      <c r="C498" t="s">
        <v>7</v>
      </c>
      <c r="D498" t="s">
        <v>33</v>
      </c>
      <c r="E498" t="s">
        <v>70</v>
      </c>
      <c r="F498" t="s">
        <v>672</v>
      </c>
    </row>
    <row r="499" spans="1:6" x14ac:dyDescent="0.25">
      <c r="A499" t="str">
        <f>"0278983579"</f>
        <v>0278983579</v>
      </c>
      <c r="B499" t="s">
        <v>673</v>
      </c>
      <c r="C499" t="s">
        <v>7</v>
      </c>
      <c r="D499" t="s">
        <v>674</v>
      </c>
      <c r="E499" t="s">
        <v>70</v>
      </c>
      <c r="F499" t="s">
        <v>675</v>
      </c>
    </row>
    <row r="500" spans="1:6" x14ac:dyDescent="0.25">
      <c r="A500" t="str">
        <f>"027902199647"</f>
        <v>027902199647</v>
      </c>
      <c r="B500" t="s">
        <v>676</v>
      </c>
      <c r="C500" t="s">
        <v>7</v>
      </c>
      <c r="D500" t="s">
        <v>14</v>
      </c>
      <c r="E500" t="s">
        <v>70</v>
      </c>
    </row>
    <row r="501" spans="1:6" x14ac:dyDescent="0.25">
      <c r="A501" t="str">
        <f>"027001075533"</f>
        <v>027001075533</v>
      </c>
      <c r="B501" t="s">
        <v>677</v>
      </c>
      <c r="C501" t="s">
        <v>7</v>
      </c>
      <c r="D501" t="s">
        <v>14</v>
      </c>
      <c r="E501" t="s">
        <v>70</v>
      </c>
    </row>
    <row r="502" spans="1:6" x14ac:dyDescent="0.25">
      <c r="A502" t="str">
        <f>"027003743017"</f>
        <v>027003743017</v>
      </c>
      <c r="B502" t="s">
        <v>678</v>
      </c>
      <c r="C502" t="s">
        <v>7</v>
      </c>
      <c r="D502" t="s">
        <v>14</v>
      </c>
      <c r="E502" t="s">
        <v>70</v>
      </c>
    </row>
    <row r="503" spans="1:6" x14ac:dyDescent="0.25">
      <c r="A503" t="str">
        <f>"027100750820"</f>
        <v>027100750820</v>
      </c>
      <c r="B503" t="s">
        <v>679</v>
      </c>
      <c r="C503" t="s">
        <v>7</v>
      </c>
      <c r="D503" t="s">
        <v>14</v>
      </c>
      <c r="E503" t="s">
        <v>70</v>
      </c>
    </row>
    <row r="504" spans="1:6" x14ac:dyDescent="0.25">
      <c r="A504" t="str">
        <f>"0272900382"</f>
        <v>0272900382</v>
      </c>
      <c r="B504" t="s">
        <v>680</v>
      </c>
      <c r="C504" t="s">
        <v>7</v>
      </c>
      <c r="D504" t="s">
        <v>33</v>
      </c>
      <c r="E504" t="s">
        <v>70</v>
      </c>
      <c r="F504" t="s">
        <v>681</v>
      </c>
    </row>
    <row r="505" spans="1:6" x14ac:dyDescent="0.25">
      <c r="A505" t="str">
        <f>"0272913889"</f>
        <v>0272913889</v>
      </c>
      <c r="B505" t="s">
        <v>682</v>
      </c>
      <c r="C505" t="s">
        <v>7</v>
      </c>
      <c r="D505" t="s">
        <v>33</v>
      </c>
      <c r="E505" t="s">
        <v>70</v>
      </c>
      <c r="F505" t="s">
        <v>683</v>
      </c>
    </row>
    <row r="506" spans="1:6" x14ac:dyDescent="0.25">
      <c r="A506" t="str">
        <f>"027304377420"</f>
        <v>027304377420</v>
      </c>
      <c r="B506" t="s">
        <v>684</v>
      </c>
      <c r="C506" t="s">
        <v>7</v>
      </c>
      <c r="D506" t="s">
        <v>33</v>
      </c>
      <c r="E506" t="s">
        <v>70</v>
      </c>
    </row>
    <row r="507" spans="1:6" x14ac:dyDescent="0.25">
      <c r="A507" t="str">
        <f>"027304387852"</f>
        <v>027304387852</v>
      </c>
      <c r="B507" t="s">
        <v>685</v>
      </c>
      <c r="C507" t="s">
        <v>7</v>
      </c>
      <c r="D507" t="s">
        <v>12</v>
      </c>
      <c r="E507" t="s">
        <v>70</v>
      </c>
    </row>
    <row r="508" spans="1:6" x14ac:dyDescent="0.25">
      <c r="A508" t="str">
        <f>"027304388341"</f>
        <v>027304388341</v>
      </c>
      <c r="B508" t="s">
        <v>686</v>
      </c>
      <c r="C508" t="s">
        <v>7</v>
      </c>
      <c r="D508" t="s">
        <v>12</v>
      </c>
      <c r="E508" t="s">
        <v>70</v>
      </c>
    </row>
    <row r="509" spans="1:6" x14ac:dyDescent="0.25">
      <c r="A509" t="str">
        <f>"0273051935"</f>
        <v>0273051935</v>
      </c>
      <c r="B509" t="s">
        <v>687</v>
      </c>
      <c r="C509" t="s">
        <v>7</v>
      </c>
      <c r="D509" t="s">
        <v>12</v>
      </c>
      <c r="E509" t="s">
        <v>70</v>
      </c>
      <c r="F509" t="s">
        <v>688</v>
      </c>
    </row>
    <row r="510" spans="1:6" x14ac:dyDescent="0.25">
      <c r="A510" t="str">
        <f>"0273052079"</f>
        <v>0273052079</v>
      </c>
      <c r="B510" t="s">
        <v>689</v>
      </c>
      <c r="C510" t="s">
        <v>7</v>
      </c>
      <c r="D510" t="s">
        <v>33</v>
      </c>
      <c r="E510" t="s">
        <v>70</v>
      </c>
      <c r="F510" t="s">
        <v>690</v>
      </c>
    </row>
    <row r="511" spans="1:6" x14ac:dyDescent="0.25">
      <c r="A511" t="str">
        <f>"0273054767"</f>
        <v>0273054767</v>
      </c>
      <c r="B511" t="s">
        <v>691</v>
      </c>
      <c r="C511" t="s">
        <v>7</v>
      </c>
      <c r="D511" t="s">
        <v>14</v>
      </c>
      <c r="E511" t="s">
        <v>70</v>
      </c>
      <c r="F511" t="s">
        <v>692</v>
      </c>
    </row>
    <row r="512" spans="1:6" x14ac:dyDescent="0.25">
      <c r="A512" t="str">
        <f>"0273074629"</f>
        <v>0273074629</v>
      </c>
      <c r="B512" t="s">
        <v>693</v>
      </c>
      <c r="C512" t="s">
        <v>7</v>
      </c>
      <c r="D512" t="s">
        <v>33</v>
      </c>
      <c r="E512" t="s">
        <v>70</v>
      </c>
      <c r="F512" t="s">
        <v>694</v>
      </c>
    </row>
    <row r="513" spans="1:6" x14ac:dyDescent="0.25">
      <c r="A513" t="str">
        <f>"027309222029"</f>
        <v>027309222029</v>
      </c>
      <c r="B513" t="s">
        <v>695</v>
      </c>
      <c r="C513" t="s">
        <v>7</v>
      </c>
      <c r="D513" t="s">
        <v>12</v>
      </c>
      <c r="E513" t="s">
        <v>70</v>
      </c>
    </row>
    <row r="514" spans="1:6" x14ac:dyDescent="0.25">
      <c r="A514" t="str">
        <f>"027309263272"</f>
        <v>027309263272</v>
      </c>
      <c r="B514" t="s">
        <v>696</v>
      </c>
      <c r="C514" t="s">
        <v>7</v>
      </c>
      <c r="D514" t="s">
        <v>14</v>
      </c>
      <c r="E514" t="s">
        <v>70</v>
      </c>
    </row>
    <row r="515" spans="1:6" x14ac:dyDescent="0.25">
      <c r="A515" t="str">
        <f>"027309263667"</f>
        <v>027309263667</v>
      </c>
      <c r="B515" t="s">
        <v>697</v>
      </c>
      <c r="C515" t="s">
        <v>7</v>
      </c>
      <c r="D515" t="s">
        <v>12</v>
      </c>
      <c r="E515" t="s">
        <v>70</v>
      </c>
    </row>
    <row r="516" spans="1:6" x14ac:dyDescent="0.25">
      <c r="A516" t="str">
        <f>"027309771607"</f>
        <v>027309771607</v>
      </c>
      <c r="B516" t="s">
        <v>698</v>
      </c>
      <c r="C516" t="s">
        <v>7</v>
      </c>
      <c r="D516" t="s">
        <v>14</v>
      </c>
      <c r="E516" t="s">
        <v>70</v>
      </c>
    </row>
    <row r="517" spans="1:6" x14ac:dyDescent="0.25">
      <c r="A517" t="str">
        <f>"027363237739"</f>
        <v>027363237739</v>
      </c>
      <c r="B517" t="s">
        <v>699</v>
      </c>
      <c r="C517" t="s">
        <v>7</v>
      </c>
      <c r="D517" t="s">
        <v>14</v>
      </c>
      <c r="E517" t="s">
        <v>70</v>
      </c>
    </row>
    <row r="518" spans="1:6" x14ac:dyDescent="0.25">
      <c r="A518" t="str">
        <f>"0274051582"</f>
        <v>0274051582</v>
      </c>
      <c r="B518" t="s">
        <v>700</v>
      </c>
      <c r="C518" t="s">
        <v>7</v>
      </c>
      <c r="D518" t="s">
        <v>98</v>
      </c>
      <c r="E518" t="s">
        <v>70</v>
      </c>
      <c r="F518" t="s">
        <v>701</v>
      </c>
    </row>
    <row r="519" spans="1:6" x14ac:dyDescent="0.25">
      <c r="A519" t="str">
        <f>"0274104548"</f>
        <v>0274104548</v>
      </c>
      <c r="B519" t="s">
        <v>702</v>
      </c>
      <c r="C519" t="s">
        <v>7</v>
      </c>
      <c r="D519" t="s">
        <v>33</v>
      </c>
      <c r="E519" t="s">
        <v>70</v>
      </c>
      <c r="F519" t="s">
        <v>703</v>
      </c>
    </row>
    <row r="520" spans="1:6" x14ac:dyDescent="0.25">
      <c r="A520" t="str">
        <f>"027411865221"</f>
        <v>027411865221</v>
      </c>
      <c r="B520" t="s">
        <v>704</v>
      </c>
      <c r="C520" t="s">
        <v>7</v>
      </c>
      <c r="D520" t="s">
        <v>12</v>
      </c>
      <c r="E520" t="s">
        <v>70</v>
      </c>
    </row>
    <row r="521" spans="1:6" x14ac:dyDescent="0.25">
      <c r="A521" t="str">
        <f>"027413528430"</f>
        <v>027413528430</v>
      </c>
      <c r="B521" t="s">
        <v>705</v>
      </c>
      <c r="C521" t="s">
        <v>7</v>
      </c>
      <c r="D521" t="s">
        <v>14</v>
      </c>
      <c r="E521" t="s">
        <v>70</v>
      </c>
    </row>
    <row r="522" spans="1:6" x14ac:dyDescent="0.25">
      <c r="A522" t="str">
        <f>"027415210191"</f>
        <v>027415210191</v>
      </c>
      <c r="B522" t="s">
        <v>706</v>
      </c>
      <c r="C522" t="s">
        <v>7</v>
      </c>
      <c r="D522" t="s">
        <v>14</v>
      </c>
      <c r="E522" t="s">
        <v>70</v>
      </c>
    </row>
    <row r="523" spans="1:6" x14ac:dyDescent="0.25">
      <c r="A523" t="str">
        <f>"0274188964"</f>
        <v>0274188964</v>
      </c>
      <c r="B523" t="s">
        <v>707</v>
      </c>
      <c r="C523" t="s">
        <v>7</v>
      </c>
      <c r="D523" t="s">
        <v>33</v>
      </c>
      <c r="E523" t="s">
        <v>70</v>
      </c>
      <c r="F523" t="s">
        <v>708</v>
      </c>
    </row>
    <row r="524" spans="1:6" x14ac:dyDescent="0.25">
      <c r="A524" t="str">
        <f>"0274939402"</f>
        <v>0274939402</v>
      </c>
      <c r="B524" t="s">
        <v>709</v>
      </c>
      <c r="C524" t="s">
        <v>7</v>
      </c>
      <c r="D524" t="s">
        <v>33</v>
      </c>
      <c r="E524" t="s">
        <v>70</v>
      </c>
      <c r="F524" t="s">
        <v>710</v>
      </c>
    </row>
    <row r="525" spans="1:6" x14ac:dyDescent="0.25">
      <c r="A525" t="str">
        <f>"027505090322"</f>
        <v>027505090322</v>
      </c>
      <c r="B525" t="s">
        <v>711</v>
      </c>
      <c r="C525" t="s">
        <v>7</v>
      </c>
      <c r="D525" t="s">
        <v>12</v>
      </c>
      <c r="E525" t="s">
        <v>70</v>
      </c>
    </row>
    <row r="526" spans="1:6" x14ac:dyDescent="0.25">
      <c r="A526" t="str">
        <f>"0275920901"</f>
        <v>0275920901</v>
      </c>
      <c r="B526" t="s">
        <v>712</v>
      </c>
      <c r="C526" t="s">
        <v>7</v>
      </c>
      <c r="D526" t="s">
        <v>98</v>
      </c>
      <c r="E526" t="s">
        <v>70</v>
      </c>
      <c r="F526" t="s">
        <v>713</v>
      </c>
    </row>
    <row r="527" spans="1:6" x14ac:dyDescent="0.25">
      <c r="A527" t="str">
        <f>"0275921969"</f>
        <v>0275921969</v>
      </c>
      <c r="B527" t="s">
        <v>714</v>
      </c>
      <c r="C527" t="s">
        <v>7</v>
      </c>
      <c r="D527" t="s">
        <v>33</v>
      </c>
      <c r="E527" t="s">
        <v>70</v>
      </c>
      <c r="F527" t="s">
        <v>715</v>
      </c>
    </row>
    <row r="528" spans="1:6" x14ac:dyDescent="0.25">
      <c r="A528" t="str">
        <f>"0275931526"</f>
        <v>0275931526</v>
      </c>
      <c r="B528" t="s">
        <v>716</v>
      </c>
      <c r="C528" t="s">
        <v>7</v>
      </c>
      <c r="D528" t="s">
        <v>33</v>
      </c>
      <c r="E528" t="s">
        <v>70</v>
      </c>
      <c r="F528" t="s">
        <v>717</v>
      </c>
    </row>
    <row r="529" spans="1:6" x14ac:dyDescent="0.25">
      <c r="A529" t="str">
        <f>"027600274224"</f>
        <v>027600274224</v>
      </c>
      <c r="B529" t="s">
        <v>718</v>
      </c>
      <c r="C529" t="s">
        <v>7</v>
      </c>
      <c r="D529" t="s">
        <v>14</v>
      </c>
      <c r="E529" t="s">
        <v>70</v>
      </c>
    </row>
    <row r="530" spans="1:6" x14ac:dyDescent="0.25">
      <c r="A530" t="str">
        <f>"0276048137"</f>
        <v>0276048137</v>
      </c>
      <c r="B530" t="s">
        <v>719</v>
      </c>
      <c r="C530" t="s">
        <v>7</v>
      </c>
      <c r="D530" t="s">
        <v>14</v>
      </c>
      <c r="E530" t="s">
        <v>70</v>
      </c>
      <c r="F530" t="s">
        <v>720</v>
      </c>
    </row>
    <row r="531" spans="1:6" x14ac:dyDescent="0.25">
      <c r="A531" t="str">
        <f>"027605124504"</f>
        <v>027605124504</v>
      </c>
      <c r="B531" t="s">
        <v>721</v>
      </c>
      <c r="C531" t="s">
        <v>7</v>
      </c>
      <c r="D531" t="s">
        <v>33</v>
      </c>
      <c r="E531" t="s">
        <v>70</v>
      </c>
    </row>
    <row r="532" spans="1:6" x14ac:dyDescent="0.25">
      <c r="A532" t="str">
        <f>"027607320790"</f>
        <v>027607320790</v>
      </c>
      <c r="B532" t="s">
        <v>722</v>
      </c>
      <c r="C532" t="s">
        <v>7</v>
      </c>
      <c r="D532" t="s">
        <v>33</v>
      </c>
      <c r="E532" t="s">
        <v>70</v>
      </c>
    </row>
    <row r="533" spans="1:6" x14ac:dyDescent="0.25">
      <c r="A533" t="str">
        <f>"027610184065"</f>
        <v>027610184065</v>
      </c>
      <c r="B533" t="s">
        <v>723</v>
      </c>
      <c r="C533" t="s">
        <v>7</v>
      </c>
      <c r="D533" t="s">
        <v>12</v>
      </c>
      <c r="E533" t="s">
        <v>70</v>
      </c>
    </row>
    <row r="534" spans="1:6" x14ac:dyDescent="0.25">
      <c r="A534" t="str">
        <f>"0276103155"</f>
        <v>0276103155</v>
      </c>
      <c r="B534" t="s">
        <v>724</v>
      </c>
      <c r="C534" t="s">
        <v>7</v>
      </c>
      <c r="D534" t="s">
        <v>14</v>
      </c>
      <c r="E534" t="s">
        <v>70</v>
      </c>
      <c r="F534" t="s">
        <v>725</v>
      </c>
    </row>
    <row r="535" spans="1:6" x14ac:dyDescent="0.25">
      <c r="A535" t="str">
        <f>"027611516098"</f>
        <v>027611516098</v>
      </c>
      <c r="B535" t="s">
        <v>726</v>
      </c>
      <c r="C535" t="s">
        <v>7</v>
      </c>
      <c r="D535" t="s">
        <v>14</v>
      </c>
      <c r="E535" t="s">
        <v>70</v>
      </c>
    </row>
    <row r="536" spans="1:6" x14ac:dyDescent="0.25">
      <c r="A536" t="str">
        <f>"0276122920"</f>
        <v>0276122920</v>
      </c>
      <c r="B536" t="s">
        <v>727</v>
      </c>
      <c r="C536" t="s">
        <v>7</v>
      </c>
      <c r="D536" t="s">
        <v>33</v>
      </c>
      <c r="E536" t="s">
        <v>70</v>
      </c>
      <c r="F536" t="s">
        <v>728</v>
      </c>
    </row>
    <row r="537" spans="1:6" x14ac:dyDescent="0.25">
      <c r="A537" t="str">
        <f>"0276127357"</f>
        <v>0276127357</v>
      </c>
      <c r="B537" t="s">
        <v>729</v>
      </c>
      <c r="C537" t="s">
        <v>7</v>
      </c>
      <c r="D537" t="s">
        <v>33</v>
      </c>
      <c r="E537" t="s">
        <v>70</v>
      </c>
      <c r="F537" t="s">
        <v>730</v>
      </c>
    </row>
    <row r="538" spans="1:6" x14ac:dyDescent="0.25">
      <c r="A538" t="str">
        <f>"027612880004"</f>
        <v>027612880004</v>
      </c>
      <c r="B538" t="s">
        <v>731</v>
      </c>
      <c r="C538" t="s">
        <v>7</v>
      </c>
      <c r="D538" t="s">
        <v>14</v>
      </c>
      <c r="E538" t="s">
        <v>70</v>
      </c>
    </row>
    <row r="539" spans="1:6" x14ac:dyDescent="0.25">
      <c r="A539" t="str">
        <f>"027613301323"</f>
        <v>027613301323</v>
      </c>
      <c r="B539" t="s">
        <v>732</v>
      </c>
      <c r="C539" t="s">
        <v>7</v>
      </c>
      <c r="D539" t="s">
        <v>12</v>
      </c>
      <c r="E539" t="s">
        <v>70</v>
      </c>
    </row>
    <row r="540" spans="1:6" x14ac:dyDescent="0.25">
      <c r="A540" t="str">
        <f>"027613773245"</f>
        <v>027613773245</v>
      </c>
      <c r="B540" t="s">
        <v>733</v>
      </c>
      <c r="C540" t="s">
        <v>7</v>
      </c>
      <c r="D540" t="s">
        <v>14</v>
      </c>
      <c r="E540" t="s">
        <v>70</v>
      </c>
    </row>
    <row r="541" spans="1:6" x14ac:dyDescent="0.25">
      <c r="A541" t="str">
        <f>"0276154840"</f>
        <v>0276154840</v>
      </c>
      <c r="B541" t="s">
        <v>734</v>
      </c>
      <c r="C541" t="s">
        <v>7</v>
      </c>
      <c r="D541" t="s">
        <v>14</v>
      </c>
      <c r="E541" t="s">
        <v>70</v>
      </c>
      <c r="F541" t="s">
        <v>735</v>
      </c>
    </row>
    <row r="542" spans="1:6" x14ac:dyDescent="0.25">
      <c r="A542" t="str">
        <f>"0276909072"</f>
        <v>0276909072</v>
      </c>
      <c r="B542" t="s">
        <v>736</v>
      </c>
      <c r="C542" t="s">
        <v>7</v>
      </c>
      <c r="D542" t="s">
        <v>98</v>
      </c>
      <c r="E542" t="s">
        <v>70</v>
      </c>
      <c r="F542" t="s">
        <v>737</v>
      </c>
    </row>
    <row r="543" spans="1:6" x14ac:dyDescent="0.25">
      <c r="A543" t="str">
        <f>"0276935474"</f>
        <v>0276935474</v>
      </c>
      <c r="B543" t="s">
        <v>738</v>
      </c>
      <c r="C543" t="s">
        <v>7</v>
      </c>
      <c r="D543" t="s">
        <v>12</v>
      </c>
      <c r="E543" t="s">
        <v>70</v>
      </c>
      <c r="F543" t="s">
        <v>739</v>
      </c>
    </row>
    <row r="544" spans="1:6" x14ac:dyDescent="0.25">
      <c r="A544" t="str">
        <f>"0276945049"</f>
        <v>0276945049</v>
      </c>
      <c r="B544" t="s">
        <v>740</v>
      </c>
      <c r="C544" t="s">
        <v>7</v>
      </c>
      <c r="D544" t="s">
        <v>12</v>
      </c>
      <c r="E544" t="s">
        <v>70</v>
      </c>
      <c r="F544" t="s">
        <v>741</v>
      </c>
    </row>
    <row r="545" spans="1:6" x14ac:dyDescent="0.25">
      <c r="A545" t="str">
        <f>"0276974748"</f>
        <v>0276974748</v>
      </c>
      <c r="B545" t="s">
        <v>742</v>
      </c>
      <c r="C545" t="s">
        <v>7</v>
      </c>
      <c r="D545" t="s">
        <v>14</v>
      </c>
      <c r="E545" t="s">
        <v>70</v>
      </c>
      <c r="F545" t="s">
        <v>743</v>
      </c>
    </row>
    <row r="546" spans="1:6" x14ac:dyDescent="0.25">
      <c r="A546" t="str">
        <f>"0277075782"</f>
        <v>0277075782</v>
      </c>
      <c r="B546" t="s">
        <v>744</v>
      </c>
      <c r="C546" t="s">
        <v>7</v>
      </c>
      <c r="D546" t="s">
        <v>98</v>
      </c>
      <c r="E546" t="s">
        <v>70</v>
      </c>
      <c r="F546" t="s">
        <v>745</v>
      </c>
    </row>
    <row r="547" spans="1:6" x14ac:dyDescent="0.25">
      <c r="A547" t="str">
        <f>"027709317003"</f>
        <v>027709317003</v>
      </c>
      <c r="B547" t="s">
        <v>746</v>
      </c>
      <c r="C547" t="s">
        <v>7</v>
      </c>
      <c r="D547" t="s">
        <v>14</v>
      </c>
      <c r="E547" t="s">
        <v>70</v>
      </c>
    </row>
    <row r="548" spans="1:6" x14ac:dyDescent="0.25">
      <c r="A548" t="str">
        <f>"027712818151"</f>
        <v>027712818151</v>
      </c>
      <c r="B548" t="s">
        <v>747</v>
      </c>
      <c r="C548" t="s">
        <v>7</v>
      </c>
      <c r="D548" t="s">
        <v>14</v>
      </c>
      <c r="E548" t="s">
        <v>70</v>
      </c>
    </row>
    <row r="549" spans="1:6" x14ac:dyDescent="0.25">
      <c r="A549" t="str">
        <f>"0277136837"</f>
        <v>0277136837</v>
      </c>
      <c r="B549" t="s">
        <v>748</v>
      </c>
      <c r="C549" t="s">
        <v>7</v>
      </c>
      <c r="D549" t="s">
        <v>33</v>
      </c>
      <c r="E549" t="s">
        <v>70</v>
      </c>
      <c r="F549" t="s">
        <v>749</v>
      </c>
    </row>
    <row r="550" spans="1:6" x14ac:dyDescent="0.25">
      <c r="A550" t="str">
        <f>"027714267407"</f>
        <v>027714267407</v>
      </c>
      <c r="B550" t="s">
        <v>750</v>
      </c>
      <c r="C550" t="s">
        <v>7</v>
      </c>
      <c r="D550" t="s">
        <v>12</v>
      </c>
      <c r="E550" t="s">
        <v>70</v>
      </c>
    </row>
    <row r="551" spans="1:6" x14ac:dyDescent="0.25">
      <c r="A551" t="str">
        <f>"0277922439"</f>
        <v>0277922439</v>
      </c>
      <c r="B551" t="s">
        <v>751</v>
      </c>
      <c r="C551" t="s">
        <v>7</v>
      </c>
      <c r="D551" t="s">
        <v>146</v>
      </c>
      <c r="E551" t="s">
        <v>70</v>
      </c>
      <c r="F551" t="s">
        <v>752</v>
      </c>
    </row>
    <row r="552" spans="1:6" x14ac:dyDescent="0.25">
      <c r="A552" t="str">
        <f>"0277925790"</f>
        <v>0277925790</v>
      </c>
      <c r="B552" t="s">
        <v>753</v>
      </c>
      <c r="C552" t="s">
        <v>7</v>
      </c>
      <c r="D552" t="s">
        <v>98</v>
      </c>
      <c r="E552" t="s">
        <v>70</v>
      </c>
      <c r="F552" t="s">
        <v>754</v>
      </c>
    </row>
    <row r="553" spans="1:6" x14ac:dyDescent="0.25">
      <c r="A553" t="str">
        <f>"0277927050"</f>
        <v>0277927050</v>
      </c>
      <c r="B553" t="s">
        <v>755</v>
      </c>
      <c r="C553" t="s">
        <v>7</v>
      </c>
      <c r="D553" t="s">
        <v>33</v>
      </c>
      <c r="E553" t="s">
        <v>70</v>
      </c>
      <c r="F553" t="s">
        <v>756</v>
      </c>
    </row>
    <row r="554" spans="1:6" x14ac:dyDescent="0.25">
      <c r="A554" t="str">
        <f>"0277942763"</f>
        <v>0277942763</v>
      </c>
      <c r="B554" t="s">
        <v>757</v>
      </c>
      <c r="C554" t="s">
        <v>7</v>
      </c>
      <c r="D554" t="s">
        <v>33</v>
      </c>
      <c r="E554" t="s">
        <v>70</v>
      </c>
      <c r="F554" t="s">
        <v>758</v>
      </c>
    </row>
    <row r="555" spans="1:6" x14ac:dyDescent="0.25">
      <c r="A555" t="str">
        <f>"0277945549"</f>
        <v>0277945549</v>
      </c>
      <c r="B555" t="s">
        <v>759</v>
      </c>
      <c r="C555" t="s">
        <v>7</v>
      </c>
      <c r="D555" t="s">
        <v>33</v>
      </c>
      <c r="E555" t="s">
        <v>70</v>
      </c>
      <c r="F555" t="s">
        <v>760</v>
      </c>
    </row>
    <row r="556" spans="1:6" x14ac:dyDescent="0.25">
      <c r="A556" t="str">
        <f>"0277959238"</f>
        <v>0277959238</v>
      </c>
      <c r="B556" t="s">
        <v>761</v>
      </c>
      <c r="C556" t="s">
        <v>7</v>
      </c>
      <c r="D556" t="s">
        <v>463</v>
      </c>
      <c r="E556" t="s">
        <v>70</v>
      </c>
      <c r="F556" t="s">
        <v>762</v>
      </c>
    </row>
    <row r="557" spans="1:6" x14ac:dyDescent="0.25">
      <c r="A557" t="str">
        <f>"0277960924"</f>
        <v>0277960924</v>
      </c>
      <c r="B557" t="s">
        <v>763</v>
      </c>
      <c r="C557" t="s">
        <v>7</v>
      </c>
      <c r="D557" t="s">
        <v>33</v>
      </c>
      <c r="E557" t="s">
        <v>70</v>
      </c>
      <c r="F557" t="s">
        <v>764</v>
      </c>
    </row>
    <row r="558" spans="1:6" x14ac:dyDescent="0.25">
      <c r="A558" t="str">
        <f>"027801635689"</f>
        <v>027801635689</v>
      </c>
      <c r="B558" t="s">
        <v>765</v>
      </c>
      <c r="C558" t="s">
        <v>7</v>
      </c>
      <c r="D558" t="s">
        <v>14</v>
      </c>
      <c r="E558" t="s">
        <v>70</v>
      </c>
    </row>
    <row r="559" spans="1:6" x14ac:dyDescent="0.25">
      <c r="A559" t="str">
        <f>"027803201158"</f>
        <v>027803201158</v>
      </c>
      <c r="B559" t="s">
        <v>766</v>
      </c>
      <c r="C559" t="s">
        <v>7</v>
      </c>
      <c r="D559" t="s">
        <v>33</v>
      </c>
      <c r="E559" t="s">
        <v>70</v>
      </c>
    </row>
    <row r="560" spans="1:6" x14ac:dyDescent="0.25">
      <c r="A560" t="str">
        <f>"0278037476"</f>
        <v>0278037476</v>
      </c>
      <c r="B560" t="s">
        <v>767</v>
      </c>
      <c r="C560" t="s">
        <v>7</v>
      </c>
      <c r="D560" t="s">
        <v>33</v>
      </c>
      <c r="E560" t="s">
        <v>70</v>
      </c>
      <c r="F560" t="s">
        <v>768</v>
      </c>
    </row>
    <row r="561" spans="1:6" x14ac:dyDescent="0.25">
      <c r="A561" t="str">
        <f>"0278093625"</f>
        <v>0278093625</v>
      </c>
      <c r="B561" t="s">
        <v>769</v>
      </c>
      <c r="C561" t="s">
        <v>7</v>
      </c>
      <c r="D561" t="s">
        <v>12</v>
      </c>
      <c r="E561" t="s">
        <v>70</v>
      </c>
      <c r="F561" t="s">
        <v>770</v>
      </c>
    </row>
    <row r="562" spans="1:6" x14ac:dyDescent="0.25">
      <c r="A562" t="str">
        <f>"027810431508"</f>
        <v>027810431508</v>
      </c>
      <c r="B562" t="s">
        <v>771</v>
      </c>
      <c r="C562" t="s">
        <v>7</v>
      </c>
      <c r="D562" t="s">
        <v>14</v>
      </c>
      <c r="E562" t="s">
        <v>70</v>
      </c>
    </row>
    <row r="563" spans="1:6" x14ac:dyDescent="0.25">
      <c r="A563" t="str">
        <f>"027811814895"</f>
        <v>027811814895</v>
      </c>
      <c r="B563" t="s">
        <v>772</v>
      </c>
      <c r="C563" t="s">
        <v>7</v>
      </c>
      <c r="D563" t="s">
        <v>14</v>
      </c>
      <c r="E563" t="s">
        <v>70</v>
      </c>
    </row>
    <row r="564" spans="1:6" x14ac:dyDescent="0.25">
      <c r="A564" t="str">
        <f>"027817070106"</f>
        <v>027817070106</v>
      </c>
      <c r="B564" t="s">
        <v>773</v>
      </c>
      <c r="C564" t="s">
        <v>7</v>
      </c>
      <c r="D564" t="s">
        <v>14</v>
      </c>
      <c r="E564" t="s">
        <v>70</v>
      </c>
    </row>
    <row r="565" spans="1:6" x14ac:dyDescent="0.25">
      <c r="A565" t="str">
        <f>"0278185072"</f>
        <v>0278185072</v>
      </c>
      <c r="B565" t="s">
        <v>774</v>
      </c>
      <c r="C565" t="s">
        <v>7</v>
      </c>
      <c r="D565" t="s">
        <v>12</v>
      </c>
      <c r="E565" t="s">
        <v>70</v>
      </c>
      <c r="F565" t="s">
        <v>775</v>
      </c>
    </row>
    <row r="566" spans="1:6" x14ac:dyDescent="0.25">
      <c r="A566" t="str">
        <f>"0278189239"</f>
        <v>0278189239</v>
      </c>
      <c r="B566" t="s">
        <v>776</v>
      </c>
      <c r="C566" t="s">
        <v>7</v>
      </c>
      <c r="D566" t="s">
        <v>33</v>
      </c>
      <c r="E566" t="s">
        <v>70</v>
      </c>
      <c r="F566" t="s">
        <v>777</v>
      </c>
    </row>
    <row r="567" spans="1:6" x14ac:dyDescent="0.25">
      <c r="A567" t="str">
        <f>"0278189599"</f>
        <v>0278189599</v>
      </c>
      <c r="B567" t="s">
        <v>778</v>
      </c>
      <c r="C567" t="s">
        <v>7</v>
      </c>
      <c r="D567" t="s">
        <v>33</v>
      </c>
      <c r="E567" t="s">
        <v>70</v>
      </c>
      <c r="F567" t="s">
        <v>779</v>
      </c>
    </row>
    <row r="568" spans="1:6" x14ac:dyDescent="0.25">
      <c r="A568" t="str">
        <f>"0278193820"</f>
        <v>0278193820</v>
      </c>
      <c r="B568" t="s">
        <v>780</v>
      </c>
      <c r="C568" t="s">
        <v>7</v>
      </c>
      <c r="D568" t="s">
        <v>14</v>
      </c>
      <c r="E568" t="s">
        <v>70</v>
      </c>
      <c r="F568" t="s">
        <v>781</v>
      </c>
    </row>
    <row r="569" spans="1:6" x14ac:dyDescent="0.25">
      <c r="A569" t="str">
        <f>"0278214950"</f>
        <v>0278214950</v>
      </c>
      <c r="B569" t="s">
        <v>782</v>
      </c>
      <c r="C569" t="s">
        <v>7</v>
      </c>
      <c r="D569" t="s">
        <v>33</v>
      </c>
      <c r="E569" t="s">
        <v>70</v>
      </c>
      <c r="F569" t="s">
        <v>783</v>
      </c>
    </row>
    <row r="570" spans="1:6" x14ac:dyDescent="0.25">
      <c r="A570" t="str">
        <f>"0278217574"</f>
        <v>0278217574</v>
      </c>
      <c r="B570" t="s">
        <v>784</v>
      </c>
      <c r="C570" t="s">
        <v>7</v>
      </c>
      <c r="D570" t="s">
        <v>33</v>
      </c>
      <c r="E570" t="s">
        <v>70</v>
      </c>
      <c r="F570" t="s">
        <v>785</v>
      </c>
    </row>
    <row r="571" spans="1:6" x14ac:dyDescent="0.25">
      <c r="A571" t="str">
        <f>"0278911888"</f>
        <v>0278911888</v>
      </c>
      <c r="B571" t="s">
        <v>786</v>
      </c>
      <c r="C571" t="s">
        <v>7</v>
      </c>
      <c r="D571" t="s">
        <v>12</v>
      </c>
      <c r="E571" t="s">
        <v>70</v>
      </c>
      <c r="F571" t="s">
        <v>787</v>
      </c>
    </row>
    <row r="572" spans="1:6" x14ac:dyDescent="0.25">
      <c r="A572" t="str">
        <f>"0278930471"</f>
        <v>0278930471</v>
      </c>
      <c r="B572" t="s">
        <v>788</v>
      </c>
      <c r="C572" t="s">
        <v>7</v>
      </c>
      <c r="D572" t="s">
        <v>33</v>
      </c>
      <c r="E572" t="s">
        <v>70</v>
      </c>
      <c r="F572" t="s">
        <v>789</v>
      </c>
    </row>
    <row r="573" spans="1:6" x14ac:dyDescent="0.25">
      <c r="A573" t="str">
        <f>"0278934099"</f>
        <v>0278934099</v>
      </c>
      <c r="B573" t="s">
        <v>790</v>
      </c>
      <c r="C573" t="s">
        <v>7</v>
      </c>
      <c r="D573" t="s">
        <v>14</v>
      </c>
      <c r="E573" t="s">
        <v>70</v>
      </c>
      <c r="F573" t="s">
        <v>791</v>
      </c>
    </row>
    <row r="574" spans="1:6" x14ac:dyDescent="0.25">
      <c r="A574" t="str">
        <f>"0278966502"</f>
        <v>0278966502</v>
      </c>
      <c r="B574" t="s">
        <v>792</v>
      </c>
      <c r="C574" t="s">
        <v>7</v>
      </c>
      <c r="D574" t="s">
        <v>33</v>
      </c>
      <c r="E574" t="s">
        <v>70</v>
      </c>
      <c r="F574" t="s">
        <v>793</v>
      </c>
    </row>
    <row r="575" spans="1:6" x14ac:dyDescent="0.25">
      <c r="A575" t="str">
        <f>"0278970731"</f>
        <v>0278970731</v>
      </c>
      <c r="B575" t="s">
        <v>794</v>
      </c>
      <c r="C575" t="s">
        <v>7</v>
      </c>
      <c r="D575" t="s">
        <v>146</v>
      </c>
      <c r="E575" t="s">
        <v>70</v>
      </c>
      <c r="F575" t="s">
        <v>795</v>
      </c>
    </row>
    <row r="576" spans="1:6" x14ac:dyDescent="0.25">
      <c r="A576" t="str">
        <f>"253301218300"</f>
        <v>253301218300</v>
      </c>
      <c r="B576" t="s">
        <v>796</v>
      </c>
      <c r="C576" t="s">
        <v>7</v>
      </c>
      <c r="D576" t="s">
        <v>12</v>
      </c>
      <c r="E576" t="s">
        <v>70</v>
      </c>
    </row>
    <row r="577" spans="1:6" x14ac:dyDescent="0.25">
      <c r="A577" t="str">
        <f>"7444044002"</f>
        <v>7444044002</v>
      </c>
      <c r="B577" t="s">
        <v>797</v>
      </c>
      <c r="C577" t="s">
        <v>7</v>
      </c>
      <c r="D577" t="s">
        <v>14</v>
      </c>
      <c r="E577" t="s">
        <v>70</v>
      </c>
      <c r="F577" t="s">
        <v>798</v>
      </c>
    </row>
    <row r="578" spans="1:6" x14ac:dyDescent="0.25">
      <c r="A578" t="str">
        <f>"744507734829"</f>
        <v>744507734829</v>
      </c>
      <c r="B578" t="s">
        <v>799</v>
      </c>
      <c r="C578" t="s">
        <v>7</v>
      </c>
      <c r="D578" t="s">
        <v>14</v>
      </c>
      <c r="E578" t="s">
        <v>70</v>
      </c>
    </row>
    <row r="579" spans="1:6" x14ac:dyDescent="0.25">
      <c r="A579" t="str">
        <f>"741107843289"</f>
        <v>741107843289</v>
      </c>
      <c r="B579" t="s">
        <v>800</v>
      </c>
      <c r="C579" t="s">
        <v>7</v>
      </c>
      <c r="D579" t="s">
        <v>14</v>
      </c>
      <c r="E579" t="s">
        <v>70</v>
      </c>
    </row>
    <row r="580" spans="1:6" x14ac:dyDescent="0.25">
      <c r="A580" t="str">
        <f>"7456003755"</f>
        <v>7456003755</v>
      </c>
      <c r="B580" t="s">
        <v>801</v>
      </c>
      <c r="C580" t="s">
        <v>7</v>
      </c>
      <c r="D580" t="s">
        <v>14</v>
      </c>
      <c r="E580" t="s">
        <v>70</v>
      </c>
      <c r="F580" t="s">
        <v>802</v>
      </c>
    </row>
    <row r="581" spans="1:6" x14ac:dyDescent="0.25">
      <c r="A581" t="str">
        <f>"7453011758"</f>
        <v>7453011758</v>
      </c>
      <c r="B581" t="s">
        <v>803</v>
      </c>
      <c r="C581" t="s">
        <v>7</v>
      </c>
      <c r="D581" t="s">
        <v>14</v>
      </c>
      <c r="E581" t="s">
        <v>70</v>
      </c>
      <c r="F581" t="s">
        <v>804</v>
      </c>
    </row>
    <row r="582" spans="1:6" x14ac:dyDescent="0.25">
      <c r="A582" t="str">
        <f>"890102833480"</f>
        <v>890102833480</v>
      </c>
      <c r="B582" t="s">
        <v>805</v>
      </c>
      <c r="C582" t="s">
        <v>7</v>
      </c>
      <c r="D582" t="s">
        <v>14</v>
      </c>
      <c r="E582" t="s">
        <v>70</v>
      </c>
    </row>
    <row r="583" spans="1:6" x14ac:dyDescent="0.25">
      <c r="A583" t="str">
        <f>"861002227464"</f>
        <v>861002227464</v>
      </c>
      <c r="B583" t="s">
        <v>806</v>
      </c>
      <c r="C583" t="s">
        <v>7</v>
      </c>
      <c r="D583" t="s">
        <v>14</v>
      </c>
      <c r="E583" t="s">
        <v>70</v>
      </c>
    </row>
    <row r="584" spans="1:6" x14ac:dyDescent="0.25">
      <c r="A584" t="str">
        <f>"165058367408"</f>
        <v>165058367408</v>
      </c>
      <c r="B584" t="s">
        <v>807</v>
      </c>
      <c r="C584" t="s">
        <v>7</v>
      </c>
      <c r="D584" t="s">
        <v>98</v>
      </c>
      <c r="E584" t="s">
        <v>70</v>
      </c>
    </row>
    <row r="585" spans="1:6" x14ac:dyDescent="0.25">
      <c r="A585" t="str">
        <f>"0300024605"</f>
        <v>0300024605</v>
      </c>
      <c r="B585" t="s">
        <v>808</v>
      </c>
      <c r="C585" t="s">
        <v>7</v>
      </c>
      <c r="D585" t="s">
        <v>674</v>
      </c>
      <c r="E585" t="s">
        <v>809</v>
      </c>
      <c r="F585" t="s">
        <v>810</v>
      </c>
    </row>
    <row r="586" spans="1:6" x14ac:dyDescent="0.25">
      <c r="A586" t="str">
        <f>"030800778769"</f>
        <v>030800778769</v>
      </c>
      <c r="B586" t="s">
        <v>811</v>
      </c>
      <c r="C586" t="s">
        <v>7</v>
      </c>
      <c r="D586" t="s">
        <v>14</v>
      </c>
      <c r="E586" t="s">
        <v>809</v>
      </c>
    </row>
    <row r="587" spans="1:6" x14ac:dyDescent="0.25">
      <c r="A587" t="str">
        <f>"031101247598"</f>
        <v>031101247598</v>
      </c>
      <c r="B587" t="s">
        <v>812</v>
      </c>
      <c r="C587" t="s">
        <v>7</v>
      </c>
      <c r="D587" t="s">
        <v>14</v>
      </c>
      <c r="E587" t="s">
        <v>809</v>
      </c>
    </row>
    <row r="588" spans="1:6" x14ac:dyDescent="0.25">
      <c r="A588" t="str">
        <f>"032301932899"</f>
        <v>032301932899</v>
      </c>
      <c r="B588" t="s">
        <v>813</v>
      </c>
      <c r="C588" t="s">
        <v>7</v>
      </c>
      <c r="D588" t="s">
        <v>33</v>
      </c>
      <c r="E588" t="s">
        <v>809</v>
      </c>
    </row>
    <row r="589" spans="1:6" x14ac:dyDescent="0.25">
      <c r="A589" t="str">
        <f>"032600264086"</f>
        <v>032600264086</v>
      </c>
      <c r="B589" t="s">
        <v>814</v>
      </c>
      <c r="C589" t="s">
        <v>7</v>
      </c>
      <c r="D589" t="s">
        <v>12</v>
      </c>
      <c r="E589" t="s">
        <v>809</v>
      </c>
    </row>
    <row r="590" spans="1:6" x14ac:dyDescent="0.25">
      <c r="A590" t="str">
        <f>"0326581713"</f>
        <v>0326581713</v>
      </c>
      <c r="B590" t="s">
        <v>815</v>
      </c>
      <c r="C590" t="s">
        <v>7</v>
      </c>
      <c r="D590" t="s">
        <v>14</v>
      </c>
      <c r="E590" t="s">
        <v>809</v>
      </c>
      <c r="F590" t="s">
        <v>816</v>
      </c>
    </row>
    <row r="591" spans="1:6" x14ac:dyDescent="0.25">
      <c r="A591" t="str">
        <f>"0300013850"</f>
        <v>0300013850</v>
      </c>
      <c r="B591" t="s">
        <v>817</v>
      </c>
      <c r="C591" t="s">
        <v>7</v>
      </c>
      <c r="D591" t="s">
        <v>12</v>
      </c>
      <c r="E591" t="s">
        <v>809</v>
      </c>
      <c r="F591" t="s">
        <v>818</v>
      </c>
    </row>
    <row r="592" spans="1:6" x14ac:dyDescent="0.25">
      <c r="A592" t="str">
        <f>"030300018181"</f>
        <v>030300018181</v>
      </c>
      <c r="B592" t="s">
        <v>819</v>
      </c>
      <c r="C592" t="s">
        <v>7</v>
      </c>
      <c r="D592" t="s">
        <v>14</v>
      </c>
      <c r="E592" t="s">
        <v>809</v>
      </c>
    </row>
    <row r="593" spans="1:6" x14ac:dyDescent="0.25">
      <c r="A593" t="str">
        <f>"030402765305"</f>
        <v>030402765305</v>
      </c>
      <c r="B593" t="s">
        <v>820</v>
      </c>
      <c r="C593" t="s">
        <v>7</v>
      </c>
      <c r="D593" t="s">
        <v>14</v>
      </c>
      <c r="E593" t="s">
        <v>809</v>
      </c>
    </row>
    <row r="594" spans="1:6" x14ac:dyDescent="0.25">
      <c r="A594" t="str">
        <f>"030600051905"</f>
        <v>030600051905</v>
      </c>
      <c r="B594" t="s">
        <v>821</v>
      </c>
      <c r="C594" t="s">
        <v>7</v>
      </c>
      <c r="D594" t="s">
        <v>14</v>
      </c>
      <c r="E594" t="s">
        <v>809</v>
      </c>
    </row>
    <row r="595" spans="1:6" x14ac:dyDescent="0.25">
      <c r="A595" t="str">
        <f>"030700860850"</f>
        <v>030700860850</v>
      </c>
      <c r="B595" t="s">
        <v>822</v>
      </c>
      <c r="C595" t="s">
        <v>7</v>
      </c>
      <c r="D595" t="s">
        <v>14</v>
      </c>
      <c r="E595" t="s">
        <v>809</v>
      </c>
    </row>
    <row r="596" spans="1:6" x14ac:dyDescent="0.25">
      <c r="A596" t="str">
        <f>"030755982632"</f>
        <v>030755982632</v>
      </c>
      <c r="B596" t="s">
        <v>823</v>
      </c>
      <c r="C596" t="s">
        <v>7</v>
      </c>
      <c r="D596" t="s">
        <v>14</v>
      </c>
      <c r="E596" t="s">
        <v>809</v>
      </c>
    </row>
    <row r="597" spans="1:6" x14ac:dyDescent="0.25">
      <c r="A597" t="str">
        <f>"0300022284"</f>
        <v>0300022284</v>
      </c>
      <c r="B597" t="s">
        <v>824</v>
      </c>
      <c r="C597" t="s">
        <v>7</v>
      </c>
      <c r="D597" t="s">
        <v>12</v>
      </c>
      <c r="E597" t="s">
        <v>809</v>
      </c>
      <c r="F597" t="s">
        <v>825</v>
      </c>
    </row>
    <row r="598" spans="1:6" x14ac:dyDescent="0.25">
      <c r="A598" t="str">
        <f>"030301645308"</f>
        <v>030301645308</v>
      </c>
      <c r="B598" t="s">
        <v>826</v>
      </c>
      <c r="C598" t="s">
        <v>7</v>
      </c>
      <c r="D598" t="s">
        <v>14</v>
      </c>
      <c r="E598" t="s">
        <v>809</v>
      </c>
    </row>
    <row r="599" spans="1:6" x14ac:dyDescent="0.25">
      <c r="A599" t="str">
        <f>"030700229109"</f>
        <v>030700229109</v>
      </c>
      <c r="B599" t="s">
        <v>827</v>
      </c>
      <c r="C599" t="s">
        <v>7</v>
      </c>
      <c r="D599" t="s">
        <v>14</v>
      </c>
      <c r="E599" t="s">
        <v>809</v>
      </c>
    </row>
    <row r="600" spans="1:6" x14ac:dyDescent="0.25">
      <c r="A600" t="str">
        <f>"030700529215"</f>
        <v>030700529215</v>
      </c>
      <c r="B600" t="s">
        <v>828</v>
      </c>
      <c r="C600" t="s">
        <v>7</v>
      </c>
      <c r="D600" t="s">
        <v>14</v>
      </c>
      <c r="E600" t="s">
        <v>809</v>
      </c>
    </row>
    <row r="601" spans="1:6" x14ac:dyDescent="0.25">
      <c r="A601" t="str">
        <f>"031301327804"</f>
        <v>031301327804</v>
      </c>
      <c r="B601" t="s">
        <v>829</v>
      </c>
      <c r="C601" t="s">
        <v>7</v>
      </c>
      <c r="D601" t="s">
        <v>14</v>
      </c>
      <c r="E601" t="s">
        <v>809</v>
      </c>
    </row>
    <row r="602" spans="1:6" x14ac:dyDescent="0.25">
      <c r="A602" t="str">
        <f>"031797558272"</f>
        <v>031797558272</v>
      </c>
      <c r="B602" t="s">
        <v>830</v>
      </c>
      <c r="C602" t="s">
        <v>7</v>
      </c>
      <c r="D602" t="s">
        <v>14</v>
      </c>
      <c r="E602" t="s">
        <v>809</v>
      </c>
    </row>
    <row r="603" spans="1:6" x14ac:dyDescent="0.25">
      <c r="A603" t="str">
        <f>"031900017819"</f>
        <v>031900017819</v>
      </c>
      <c r="B603" t="s">
        <v>831</v>
      </c>
      <c r="C603" t="s">
        <v>7</v>
      </c>
      <c r="D603" t="s">
        <v>14</v>
      </c>
      <c r="E603" t="s">
        <v>809</v>
      </c>
    </row>
    <row r="604" spans="1:6" x14ac:dyDescent="0.25">
      <c r="A604" t="str">
        <f>"031900086509"</f>
        <v>031900086509</v>
      </c>
      <c r="B604" t="s">
        <v>832</v>
      </c>
      <c r="C604" t="s">
        <v>7</v>
      </c>
      <c r="D604" t="s">
        <v>14</v>
      </c>
      <c r="E604" t="s">
        <v>809</v>
      </c>
    </row>
    <row r="605" spans="1:6" x14ac:dyDescent="0.25">
      <c r="A605" t="str">
        <f>"031911174820"</f>
        <v>031911174820</v>
      </c>
      <c r="B605" t="s">
        <v>833</v>
      </c>
      <c r="C605" t="s">
        <v>7</v>
      </c>
      <c r="D605" t="s">
        <v>14</v>
      </c>
      <c r="E605" t="s">
        <v>809</v>
      </c>
    </row>
    <row r="606" spans="1:6" x14ac:dyDescent="0.25">
      <c r="A606" t="str">
        <f>"032300103909"</f>
        <v>032300103909</v>
      </c>
      <c r="B606" t="s">
        <v>834</v>
      </c>
      <c r="C606" t="s">
        <v>7</v>
      </c>
      <c r="D606" t="s">
        <v>14</v>
      </c>
      <c r="E606" t="s">
        <v>809</v>
      </c>
    </row>
    <row r="607" spans="1:6" x14ac:dyDescent="0.25">
      <c r="A607" t="str">
        <f>"0323031768"</f>
        <v>0323031768</v>
      </c>
      <c r="B607" t="s">
        <v>835</v>
      </c>
      <c r="C607" t="s">
        <v>7</v>
      </c>
      <c r="D607" t="s">
        <v>14</v>
      </c>
      <c r="E607" t="s">
        <v>809</v>
      </c>
      <c r="F607" t="s">
        <v>836</v>
      </c>
    </row>
    <row r="608" spans="1:6" x14ac:dyDescent="0.25">
      <c r="A608" t="str">
        <f>"032306841035"</f>
        <v>032306841035</v>
      </c>
      <c r="B608" t="s">
        <v>837</v>
      </c>
      <c r="C608" t="s">
        <v>7</v>
      </c>
      <c r="D608" t="s">
        <v>14</v>
      </c>
      <c r="E608" t="s">
        <v>809</v>
      </c>
    </row>
    <row r="609" spans="1:6" x14ac:dyDescent="0.25">
      <c r="A609" t="str">
        <f>"0323085770"</f>
        <v>0323085770</v>
      </c>
      <c r="B609" t="s">
        <v>838</v>
      </c>
      <c r="C609" t="s">
        <v>7</v>
      </c>
      <c r="D609" t="s">
        <v>14</v>
      </c>
      <c r="E609" t="s">
        <v>809</v>
      </c>
      <c r="F609" t="s">
        <v>839</v>
      </c>
    </row>
    <row r="610" spans="1:6" x14ac:dyDescent="0.25">
      <c r="A610" t="str">
        <f>"032308957927"</f>
        <v>032308957927</v>
      </c>
      <c r="B610" t="s">
        <v>840</v>
      </c>
      <c r="C610" t="s">
        <v>7</v>
      </c>
      <c r="D610" t="s">
        <v>12</v>
      </c>
      <c r="E610" t="s">
        <v>809</v>
      </c>
    </row>
    <row r="611" spans="1:6" x14ac:dyDescent="0.25">
      <c r="A611" t="str">
        <f>"0323121362"</f>
        <v>0323121362</v>
      </c>
      <c r="B611" t="s">
        <v>841</v>
      </c>
      <c r="C611" t="s">
        <v>7</v>
      </c>
      <c r="D611" t="s">
        <v>14</v>
      </c>
      <c r="E611" t="s">
        <v>809</v>
      </c>
      <c r="F611" t="s">
        <v>842</v>
      </c>
    </row>
    <row r="612" spans="1:6" x14ac:dyDescent="0.25">
      <c r="A612" t="str">
        <f>"032315138485"</f>
        <v>032315138485</v>
      </c>
      <c r="B612" t="s">
        <v>843</v>
      </c>
      <c r="C612" t="s">
        <v>7</v>
      </c>
      <c r="D612" t="s">
        <v>14</v>
      </c>
      <c r="E612" t="s">
        <v>809</v>
      </c>
    </row>
    <row r="613" spans="1:6" x14ac:dyDescent="0.25">
      <c r="A613" t="str">
        <f>"0323417641"</f>
        <v>0323417641</v>
      </c>
      <c r="B613" t="s">
        <v>844</v>
      </c>
      <c r="C613" t="s">
        <v>7</v>
      </c>
      <c r="D613" t="s">
        <v>12</v>
      </c>
      <c r="E613" t="s">
        <v>809</v>
      </c>
      <c r="F613" t="s">
        <v>845</v>
      </c>
    </row>
    <row r="614" spans="1:6" x14ac:dyDescent="0.25">
      <c r="A614" t="str">
        <f>"032385060218"</f>
        <v>032385060218</v>
      </c>
      <c r="B614" t="s">
        <v>846</v>
      </c>
      <c r="C614" t="s">
        <v>7</v>
      </c>
      <c r="D614" t="s">
        <v>12</v>
      </c>
      <c r="E614" t="s">
        <v>809</v>
      </c>
    </row>
    <row r="615" spans="1:6" x14ac:dyDescent="0.25">
      <c r="A615" t="str">
        <f>"032601748308"</f>
        <v>032601748308</v>
      </c>
      <c r="B615" t="s">
        <v>847</v>
      </c>
      <c r="C615" t="s">
        <v>7</v>
      </c>
      <c r="D615" t="s">
        <v>12</v>
      </c>
      <c r="E615" t="s">
        <v>809</v>
      </c>
    </row>
    <row r="616" spans="1:6" x14ac:dyDescent="0.25">
      <c r="A616" t="str">
        <f>"032609359575"</f>
        <v>032609359575</v>
      </c>
      <c r="B616" t="s">
        <v>848</v>
      </c>
      <c r="C616" t="s">
        <v>7</v>
      </c>
      <c r="D616" t="s">
        <v>14</v>
      </c>
      <c r="E616" t="s">
        <v>809</v>
      </c>
    </row>
    <row r="617" spans="1:6" x14ac:dyDescent="0.25">
      <c r="A617" t="str">
        <f>"032612486823"</f>
        <v>032612486823</v>
      </c>
      <c r="B617" t="s">
        <v>849</v>
      </c>
      <c r="C617" t="s">
        <v>7</v>
      </c>
      <c r="D617" t="s">
        <v>14</v>
      </c>
      <c r="E617" t="s">
        <v>809</v>
      </c>
    </row>
    <row r="618" spans="1:6" x14ac:dyDescent="0.25">
      <c r="A618" t="str">
        <f>"032619342010"</f>
        <v>032619342010</v>
      </c>
      <c r="B618" t="s">
        <v>850</v>
      </c>
      <c r="C618" t="s">
        <v>7</v>
      </c>
      <c r="D618" t="s">
        <v>14</v>
      </c>
      <c r="E618" t="s">
        <v>809</v>
      </c>
    </row>
    <row r="619" spans="1:6" x14ac:dyDescent="0.25">
      <c r="A619" t="str">
        <f>"0326516295"</f>
        <v>0326516295</v>
      </c>
      <c r="B619" t="s">
        <v>851</v>
      </c>
      <c r="C619" t="s">
        <v>7</v>
      </c>
      <c r="D619" t="s">
        <v>12</v>
      </c>
      <c r="E619" t="s">
        <v>809</v>
      </c>
      <c r="F619" t="s">
        <v>852</v>
      </c>
    </row>
    <row r="620" spans="1:6" x14ac:dyDescent="0.25">
      <c r="A620" t="str">
        <f>"0326559789"</f>
        <v>0326559789</v>
      </c>
      <c r="B620" t="s">
        <v>853</v>
      </c>
      <c r="C620" t="s">
        <v>7</v>
      </c>
      <c r="D620" t="s">
        <v>33</v>
      </c>
      <c r="E620" t="s">
        <v>809</v>
      </c>
      <c r="F620" t="s">
        <v>854</v>
      </c>
    </row>
    <row r="621" spans="1:6" x14ac:dyDescent="0.25">
      <c r="A621" t="str">
        <f>"031402024115"</f>
        <v>031402024115</v>
      </c>
      <c r="B621" t="s">
        <v>855</v>
      </c>
      <c r="C621" t="s">
        <v>7</v>
      </c>
      <c r="D621" t="s">
        <v>14</v>
      </c>
      <c r="E621" t="s">
        <v>809</v>
      </c>
    </row>
    <row r="622" spans="1:6" x14ac:dyDescent="0.25">
      <c r="A622" t="str">
        <f>"031500098725"</f>
        <v>031500098725</v>
      </c>
      <c r="B622" t="s">
        <v>856</v>
      </c>
      <c r="C622" t="s">
        <v>7</v>
      </c>
      <c r="D622" t="s">
        <v>14</v>
      </c>
      <c r="E622" t="s">
        <v>809</v>
      </c>
    </row>
    <row r="623" spans="1:6" x14ac:dyDescent="0.25">
      <c r="A623" t="str">
        <f>"031900005482"</f>
        <v>031900005482</v>
      </c>
      <c r="B623" t="s">
        <v>857</v>
      </c>
      <c r="C623" t="s">
        <v>7</v>
      </c>
      <c r="D623" t="s">
        <v>14</v>
      </c>
      <c r="E623" t="s">
        <v>809</v>
      </c>
    </row>
    <row r="624" spans="1:6" x14ac:dyDescent="0.25">
      <c r="A624" t="str">
        <f>"032300045277"</f>
        <v>032300045277</v>
      </c>
      <c r="B624" t="s">
        <v>858</v>
      </c>
      <c r="C624" t="s">
        <v>7</v>
      </c>
      <c r="D624" t="s">
        <v>12</v>
      </c>
      <c r="E624" t="s">
        <v>809</v>
      </c>
    </row>
    <row r="625" spans="1:6" x14ac:dyDescent="0.25">
      <c r="A625" t="str">
        <f>"032301317974"</f>
        <v>032301317974</v>
      </c>
      <c r="B625" t="s">
        <v>859</v>
      </c>
      <c r="C625" t="s">
        <v>7</v>
      </c>
      <c r="D625" t="s">
        <v>12</v>
      </c>
      <c r="E625" t="s">
        <v>809</v>
      </c>
    </row>
    <row r="626" spans="1:6" x14ac:dyDescent="0.25">
      <c r="A626" t="str">
        <f>"032601056674"</f>
        <v>032601056674</v>
      </c>
      <c r="B626" t="s">
        <v>860</v>
      </c>
      <c r="C626" t="s">
        <v>7</v>
      </c>
      <c r="D626" t="s">
        <v>12</v>
      </c>
      <c r="E626" t="s">
        <v>809</v>
      </c>
    </row>
    <row r="627" spans="1:6" x14ac:dyDescent="0.25">
      <c r="A627" t="str">
        <f>"0326012467"</f>
        <v>0326012467</v>
      </c>
      <c r="B627" t="s">
        <v>861</v>
      </c>
      <c r="C627" t="s">
        <v>7</v>
      </c>
      <c r="D627" t="s">
        <v>12</v>
      </c>
      <c r="E627" t="s">
        <v>809</v>
      </c>
      <c r="F627" t="s">
        <v>862</v>
      </c>
    </row>
    <row r="628" spans="1:6" x14ac:dyDescent="0.25">
      <c r="A628" t="str">
        <f>"032605453224"</f>
        <v>032605453224</v>
      </c>
      <c r="B628" t="s">
        <v>863</v>
      </c>
      <c r="C628" t="s">
        <v>7</v>
      </c>
      <c r="D628" t="s">
        <v>14</v>
      </c>
      <c r="E628" t="s">
        <v>809</v>
      </c>
    </row>
    <row r="629" spans="1:6" x14ac:dyDescent="0.25">
      <c r="A629" t="str">
        <f>"032610911991"</f>
        <v>032610911991</v>
      </c>
      <c r="B629" t="s">
        <v>864</v>
      </c>
      <c r="C629" t="s">
        <v>7</v>
      </c>
      <c r="D629" t="s">
        <v>14</v>
      </c>
      <c r="E629" t="s">
        <v>809</v>
      </c>
    </row>
    <row r="630" spans="1:6" x14ac:dyDescent="0.25">
      <c r="A630" t="str">
        <f>"0326496063"</f>
        <v>0326496063</v>
      </c>
      <c r="B630" t="s">
        <v>865</v>
      </c>
      <c r="C630" t="s">
        <v>7</v>
      </c>
      <c r="D630" t="s">
        <v>12</v>
      </c>
      <c r="E630" t="s">
        <v>809</v>
      </c>
      <c r="F630" t="s">
        <v>866</v>
      </c>
    </row>
    <row r="631" spans="1:6" x14ac:dyDescent="0.25">
      <c r="A631" t="str">
        <f>"0326510470"</f>
        <v>0326510470</v>
      </c>
      <c r="B631" t="s">
        <v>867</v>
      </c>
      <c r="C631" t="s">
        <v>7</v>
      </c>
      <c r="D631" t="s">
        <v>12</v>
      </c>
      <c r="E631" t="s">
        <v>809</v>
      </c>
      <c r="F631" t="s">
        <v>868</v>
      </c>
    </row>
    <row r="632" spans="1:6" x14ac:dyDescent="0.25">
      <c r="A632" t="str">
        <f>"0326570905"</f>
        <v>0326570905</v>
      </c>
      <c r="B632" t="s">
        <v>869</v>
      </c>
      <c r="C632" t="s">
        <v>7</v>
      </c>
      <c r="D632" t="s">
        <v>14</v>
      </c>
      <c r="E632" t="s">
        <v>809</v>
      </c>
      <c r="F632" t="s">
        <v>870</v>
      </c>
    </row>
    <row r="633" spans="1:6" x14ac:dyDescent="0.25">
      <c r="A633" t="str">
        <f>"0326573769"</f>
        <v>0326573769</v>
      </c>
      <c r="B633" t="s">
        <v>871</v>
      </c>
      <c r="C633" t="s">
        <v>7</v>
      </c>
      <c r="D633" t="s">
        <v>12</v>
      </c>
      <c r="E633" t="s">
        <v>809</v>
      </c>
      <c r="F633" t="s">
        <v>872</v>
      </c>
    </row>
    <row r="634" spans="1:6" x14ac:dyDescent="0.25">
      <c r="A634" t="str">
        <f>"0326593740"</f>
        <v>0326593740</v>
      </c>
      <c r="B634" t="s">
        <v>873</v>
      </c>
      <c r="C634" t="s">
        <v>7</v>
      </c>
      <c r="D634" t="s">
        <v>12</v>
      </c>
      <c r="E634" t="s">
        <v>809</v>
      </c>
      <c r="F634" t="s">
        <v>874</v>
      </c>
    </row>
    <row r="635" spans="1:6" x14ac:dyDescent="0.25">
      <c r="A635" t="str">
        <f>"030756088280"</f>
        <v>030756088280</v>
      </c>
      <c r="B635" t="s">
        <v>875</v>
      </c>
      <c r="C635" t="s">
        <v>7</v>
      </c>
      <c r="D635" t="s">
        <v>14</v>
      </c>
      <c r="E635" t="s">
        <v>809</v>
      </c>
    </row>
    <row r="636" spans="1:6" x14ac:dyDescent="0.25">
      <c r="A636" t="str">
        <f>"030904310365"</f>
        <v>030904310365</v>
      </c>
      <c r="B636" t="s">
        <v>876</v>
      </c>
      <c r="C636" t="s">
        <v>7</v>
      </c>
      <c r="D636" t="s">
        <v>12</v>
      </c>
      <c r="E636" t="s">
        <v>809</v>
      </c>
    </row>
    <row r="637" spans="1:6" x14ac:dyDescent="0.25">
      <c r="A637" t="str">
        <f>"031100150900"</f>
        <v>031100150900</v>
      </c>
      <c r="B637" t="s">
        <v>877</v>
      </c>
      <c r="C637" t="s">
        <v>7</v>
      </c>
      <c r="D637" t="s">
        <v>14</v>
      </c>
      <c r="E637" t="s">
        <v>809</v>
      </c>
    </row>
    <row r="638" spans="1:6" x14ac:dyDescent="0.25">
      <c r="A638" t="str">
        <f>"031107144694"</f>
        <v>031107144694</v>
      </c>
      <c r="B638" t="s">
        <v>878</v>
      </c>
      <c r="C638" t="s">
        <v>7</v>
      </c>
      <c r="D638" t="s">
        <v>14</v>
      </c>
      <c r="E638" t="s">
        <v>809</v>
      </c>
    </row>
    <row r="639" spans="1:6" x14ac:dyDescent="0.25">
      <c r="A639" t="str">
        <f>"031941320941"</f>
        <v>031941320941</v>
      </c>
      <c r="B639" t="s">
        <v>879</v>
      </c>
      <c r="C639" t="s">
        <v>7</v>
      </c>
      <c r="D639" t="s">
        <v>14</v>
      </c>
      <c r="E639" t="s">
        <v>809</v>
      </c>
    </row>
    <row r="640" spans="1:6" x14ac:dyDescent="0.25">
      <c r="A640" t="str">
        <f>"032000414195"</f>
        <v>032000414195</v>
      </c>
      <c r="B640" t="s">
        <v>880</v>
      </c>
      <c r="C640" t="s">
        <v>7</v>
      </c>
      <c r="D640" t="s">
        <v>14</v>
      </c>
      <c r="E640" t="s">
        <v>809</v>
      </c>
    </row>
    <row r="641" spans="1:6" x14ac:dyDescent="0.25">
      <c r="A641" t="str">
        <f>"032302458505"</f>
        <v>032302458505</v>
      </c>
      <c r="B641" t="s">
        <v>881</v>
      </c>
      <c r="C641" t="s">
        <v>7</v>
      </c>
      <c r="D641" t="s">
        <v>12</v>
      </c>
      <c r="E641" t="s">
        <v>809</v>
      </c>
    </row>
    <row r="642" spans="1:6" x14ac:dyDescent="0.25">
      <c r="A642" t="str">
        <f>"032302710183"</f>
        <v>032302710183</v>
      </c>
      <c r="B642" t="s">
        <v>882</v>
      </c>
      <c r="C642" t="s">
        <v>7</v>
      </c>
      <c r="D642" t="s">
        <v>12</v>
      </c>
      <c r="E642" t="s">
        <v>809</v>
      </c>
    </row>
    <row r="643" spans="1:6" x14ac:dyDescent="0.25">
      <c r="A643" t="str">
        <f>"032314114900"</f>
        <v>032314114900</v>
      </c>
      <c r="B643" t="s">
        <v>883</v>
      </c>
      <c r="C643" t="s">
        <v>7</v>
      </c>
      <c r="D643" t="s">
        <v>14</v>
      </c>
      <c r="E643" t="s">
        <v>809</v>
      </c>
    </row>
    <row r="644" spans="1:6" x14ac:dyDescent="0.25">
      <c r="A644" t="str">
        <f>"0326031903"</f>
        <v>0326031903</v>
      </c>
      <c r="B644" t="s">
        <v>884</v>
      </c>
      <c r="C644" t="s">
        <v>7</v>
      </c>
      <c r="D644" t="s">
        <v>12</v>
      </c>
      <c r="E644" t="s">
        <v>809</v>
      </c>
      <c r="F644" t="s">
        <v>885</v>
      </c>
    </row>
    <row r="645" spans="1:6" x14ac:dyDescent="0.25">
      <c r="A645" t="str">
        <f>"032607852680"</f>
        <v>032607852680</v>
      </c>
      <c r="B645" t="s">
        <v>886</v>
      </c>
      <c r="C645" t="s">
        <v>7</v>
      </c>
      <c r="D645" t="s">
        <v>14</v>
      </c>
      <c r="E645" t="s">
        <v>809</v>
      </c>
    </row>
    <row r="646" spans="1:6" x14ac:dyDescent="0.25">
      <c r="A646" t="str">
        <f>"032612226208"</f>
        <v>032612226208</v>
      </c>
      <c r="B646" t="s">
        <v>887</v>
      </c>
      <c r="C646" t="s">
        <v>7</v>
      </c>
      <c r="D646" t="s">
        <v>14</v>
      </c>
      <c r="E646" t="s">
        <v>809</v>
      </c>
    </row>
    <row r="647" spans="1:6" x14ac:dyDescent="0.25">
      <c r="A647" t="str">
        <f>"032621450090"</f>
        <v>032621450090</v>
      </c>
      <c r="B647" t="s">
        <v>888</v>
      </c>
      <c r="C647" t="s">
        <v>7</v>
      </c>
      <c r="D647" t="s">
        <v>12</v>
      </c>
      <c r="E647" t="s">
        <v>809</v>
      </c>
    </row>
    <row r="648" spans="1:6" x14ac:dyDescent="0.25">
      <c r="A648" t="str">
        <f>"0326483610"</f>
        <v>0326483610</v>
      </c>
      <c r="B648" t="s">
        <v>889</v>
      </c>
      <c r="C648" t="s">
        <v>7</v>
      </c>
      <c r="D648" t="s">
        <v>12</v>
      </c>
      <c r="E648" t="s">
        <v>809</v>
      </c>
      <c r="F648" t="s">
        <v>890</v>
      </c>
    </row>
    <row r="649" spans="1:6" x14ac:dyDescent="0.25">
      <c r="A649" t="str">
        <f>"0326497719"</f>
        <v>0326497719</v>
      </c>
      <c r="B649" t="s">
        <v>891</v>
      </c>
      <c r="C649" t="s">
        <v>7</v>
      </c>
      <c r="D649" t="s">
        <v>33</v>
      </c>
      <c r="E649" t="s">
        <v>809</v>
      </c>
      <c r="F649" t="s">
        <v>892</v>
      </c>
    </row>
    <row r="650" spans="1:6" x14ac:dyDescent="0.25">
      <c r="A650" t="str">
        <f>"0326545850"</f>
        <v>0326545850</v>
      </c>
      <c r="B650" t="s">
        <v>893</v>
      </c>
      <c r="C650" t="s">
        <v>7</v>
      </c>
      <c r="D650" t="s">
        <v>12</v>
      </c>
      <c r="E650" t="s">
        <v>809</v>
      </c>
      <c r="F650" t="s">
        <v>894</v>
      </c>
    </row>
    <row r="651" spans="1:6" x14ac:dyDescent="0.25">
      <c r="A651" t="str">
        <f>"7807257952"</f>
        <v>7807257952</v>
      </c>
      <c r="B651" t="s">
        <v>895</v>
      </c>
      <c r="C651" t="s">
        <v>7</v>
      </c>
      <c r="D651" t="s">
        <v>28</v>
      </c>
      <c r="E651" t="s">
        <v>809</v>
      </c>
      <c r="F651" t="s">
        <v>896</v>
      </c>
    </row>
    <row r="652" spans="1:6" x14ac:dyDescent="0.25">
      <c r="A652" t="str">
        <f>"380100254495"</f>
        <v>380100254495</v>
      </c>
      <c r="B652" t="s">
        <v>897</v>
      </c>
      <c r="C652" t="s">
        <v>7</v>
      </c>
      <c r="D652" t="s">
        <v>12</v>
      </c>
      <c r="E652" t="s">
        <v>809</v>
      </c>
    </row>
    <row r="653" spans="1:6" x14ac:dyDescent="0.25">
      <c r="A653" t="str">
        <f>"382000435734"</f>
        <v>382000435734</v>
      </c>
      <c r="B653" t="s">
        <v>898</v>
      </c>
      <c r="C653" t="s">
        <v>7</v>
      </c>
      <c r="D653" t="s">
        <v>12</v>
      </c>
      <c r="E653" t="s">
        <v>809</v>
      </c>
    </row>
    <row r="654" spans="1:6" x14ac:dyDescent="0.25">
      <c r="A654" t="str">
        <f>"381203618770"</f>
        <v>381203618770</v>
      </c>
      <c r="B654" t="s">
        <v>899</v>
      </c>
      <c r="C654" t="s">
        <v>7</v>
      </c>
      <c r="D654" t="s">
        <v>14</v>
      </c>
      <c r="E654" t="s">
        <v>809</v>
      </c>
    </row>
    <row r="655" spans="1:6" x14ac:dyDescent="0.25">
      <c r="A655" t="str">
        <f>"381805656100"</f>
        <v>381805656100</v>
      </c>
      <c r="B655" t="s">
        <v>900</v>
      </c>
      <c r="C655" t="s">
        <v>7</v>
      </c>
      <c r="D655" t="s">
        <v>14</v>
      </c>
      <c r="E655" t="s">
        <v>809</v>
      </c>
    </row>
    <row r="656" spans="1:6" x14ac:dyDescent="0.25">
      <c r="A656" t="str">
        <f>"3849086860"</f>
        <v>3849086860</v>
      </c>
      <c r="B656" t="s">
        <v>901</v>
      </c>
      <c r="C656" t="s">
        <v>7</v>
      </c>
      <c r="D656" t="s">
        <v>14</v>
      </c>
      <c r="E656" t="s">
        <v>809</v>
      </c>
      <c r="F656" t="s">
        <v>902</v>
      </c>
    </row>
    <row r="657" spans="1:6" x14ac:dyDescent="0.25">
      <c r="A657" t="str">
        <f>"143525324591"</f>
        <v>143525324591</v>
      </c>
      <c r="B657" t="s">
        <v>903</v>
      </c>
      <c r="C657" t="s">
        <v>7</v>
      </c>
      <c r="D657" t="s">
        <v>14</v>
      </c>
      <c r="E657" t="s">
        <v>809</v>
      </c>
    </row>
    <row r="658" spans="1:6" x14ac:dyDescent="0.25">
      <c r="A658" t="str">
        <f>"753405660442"</f>
        <v>753405660442</v>
      </c>
      <c r="B658" t="s">
        <v>904</v>
      </c>
      <c r="C658" t="s">
        <v>7</v>
      </c>
      <c r="D658" t="s">
        <v>8</v>
      </c>
      <c r="E658" t="s">
        <v>809</v>
      </c>
    </row>
    <row r="659" spans="1:6" x14ac:dyDescent="0.25">
      <c r="A659" t="str">
        <f>"753611349377"</f>
        <v>753611349377</v>
      </c>
      <c r="B659" t="s">
        <v>905</v>
      </c>
      <c r="C659" t="s">
        <v>7</v>
      </c>
      <c r="D659" t="s">
        <v>14</v>
      </c>
      <c r="E659" t="s">
        <v>809</v>
      </c>
    </row>
    <row r="660" spans="1:6" x14ac:dyDescent="0.25">
      <c r="A660" t="str">
        <f>"3810044361"</f>
        <v>3810044361</v>
      </c>
      <c r="B660" t="s">
        <v>906</v>
      </c>
      <c r="C660" t="s">
        <v>7</v>
      </c>
      <c r="D660" t="s">
        <v>14</v>
      </c>
      <c r="E660" t="s">
        <v>809</v>
      </c>
      <c r="F660" t="s">
        <v>907</v>
      </c>
    </row>
    <row r="661" spans="1:6" x14ac:dyDescent="0.25">
      <c r="A661" t="str">
        <f>"040101879400"</f>
        <v>040101879400</v>
      </c>
      <c r="B661" t="s">
        <v>908</v>
      </c>
      <c r="C661" t="s">
        <v>7</v>
      </c>
      <c r="D661" t="s">
        <v>14</v>
      </c>
      <c r="E661" t="s">
        <v>909</v>
      </c>
    </row>
    <row r="662" spans="1:6" x14ac:dyDescent="0.25">
      <c r="A662" t="str">
        <f>"0400009424"</f>
        <v>0400009424</v>
      </c>
      <c r="B662" t="s">
        <v>910</v>
      </c>
      <c r="C662" t="s">
        <v>7</v>
      </c>
      <c r="D662" t="s">
        <v>14</v>
      </c>
      <c r="E662" t="s">
        <v>909</v>
      </c>
      <c r="F662" t="s">
        <v>911</v>
      </c>
    </row>
    <row r="663" spans="1:6" x14ac:dyDescent="0.25">
      <c r="A663" t="str">
        <f>"0400025909"</f>
        <v>0400025909</v>
      </c>
      <c r="B663" t="s">
        <v>912</v>
      </c>
      <c r="C663" t="s">
        <v>7</v>
      </c>
      <c r="D663" t="s">
        <v>12</v>
      </c>
      <c r="E663" t="s">
        <v>909</v>
      </c>
      <c r="F663" t="s">
        <v>913</v>
      </c>
    </row>
    <row r="664" spans="1:6" x14ac:dyDescent="0.25">
      <c r="A664" t="str">
        <f>"040201011706"</f>
        <v>040201011706</v>
      </c>
      <c r="B664" t="s">
        <v>914</v>
      </c>
      <c r="C664" t="s">
        <v>7</v>
      </c>
      <c r="D664" t="s">
        <v>14</v>
      </c>
      <c r="E664" t="s">
        <v>909</v>
      </c>
    </row>
    <row r="665" spans="1:6" x14ac:dyDescent="0.25">
      <c r="A665" t="str">
        <f>"040300463608"</f>
        <v>040300463608</v>
      </c>
      <c r="B665" t="s">
        <v>915</v>
      </c>
      <c r="C665" t="s">
        <v>7</v>
      </c>
      <c r="D665" t="s">
        <v>14</v>
      </c>
      <c r="E665" t="s">
        <v>909</v>
      </c>
    </row>
    <row r="666" spans="1:6" x14ac:dyDescent="0.25">
      <c r="A666" t="str">
        <f>"040400232107"</f>
        <v>040400232107</v>
      </c>
      <c r="B666" t="s">
        <v>916</v>
      </c>
      <c r="C666" t="s">
        <v>7</v>
      </c>
      <c r="D666" t="s">
        <v>14</v>
      </c>
      <c r="E666" t="s">
        <v>909</v>
      </c>
    </row>
    <row r="667" spans="1:6" x14ac:dyDescent="0.25">
      <c r="A667" t="str">
        <f>"040600258960"</f>
        <v>040600258960</v>
      </c>
      <c r="B667" t="s">
        <v>917</v>
      </c>
      <c r="C667" t="s">
        <v>7</v>
      </c>
      <c r="D667" t="s">
        <v>14</v>
      </c>
      <c r="E667" t="s">
        <v>909</v>
      </c>
    </row>
    <row r="668" spans="1:6" x14ac:dyDescent="0.25">
      <c r="A668" t="str">
        <f>"040700017421"</f>
        <v>040700017421</v>
      </c>
      <c r="B668" t="s">
        <v>918</v>
      </c>
      <c r="C668" t="s">
        <v>7</v>
      </c>
      <c r="D668" t="s">
        <v>14</v>
      </c>
      <c r="E668" t="s">
        <v>909</v>
      </c>
    </row>
    <row r="669" spans="1:6" x14ac:dyDescent="0.25">
      <c r="A669" t="str">
        <f>"040866831603"</f>
        <v>040866831603</v>
      </c>
      <c r="B669" t="s">
        <v>919</v>
      </c>
      <c r="C669" t="s">
        <v>7</v>
      </c>
      <c r="D669" t="s">
        <v>14</v>
      </c>
      <c r="E669" t="s">
        <v>909</v>
      </c>
    </row>
    <row r="670" spans="1:6" x14ac:dyDescent="0.25">
      <c r="A670" t="str">
        <f>"040900566764"</f>
        <v>040900566764</v>
      </c>
      <c r="B670" t="s">
        <v>920</v>
      </c>
      <c r="C670" t="s">
        <v>7</v>
      </c>
      <c r="D670" t="s">
        <v>14</v>
      </c>
      <c r="E670" t="s">
        <v>909</v>
      </c>
    </row>
    <row r="671" spans="1:6" x14ac:dyDescent="0.25">
      <c r="A671" t="str">
        <f>"040100030082"</f>
        <v>040100030082</v>
      </c>
      <c r="B671" t="s">
        <v>921</v>
      </c>
      <c r="C671" t="s">
        <v>7</v>
      </c>
      <c r="D671" t="s">
        <v>14</v>
      </c>
      <c r="E671" t="s">
        <v>909</v>
      </c>
    </row>
    <row r="672" spans="1:6" x14ac:dyDescent="0.25">
      <c r="A672" t="str">
        <f>"040300197681"</f>
        <v>040300197681</v>
      </c>
      <c r="B672" t="s">
        <v>922</v>
      </c>
      <c r="C672" t="s">
        <v>7</v>
      </c>
      <c r="D672" t="s">
        <v>14</v>
      </c>
      <c r="E672" t="s">
        <v>909</v>
      </c>
    </row>
    <row r="673" spans="1:6" x14ac:dyDescent="0.25">
      <c r="A673" t="str">
        <f>"040301955627"</f>
        <v>040301955627</v>
      </c>
      <c r="B673" t="s">
        <v>923</v>
      </c>
      <c r="C673" t="s">
        <v>7</v>
      </c>
      <c r="D673" t="s">
        <v>14</v>
      </c>
      <c r="E673" t="s">
        <v>909</v>
      </c>
    </row>
    <row r="674" spans="1:6" x14ac:dyDescent="0.25">
      <c r="A674" t="str">
        <f>"041100275704"</f>
        <v>041100275704</v>
      </c>
      <c r="B674" t="s">
        <v>924</v>
      </c>
      <c r="C674" t="s">
        <v>7</v>
      </c>
      <c r="D674" t="s">
        <v>14</v>
      </c>
      <c r="E674" t="s">
        <v>909</v>
      </c>
    </row>
    <row r="675" spans="1:6" x14ac:dyDescent="0.25">
      <c r="A675" t="str">
        <f>"041103020729"</f>
        <v>041103020729</v>
      </c>
      <c r="B675" t="s">
        <v>925</v>
      </c>
      <c r="C675" t="s">
        <v>7</v>
      </c>
      <c r="D675" t="s">
        <v>14</v>
      </c>
      <c r="E675" t="s">
        <v>909</v>
      </c>
    </row>
    <row r="676" spans="1:6" x14ac:dyDescent="0.25">
      <c r="A676" t="str">
        <f>"2222893849"</f>
        <v>2222893849</v>
      </c>
      <c r="B676" t="s">
        <v>926</v>
      </c>
      <c r="C676" t="s">
        <v>7</v>
      </c>
      <c r="D676" t="s">
        <v>12</v>
      </c>
      <c r="E676" t="s">
        <v>909</v>
      </c>
      <c r="F676" t="s">
        <v>927</v>
      </c>
    </row>
    <row r="677" spans="1:6" x14ac:dyDescent="0.25">
      <c r="A677" t="str">
        <f>"040401741202"</f>
        <v>040401741202</v>
      </c>
      <c r="B677" t="s">
        <v>928</v>
      </c>
      <c r="C677" t="s">
        <v>7</v>
      </c>
      <c r="D677" t="s">
        <v>14</v>
      </c>
      <c r="E677" t="s">
        <v>909</v>
      </c>
    </row>
    <row r="678" spans="1:6" x14ac:dyDescent="0.25">
      <c r="A678" t="str">
        <f>"040700122088"</f>
        <v>040700122088</v>
      </c>
      <c r="B678" t="s">
        <v>929</v>
      </c>
      <c r="C678" t="s">
        <v>7</v>
      </c>
      <c r="D678" t="s">
        <v>14</v>
      </c>
      <c r="E678" t="s">
        <v>909</v>
      </c>
    </row>
    <row r="679" spans="1:6" x14ac:dyDescent="0.25">
      <c r="A679" t="str">
        <f>"0411111684"</f>
        <v>0411111684</v>
      </c>
      <c r="B679" t="s">
        <v>930</v>
      </c>
      <c r="C679" t="s">
        <v>7</v>
      </c>
      <c r="D679" t="s">
        <v>14</v>
      </c>
      <c r="E679" t="s">
        <v>909</v>
      </c>
      <c r="F679" t="s">
        <v>931</v>
      </c>
    </row>
    <row r="680" spans="1:6" x14ac:dyDescent="0.25">
      <c r="A680" t="str">
        <f>"0411145965"</f>
        <v>0411145965</v>
      </c>
      <c r="B680" t="s">
        <v>932</v>
      </c>
      <c r="C680" t="s">
        <v>7</v>
      </c>
      <c r="D680" t="s">
        <v>14</v>
      </c>
      <c r="E680" t="s">
        <v>909</v>
      </c>
      <c r="F680" t="s">
        <v>933</v>
      </c>
    </row>
    <row r="681" spans="1:6" x14ac:dyDescent="0.25">
      <c r="A681" t="str">
        <f>"0411175543"</f>
        <v>0411175543</v>
      </c>
      <c r="B681" t="s">
        <v>934</v>
      </c>
      <c r="C681" t="s">
        <v>7</v>
      </c>
      <c r="D681" t="s">
        <v>14</v>
      </c>
      <c r="E681" t="s">
        <v>909</v>
      </c>
      <c r="F681" t="s">
        <v>935</v>
      </c>
    </row>
    <row r="682" spans="1:6" x14ac:dyDescent="0.25">
      <c r="A682" t="str">
        <f>"0411166147"</f>
        <v>0411166147</v>
      </c>
      <c r="B682" t="s">
        <v>936</v>
      </c>
      <c r="C682" t="s">
        <v>7</v>
      </c>
      <c r="D682" t="s">
        <v>14</v>
      </c>
      <c r="E682" t="s">
        <v>909</v>
      </c>
      <c r="F682" t="s">
        <v>937</v>
      </c>
    </row>
    <row r="683" spans="1:6" x14ac:dyDescent="0.25">
      <c r="A683" t="str">
        <f>"0411166926"</f>
        <v>0411166926</v>
      </c>
      <c r="B683" t="s">
        <v>938</v>
      </c>
      <c r="C683" t="s">
        <v>7</v>
      </c>
      <c r="D683" t="s">
        <v>12</v>
      </c>
      <c r="E683" t="s">
        <v>909</v>
      </c>
      <c r="F683" t="s">
        <v>939</v>
      </c>
    </row>
    <row r="684" spans="1:6" x14ac:dyDescent="0.25">
      <c r="A684" t="str">
        <f>"041100130956"</f>
        <v>041100130956</v>
      </c>
      <c r="B684" t="s">
        <v>940</v>
      </c>
      <c r="C684" t="s">
        <v>7</v>
      </c>
      <c r="D684" t="s">
        <v>14</v>
      </c>
      <c r="E684" t="s">
        <v>909</v>
      </c>
    </row>
    <row r="685" spans="1:6" x14ac:dyDescent="0.25">
      <c r="A685" t="str">
        <f>"0411155240"</f>
        <v>0411155240</v>
      </c>
      <c r="B685" t="s">
        <v>941</v>
      </c>
      <c r="C685" t="s">
        <v>7</v>
      </c>
      <c r="D685" t="s">
        <v>14</v>
      </c>
      <c r="E685" t="s">
        <v>909</v>
      </c>
      <c r="F685" t="s">
        <v>942</v>
      </c>
    </row>
    <row r="686" spans="1:6" x14ac:dyDescent="0.25">
      <c r="A686" t="str">
        <f>"0411160610"</f>
        <v>0411160610</v>
      </c>
      <c r="B686" t="s">
        <v>943</v>
      </c>
      <c r="C686" t="s">
        <v>7</v>
      </c>
      <c r="D686" t="s">
        <v>12</v>
      </c>
      <c r="E686" t="s">
        <v>909</v>
      </c>
      <c r="F686" t="s">
        <v>939</v>
      </c>
    </row>
    <row r="687" spans="1:6" x14ac:dyDescent="0.25">
      <c r="A687" t="str">
        <f>"507601592407"</f>
        <v>507601592407</v>
      </c>
      <c r="B687" t="s">
        <v>944</v>
      </c>
      <c r="C687" t="s">
        <v>7</v>
      </c>
      <c r="D687" t="s">
        <v>33</v>
      </c>
      <c r="E687" t="s">
        <v>909</v>
      </c>
    </row>
    <row r="688" spans="1:6" x14ac:dyDescent="0.25">
      <c r="A688" t="str">
        <f>"772424694487"</f>
        <v>772424694487</v>
      </c>
      <c r="B688" t="s">
        <v>945</v>
      </c>
      <c r="C688" t="s">
        <v>7</v>
      </c>
      <c r="D688" t="s">
        <v>14</v>
      </c>
      <c r="E688" t="s">
        <v>946</v>
      </c>
    </row>
    <row r="689" spans="1:6" x14ac:dyDescent="0.25">
      <c r="A689" t="str">
        <f>"7728784515"</f>
        <v>7728784515</v>
      </c>
      <c r="B689" t="s">
        <v>947</v>
      </c>
      <c r="C689" t="s">
        <v>7</v>
      </c>
      <c r="D689" t="s">
        <v>33</v>
      </c>
      <c r="E689" t="s">
        <v>946</v>
      </c>
      <c r="F689" t="s">
        <v>948</v>
      </c>
    </row>
    <row r="690" spans="1:6" x14ac:dyDescent="0.25">
      <c r="A690" t="str">
        <f>"615021095238"</f>
        <v>615021095238</v>
      </c>
      <c r="B690" t="s">
        <v>949</v>
      </c>
      <c r="C690" t="s">
        <v>7</v>
      </c>
      <c r="D690" t="s">
        <v>12</v>
      </c>
      <c r="E690" t="s">
        <v>946</v>
      </c>
    </row>
    <row r="691" spans="1:6" x14ac:dyDescent="0.25">
      <c r="A691" t="str">
        <f>"052501197770"</f>
        <v>052501197770</v>
      </c>
      <c r="B691" t="s">
        <v>950</v>
      </c>
      <c r="C691" t="s">
        <v>7</v>
      </c>
      <c r="D691" t="s">
        <v>14</v>
      </c>
      <c r="E691" t="s">
        <v>946</v>
      </c>
    </row>
    <row r="692" spans="1:6" x14ac:dyDescent="0.25">
      <c r="A692" t="str">
        <f>"053600218550"</f>
        <v>053600218550</v>
      </c>
      <c r="B692" t="s">
        <v>951</v>
      </c>
      <c r="C692" t="s">
        <v>7</v>
      </c>
      <c r="D692" t="s">
        <v>33</v>
      </c>
      <c r="E692" t="s">
        <v>946</v>
      </c>
    </row>
    <row r="693" spans="1:6" x14ac:dyDescent="0.25">
      <c r="A693" t="str">
        <f>"053602138469"</f>
        <v>053602138469</v>
      </c>
      <c r="B693" t="s">
        <v>952</v>
      </c>
      <c r="C693" t="s">
        <v>7</v>
      </c>
      <c r="D693" t="s">
        <v>33</v>
      </c>
      <c r="E693" t="s">
        <v>946</v>
      </c>
    </row>
    <row r="694" spans="1:6" x14ac:dyDescent="0.25">
      <c r="A694" t="str">
        <f>"054204967363"</f>
        <v>054204967363</v>
      </c>
      <c r="B694" t="s">
        <v>953</v>
      </c>
      <c r="C694" t="s">
        <v>7</v>
      </c>
      <c r="D694" t="s">
        <v>12</v>
      </c>
      <c r="E694" t="s">
        <v>946</v>
      </c>
    </row>
    <row r="695" spans="1:6" x14ac:dyDescent="0.25">
      <c r="A695" t="str">
        <f>"054307556510"</f>
        <v>054307556510</v>
      </c>
      <c r="B695" t="s">
        <v>954</v>
      </c>
      <c r="C695" t="s">
        <v>7</v>
      </c>
      <c r="D695" t="s">
        <v>14</v>
      </c>
      <c r="E695" t="s">
        <v>946</v>
      </c>
    </row>
    <row r="696" spans="1:6" x14ac:dyDescent="0.25">
      <c r="A696" t="str">
        <f>"054400845308"</f>
        <v>054400845308</v>
      </c>
      <c r="B696" t="s">
        <v>955</v>
      </c>
      <c r="C696" t="s">
        <v>7</v>
      </c>
      <c r="D696" t="s">
        <v>14</v>
      </c>
      <c r="E696" t="s">
        <v>946</v>
      </c>
    </row>
    <row r="697" spans="1:6" x14ac:dyDescent="0.25">
      <c r="A697" t="str">
        <f>"056012071680"</f>
        <v>056012071680</v>
      </c>
      <c r="B697" t="s">
        <v>956</v>
      </c>
      <c r="C697" t="s">
        <v>7</v>
      </c>
      <c r="D697" t="s">
        <v>460</v>
      </c>
      <c r="E697" t="s">
        <v>946</v>
      </c>
    </row>
    <row r="698" spans="1:6" x14ac:dyDescent="0.25">
      <c r="A698" t="str">
        <f>"0562054445"</f>
        <v>0562054445</v>
      </c>
      <c r="B698" t="s">
        <v>957</v>
      </c>
      <c r="C698" t="s">
        <v>7</v>
      </c>
      <c r="D698" t="s">
        <v>12</v>
      </c>
      <c r="E698" t="s">
        <v>946</v>
      </c>
      <c r="F698" t="s">
        <v>958</v>
      </c>
    </row>
    <row r="699" spans="1:6" x14ac:dyDescent="0.25">
      <c r="A699" t="str">
        <f>"051001511795"</f>
        <v>051001511795</v>
      </c>
      <c r="B699" t="s">
        <v>959</v>
      </c>
      <c r="C699" t="s">
        <v>7</v>
      </c>
      <c r="D699" t="s">
        <v>14</v>
      </c>
      <c r="E699" t="s">
        <v>946</v>
      </c>
    </row>
    <row r="700" spans="1:6" x14ac:dyDescent="0.25">
      <c r="A700" t="str">
        <f>"053405820665"</f>
        <v>053405820665</v>
      </c>
      <c r="B700" t="s">
        <v>960</v>
      </c>
      <c r="C700" t="s">
        <v>7</v>
      </c>
      <c r="D700" t="s">
        <v>14</v>
      </c>
      <c r="E700" t="s">
        <v>946</v>
      </c>
    </row>
    <row r="701" spans="1:6" x14ac:dyDescent="0.25">
      <c r="A701" t="str">
        <f>"0543000797"</f>
        <v>0543000797</v>
      </c>
      <c r="B701" t="s">
        <v>961</v>
      </c>
      <c r="C701" t="s">
        <v>7</v>
      </c>
      <c r="D701" t="s">
        <v>14</v>
      </c>
      <c r="E701" t="s">
        <v>946</v>
      </c>
      <c r="F701" t="s">
        <v>962</v>
      </c>
    </row>
    <row r="702" spans="1:6" x14ac:dyDescent="0.25">
      <c r="A702" t="str">
        <f>"054503639730"</f>
        <v>054503639730</v>
      </c>
      <c r="B702" t="s">
        <v>963</v>
      </c>
      <c r="C702" t="s">
        <v>7</v>
      </c>
      <c r="D702" t="s">
        <v>14</v>
      </c>
      <c r="E702" t="s">
        <v>946</v>
      </c>
    </row>
    <row r="703" spans="1:6" x14ac:dyDescent="0.25">
      <c r="A703" t="str">
        <f>"0547009712"</f>
        <v>0547009712</v>
      </c>
      <c r="B703" t="s">
        <v>964</v>
      </c>
      <c r="C703" t="s">
        <v>7</v>
      </c>
      <c r="D703" t="s">
        <v>14</v>
      </c>
      <c r="E703" t="s">
        <v>946</v>
      </c>
      <c r="F703" t="s">
        <v>965</v>
      </c>
    </row>
    <row r="704" spans="1:6" x14ac:dyDescent="0.25">
      <c r="A704" t="str">
        <f>"054703438870"</f>
        <v>054703438870</v>
      </c>
      <c r="B704" t="s">
        <v>966</v>
      </c>
      <c r="C704" t="s">
        <v>7</v>
      </c>
      <c r="D704" t="s">
        <v>14</v>
      </c>
      <c r="E704" t="s">
        <v>946</v>
      </c>
    </row>
    <row r="705" spans="1:6" x14ac:dyDescent="0.25">
      <c r="A705" t="str">
        <f>"0560032164"</f>
        <v>0560032164</v>
      </c>
      <c r="B705" t="s">
        <v>967</v>
      </c>
      <c r="C705" t="s">
        <v>7</v>
      </c>
      <c r="D705" t="s">
        <v>12</v>
      </c>
      <c r="E705" t="s">
        <v>946</v>
      </c>
      <c r="F705" t="s">
        <v>968</v>
      </c>
    </row>
    <row r="706" spans="1:6" x14ac:dyDescent="0.25">
      <c r="A706" t="str">
        <f>"056102775176"</f>
        <v>056102775176</v>
      </c>
      <c r="B706" t="s">
        <v>969</v>
      </c>
      <c r="C706" t="s">
        <v>7</v>
      </c>
      <c r="D706" t="s">
        <v>12</v>
      </c>
      <c r="E706" t="s">
        <v>946</v>
      </c>
    </row>
    <row r="707" spans="1:6" x14ac:dyDescent="0.25">
      <c r="A707" t="str">
        <f>"056116094836"</f>
        <v>056116094836</v>
      </c>
      <c r="B707" t="s">
        <v>970</v>
      </c>
      <c r="C707" t="s">
        <v>7</v>
      </c>
      <c r="D707" t="s">
        <v>14</v>
      </c>
      <c r="E707" t="s">
        <v>946</v>
      </c>
    </row>
    <row r="708" spans="1:6" x14ac:dyDescent="0.25">
      <c r="A708" t="str">
        <f>"056210493115"</f>
        <v>056210493115</v>
      </c>
      <c r="B708" t="s">
        <v>971</v>
      </c>
      <c r="C708" t="s">
        <v>7</v>
      </c>
      <c r="D708" t="s">
        <v>12</v>
      </c>
      <c r="E708" t="s">
        <v>946</v>
      </c>
    </row>
    <row r="709" spans="1:6" x14ac:dyDescent="0.25">
      <c r="A709" t="str">
        <f>"057303438817"</f>
        <v>057303438817</v>
      </c>
      <c r="B709" t="s">
        <v>972</v>
      </c>
      <c r="C709" t="s">
        <v>7</v>
      </c>
      <c r="D709" t="s">
        <v>12</v>
      </c>
      <c r="E709" t="s">
        <v>946</v>
      </c>
    </row>
    <row r="710" spans="1:6" x14ac:dyDescent="0.25">
      <c r="A710" t="str">
        <f>"050400030604"</f>
        <v>050400030604</v>
      </c>
      <c r="B710" t="s">
        <v>973</v>
      </c>
      <c r="C710" t="s">
        <v>7</v>
      </c>
      <c r="D710" t="s">
        <v>14</v>
      </c>
      <c r="E710" t="s">
        <v>946</v>
      </c>
    </row>
    <row r="711" spans="1:6" x14ac:dyDescent="0.25">
      <c r="A711" t="str">
        <f>"050402994428"</f>
        <v>050402994428</v>
      </c>
      <c r="B711" t="s">
        <v>974</v>
      </c>
      <c r="C711" t="s">
        <v>7</v>
      </c>
      <c r="D711" t="s">
        <v>14</v>
      </c>
      <c r="E711" t="s">
        <v>946</v>
      </c>
    </row>
    <row r="712" spans="1:6" x14ac:dyDescent="0.25">
      <c r="A712" t="str">
        <f>"0512084116"</f>
        <v>0512084116</v>
      </c>
      <c r="B712" t="s">
        <v>975</v>
      </c>
      <c r="C712" t="s">
        <v>7</v>
      </c>
      <c r="D712" t="s">
        <v>14</v>
      </c>
      <c r="E712" t="s">
        <v>946</v>
      </c>
      <c r="F712" t="s">
        <v>976</v>
      </c>
    </row>
    <row r="713" spans="1:6" x14ac:dyDescent="0.25">
      <c r="A713" t="str">
        <f>"0516012240"</f>
        <v>0516012240</v>
      </c>
      <c r="B713" t="s">
        <v>977</v>
      </c>
      <c r="C713" t="s">
        <v>7</v>
      </c>
      <c r="D713" t="s">
        <v>12</v>
      </c>
      <c r="E713" t="s">
        <v>946</v>
      </c>
      <c r="F713" t="s">
        <v>978</v>
      </c>
    </row>
    <row r="714" spans="1:6" x14ac:dyDescent="0.25">
      <c r="A714" t="str">
        <f>"052205673309"</f>
        <v>052205673309</v>
      </c>
      <c r="B714" t="s">
        <v>979</v>
      </c>
      <c r="C714" t="s">
        <v>7</v>
      </c>
      <c r="D714" t="s">
        <v>14</v>
      </c>
      <c r="E714" t="s">
        <v>946</v>
      </c>
    </row>
    <row r="715" spans="1:6" x14ac:dyDescent="0.25">
      <c r="A715" t="str">
        <f>"0533018805"</f>
        <v>0533018805</v>
      </c>
      <c r="B715" t="s">
        <v>980</v>
      </c>
      <c r="C715" t="s">
        <v>7</v>
      </c>
      <c r="D715" t="s">
        <v>8</v>
      </c>
      <c r="E715" t="s">
        <v>946</v>
      </c>
      <c r="F715" t="s">
        <v>981</v>
      </c>
    </row>
    <row r="716" spans="1:6" x14ac:dyDescent="0.25">
      <c r="A716" t="str">
        <f>"0544011576"</f>
        <v>0544011576</v>
      </c>
      <c r="B716" t="s">
        <v>982</v>
      </c>
      <c r="C716" t="s">
        <v>7</v>
      </c>
      <c r="D716" t="s">
        <v>14</v>
      </c>
      <c r="E716" t="s">
        <v>946</v>
      </c>
      <c r="F716" t="s">
        <v>983</v>
      </c>
    </row>
    <row r="717" spans="1:6" x14ac:dyDescent="0.25">
      <c r="A717" t="str">
        <f>"054700492501"</f>
        <v>054700492501</v>
      </c>
      <c r="B717" t="s">
        <v>984</v>
      </c>
      <c r="C717" t="s">
        <v>7</v>
      </c>
      <c r="D717" t="s">
        <v>12</v>
      </c>
      <c r="E717" t="s">
        <v>946</v>
      </c>
    </row>
    <row r="718" spans="1:6" x14ac:dyDescent="0.25">
      <c r="A718" t="str">
        <f>"055200576378"</f>
        <v>055200576378</v>
      </c>
      <c r="B718" t="s">
        <v>985</v>
      </c>
      <c r="C718" t="s">
        <v>7</v>
      </c>
      <c r="D718" t="s">
        <v>586</v>
      </c>
      <c r="E718" t="s">
        <v>946</v>
      </c>
    </row>
    <row r="719" spans="1:6" x14ac:dyDescent="0.25">
      <c r="A719" t="str">
        <f>"056101266063"</f>
        <v>056101266063</v>
      </c>
      <c r="B719" t="s">
        <v>986</v>
      </c>
      <c r="C719" t="s">
        <v>7</v>
      </c>
      <c r="D719" t="s">
        <v>14</v>
      </c>
      <c r="E719" t="s">
        <v>946</v>
      </c>
    </row>
    <row r="720" spans="1:6" x14ac:dyDescent="0.25">
      <c r="A720" t="str">
        <f>"0572033290"</f>
        <v>0572033290</v>
      </c>
      <c r="B720" t="s">
        <v>987</v>
      </c>
      <c r="C720" t="s">
        <v>7</v>
      </c>
      <c r="D720" t="s">
        <v>12</v>
      </c>
      <c r="E720" t="s">
        <v>946</v>
      </c>
      <c r="F720" t="s">
        <v>988</v>
      </c>
    </row>
    <row r="721" spans="1:6" x14ac:dyDescent="0.25">
      <c r="A721" t="str">
        <f>"263012643855"</f>
        <v>263012643855</v>
      </c>
      <c r="B721" t="s">
        <v>989</v>
      </c>
      <c r="C721" t="s">
        <v>7</v>
      </c>
      <c r="D721" t="s">
        <v>12</v>
      </c>
      <c r="E721" t="s">
        <v>946</v>
      </c>
    </row>
    <row r="722" spans="1:6" x14ac:dyDescent="0.25">
      <c r="A722" t="str">
        <f>"760211273004"</f>
        <v>760211273004</v>
      </c>
      <c r="B722" t="s">
        <v>990</v>
      </c>
      <c r="C722" t="s">
        <v>7</v>
      </c>
      <c r="D722" t="s">
        <v>14</v>
      </c>
      <c r="E722" t="s">
        <v>946</v>
      </c>
    </row>
    <row r="723" spans="1:6" x14ac:dyDescent="0.25">
      <c r="A723" t="str">
        <f>"0600015312"</f>
        <v>0600015312</v>
      </c>
      <c r="B723" t="s">
        <v>991</v>
      </c>
      <c r="C723" t="s">
        <v>7</v>
      </c>
      <c r="D723" t="s">
        <v>14</v>
      </c>
      <c r="E723" t="s">
        <v>992</v>
      </c>
      <c r="F723" t="s">
        <v>993</v>
      </c>
    </row>
    <row r="724" spans="1:6" x14ac:dyDescent="0.25">
      <c r="A724" t="str">
        <f>"0600019067"</f>
        <v>0600019067</v>
      </c>
      <c r="B724" t="s">
        <v>994</v>
      </c>
      <c r="C724" t="s">
        <v>7</v>
      </c>
      <c r="D724" t="s">
        <v>14</v>
      </c>
      <c r="E724" t="s">
        <v>992</v>
      </c>
      <c r="F724" t="s">
        <v>995</v>
      </c>
    </row>
    <row r="725" spans="1:6" x14ac:dyDescent="0.25">
      <c r="A725" t="str">
        <f>"060390382223"</f>
        <v>060390382223</v>
      </c>
      <c r="B725" t="s">
        <v>996</v>
      </c>
      <c r="C725" t="s">
        <v>7</v>
      </c>
      <c r="D725" t="s">
        <v>12</v>
      </c>
      <c r="E725" t="s">
        <v>992</v>
      </c>
    </row>
    <row r="726" spans="1:6" x14ac:dyDescent="0.25">
      <c r="A726" t="str">
        <f>"0600003349"</f>
        <v>0600003349</v>
      </c>
      <c r="B726" t="s">
        <v>997</v>
      </c>
      <c r="C726" t="s">
        <v>7</v>
      </c>
      <c r="D726" t="s">
        <v>189</v>
      </c>
      <c r="E726" t="s">
        <v>992</v>
      </c>
      <c r="F726" t="s">
        <v>998</v>
      </c>
    </row>
    <row r="727" spans="1:6" x14ac:dyDescent="0.25">
      <c r="A727" t="str">
        <f>"070804991846"</f>
        <v>070804991846</v>
      </c>
      <c r="B727" t="s">
        <v>999</v>
      </c>
      <c r="C727" t="s">
        <v>7</v>
      </c>
      <c r="D727" t="s">
        <v>14</v>
      </c>
      <c r="E727" t="s">
        <v>1000</v>
      </c>
    </row>
    <row r="728" spans="1:6" x14ac:dyDescent="0.25">
      <c r="A728" t="str">
        <f>"071410004301"</f>
        <v>071410004301</v>
      </c>
      <c r="B728" t="s">
        <v>1001</v>
      </c>
      <c r="C728" t="s">
        <v>7</v>
      </c>
      <c r="D728" t="s">
        <v>33</v>
      </c>
      <c r="E728" t="s">
        <v>1000</v>
      </c>
    </row>
    <row r="729" spans="1:6" x14ac:dyDescent="0.25">
      <c r="A729" t="str">
        <f>"0716009710"</f>
        <v>0716009710</v>
      </c>
      <c r="B729" t="s">
        <v>1002</v>
      </c>
      <c r="C729" t="s">
        <v>7</v>
      </c>
      <c r="D729" t="s">
        <v>12</v>
      </c>
      <c r="E729" t="s">
        <v>1000</v>
      </c>
      <c r="F729" t="s">
        <v>1003</v>
      </c>
    </row>
    <row r="730" spans="1:6" x14ac:dyDescent="0.25">
      <c r="A730" t="str">
        <f>"070301710841"</f>
        <v>070301710841</v>
      </c>
      <c r="B730" t="s">
        <v>1004</v>
      </c>
      <c r="C730" t="s">
        <v>7</v>
      </c>
      <c r="D730" t="s">
        <v>14</v>
      </c>
      <c r="E730" t="s">
        <v>1000</v>
      </c>
    </row>
    <row r="731" spans="1:6" x14ac:dyDescent="0.25">
      <c r="A731" t="str">
        <f>"071511427617"</f>
        <v>071511427617</v>
      </c>
      <c r="B731" t="s">
        <v>1005</v>
      </c>
      <c r="C731" t="s">
        <v>7</v>
      </c>
      <c r="D731" t="s">
        <v>12</v>
      </c>
      <c r="E731" t="s">
        <v>1000</v>
      </c>
    </row>
    <row r="732" spans="1:6" x14ac:dyDescent="0.25">
      <c r="A732" t="str">
        <f>"071603998441"</f>
        <v>071603998441</v>
      </c>
      <c r="B732" t="s">
        <v>1006</v>
      </c>
      <c r="C732" t="s">
        <v>7</v>
      </c>
      <c r="D732" t="s">
        <v>14</v>
      </c>
      <c r="E732" t="s">
        <v>1000</v>
      </c>
    </row>
    <row r="733" spans="1:6" x14ac:dyDescent="0.25">
      <c r="A733" t="str">
        <f>"071605318606"</f>
        <v>071605318606</v>
      </c>
      <c r="B733" t="s">
        <v>1007</v>
      </c>
      <c r="C733" t="s">
        <v>7</v>
      </c>
      <c r="D733" t="s">
        <v>28</v>
      </c>
      <c r="E733" t="s">
        <v>1000</v>
      </c>
    </row>
    <row r="734" spans="1:6" x14ac:dyDescent="0.25">
      <c r="A734" t="str">
        <f>"0721009240"</f>
        <v>0721009240</v>
      </c>
      <c r="B734" t="s">
        <v>1008</v>
      </c>
      <c r="C734" t="s">
        <v>7</v>
      </c>
      <c r="D734" t="s">
        <v>12</v>
      </c>
      <c r="E734" t="s">
        <v>1000</v>
      </c>
      <c r="F734" t="s">
        <v>1009</v>
      </c>
    </row>
    <row r="735" spans="1:6" x14ac:dyDescent="0.25">
      <c r="A735" t="str">
        <f>"0725025549"</f>
        <v>0725025549</v>
      </c>
      <c r="B735" t="s">
        <v>1010</v>
      </c>
      <c r="C735" t="s">
        <v>7</v>
      </c>
      <c r="D735" t="s">
        <v>12</v>
      </c>
      <c r="E735" t="s">
        <v>1000</v>
      </c>
      <c r="F735" t="s">
        <v>1011</v>
      </c>
    </row>
    <row r="736" spans="1:6" x14ac:dyDescent="0.25">
      <c r="A736" t="str">
        <f>"0725028878"</f>
        <v>0725028878</v>
      </c>
      <c r="B736" t="s">
        <v>1012</v>
      </c>
      <c r="C736" t="s">
        <v>7</v>
      </c>
      <c r="D736" t="s">
        <v>14</v>
      </c>
      <c r="E736" t="s">
        <v>1000</v>
      </c>
      <c r="F736" t="s">
        <v>1013</v>
      </c>
    </row>
    <row r="737" spans="1:6" x14ac:dyDescent="0.25">
      <c r="A737" t="str">
        <f>"070501215259"</f>
        <v>070501215259</v>
      </c>
      <c r="B737" t="s">
        <v>1014</v>
      </c>
      <c r="C737" t="s">
        <v>7</v>
      </c>
      <c r="D737" t="s">
        <v>14</v>
      </c>
      <c r="E737" t="s">
        <v>1000</v>
      </c>
    </row>
    <row r="738" spans="1:6" x14ac:dyDescent="0.25">
      <c r="A738" t="str">
        <f>"0711034141"</f>
        <v>0711034141</v>
      </c>
      <c r="B738" t="s">
        <v>1015</v>
      </c>
      <c r="C738" t="s">
        <v>7</v>
      </c>
      <c r="D738" t="s">
        <v>14</v>
      </c>
      <c r="E738" t="s">
        <v>1000</v>
      </c>
      <c r="F738" t="s">
        <v>1016</v>
      </c>
    </row>
    <row r="739" spans="1:6" x14ac:dyDescent="0.25">
      <c r="A739" t="str">
        <f>"071600691236"</f>
        <v>071600691236</v>
      </c>
      <c r="B739" t="s">
        <v>1017</v>
      </c>
      <c r="C739" t="s">
        <v>7</v>
      </c>
      <c r="D739" t="s">
        <v>14</v>
      </c>
      <c r="E739" t="s">
        <v>1000</v>
      </c>
    </row>
    <row r="740" spans="1:6" x14ac:dyDescent="0.25">
      <c r="A740" t="str">
        <f>"0716009406"</f>
        <v>0716009406</v>
      </c>
      <c r="B740" t="s">
        <v>1018</v>
      </c>
      <c r="C740" t="s">
        <v>7</v>
      </c>
      <c r="D740" t="s">
        <v>33</v>
      </c>
      <c r="E740" t="s">
        <v>1000</v>
      </c>
      <c r="F740" t="s">
        <v>1019</v>
      </c>
    </row>
    <row r="741" spans="1:6" x14ac:dyDescent="0.25">
      <c r="A741" t="str">
        <f>"502727653507"</f>
        <v>502727653507</v>
      </c>
      <c r="B741" t="s">
        <v>1020</v>
      </c>
      <c r="C741" t="s">
        <v>7</v>
      </c>
      <c r="D741" t="s">
        <v>8</v>
      </c>
      <c r="E741" t="s">
        <v>1021</v>
      </c>
    </row>
    <row r="742" spans="1:6" x14ac:dyDescent="0.25">
      <c r="A742" t="str">
        <f>"0800018014"</f>
        <v>0800018014</v>
      </c>
      <c r="B742" t="s">
        <v>1022</v>
      </c>
      <c r="C742" t="s">
        <v>7</v>
      </c>
      <c r="D742" t="s">
        <v>14</v>
      </c>
      <c r="E742" t="s">
        <v>1021</v>
      </c>
      <c r="F742" t="s">
        <v>1023</v>
      </c>
    </row>
    <row r="743" spans="1:6" x14ac:dyDescent="0.25">
      <c r="A743" t="str">
        <f>"080301013533"</f>
        <v>080301013533</v>
      </c>
      <c r="B743" t="s">
        <v>1024</v>
      </c>
      <c r="C743" t="s">
        <v>7</v>
      </c>
      <c r="D743" t="s">
        <v>14</v>
      </c>
      <c r="E743" t="s">
        <v>1021</v>
      </c>
    </row>
    <row r="744" spans="1:6" x14ac:dyDescent="0.25">
      <c r="A744" t="str">
        <f>"081201543289"</f>
        <v>081201543289</v>
      </c>
      <c r="B744" t="s">
        <v>1025</v>
      </c>
      <c r="C744" t="s">
        <v>7</v>
      </c>
      <c r="D744" t="s">
        <v>12</v>
      </c>
      <c r="E744" t="s">
        <v>1021</v>
      </c>
    </row>
    <row r="745" spans="1:6" x14ac:dyDescent="0.25">
      <c r="A745" t="str">
        <f>"201470361115"</f>
        <v>201470361115</v>
      </c>
      <c r="B745" t="s">
        <v>1026</v>
      </c>
      <c r="C745" t="s">
        <v>7</v>
      </c>
      <c r="D745" t="s">
        <v>8</v>
      </c>
      <c r="E745" t="s">
        <v>1021</v>
      </c>
    </row>
    <row r="746" spans="1:6" x14ac:dyDescent="0.25">
      <c r="A746" t="str">
        <f>"615302524517"</f>
        <v>615302524517</v>
      </c>
      <c r="B746" t="s">
        <v>1027</v>
      </c>
      <c r="C746" t="s">
        <v>7</v>
      </c>
      <c r="D746" t="s">
        <v>14</v>
      </c>
      <c r="E746" t="s">
        <v>1021</v>
      </c>
    </row>
    <row r="747" spans="1:6" x14ac:dyDescent="0.25">
      <c r="A747" t="str">
        <f>"620802583405"</f>
        <v>620802583405</v>
      </c>
      <c r="B747" t="s">
        <v>1028</v>
      </c>
      <c r="C747" t="s">
        <v>7</v>
      </c>
      <c r="D747" t="s">
        <v>33</v>
      </c>
      <c r="E747" t="s">
        <v>1021</v>
      </c>
    </row>
    <row r="748" spans="1:6" x14ac:dyDescent="0.25">
      <c r="A748" t="str">
        <f>"344221837503"</f>
        <v>344221837503</v>
      </c>
      <c r="B748" t="s">
        <v>1029</v>
      </c>
      <c r="C748" t="s">
        <v>7</v>
      </c>
      <c r="D748" t="s">
        <v>14</v>
      </c>
      <c r="E748" t="s">
        <v>1021</v>
      </c>
    </row>
    <row r="749" spans="1:6" x14ac:dyDescent="0.25">
      <c r="A749" t="str">
        <f>"343100002868"</f>
        <v>343100002868</v>
      </c>
      <c r="B749" t="s">
        <v>1030</v>
      </c>
      <c r="C749" t="s">
        <v>7</v>
      </c>
      <c r="D749" t="s">
        <v>12</v>
      </c>
      <c r="E749" t="s">
        <v>1021</v>
      </c>
    </row>
    <row r="750" spans="1:6" x14ac:dyDescent="0.25">
      <c r="A750" t="str">
        <f>"343509282188"</f>
        <v>343509282188</v>
      </c>
      <c r="B750" t="s">
        <v>1031</v>
      </c>
      <c r="C750" t="s">
        <v>7</v>
      </c>
      <c r="D750" t="s">
        <v>14</v>
      </c>
      <c r="E750" t="s">
        <v>1021</v>
      </c>
    </row>
    <row r="751" spans="1:6" x14ac:dyDescent="0.25">
      <c r="A751" t="str">
        <f>"344200226207"</f>
        <v>344200226207</v>
      </c>
      <c r="B751" t="s">
        <v>1032</v>
      </c>
      <c r="C751" t="s">
        <v>7</v>
      </c>
      <c r="D751" t="s">
        <v>33</v>
      </c>
      <c r="E751" t="s">
        <v>1021</v>
      </c>
    </row>
    <row r="752" spans="1:6" x14ac:dyDescent="0.25">
      <c r="A752" t="str">
        <f>"344602131241"</f>
        <v>344602131241</v>
      </c>
      <c r="B752" t="s">
        <v>1033</v>
      </c>
      <c r="C752" t="s">
        <v>7</v>
      </c>
      <c r="D752" t="s">
        <v>14</v>
      </c>
      <c r="E752" t="s">
        <v>1021</v>
      </c>
    </row>
    <row r="753" spans="1:6" x14ac:dyDescent="0.25">
      <c r="A753" t="str">
        <f>"540811563941"</f>
        <v>540811563941</v>
      </c>
      <c r="B753" t="s">
        <v>1034</v>
      </c>
      <c r="C753" t="s">
        <v>7</v>
      </c>
      <c r="D753" t="s">
        <v>14</v>
      </c>
      <c r="E753" t="s">
        <v>1021</v>
      </c>
    </row>
    <row r="754" spans="1:6" x14ac:dyDescent="0.25">
      <c r="A754" t="str">
        <f>"773770909500"</f>
        <v>773770909500</v>
      </c>
      <c r="B754" t="s">
        <v>1035</v>
      </c>
      <c r="C754" t="s">
        <v>7</v>
      </c>
      <c r="D754" t="s">
        <v>14</v>
      </c>
      <c r="E754" t="s">
        <v>1021</v>
      </c>
    </row>
    <row r="755" spans="1:6" x14ac:dyDescent="0.25">
      <c r="A755" t="str">
        <f>"222514576637"</f>
        <v>222514576637</v>
      </c>
      <c r="B755" t="s">
        <v>1036</v>
      </c>
      <c r="C755" t="s">
        <v>7</v>
      </c>
      <c r="D755" t="s">
        <v>12</v>
      </c>
      <c r="E755" t="s">
        <v>1021</v>
      </c>
    </row>
    <row r="756" spans="1:6" x14ac:dyDescent="0.25">
      <c r="A756" t="str">
        <f>"780422762254"</f>
        <v>780422762254</v>
      </c>
      <c r="B756" t="s">
        <v>1037</v>
      </c>
      <c r="C756" t="s">
        <v>7</v>
      </c>
      <c r="D756" t="s">
        <v>33</v>
      </c>
      <c r="E756" t="s">
        <v>1021</v>
      </c>
    </row>
    <row r="757" spans="1:6" x14ac:dyDescent="0.25">
      <c r="A757" t="str">
        <f>"0800020366"</f>
        <v>0800020366</v>
      </c>
      <c r="B757" t="s">
        <v>1038</v>
      </c>
      <c r="C757" t="s">
        <v>7</v>
      </c>
      <c r="D757" t="s">
        <v>14</v>
      </c>
      <c r="E757" t="s">
        <v>1021</v>
      </c>
      <c r="F757" t="s">
        <v>1039</v>
      </c>
    </row>
    <row r="758" spans="1:6" x14ac:dyDescent="0.25">
      <c r="A758" t="str">
        <f>"080300035326"</f>
        <v>080300035326</v>
      </c>
      <c r="B758" t="s">
        <v>1040</v>
      </c>
      <c r="C758" t="s">
        <v>7</v>
      </c>
      <c r="D758" t="s">
        <v>14</v>
      </c>
      <c r="E758" t="s">
        <v>1021</v>
      </c>
    </row>
    <row r="759" spans="1:6" x14ac:dyDescent="0.25">
      <c r="A759" t="str">
        <f>"080301055660"</f>
        <v>080301055660</v>
      </c>
      <c r="B759" t="s">
        <v>1041</v>
      </c>
      <c r="C759" t="s">
        <v>7</v>
      </c>
      <c r="D759" t="s">
        <v>14</v>
      </c>
      <c r="E759" t="s">
        <v>1021</v>
      </c>
    </row>
    <row r="760" spans="1:6" x14ac:dyDescent="0.25">
      <c r="A760" t="str">
        <f>"081408886557"</f>
        <v>081408886557</v>
      </c>
      <c r="B760" t="s">
        <v>1042</v>
      </c>
      <c r="C760" t="s">
        <v>7</v>
      </c>
      <c r="D760" t="s">
        <v>14</v>
      </c>
      <c r="E760" t="s">
        <v>1021</v>
      </c>
    </row>
    <row r="761" spans="1:6" x14ac:dyDescent="0.25">
      <c r="A761" t="str">
        <f>"081409177306"</f>
        <v>081409177306</v>
      </c>
      <c r="B761" t="s">
        <v>1043</v>
      </c>
      <c r="C761" t="s">
        <v>7</v>
      </c>
      <c r="D761" t="s">
        <v>14</v>
      </c>
      <c r="E761" t="s">
        <v>1021</v>
      </c>
    </row>
    <row r="762" spans="1:6" x14ac:dyDescent="0.25">
      <c r="A762" t="str">
        <f>"081600737247"</f>
        <v>081600737247</v>
      </c>
      <c r="B762" t="s">
        <v>1044</v>
      </c>
      <c r="C762" t="s">
        <v>7</v>
      </c>
      <c r="D762" t="s">
        <v>14</v>
      </c>
      <c r="E762" t="s">
        <v>1021</v>
      </c>
    </row>
    <row r="763" spans="1:6" x14ac:dyDescent="0.25">
      <c r="A763" t="str">
        <f>"081701843509"</f>
        <v>081701843509</v>
      </c>
      <c r="B763" t="s">
        <v>1045</v>
      </c>
      <c r="C763" t="s">
        <v>7</v>
      </c>
      <c r="D763" t="s">
        <v>14</v>
      </c>
      <c r="E763" t="s">
        <v>1021</v>
      </c>
    </row>
    <row r="764" spans="1:6" x14ac:dyDescent="0.25">
      <c r="A764" t="str">
        <f>"081000529069"</f>
        <v>081000529069</v>
      </c>
      <c r="B764" t="s">
        <v>1046</v>
      </c>
      <c r="C764" t="s">
        <v>7</v>
      </c>
      <c r="D764" t="s">
        <v>14</v>
      </c>
      <c r="E764" t="s">
        <v>1021</v>
      </c>
    </row>
    <row r="765" spans="1:6" x14ac:dyDescent="0.25">
      <c r="A765" t="str">
        <f>"081400407844"</f>
        <v>081400407844</v>
      </c>
      <c r="B765" t="s">
        <v>1047</v>
      </c>
      <c r="C765" t="s">
        <v>7</v>
      </c>
      <c r="D765" t="s">
        <v>14</v>
      </c>
      <c r="E765" t="s">
        <v>1021</v>
      </c>
    </row>
    <row r="766" spans="1:6" x14ac:dyDescent="0.25">
      <c r="A766" t="str">
        <f>"081400967878"</f>
        <v>081400967878</v>
      </c>
      <c r="B766" t="s">
        <v>1048</v>
      </c>
      <c r="C766" t="s">
        <v>7</v>
      </c>
      <c r="D766" t="s">
        <v>14</v>
      </c>
      <c r="E766" t="s">
        <v>1021</v>
      </c>
    </row>
    <row r="767" spans="1:6" x14ac:dyDescent="0.25">
      <c r="A767" t="str">
        <f>"081401982283"</f>
        <v>081401982283</v>
      </c>
      <c r="B767" t="s">
        <v>1049</v>
      </c>
      <c r="C767" t="s">
        <v>7</v>
      </c>
      <c r="D767" t="s">
        <v>14</v>
      </c>
      <c r="E767" t="s">
        <v>1021</v>
      </c>
    </row>
    <row r="768" spans="1:6" x14ac:dyDescent="0.25">
      <c r="A768" t="str">
        <f>"081408697334"</f>
        <v>081408697334</v>
      </c>
      <c r="B768" t="s">
        <v>1050</v>
      </c>
      <c r="C768" t="s">
        <v>7</v>
      </c>
      <c r="D768" t="s">
        <v>14</v>
      </c>
      <c r="E768" t="s">
        <v>1021</v>
      </c>
    </row>
    <row r="769" spans="1:6" x14ac:dyDescent="0.25">
      <c r="A769" t="str">
        <f>"081409652368"</f>
        <v>081409652368</v>
      </c>
      <c r="B769" t="s">
        <v>1051</v>
      </c>
      <c r="C769" t="s">
        <v>7</v>
      </c>
      <c r="D769" t="s">
        <v>14</v>
      </c>
      <c r="E769" t="s">
        <v>1021</v>
      </c>
    </row>
    <row r="770" spans="1:6" x14ac:dyDescent="0.25">
      <c r="A770" t="str">
        <f>"081702483009"</f>
        <v>081702483009</v>
      </c>
      <c r="B770" t="s">
        <v>1052</v>
      </c>
      <c r="C770" t="s">
        <v>7</v>
      </c>
      <c r="D770" t="s">
        <v>12</v>
      </c>
      <c r="E770" t="s">
        <v>1021</v>
      </c>
    </row>
    <row r="771" spans="1:6" x14ac:dyDescent="0.25">
      <c r="A771" t="str">
        <f>"262517500663"</f>
        <v>262517500663</v>
      </c>
      <c r="B771" t="s">
        <v>1053</v>
      </c>
      <c r="C771" t="s">
        <v>7</v>
      </c>
      <c r="D771" t="s">
        <v>14</v>
      </c>
      <c r="E771" t="s">
        <v>1021</v>
      </c>
    </row>
    <row r="772" spans="1:6" x14ac:dyDescent="0.25">
      <c r="A772" t="str">
        <f>"262519082965"</f>
        <v>262519082965</v>
      </c>
      <c r="B772" t="s">
        <v>1054</v>
      </c>
      <c r="C772" t="s">
        <v>7</v>
      </c>
      <c r="D772" t="s">
        <v>33</v>
      </c>
      <c r="E772" t="s">
        <v>1021</v>
      </c>
    </row>
    <row r="773" spans="1:6" x14ac:dyDescent="0.25">
      <c r="A773" t="str">
        <f>"3665109282"</f>
        <v>3665109282</v>
      </c>
      <c r="B773" t="s">
        <v>1055</v>
      </c>
      <c r="C773" t="s">
        <v>7</v>
      </c>
      <c r="D773" t="s">
        <v>12</v>
      </c>
      <c r="E773" t="s">
        <v>1021</v>
      </c>
      <c r="F773" t="s">
        <v>1056</v>
      </c>
    </row>
    <row r="774" spans="1:6" x14ac:dyDescent="0.25">
      <c r="A774" t="str">
        <f>"081402924608"</f>
        <v>081402924608</v>
      </c>
      <c r="B774" t="s">
        <v>1057</v>
      </c>
      <c r="C774" t="s">
        <v>7</v>
      </c>
      <c r="D774" t="s">
        <v>14</v>
      </c>
      <c r="E774" t="s">
        <v>1021</v>
      </c>
    </row>
    <row r="775" spans="1:6" x14ac:dyDescent="0.25">
      <c r="A775" t="str">
        <f>"081407754117"</f>
        <v>081407754117</v>
      </c>
      <c r="B775" t="s">
        <v>1058</v>
      </c>
      <c r="C775" t="s">
        <v>7</v>
      </c>
      <c r="D775" t="s">
        <v>14</v>
      </c>
      <c r="E775" t="s">
        <v>1021</v>
      </c>
    </row>
    <row r="776" spans="1:6" x14ac:dyDescent="0.25">
      <c r="A776" t="str">
        <f>"081408657148"</f>
        <v>081408657148</v>
      </c>
      <c r="B776" t="s">
        <v>1059</v>
      </c>
      <c r="C776" t="s">
        <v>7</v>
      </c>
      <c r="D776" t="s">
        <v>14</v>
      </c>
      <c r="E776" t="s">
        <v>1021</v>
      </c>
    </row>
    <row r="777" spans="1:6" x14ac:dyDescent="0.25">
      <c r="A777" t="str">
        <f>"081600003493"</f>
        <v>081600003493</v>
      </c>
      <c r="B777" t="s">
        <v>1060</v>
      </c>
      <c r="C777" t="s">
        <v>7</v>
      </c>
      <c r="D777" t="s">
        <v>14</v>
      </c>
      <c r="E777" t="s">
        <v>1021</v>
      </c>
    </row>
    <row r="778" spans="1:6" x14ac:dyDescent="0.25">
      <c r="A778" t="str">
        <f>"560503646307"</f>
        <v>560503646307</v>
      </c>
      <c r="B778" t="s">
        <v>1061</v>
      </c>
      <c r="C778" t="s">
        <v>7</v>
      </c>
      <c r="D778" t="s">
        <v>14</v>
      </c>
      <c r="E778" t="s">
        <v>1021</v>
      </c>
    </row>
    <row r="779" spans="1:6" x14ac:dyDescent="0.25">
      <c r="A779" t="str">
        <f>"372004235730"</f>
        <v>372004235730</v>
      </c>
      <c r="B779" t="s">
        <v>1062</v>
      </c>
      <c r="C779" t="s">
        <v>7</v>
      </c>
      <c r="D779" t="s">
        <v>12</v>
      </c>
      <c r="E779" t="s">
        <v>1021</v>
      </c>
    </row>
    <row r="780" spans="1:6" x14ac:dyDescent="0.25">
      <c r="A780" t="str">
        <f>"263517647393"</f>
        <v>263517647393</v>
      </c>
      <c r="B780" t="s">
        <v>1063</v>
      </c>
      <c r="C780" t="s">
        <v>7</v>
      </c>
      <c r="D780" t="s">
        <v>14</v>
      </c>
      <c r="E780" t="s">
        <v>1021</v>
      </c>
    </row>
    <row r="781" spans="1:6" x14ac:dyDescent="0.25">
      <c r="A781" t="str">
        <f>"662515446154"</f>
        <v>662515446154</v>
      </c>
      <c r="B781" t="s">
        <v>1064</v>
      </c>
      <c r="C781" t="s">
        <v>7</v>
      </c>
      <c r="D781" t="s">
        <v>12</v>
      </c>
      <c r="E781" t="s">
        <v>1021</v>
      </c>
    </row>
    <row r="782" spans="1:6" x14ac:dyDescent="0.25">
      <c r="A782" t="str">
        <f>"662515447670"</f>
        <v>662515447670</v>
      </c>
      <c r="B782" t="s">
        <v>1065</v>
      </c>
      <c r="C782" t="s">
        <v>7</v>
      </c>
      <c r="D782" t="s">
        <v>12</v>
      </c>
      <c r="E782" t="s">
        <v>1021</v>
      </c>
    </row>
    <row r="783" spans="1:6" x14ac:dyDescent="0.25">
      <c r="A783" t="str">
        <f>"662501784202"</f>
        <v>662501784202</v>
      </c>
      <c r="B783" t="s">
        <v>1066</v>
      </c>
      <c r="C783" t="s">
        <v>7</v>
      </c>
      <c r="D783" t="s">
        <v>12</v>
      </c>
      <c r="E783" t="s">
        <v>1021</v>
      </c>
    </row>
    <row r="784" spans="1:6" x14ac:dyDescent="0.25">
      <c r="A784" t="str">
        <f>"292600229046"</f>
        <v>292600229046</v>
      </c>
      <c r="B784" t="s">
        <v>1067</v>
      </c>
      <c r="C784" t="s">
        <v>7</v>
      </c>
      <c r="D784" t="s">
        <v>8</v>
      </c>
      <c r="E784" t="s">
        <v>1021</v>
      </c>
    </row>
    <row r="785" spans="1:6" x14ac:dyDescent="0.25">
      <c r="A785" t="str">
        <f>"400407115990"</f>
        <v>400407115990</v>
      </c>
      <c r="B785" t="s">
        <v>1068</v>
      </c>
      <c r="C785" t="s">
        <v>7</v>
      </c>
      <c r="D785" t="s">
        <v>28</v>
      </c>
      <c r="E785" t="s">
        <v>1021</v>
      </c>
    </row>
    <row r="786" spans="1:6" x14ac:dyDescent="0.25">
      <c r="A786" t="str">
        <f>"507403702457"</f>
        <v>507403702457</v>
      </c>
      <c r="B786" t="s">
        <v>1069</v>
      </c>
      <c r="C786" t="s">
        <v>7</v>
      </c>
      <c r="D786" t="s">
        <v>14</v>
      </c>
      <c r="E786" t="s">
        <v>1021</v>
      </c>
    </row>
    <row r="787" spans="1:6" x14ac:dyDescent="0.25">
      <c r="A787" t="str">
        <f>"421211098128"</f>
        <v>421211098128</v>
      </c>
      <c r="B787" t="s">
        <v>1070</v>
      </c>
      <c r="C787" t="s">
        <v>7</v>
      </c>
      <c r="D787" t="s">
        <v>14</v>
      </c>
      <c r="E787" t="s">
        <v>1021</v>
      </c>
    </row>
    <row r="788" spans="1:6" x14ac:dyDescent="0.25">
      <c r="A788" t="str">
        <f>"0900005523"</f>
        <v>0900005523</v>
      </c>
      <c r="B788" t="s">
        <v>1071</v>
      </c>
      <c r="C788" t="s">
        <v>7</v>
      </c>
      <c r="D788" t="s">
        <v>14</v>
      </c>
      <c r="E788" t="s">
        <v>1072</v>
      </c>
      <c r="F788" t="s">
        <v>1073</v>
      </c>
    </row>
    <row r="789" spans="1:6" x14ac:dyDescent="0.25">
      <c r="A789" t="str">
        <f>"0901021415"</f>
        <v>0901021415</v>
      </c>
      <c r="B789" t="s">
        <v>1074</v>
      </c>
      <c r="C789" t="s">
        <v>7</v>
      </c>
      <c r="D789" t="s">
        <v>14</v>
      </c>
      <c r="E789" t="s">
        <v>1072</v>
      </c>
      <c r="F789" t="s">
        <v>1075</v>
      </c>
    </row>
    <row r="790" spans="1:6" x14ac:dyDescent="0.25">
      <c r="A790" t="str">
        <f>"090103710320"</f>
        <v>090103710320</v>
      </c>
      <c r="B790" t="s">
        <v>1076</v>
      </c>
      <c r="C790" t="s">
        <v>7</v>
      </c>
      <c r="D790" t="s">
        <v>33</v>
      </c>
      <c r="E790" t="s">
        <v>1072</v>
      </c>
    </row>
    <row r="791" spans="1:6" x14ac:dyDescent="0.25">
      <c r="A791" t="str">
        <f>"0901046709"</f>
        <v>0901046709</v>
      </c>
      <c r="B791" t="s">
        <v>1077</v>
      </c>
      <c r="C791" t="s">
        <v>7</v>
      </c>
      <c r="D791" t="s">
        <v>12</v>
      </c>
      <c r="E791" t="s">
        <v>1072</v>
      </c>
      <c r="F791" t="s">
        <v>1078</v>
      </c>
    </row>
    <row r="792" spans="1:6" x14ac:dyDescent="0.25">
      <c r="A792" t="str">
        <f>"0916012903"</f>
        <v>0916012903</v>
      </c>
      <c r="B792" t="s">
        <v>1079</v>
      </c>
      <c r="C792" t="s">
        <v>7</v>
      </c>
      <c r="D792" t="s">
        <v>14</v>
      </c>
      <c r="E792" t="s">
        <v>1072</v>
      </c>
      <c r="F792" t="s">
        <v>1080</v>
      </c>
    </row>
    <row r="793" spans="1:6" x14ac:dyDescent="0.25">
      <c r="A793" t="str">
        <f>"0917029466"</f>
        <v>0917029466</v>
      </c>
      <c r="B793" t="s">
        <v>1081</v>
      </c>
      <c r="C793" t="s">
        <v>7</v>
      </c>
      <c r="D793" t="s">
        <v>14</v>
      </c>
      <c r="E793" t="s">
        <v>1072</v>
      </c>
      <c r="F793" t="s">
        <v>1082</v>
      </c>
    </row>
    <row r="794" spans="1:6" x14ac:dyDescent="0.25">
      <c r="A794" t="str">
        <f>"090100281786"</f>
        <v>090100281786</v>
      </c>
      <c r="B794" t="s">
        <v>1083</v>
      </c>
      <c r="C794" t="s">
        <v>7</v>
      </c>
      <c r="D794" t="s">
        <v>14</v>
      </c>
      <c r="E794" t="s">
        <v>1072</v>
      </c>
    </row>
    <row r="795" spans="1:6" x14ac:dyDescent="0.25">
      <c r="A795" t="str">
        <f>"090102627310"</f>
        <v>090102627310</v>
      </c>
      <c r="B795" t="s">
        <v>1084</v>
      </c>
      <c r="C795" t="s">
        <v>7</v>
      </c>
      <c r="D795" t="s">
        <v>14</v>
      </c>
      <c r="E795" t="s">
        <v>1072</v>
      </c>
    </row>
    <row r="796" spans="1:6" x14ac:dyDescent="0.25">
      <c r="A796" t="str">
        <f>"091690059857"</f>
        <v>091690059857</v>
      </c>
      <c r="B796" t="s">
        <v>1085</v>
      </c>
      <c r="C796" t="s">
        <v>7</v>
      </c>
      <c r="D796" t="s">
        <v>14</v>
      </c>
      <c r="E796" t="s">
        <v>1072</v>
      </c>
    </row>
    <row r="797" spans="1:6" x14ac:dyDescent="0.25">
      <c r="A797" t="str">
        <f>"470911131109"</f>
        <v>470911131109</v>
      </c>
      <c r="B797" t="s">
        <v>1086</v>
      </c>
      <c r="C797" t="s">
        <v>7</v>
      </c>
      <c r="D797" t="s">
        <v>14</v>
      </c>
      <c r="E797" t="s">
        <v>1087</v>
      </c>
    </row>
    <row r="798" spans="1:6" x14ac:dyDescent="0.25">
      <c r="A798" t="str">
        <f>"100000674813"</f>
        <v>100000674813</v>
      </c>
      <c r="B798" t="s">
        <v>1088</v>
      </c>
      <c r="C798" t="s">
        <v>7</v>
      </c>
      <c r="D798" t="s">
        <v>14</v>
      </c>
      <c r="E798" t="s">
        <v>1087</v>
      </c>
    </row>
    <row r="799" spans="1:6" x14ac:dyDescent="0.25">
      <c r="A799" t="str">
        <f>"100100116643"</f>
        <v>100100116643</v>
      </c>
      <c r="B799" t="s">
        <v>1089</v>
      </c>
      <c r="C799" t="s">
        <v>7</v>
      </c>
      <c r="D799" t="s">
        <v>33</v>
      </c>
      <c r="E799" t="s">
        <v>1087</v>
      </c>
    </row>
    <row r="800" spans="1:6" x14ac:dyDescent="0.25">
      <c r="A800" t="str">
        <f>"100100798315"</f>
        <v>100100798315</v>
      </c>
      <c r="B800" t="s">
        <v>1090</v>
      </c>
      <c r="C800" t="s">
        <v>7</v>
      </c>
      <c r="D800" t="s">
        <v>33</v>
      </c>
      <c r="E800" t="s">
        <v>1087</v>
      </c>
    </row>
    <row r="801" spans="1:6" x14ac:dyDescent="0.25">
      <c r="A801" t="str">
        <f>"1001080586"</f>
        <v>1001080586</v>
      </c>
      <c r="B801" t="s">
        <v>1091</v>
      </c>
      <c r="C801" t="s">
        <v>7</v>
      </c>
      <c r="D801" t="s">
        <v>12</v>
      </c>
      <c r="E801" t="s">
        <v>1087</v>
      </c>
      <c r="F801" t="s">
        <v>1092</v>
      </c>
    </row>
    <row r="802" spans="1:6" x14ac:dyDescent="0.25">
      <c r="A802" t="str">
        <f>"100114757710"</f>
        <v>100114757710</v>
      </c>
      <c r="B802" t="s">
        <v>1093</v>
      </c>
      <c r="C802" t="s">
        <v>7</v>
      </c>
      <c r="D802" t="s">
        <v>14</v>
      </c>
      <c r="E802" t="s">
        <v>1087</v>
      </c>
    </row>
    <row r="803" spans="1:6" x14ac:dyDescent="0.25">
      <c r="A803" t="str">
        <f>"100116984250"</f>
        <v>100116984250</v>
      </c>
      <c r="B803" t="s">
        <v>1094</v>
      </c>
      <c r="C803" t="s">
        <v>7</v>
      </c>
      <c r="D803" t="s">
        <v>12</v>
      </c>
      <c r="E803" t="s">
        <v>1087</v>
      </c>
    </row>
    <row r="804" spans="1:6" x14ac:dyDescent="0.25">
      <c r="A804" t="str">
        <f>"100117950737"</f>
        <v>100117950737</v>
      </c>
      <c r="B804" t="s">
        <v>1095</v>
      </c>
      <c r="C804" t="s">
        <v>7</v>
      </c>
      <c r="D804" t="s">
        <v>33</v>
      </c>
      <c r="E804" t="s">
        <v>1087</v>
      </c>
    </row>
    <row r="805" spans="1:6" x14ac:dyDescent="0.25">
      <c r="A805" t="str">
        <f>"1000004208"</f>
        <v>1000004208</v>
      </c>
      <c r="B805" t="s">
        <v>1096</v>
      </c>
      <c r="C805" t="s">
        <v>7</v>
      </c>
      <c r="D805" t="s">
        <v>12</v>
      </c>
      <c r="E805" t="s">
        <v>1087</v>
      </c>
      <c r="F805" t="s">
        <v>1097</v>
      </c>
    </row>
    <row r="806" spans="1:6" x14ac:dyDescent="0.25">
      <c r="A806" t="str">
        <f>"100100293265"</f>
        <v>100100293265</v>
      </c>
      <c r="B806" t="s">
        <v>1098</v>
      </c>
      <c r="C806" t="s">
        <v>7</v>
      </c>
      <c r="D806" t="s">
        <v>14</v>
      </c>
      <c r="E806" t="s">
        <v>1087</v>
      </c>
    </row>
    <row r="807" spans="1:6" x14ac:dyDescent="0.25">
      <c r="A807" t="str">
        <f>"100100467169"</f>
        <v>100100467169</v>
      </c>
      <c r="B807" t="s">
        <v>1099</v>
      </c>
      <c r="C807" t="s">
        <v>7</v>
      </c>
      <c r="D807" t="s">
        <v>12</v>
      </c>
      <c r="E807" t="s">
        <v>1087</v>
      </c>
    </row>
    <row r="808" spans="1:6" x14ac:dyDescent="0.25">
      <c r="A808" t="str">
        <f>"1001011293"</f>
        <v>1001011293</v>
      </c>
      <c r="B808" t="s">
        <v>1100</v>
      </c>
      <c r="C808" t="s">
        <v>7</v>
      </c>
      <c r="D808" t="s">
        <v>14</v>
      </c>
      <c r="E808" t="s">
        <v>1087</v>
      </c>
      <c r="F808" t="s">
        <v>1101</v>
      </c>
    </row>
    <row r="809" spans="1:6" x14ac:dyDescent="0.25">
      <c r="A809" t="str">
        <f>"1001040696"</f>
        <v>1001040696</v>
      </c>
      <c r="B809" t="s">
        <v>1102</v>
      </c>
      <c r="C809" t="s">
        <v>7</v>
      </c>
      <c r="D809" t="s">
        <v>14</v>
      </c>
      <c r="E809" t="s">
        <v>1087</v>
      </c>
      <c r="F809" t="s">
        <v>1103</v>
      </c>
    </row>
    <row r="810" spans="1:6" x14ac:dyDescent="0.25">
      <c r="A810" t="str">
        <f>"100107235343"</f>
        <v>100107235343</v>
      </c>
      <c r="B810" t="s">
        <v>1104</v>
      </c>
      <c r="C810" t="s">
        <v>7</v>
      </c>
      <c r="D810" t="s">
        <v>14</v>
      </c>
      <c r="E810" t="s">
        <v>1087</v>
      </c>
    </row>
    <row r="811" spans="1:6" x14ac:dyDescent="0.25">
      <c r="A811" t="str">
        <f>"100110705285"</f>
        <v>100110705285</v>
      </c>
      <c r="B811" t="s">
        <v>1105</v>
      </c>
      <c r="C811" t="s">
        <v>7</v>
      </c>
      <c r="D811" t="s">
        <v>14</v>
      </c>
      <c r="E811" t="s">
        <v>1087</v>
      </c>
    </row>
    <row r="812" spans="1:6" x14ac:dyDescent="0.25">
      <c r="A812" t="str">
        <f>"1001159853"</f>
        <v>1001159853</v>
      </c>
      <c r="B812" t="s">
        <v>1106</v>
      </c>
      <c r="C812" t="s">
        <v>7</v>
      </c>
      <c r="D812" t="s">
        <v>12</v>
      </c>
      <c r="E812" t="s">
        <v>1087</v>
      </c>
      <c r="F812" t="s">
        <v>1107</v>
      </c>
    </row>
    <row r="813" spans="1:6" x14ac:dyDescent="0.25">
      <c r="A813" t="str">
        <f>"100119109390"</f>
        <v>100119109390</v>
      </c>
      <c r="B813" t="s">
        <v>1108</v>
      </c>
      <c r="C813" t="s">
        <v>7</v>
      </c>
      <c r="D813" t="s">
        <v>14</v>
      </c>
      <c r="E813" t="s">
        <v>1087</v>
      </c>
    </row>
    <row r="814" spans="1:6" x14ac:dyDescent="0.25">
      <c r="A814" t="str">
        <f>"100121059354"</f>
        <v>100121059354</v>
      </c>
      <c r="B814" t="s">
        <v>1109</v>
      </c>
      <c r="C814" t="s">
        <v>7</v>
      </c>
      <c r="D814" t="s">
        <v>14</v>
      </c>
      <c r="E814" t="s">
        <v>1087</v>
      </c>
    </row>
    <row r="815" spans="1:6" x14ac:dyDescent="0.25">
      <c r="A815" t="str">
        <f>"1001211461"</f>
        <v>1001211461</v>
      </c>
      <c r="B815" t="s">
        <v>1110</v>
      </c>
      <c r="C815" t="s">
        <v>7</v>
      </c>
      <c r="D815" t="s">
        <v>14</v>
      </c>
      <c r="E815" t="s">
        <v>1087</v>
      </c>
      <c r="F815" t="s">
        <v>1111</v>
      </c>
    </row>
    <row r="816" spans="1:6" x14ac:dyDescent="0.25">
      <c r="A816" t="str">
        <f>"1000002105"</f>
        <v>1000002105</v>
      </c>
      <c r="B816" t="s">
        <v>1112</v>
      </c>
      <c r="C816" t="s">
        <v>7</v>
      </c>
      <c r="D816" t="s">
        <v>14</v>
      </c>
      <c r="E816" t="s">
        <v>1087</v>
      </c>
      <c r="F816" t="s">
        <v>1113</v>
      </c>
    </row>
    <row r="817" spans="1:6" x14ac:dyDescent="0.25">
      <c r="A817" t="str">
        <f>"100104031574"</f>
        <v>100104031574</v>
      </c>
      <c r="B817" t="s">
        <v>1114</v>
      </c>
      <c r="C817" t="s">
        <v>7</v>
      </c>
      <c r="D817" t="s">
        <v>14</v>
      </c>
      <c r="E817" t="s">
        <v>1087</v>
      </c>
    </row>
    <row r="818" spans="1:6" x14ac:dyDescent="0.25">
      <c r="A818" t="str">
        <f>"1001144078"</f>
        <v>1001144078</v>
      </c>
      <c r="B818" t="s">
        <v>1115</v>
      </c>
      <c r="C818" t="s">
        <v>7</v>
      </c>
      <c r="D818" t="s">
        <v>14</v>
      </c>
      <c r="E818" t="s">
        <v>1087</v>
      </c>
      <c r="F818" t="s">
        <v>1116</v>
      </c>
    </row>
    <row r="819" spans="1:6" x14ac:dyDescent="0.25">
      <c r="A819" t="str">
        <f>"1001219767"</f>
        <v>1001219767</v>
      </c>
      <c r="B819" t="s">
        <v>1117</v>
      </c>
      <c r="C819" t="s">
        <v>7</v>
      </c>
      <c r="D819" t="s">
        <v>12</v>
      </c>
      <c r="E819" t="s">
        <v>1087</v>
      </c>
      <c r="F819" t="s">
        <v>1118</v>
      </c>
    </row>
    <row r="820" spans="1:6" x14ac:dyDescent="0.25">
      <c r="A820" t="str">
        <f>"100122508122"</f>
        <v>100122508122</v>
      </c>
      <c r="B820" t="s">
        <v>1119</v>
      </c>
      <c r="C820" t="s">
        <v>7</v>
      </c>
      <c r="D820" t="s">
        <v>14</v>
      </c>
      <c r="E820" t="s">
        <v>1087</v>
      </c>
    </row>
    <row r="821" spans="1:6" x14ac:dyDescent="0.25">
      <c r="A821" t="str">
        <f>"100118661400"</f>
        <v>100118661400</v>
      </c>
      <c r="B821" t="s">
        <v>1120</v>
      </c>
      <c r="C821" t="s">
        <v>7</v>
      </c>
      <c r="D821" t="s">
        <v>14</v>
      </c>
      <c r="E821" t="s">
        <v>1087</v>
      </c>
    </row>
    <row r="822" spans="1:6" x14ac:dyDescent="0.25">
      <c r="A822" t="str">
        <f>"100119997681"</f>
        <v>100119997681</v>
      </c>
      <c r="B822" t="s">
        <v>1121</v>
      </c>
      <c r="C822" t="s">
        <v>7</v>
      </c>
      <c r="D822" t="s">
        <v>12</v>
      </c>
      <c r="E822" t="s">
        <v>1087</v>
      </c>
    </row>
    <row r="823" spans="1:6" x14ac:dyDescent="0.25">
      <c r="A823" t="str">
        <f>"1001209448"</f>
        <v>1001209448</v>
      </c>
      <c r="B823" t="s">
        <v>1122</v>
      </c>
      <c r="C823" t="s">
        <v>7</v>
      </c>
      <c r="D823" t="s">
        <v>8</v>
      </c>
      <c r="E823" t="s">
        <v>1087</v>
      </c>
      <c r="F823" t="s">
        <v>1123</v>
      </c>
    </row>
    <row r="824" spans="1:6" x14ac:dyDescent="0.25">
      <c r="A824" t="str">
        <f>"100121055409"</f>
        <v>100121055409</v>
      </c>
      <c r="B824" t="s">
        <v>1124</v>
      </c>
      <c r="C824" t="s">
        <v>7</v>
      </c>
      <c r="D824" t="s">
        <v>14</v>
      </c>
      <c r="E824" t="s">
        <v>1087</v>
      </c>
    </row>
    <row r="825" spans="1:6" x14ac:dyDescent="0.25">
      <c r="A825" t="str">
        <f>"100121263896"</f>
        <v>100121263896</v>
      </c>
      <c r="B825" t="s">
        <v>1125</v>
      </c>
      <c r="C825" t="s">
        <v>7</v>
      </c>
      <c r="D825" t="s">
        <v>14</v>
      </c>
      <c r="E825" t="s">
        <v>1087</v>
      </c>
    </row>
    <row r="826" spans="1:6" x14ac:dyDescent="0.25">
      <c r="A826" t="str">
        <f>"100122118203"</f>
        <v>100122118203</v>
      </c>
      <c r="B826" t="s">
        <v>1126</v>
      </c>
      <c r="C826" t="s">
        <v>7</v>
      </c>
      <c r="D826" t="s">
        <v>12</v>
      </c>
      <c r="E826" t="s">
        <v>1087</v>
      </c>
    </row>
    <row r="827" spans="1:6" x14ac:dyDescent="0.25">
      <c r="A827" t="str">
        <f>"100124727024"</f>
        <v>100124727024</v>
      </c>
      <c r="B827" t="s">
        <v>1127</v>
      </c>
      <c r="C827" t="s">
        <v>7</v>
      </c>
      <c r="D827" t="s">
        <v>14</v>
      </c>
      <c r="E827" t="s">
        <v>1087</v>
      </c>
    </row>
    <row r="828" spans="1:6" x14ac:dyDescent="0.25">
      <c r="A828" t="str">
        <f>"1001253260"</f>
        <v>1001253260</v>
      </c>
      <c r="B828" t="s">
        <v>1128</v>
      </c>
      <c r="C828" t="s">
        <v>7</v>
      </c>
      <c r="D828" t="s">
        <v>12</v>
      </c>
      <c r="E828" t="s">
        <v>1087</v>
      </c>
      <c r="F828" t="s">
        <v>1123</v>
      </c>
    </row>
    <row r="829" spans="1:6" x14ac:dyDescent="0.25">
      <c r="A829" t="str">
        <f>"1001283297"</f>
        <v>1001283297</v>
      </c>
      <c r="B829" t="s">
        <v>1129</v>
      </c>
      <c r="C829" t="s">
        <v>7</v>
      </c>
      <c r="D829" t="s">
        <v>12</v>
      </c>
      <c r="E829" t="s">
        <v>1087</v>
      </c>
      <c r="F829" t="s">
        <v>1130</v>
      </c>
    </row>
    <row r="830" spans="1:6" x14ac:dyDescent="0.25">
      <c r="A830" t="str">
        <f>"1001350289"</f>
        <v>1001350289</v>
      </c>
      <c r="B830" t="s">
        <v>1131</v>
      </c>
      <c r="C830" t="s">
        <v>7</v>
      </c>
      <c r="D830" t="s">
        <v>33</v>
      </c>
      <c r="E830" t="s">
        <v>1087</v>
      </c>
      <c r="F830" t="s">
        <v>1132</v>
      </c>
    </row>
    <row r="831" spans="1:6" x14ac:dyDescent="0.25">
      <c r="A831" t="str">
        <f>"1001354501"</f>
        <v>1001354501</v>
      </c>
      <c r="B831" t="s">
        <v>1133</v>
      </c>
      <c r="C831" t="s">
        <v>7</v>
      </c>
      <c r="D831" t="s">
        <v>12</v>
      </c>
      <c r="E831" t="s">
        <v>1087</v>
      </c>
      <c r="F831" t="s">
        <v>1134</v>
      </c>
    </row>
    <row r="832" spans="1:6" x14ac:dyDescent="0.25">
      <c r="A832" t="str">
        <f>"1001358175"</f>
        <v>1001358175</v>
      </c>
      <c r="B832" t="s">
        <v>1135</v>
      </c>
      <c r="C832" t="s">
        <v>7</v>
      </c>
      <c r="D832" t="s">
        <v>14</v>
      </c>
      <c r="E832" t="s">
        <v>1087</v>
      </c>
      <c r="F832" t="s">
        <v>1136</v>
      </c>
    </row>
    <row r="833" spans="1:6" x14ac:dyDescent="0.25">
      <c r="A833" t="str">
        <f>"100399183509"</f>
        <v>100399183509</v>
      </c>
      <c r="B833" t="s">
        <v>1137</v>
      </c>
      <c r="C833" t="s">
        <v>7</v>
      </c>
      <c r="D833" t="s">
        <v>14</v>
      </c>
      <c r="E833" t="s">
        <v>1087</v>
      </c>
    </row>
    <row r="834" spans="1:6" x14ac:dyDescent="0.25">
      <c r="A834" t="str">
        <f>"100399702793"</f>
        <v>100399702793</v>
      </c>
      <c r="B834" t="s">
        <v>1138</v>
      </c>
      <c r="C834" t="s">
        <v>7</v>
      </c>
      <c r="D834" t="s">
        <v>12</v>
      </c>
      <c r="E834" t="s">
        <v>1087</v>
      </c>
    </row>
    <row r="835" spans="1:6" x14ac:dyDescent="0.25">
      <c r="A835" t="str">
        <f>"1004019300"</f>
        <v>1004019300</v>
      </c>
      <c r="B835" t="s">
        <v>1139</v>
      </c>
      <c r="C835" t="s">
        <v>7</v>
      </c>
      <c r="D835" t="s">
        <v>12</v>
      </c>
      <c r="E835" t="s">
        <v>1087</v>
      </c>
      <c r="F835" t="s">
        <v>1140</v>
      </c>
    </row>
    <row r="836" spans="1:6" x14ac:dyDescent="0.25">
      <c r="A836" t="str">
        <f>"100402211798"</f>
        <v>100402211798</v>
      </c>
      <c r="B836" t="s">
        <v>1141</v>
      </c>
      <c r="C836" t="s">
        <v>7</v>
      </c>
      <c r="D836" t="s">
        <v>12</v>
      </c>
      <c r="E836" t="s">
        <v>1087</v>
      </c>
    </row>
    <row r="837" spans="1:6" x14ac:dyDescent="0.25">
      <c r="A837" t="str">
        <f>"101201575211"</f>
        <v>101201575211</v>
      </c>
      <c r="B837" t="s">
        <v>1142</v>
      </c>
      <c r="C837" t="s">
        <v>7</v>
      </c>
      <c r="D837" t="s">
        <v>14</v>
      </c>
      <c r="E837" t="s">
        <v>1087</v>
      </c>
    </row>
    <row r="838" spans="1:6" x14ac:dyDescent="0.25">
      <c r="A838" t="str">
        <f>"101401262255"</f>
        <v>101401262255</v>
      </c>
      <c r="B838" t="s">
        <v>1143</v>
      </c>
      <c r="C838" t="s">
        <v>7</v>
      </c>
      <c r="D838" t="s">
        <v>14</v>
      </c>
      <c r="E838" t="s">
        <v>1087</v>
      </c>
    </row>
    <row r="839" spans="1:6" x14ac:dyDescent="0.25">
      <c r="A839" t="str">
        <f>"1015003616"</f>
        <v>1015003616</v>
      </c>
      <c r="B839" t="s">
        <v>1144</v>
      </c>
      <c r="C839" t="s">
        <v>7</v>
      </c>
      <c r="D839" t="s">
        <v>14</v>
      </c>
      <c r="E839" t="s">
        <v>1087</v>
      </c>
      <c r="F839" t="s">
        <v>1145</v>
      </c>
    </row>
    <row r="840" spans="1:6" x14ac:dyDescent="0.25">
      <c r="A840" t="str">
        <f>"1015009262"</f>
        <v>1015009262</v>
      </c>
      <c r="B840" t="s">
        <v>1146</v>
      </c>
      <c r="C840" t="s">
        <v>7</v>
      </c>
      <c r="D840" t="s">
        <v>12</v>
      </c>
      <c r="E840" t="s">
        <v>1087</v>
      </c>
      <c r="F840" t="s">
        <v>1147</v>
      </c>
    </row>
    <row r="841" spans="1:6" x14ac:dyDescent="0.25">
      <c r="A841" t="str">
        <f>"101702115021"</f>
        <v>101702115021</v>
      </c>
      <c r="B841" t="s">
        <v>1148</v>
      </c>
      <c r="C841" t="s">
        <v>7</v>
      </c>
      <c r="D841" t="s">
        <v>14</v>
      </c>
      <c r="E841" t="s">
        <v>1087</v>
      </c>
    </row>
    <row r="842" spans="1:6" x14ac:dyDescent="0.25">
      <c r="A842" t="str">
        <f>"101900063400"</f>
        <v>101900063400</v>
      </c>
      <c r="B842" t="s">
        <v>1149</v>
      </c>
      <c r="C842" t="s">
        <v>7</v>
      </c>
      <c r="D842" t="s">
        <v>14</v>
      </c>
      <c r="E842" t="s">
        <v>1087</v>
      </c>
    </row>
    <row r="843" spans="1:6" x14ac:dyDescent="0.25">
      <c r="A843" t="str">
        <f>"101900928780"</f>
        <v>101900928780</v>
      </c>
      <c r="B843" t="s">
        <v>1150</v>
      </c>
      <c r="C843" t="s">
        <v>7</v>
      </c>
      <c r="D843" t="s">
        <v>14</v>
      </c>
      <c r="E843" t="s">
        <v>1087</v>
      </c>
    </row>
    <row r="844" spans="1:6" x14ac:dyDescent="0.25">
      <c r="A844" t="str">
        <f>"1001253782"</f>
        <v>1001253782</v>
      </c>
      <c r="B844" t="s">
        <v>1151</v>
      </c>
      <c r="C844" t="s">
        <v>7</v>
      </c>
      <c r="D844" t="s">
        <v>674</v>
      </c>
      <c r="E844" t="s">
        <v>1087</v>
      </c>
      <c r="F844" t="s">
        <v>1152</v>
      </c>
    </row>
    <row r="845" spans="1:6" x14ac:dyDescent="0.25">
      <c r="A845" t="str">
        <f>"1001287887"</f>
        <v>1001287887</v>
      </c>
      <c r="B845" t="s">
        <v>1153</v>
      </c>
      <c r="C845" t="s">
        <v>7</v>
      </c>
      <c r="D845" t="s">
        <v>33</v>
      </c>
      <c r="E845" t="s">
        <v>1087</v>
      </c>
      <c r="F845" t="s">
        <v>1154</v>
      </c>
    </row>
    <row r="846" spans="1:6" x14ac:dyDescent="0.25">
      <c r="A846" t="str">
        <f>"1001336478"</f>
        <v>1001336478</v>
      </c>
      <c r="B846" t="s">
        <v>1155</v>
      </c>
      <c r="C846" t="s">
        <v>7</v>
      </c>
      <c r="D846" t="s">
        <v>33</v>
      </c>
      <c r="E846" t="s">
        <v>1087</v>
      </c>
      <c r="F846" t="s">
        <v>1156</v>
      </c>
    </row>
    <row r="847" spans="1:6" x14ac:dyDescent="0.25">
      <c r="A847" t="str">
        <f>"1001344221"</f>
        <v>1001344221</v>
      </c>
      <c r="B847" t="s">
        <v>1157</v>
      </c>
      <c r="C847" t="s">
        <v>7</v>
      </c>
      <c r="D847" t="s">
        <v>12</v>
      </c>
      <c r="E847" t="s">
        <v>1087</v>
      </c>
      <c r="F847" t="s">
        <v>1158</v>
      </c>
    </row>
    <row r="848" spans="1:6" x14ac:dyDescent="0.25">
      <c r="A848" t="str">
        <f>"1001346596"</f>
        <v>1001346596</v>
      </c>
      <c r="B848" t="s">
        <v>1159</v>
      </c>
      <c r="C848" t="s">
        <v>7</v>
      </c>
      <c r="D848" t="s">
        <v>14</v>
      </c>
      <c r="E848" t="s">
        <v>1087</v>
      </c>
      <c r="F848" t="s">
        <v>1160</v>
      </c>
    </row>
    <row r="849" spans="1:6" x14ac:dyDescent="0.25">
      <c r="A849" t="str">
        <f>"1004000780"</f>
        <v>1004000780</v>
      </c>
      <c r="B849" t="s">
        <v>1161</v>
      </c>
      <c r="C849" t="s">
        <v>7</v>
      </c>
      <c r="D849" t="s">
        <v>14</v>
      </c>
      <c r="E849" t="s">
        <v>1087</v>
      </c>
      <c r="F849" t="s">
        <v>1162</v>
      </c>
    </row>
    <row r="850" spans="1:6" x14ac:dyDescent="0.25">
      <c r="A850" t="str">
        <f>"1005180038"</f>
        <v>1005180038</v>
      </c>
      <c r="B850" t="s">
        <v>1163</v>
      </c>
      <c r="C850" t="s">
        <v>7</v>
      </c>
      <c r="D850" t="s">
        <v>14</v>
      </c>
      <c r="E850" t="s">
        <v>1087</v>
      </c>
      <c r="F850" t="s">
        <v>1164</v>
      </c>
    </row>
    <row r="851" spans="1:6" x14ac:dyDescent="0.25">
      <c r="A851" t="str">
        <f>"101400996775"</f>
        <v>101400996775</v>
      </c>
      <c r="B851" t="s">
        <v>1165</v>
      </c>
      <c r="C851" t="s">
        <v>7</v>
      </c>
      <c r="D851" t="s">
        <v>12</v>
      </c>
      <c r="E851" t="s">
        <v>1087</v>
      </c>
    </row>
    <row r="852" spans="1:6" x14ac:dyDescent="0.25">
      <c r="A852" t="str">
        <f>"101401988470"</f>
        <v>101401988470</v>
      </c>
      <c r="B852" t="s">
        <v>1166</v>
      </c>
      <c r="C852" t="s">
        <v>7</v>
      </c>
      <c r="D852" t="s">
        <v>12</v>
      </c>
      <c r="E852" t="s">
        <v>1087</v>
      </c>
    </row>
    <row r="853" spans="1:6" x14ac:dyDescent="0.25">
      <c r="A853" t="str">
        <f>"1015009833"</f>
        <v>1015009833</v>
      </c>
      <c r="B853" t="s">
        <v>503</v>
      </c>
      <c r="C853" t="s">
        <v>7</v>
      </c>
      <c r="D853" t="s">
        <v>14</v>
      </c>
      <c r="E853" t="s">
        <v>1087</v>
      </c>
      <c r="F853" t="s">
        <v>1167</v>
      </c>
    </row>
    <row r="854" spans="1:6" x14ac:dyDescent="0.25">
      <c r="A854" t="str">
        <f>"101600266913"</f>
        <v>101600266913</v>
      </c>
      <c r="B854" t="s">
        <v>1168</v>
      </c>
      <c r="C854" t="s">
        <v>7</v>
      </c>
      <c r="D854" t="s">
        <v>14</v>
      </c>
      <c r="E854" t="s">
        <v>1087</v>
      </c>
    </row>
    <row r="855" spans="1:6" x14ac:dyDescent="0.25">
      <c r="A855" t="str">
        <f>"101700018015"</f>
        <v>101700018015</v>
      </c>
      <c r="B855" t="s">
        <v>1169</v>
      </c>
      <c r="C855" t="s">
        <v>7</v>
      </c>
      <c r="D855" t="s">
        <v>14</v>
      </c>
      <c r="E855" t="s">
        <v>1087</v>
      </c>
    </row>
    <row r="856" spans="1:6" x14ac:dyDescent="0.25">
      <c r="A856" t="str">
        <f>"101800079477"</f>
        <v>101800079477</v>
      </c>
      <c r="B856" t="s">
        <v>1170</v>
      </c>
      <c r="C856" t="s">
        <v>7</v>
      </c>
      <c r="D856" t="s">
        <v>12</v>
      </c>
      <c r="E856" t="s">
        <v>1087</v>
      </c>
    </row>
    <row r="857" spans="1:6" x14ac:dyDescent="0.25">
      <c r="A857" t="str">
        <f>"100124370310"</f>
        <v>100124370310</v>
      </c>
      <c r="B857" t="s">
        <v>1171</v>
      </c>
      <c r="C857" t="s">
        <v>7</v>
      </c>
      <c r="D857" t="s">
        <v>14</v>
      </c>
      <c r="E857" t="s">
        <v>1087</v>
      </c>
    </row>
    <row r="858" spans="1:6" x14ac:dyDescent="0.25">
      <c r="A858" t="str">
        <f>"1001349269"</f>
        <v>1001349269</v>
      </c>
      <c r="B858" t="s">
        <v>1172</v>
      </c>
      <c r="C858" t="s">
        <v>7</v>
      </c>
      <c r="D858" t="s">
        <v>33</v>
      </c>
      <c r="E858" t="s">
        <v>1087</v>
      </c>
      <c r="F858" t="s">
        <v>1173</v>
      </c>
    </row>
    <row r="859" spans="1:6" x14ac:dyDescent="0.25">
      <c r="A859" t="str">
        <f>"100400057565"</f>
        <v>100400057565</v>
      </c>
      <c r="B859" t="s">
        <v>1174</v>
      </c>
      <c r="C859" t="s">
        <v>7</v>
      </c>
      <c r="D859" t="s">
        <v>14</v>
      </c>
      <c r="E859" t="s">
        <v>1087</v>
      </c>
    </row>
    <row r="860" spans="1:6" x14ac:dyDescent="0.25">
      <c r="A860" t="str">
        <f>"1004017092"</f>
        <v>1004017092</v>
      </c>
      <c r="B860" t="s">
        <v>1175</v>
      </c>
      <c r="C860" t="s">
        <v>7</v>
      </c>
      <c r="D860" t="s">
        <v>12</v>
      </c>
      <c r="E860" t="s">
        <v>1087</v>
      </c>
      <c r="F860" t="s">
        <v>1176</v>
      </c>
    </row>
    <row r="861" spans="1:6" x14ac:dyDescent="0.25">
      <c r="A861" t="str">
        <f>"1004019188"</f>
        <v>1004019188</v>
      </c>
      <c r="B861" t="s">
        <v>1177</v>
      </c>
      <c r="C861" t="s">
        <v>7</v>
      </c>
      <c r="D861" t="s">
        <v>33</v>
      </c>
      <c r="E861" t="s">
        <v>1087</v>
      </c>
      <c r="F861" t="s">
        <v>1176</v>
      </c>
    </row>
    <row r="862" spans="1:6" x14ac:dyDescent="0.25">
      <c r="A862" t="str">
        <f>"100502482826"</f>
        <v>100502482826</v>
      </c>
      <c r="B862" t="s">
        <v>1178</v>
      </c>
      <c r="C862" t="s">
        <v>7</v>
      </c>
      <c r="D862" t="s">
        <v>14</v>
      </c>
      <c r="E862" t="s">
        <v>1087</v>
      </c>
    </row>
    <row r="863" spans="1:6" x14ac:dyDescent="0.25">
      <c r="A863" t="str">
        <f>"100604119570"</f>
        <v>100604119570</v>
      </c>
      <c r="B863" t="s">
        <v>1179</v>
      </c>
      <c r="C863" t="s">
        <v>7</v>
      </c>
      <c r="D863" t="s">
        <v>14</v>
      </c>
      <c r="E863" t="s">
        <v>1087</v>
      </c>
    </row>
    <row r="864" spans="1:6" x14ac:dyDescent="0.25">
      <c r="A864" t="str">
        <f>"101102177570"</f>
        <v>101102177570</v>
      </c>
      <c r="B864" t="s">
        <v>1180</v>
      </c>
      <c r="C864" t="s">
        <v>7</v>
      </c>
      <c r="D864" t="s">
        <v>14</v>
      </c>
      <c r="E864" t="s">
        <v>1087</v>
      </c>
    </row>
    <row r="865" spans="1:6" x14ac:dyDescent="0.25">
      <c r="A865" t="str">
        <f>"1015010162"</f>
        <v>1015010162</v>
      </c>
      <c r="B865" t="s">
        <v>1181</v>
      </c>
      <c r="C865" t="s">
        <v>7</v>
      </c>
      <c r="D865" t="s">
        <v>14</v>
      </c>
      <c r="E865" t="s">
        <v>1087</v>
      </c>
      <c r="F865" t="s">
        <v>1182</v>
      </c>
    </row>
    <row r="866" spans="1:6" x14ac:dyDescent="0.25">
      <c r="A866" t="str">
        <f>"102000627091"</f>
        <v>102000627091</v>
      </c>
      <c r="B866" t="s">
        <v>1183</v>
      </c>
      <c r="C866" t="s">
        <v>7</v>
      </c>
      <c r="D866" t="s">
        <v>14</v>
      </c>
      <c r="E866" t="s">
        <v>1087</v>
      </c>
    </row>
    <row r="867" spans="1:6" x14ac:dyDescent="0.25">
      <c r="A867" t="str">
        <f>"102100277500"</f>
        <v>102100277500</v>
      </c>
      <c r="B867" t="s">
        <v>1184</v>
      </c>
      <c r="C867" t="s">
        <v>7</v>
      </c>
      <c r="D867" t="s">
        <v>14</v>
      </c>
      <c r="E867" t="s">
        <v>1087</v>
      </c>
    </row>
    <row r="868" spans="1:6" x14ac:dyDescent="0.25">
      <c r="A868" t="str">
        <f>"7810762761"</f>
        <v>7810762761</v>
      </c>
      <c r="B868" t="s">
        <v>1185</v>
      </c>
      <c r="C868" t="s">
        <v>7</v>
      </c>
      <c r="D868" t="s">
        <v>12</v>
      </c>
      <c r="E868" t="s">
        <v>1087</v>
      </c>
      <c r="F868" t="s">
        <v>1186</v>
      </c>
    </row>
    <row r="869" spans="1:6" x14ac:dyDescent="0.25">
      <c r="A869" t="str">
        <f>"1101039119"</f>
        <v>1101039119</v>
      </c>
      <c r="B869" t="s">
        <v>1187</v>
      </c>
      <c r="C869" t="s">
        <v>7</v>
      </c>
      <c r="D869" t="s">
        <v>14</v>
      </c>
      <c r="E869" t="s">
        <v>1188</v>
      </c>
      <c r="F869" t="s">
        <v>1189</v>
      </c>
    </row>
    <row r="870" spans="1:6" x14ac:dyDescent="0.25">
      <c r="A870" t="str">
        <f>"110108956168"</f>
        <v>110108956168</v>
      </c>
      <c r="B870" t="s">
        <v>1190</v>
      </c>
      <c r="C870" t="s">
        <v>7</v>
      </c>
      <c r="D870" t="s">
        <v>14</v>
      </c>
      <c r="E870" t="s">
        <v>1188</v>
      </c>
    </row>
    <row r="871" spans="1:6" x14ac:dyDescent="0.25">
      <c r="A871" t="str">
        <f>"1101094991"</f>
        <v>1101094991</v>
      </c>
      <c r="B871" t="s">
        <v>1191</v>
      </c>
      <c r="C871" t="s">
        <v>7</v>
      </c>
      <c r="D871" t="s">
        <v>12</v>
      </c>
      <c r="E871" t="s">
        <v>1188</v>
      </c>
      <c r="F871" t="s">
        <v>1192</v>
      </c>
    </row>
    <row r="872" spans="1:6" x14ac:dyDescent="0.25">
      <c r="A872" t="str">
        <f>"110117381580"</f>
        <v>110117381580</v>
      </c>
      <c r="B872" t="s">
        <v>1193</v>
      </c>
      <c r="C872" t="s">
        <v>7</v>
      </c>
      <c r="D872" t="s">
        <v>14</v>
      </c>
      <c r="E872" t="s">
        <v>1188</v>
      </c>
    </row>
    <row r="873" spans="1:6" x14ac:dyDescent="0.25">
      <c r="A873" t="str">
        <f>"1101178585"</f>
        <v>1101178585</v>
      </c>
      <c r="B873" t="s">
        <v>1194</v>
      </c>
      <c r="C873" t="s">
        <v>7</v>
      </c>
      <c r="D873" t="s">
        <v>14</v>
      </c>
      <c r="E873" t="s">
        <v>1188</v>
      </c>
      <c r="F873" t="s">
        <v>1195</v>
      </c>
    </row>
    <row r="874" spans="1:6" x14ac:dyDescent="0.25">
      <c r="A874" t="str">
        <f>"110300743905"</f>
        <v>110300743905</v>
      </c>
      <c r="B874" t="s">
        <v>1196</v>
      </c>
      <c r="C874" t="s">
        <v>7</v>
      </c>
      <c r="D874" t="s">
        <v>14</v>
      </c>
      <c r="E874" t="s">
        <v>1188</v>
      </c>
    </row>
    <row r="875" spans="1:6" x14ac:dyDescent="0.25">
      <c r="A875" t="str">
        <f>"1105024145"</f>
        <v>1105024145</v>
      </c>
      <c r="B875" t="s">
        <v>1197</v>
      </c>
      <c r="C875" t="s">
        <v>7</v>
      </c>
      <c r="D875" t="s">
        <v>14</v>
      </c>
      <c r="E875" t="s">
        <v>1188</v>
      </c>
      <c r="F875" t="s">
        <v>1198</v>
      </c>
    </row>
    <row r="876" spans="1:6" x14ac:dyDescent="0.25">
      <c r="A876" t="str">
        <f>"110601704787"</f>
        <v>110601704787</v>
      </c>
      <c r="B876" t="s">
        <v>1199</v>
      </c>
      <c r="C876" t="s">
        <v>7</v>
      </c>
      <c r="D876" t="s">
        <v>14</v>
      </c>
      <c r="E876" t="s">
        <v>1188</v>
      </c>
    </row>
    <row r="877" spans="1:6" x14ac:dyDescent="0.25">
      <c r="A877" t="str">
        <f>"110905322067"</f>
        <v>110905322067</v>
      </c>
      <c r="B877" t="s">
        <v>1200</v>
      </c>
      <c r="C877" t="s">
        <v>7</v>
      </c>
      <c r="D877" t="s">
        <v>14</v>
      </c>
      <c r="E877" t="s">
        <v>1188</v>
      </c>
    </row>
    <row r="878" spans="1:6" x14ac:dyDescent="0.25">
      <c r="A878" t="str">
        <f>"111201090478"</f>
        <v>111201090478</v>
      </c>
      <c r="B878" t="s">
        <v>1201</v>
      </c>
      <c r="C878" t="s">
        <v>7</v>
      </c>
      <c r="D878" t="s">
        <v>12</v>
      </c>
      <c r="E878" t="s">
        <v>1188</v>
      </c>
    </row>
    <row r="879" spans="1:6" x14ac:dyDescent="0.25">
      <c r="A879" t="str">
        <f>"111603358929"</f>
        <v>111603358929</v>
      </c>
      <c r="B879" t="s">
        <v>1202</v>
      </c>
      <c r="C879" t="s">
        <v>7</v>
      </c>
      <c r="D879" t="s">
        <v>14</v>
      </c>
      <c r="E879" t="s">
        <v>1188</v>
      </c>
    </row>
    <row r="880" spans="1:6" x14ac:dyDescent="0.25">
      <c r="A880" t="str">
        <f>"112105591071"</f>
        <v>112105591071</v>
      </c>
      <c r="B880" t="s">
        <v>1203</v>
      </c>
      <c r="C880" t="s">
        <v>7</v>
      </c>
      <c r="D880" t="s">
        <v>33</v>
      </c>
      <c r="E880" t="s">
        <v>1188</v>
      </c>
    </row>
    <row r="881" spans="1:6" x14ac:dyDescent="0.25">
      <c r="A881" t="str">
        <f>"434593170424"</f>
        <v>434593170424</v>
      </c>
      <c r="B881" t="s">
        <v>1204</v>
      </c>
      <c r="C881" t="s">
        <v>7</v>
      </c>
      <c r="D881" t="s">
        <v>14</v>
      </c>
      <c r="E881" t="s">
        <v>1188</v>
      </c>
    </row>
    <row r="882" spans="1:6" x14ac:dyDescent="0.25">
      <c r="A882" t="str">
        <f>"523900168343"</f>
        <v>523900168343</v>
      </c>
      <c r="B882" t="s">
        <v>1205</v>
      </c>
      <c r="C882" t="s">
        <v>7</v>
      </c>
      <c r="D882" t="s">
        <v>14</v>
      </c>
      <c r="E882" t="s">
        <v>1188</v>
      </c>
    </row>
    <row r="883" spans="1:6" x14ac:dyDescent="0.25">
      <c r="A883" t="str">
        <f>"052501703401"</f>
        <v>052501703401</v>
      </c>
      <c r="B883" t="s">
        <v>1206</v>
      </c>
      <c r="C883" t="s">
        <v>7</v>
      </c>
      <c r="D883" t="s">
        <v>14</v>
      </c>
      <c r="E883" t="s">
        <v>1188</v>
      </c>
    </row>
    <row r="884" spans="1:6" x14ac:dyDescent="0.25">
      <c r="A884" t="str">
        <f>"110100056944"</f>
        <v>110100056944</v>
      </c>
      <c r="B884" t="s">
        <v>1207</v>
      </c>
      <c r="C884" t="s">
        <v>7</v>
      </c>
      <c r="D884" t="s">
        <v>14</v>
      </c>
      <c r="E884" t="s">
        <v>1188</v>
      </c>
    </row>
    <row r="885" spans="1:6" x14ac:dyDescent="0.25">
      <c r="A885" t="str">
        <f>"110100100600"</f>
        <v>110100100600</v>
      </c>
      <c r="B885" t="s">
        <v>1208</v>
      </c>
      <c r="C885" t="s">
        <v>7</v>
      </c>
      <c r="D885" t="s">
        <v>14</v>
      </c>
      <c r="E885" t="s">
        <v>1188</v>
      </c>
    </row>
    <row r="886" spans="1:6" x14ac:dyDescent="0.25">
      <c r="A886" t="str">
        <f>"110109917820"</f>
        <v>110109917820</v>
      </c>
      <c r="B886" t="s">
        <v>1209</v>
      </c>
      <c r="C886" t="s">
        <v>7</v>
      </c>
      <c r="D886" t="s">
        <v>12</v>
      </c>
      <c r="E886" t="s">
        <v>1188</v>
      </c>
    </row>
    <row r="887" spans="1:6" x14ac:dyDescent="0.25">
      <c r="A887" t="str">
        <f>"1101129838"</f>
        <v>1101129838</v>
      </c>
      <c r="B887" t="s">
        <v>1210</v>
      </c>
      <c r="C887" t="s">
        <v>7</v>
      </c>
      <c r="D887" t="s">
        <v>14</v>
      </c>
      <c r="E887" t="s">
        <v>1188</v>
      </c>
      <c r="F887" t="s">
        <v>1211</v>
      </c>
    </row>
    <row r="888" spans="1:6" x14ac:dyDescent="0.25">
      <c r="A888" t="str">
        <f>"1101151350"</f>
        <v>1101151350</v>
      </c>
      <c r="B888" t="s">
        <v>1212</v>
      </c>
      <c r="C888" t="s">
        <v>7</v>
      </c>
      <c r="D888" t="s">
        <v>12</v>
      </c>
      <c r="E888" t="s">
        <v>1188</v>
      </c>
      <c r="F888" t="s">
        <v>1213</v>
      </c>
    </row>
    <row r="889" spans="1:6" x14ac:dyDescent="0.25">
      <c r="A889" t="str">
        <f>"110118481298"</f>
        <v>110118481298</v>
      </c>
      <c r="B889" t="s">
        <v>1214</v>
      </c>
      <c r="C889" t="s">
        <v>7</v>
      </c>
      <c r="D889" t="s">
        <v>14</v>
      </c>
      <c r="E889" t="s">
        <v>1188</v>
      </c>
    </row>
    <row r="890" spans="1:6" x14ac:dyDescent="0.25">
      <c r="A890" t="str">
        <f>"110202266073"</f>
        <v>110202266073</v>
      </c>
      <c r="B890" t="s">
        <v>1215</v>
      </c>
      <c r="C890" t="s">
        <v>7</v>
      </c>
      <c r="D890" t="s">
        <v>14</v>
      </c>
      <c r="E890" t="s">
        <v>1188</v>
      </c>
    </row>
    <row r="891" spans="1:6" x14ac:dyDescent="0.25">
      <c r="A891" t="str">
        <f>"1102055138"</f>
        <v>1102055138</v>
      </c>
      <c r="B891" t="s">
        <v>1216</v>
      </c>
      <c r="C891" t="s">
        <v>7</v>
      </c>
      <c r="D891" t="s">
        <v>12</v>
      </c>
      <c r="E891" t="s">
        <v>1188</v>
      </c>
      <c r="F891" t="s">
        <v>1217</v>
      </c>
    </row>
    <row r="892" spans="1:6" x14ac:dyDescent="0.25">
      <c r="A892" t="str">
        <f>"1102075871"</f>
        <v>1102075871</v>
      </c>
      <c r="B892" t="s">
        <v>1218</v>
      </c>
      <c r="C892" t="s">
        <v>7</v>
      </c>
      <c r="D892" t="s">
        <v>12</v>
      </c>
      <c r="E892" t="s">
        <v>1188</v>
      </c>
      <c r="F892" t="s">
        <v>1219</v>
      </c>
    </row>
    <row r="893" spans="1:6" x14ac:dyDescent="0.25">
      <c r="A893" t="str">
        <f>"110211443226"</f>
        <v>110211443226</v>
      </c>
      <c r="B893" t="s">
        <v>1220</v>
      </c>
      <c r="C893" t="s">
        <v>7</v>
      </c>
      <c r="D893" t="s">
        <v>14</v>
      </c>
      <c r="E893" t="s">
        <v>1188</v>
      </c>
    </row>
    <row r="894" spans="1:6" x14ac:dyDescent="0.25">
      <c r="A894" t="str">
        <f>"110211460091"</f>
        <v>110211460091</v>
      </c>
      <c r="B894" t="s">
        <v>1221</v>
      </c>
      <c r="C894" t="s">
        <v>7</v>
      </c>
      <c r="D894" t="s">
        <v>12</v>
      </c>
      <c r="E894" t="s">
        <v>1188</v>
      </c>
    </row>
    <row r="895" spans="1:6" x14ac:dyDescent="0.25">
      <c r="A895" t="str">
        <f>"110213442193"</f>
        <v>110213442193</v>
      </c>
      <c r="B895" t="s">
        <v>1222</v>
      </c>
      <c r="C895" t="s">
        <v>7</v>
      </c>
      <c r="D895" t="s">
        <v>14</v>
      </c>
      <c r="E895" t="s">
        <v>1188</v>
      </c>
    </row>
    <row r="896" spans="1:6" x14ac:dyDescent="0.25">
      <c r="A896" t="str">
        <f>"110308286182"</f>
        <v>110308286182</v>
      </c>
      <c r="B896" t="s">
        <v>1223</v>
      </c>
      <c r="C896" t="s">
        <v>7</v>
      </c>
      <c r="D896" t="s">
        <v>14</v>
      </c>
      <c r="E896" t="s">
        <v>1188</v>
      </c>
    </row>
    <row r="897" spans="1:6" x14ac:dyDescent="0.25">
      <c r="A897" t="str">
        <f>"110400473498"</f>
        <v>110400473498</v>
      </c>
      <c r="B897" t="s">
        <v>1224</v>
      </c>
      <c r="C897" t="s">
        <v>7</v>
      </c>
      <c r="D897" t="s">
        <v>14</v>
      </c>
      <c r="E897" t="s">
        <v>1188</v>
      </c>
    </row>
    <row r="898" spans="1:6" x14ac:dyDescent="0.25">
      <c r="A898" t="str">
        <f>"110500008790"</f>
        <v>110500008790</v>
      </c>
      <c r="B898" t="s">
        <v>1225</v>
      </c>
      <c r="C898" t="s">
        <v>7</v>
      </c>
      <c r="D898" t="s">
        <v>14</v>
      </c>
      <c r="E898" t="s">
        <v>1188</v>
      </c>
    </row>
    <row r="899" spans="1:6" x14ac:dyDescent="0.25">
      <c r="A899" t="str">
        <f>"110500208824"</f>
        <v>110500208824</v>
      </c>
      <c r="B899" t="s">
        <v>1226</v>
      </c>
      <c r="C899" t="s">
        <v>7</v>
      </c>
      <c r="D899" t="s">
        <v>14</v>
      </c>
      <c r="E899" t="s">
        <v>1188</v>
      </c>
    </row>
    <row r="900" spans="1:6" x14ac:dyDescent="0.25">
      <c r="A900" t="str">
        <f>"110505954960"</f>
        <v>110505954960</v>
      </c>
      <c r="B900" t="s">
        <v>1227</v>
      </c>
      <c r="C900" t="s">
        <v>7</v>
      </c>
      <c r="D900" t="s">
        <v>14</v>
      </c>
      <c r="E900" t="s">
        <v>1188</v>
      </c>
    </row>
    <row r="901" spans="1:6" x14ac:dyDescent="0.25">
      <c r="A901" t="str">
        <f>"110506606035"</f>
        <v>110506606035</v>
      </c>
      <c r="B901" t="s">
        <v>1228</v>
      </c>
      <c r="C901" t="s">
        <v>7</v>
      </c>
      <c r="D901" t="s">
        <v>14</v>
      </c>
      <c r="E901" t="s">
        <v>1188</v>
      </c>
    </row>
    <row r="902" spans="1:6" x14ac:dyDescent="0.25">
      <c r="A902" t="str">
        <f>"110551466319"</f>
        <v>110551466319</v>
      </c>
      <c r="B902" t="s">
        <v>1229</v>
      </c>
      <c r="C902" t="s">
        <v>7</v>
      </c>
      <c r="D902" t="s">
        <v>14</v>
      </c>
      <c r="E902" t="s">
        <v>1188</v>
      </c>
    </row>
    <row r="903" spans="1:6" x14ac:dyDescent="0.25">
      <c r="A903" t="str">
        <f>"110601625581"</f>
        <v>110601625581</v>
      </c>
      <c r="B903" t="s">
        <v>1230</v>
      </c>
      <c r="C903" t="s">
        <v>7</v>
      </c>
      <c r="D903" t="s">
        <v>14</v>
      </c>
      <c r="E903" t="s">
        <v>1188</v>
      </c>
    </row>
    <row r="904" spans="1:6" x14ac:dyDescent="0.25">
      <c r="A904" t="str">
        <f>"110601680913"</f>
        <v>110601680913</v>
      </c>
      <c r="B904" t="s">
        <v>1231</v>
      </c>
      <c r="C904" t="s">
        <v>7</v>
      </c>
      <c r="D904" t="s">
        <v>14</v>
      </c>
      <c r="E904" t="s">
        <v>1188</v>
      </c>
    </row>
    <row r="905" spans="1:6" x14ac:dyDescent="0.25">
      <c r="A905" t="str">
        <f>"1106017863"</f>
        <v>1106017863</v>
      </c>
      <c r="B905" t="s">
        <v>1232</v>
      </c>
      <c r="C905" t="s">
        <v>7</v>
      </c>
      <c r="D905" t="s">
        <v>14</v>
      </c>
      <c r="E905" t="s">
        <v>1188</v>
      </c>
      <c r="F905" t="s">
        <v>1233</v>
      </c>
    </row>
    <row r="906" spans="1:6" x14ac:dyDescent="0.25">
      <c r="A906" t="str">
        <f>"110604582590"</f>
        <v>110604582590</v>
      </c>
      <c r="B906" t="s">
        <v>1234</v>
      </c>
      <c r="C906" t="s">
        <v>7</v>
      </c>
      <c r="D906" t="s">
        <v>14</v>
      </c>
      <c r="E906" t="s">
        <v>1188</v>
      </c>
    </row>
    <row r="907" spans="1:6" x14ac:dyDescent="0.25">
      <c r="A907" t="str">
        <f>"110606001770"</f>
        <v>110606001770</v>
      </c>
      <c r="B907" t="s">
        <v>1235</v>
      </c>
      <c r="C907" t="s">
        <v>7</v>
      </c>
      <c r="D907" t="s">
        <v>14</v>
      </c>
      <c r="E907" t="s">
        <v>1188</v>
      </c>
    </row>
    <row r="908" spans="1:6" x14ac:dyDescent="0.25">
      <c r="A908" t="str">
        <f>"110806208878"</f>
        <v>110806208878</v>
      </c>
      <c r="B908" t="s">
        <v>1236</v>
      </c>
      <c r="C908" t="s">
        <v>7</v>
      </c>
      <c r="D908" t="s">
        <v>14</v>
      </c>
      <c r="E908" t="s">
        <v>1188</v>
      </c>
    </row>
    <row r="909" spans="1:6" x14ac:dyDescent="0.25">
      <c r="A909" t="str">
        <f>"110900447520"</f>
        <v>110900447520</v>
      </c>
      <c r="B909" t="s">
        <v>1237</v>
      </c>
      <c r="C909" t="s">
        <v>7</v>
      </c>
      <c r="D909" t="s">
        <v>14</v>
      </c>
      <c r="E909" t="s">
        <v>1188</v>
      </c>
    </row>
    <row r="910" spans="1:6" x14ac:dyDescent="0.25">
      <c r="A910" t="str">
        <f>"1109011958"</f>
        <v>1109011958</v>
      </c>
      <c r="B910" t="s">
        <v>265</v>
      </c>
      <c r="C910" t="s">
        <v>7</v>
      </c>
      <c r="D910" t="s">
        <v>12</v>
      </c>
      <c r="E910" t="s">
        <v>1188</v>
      </c>
      <c r="F910" t="s">
        <v>1238</v>
      </c>
    </row>
    <row r="911" spans="1:6" x14ac:dyDescent="0.25">
      <c r="A911" t="str">
        <f>"111000022573"</f>
        <v>111000022573</v>
      </c>
      <c r="B911" t="s">
        <v>1239</v>
      </c>
      <c r="C911" t="s">
        <v>7</v>
      </c>
      <c r="D911" t="s">
        <v>14</v>
      </c>
      <c r="E911" t="s">
        <v>1188</v>
      </c>
    </row>
    <row r="912" spans="1:6" x14ac:dyDescent="0.25">
      <c r="A912" t="str">
        <f>"111202478016"</f>
        <v>111202478016</v>
      </c>
      <c r="B912" t="s">
        <v>1240</v>
      </c>
      <c r="C912" t="s">
        <v>7</v>
      </c>
      <c r="D912" t="s">
        <v>14</v>
      </c>
      <c r="E912" t="s">
        <v>1188</v>
      </c>
    </row>
    <row r="913" spans="1:6" x14ac:dyDescent="0.25">
      <c r="A913" t="str">
        <f>"111401889927"</f>
        <v>111401889927</v>
      </c>
      <c r="B913" t="s">
        <v>1241</v>
      </c>
      <c r="C913" t="s">
        <v>7</v>
      </c>
      <c r="D913" t="s">
        <v>14</v>
      </c>
      <c r="E913" t="s">
        <v>1188</v>
      </c>
    </row>
    <row r="914" spans="1:6" x14ac:dyDescent="0.25">
      <c r="A914" t="str">
        <f>"111501111880"</f>
        <v>111501111880</v>
      </c>
      <c r="B914" t="s">
        <v>1242</v>
      </c>
      <c r="C914" t="s">
        <v>7</v>
      </c>
      <c r="D914" t="s">
        <v>14</v>
      </c>
      <c r="E914" t="s">
        <v>1188</v>
      </c>
    </row>
    <row r="915" spans="1:6" x14ac:dyDescent="0.25">
      <c r="A915" t="str">
        <f>"110101366723"</f>
        <v>110101366723</v>
      </c>
      <c r="B915" t="s">
        <v>1243</v>
      </c>
      <c r="C915" t="s">
        <v>7</v>
      </c>
      <c r="D915" t="s">
        <v>14</v>
      </c>
      <c r="E915" t="s">
        <v>1188</v>
      </c>
    </row>
    <row r="916" spans="1:6" x14ac:dyDescent="0.25">
      <c r="A916" t="str">
        <f>"110105395838"</f>
        <v>110105395838</v>
      </c>
      <c r="B916" t="s">
        <v>1244</v>
      </c>
      <c r="C916" t="s">
        <v>7</v>
      </c>
      <c r="D916" t="s">
        <v>12</v>
      </c>
      <c r="E916" t="s">
        <v>1188</v>
      </c>
    </row>
    <row r="917" spans="1:6" x14ac:dyDescent="0.25">
      <c r="A917" t="str">
        <f>"1101058016"</f>
        <v>1101058016</v>
      </c>
      <c r="B917" t="s">
        <v>1245</v>
      </c>
      <c r="C917" t="s">
        <v>7</v>
      </c>
      <c r="D917" t="s">
        <v>14</v>
      </c>
      <c r="E917" t="s">
        <v>1188</v>
      </c>
      <c r="F917" t="s">
        <v>1246</v>
      </c>
    </row>
    <row r="918" spans="1:6" x14ac:dyDescent="0.25">
      <c r="A918" t="str">
        <f>"1101087120"</f>
        <v>1101087120</v>
      </c>
      <c r="B918" t="s">
        <v>1247</v>
      </c>
      <c r="C918" t="s">
        <v>7</v>
      </c>
      <c r="D918" t="s">
        <v>33</v>
      </c>
      <c r="E918" t="s">
        <v>1188</v>
      </c>
      <c r="F918" t="s">
        <v>1248</v>
      </c>
    </row>
    <row r="919" spans="1:6" x14ac:dyDescent="0.25">
      <c r="A919" t="str">
        <f>"1101087708"</f>
        <v>1101087708</v>
      </c>
      <c r="B919" t="s">
        <v>111</v>
      </c>
      <c r="C919" t="s">
        <v>7</v>
      </c>
      <c r="D919" t="s">
        <v>12</v>
      </c>
      <c r="E919" t="s">
        <v>1188</v>
      </c>
      <c r="F919" t="s">
        <v>1249</v>
      </c>
    </row>
    <row r="920" spans="1:6" x14ac:dyDescent="0.25">
      <c r="A920" t="str">
        <f>"1101097752"</f>
        <v>1101097752</v>
      </c>
      <c r="B920" t="s">
        <v>1250</v>
      </c>
      <c r="C920" t="s">
        <v>7</v>
      </c>
      <c r="D920" t="s">
        <v>33</v>
      </c>
      <c r="E920" t="s">
        <v>1188</v>
      </c>
      <c r="F920" t="s">
        <v>1251</v>
      </c>
    </row>
    <row r="921" spans="1:6" x14ac:dyDescent="0.25">
      <c r="A921" t="str">
        <f>"110200422866"</f>
        <v>110200422866</v>
      </c>
      <c r="B921" t="s">
        <v>1252</v>
      </c>
      <c r="C921" t="s">
        <v>7</v>
      </c>
      <c r="D921" t="s">
        <v>14</v>
      </c>
      <c r="E921" t="s">
        <v>1188</v>
      </c>
    </row>
    <row r="922" spans="1:6" x14ac:dyDescent="0.25">
      <c r="A922" t="str">
        <f>"110203976277"</f>
        <v>110203976277</v>
      </c>
      <c r="B922" t="s">
        <v>1253</v>
      </c>
      <c r="C922" t="s">
        <v>7</v>
      </c>
      <c r="D922" t="s">
        <v>14</v>
      </c>
      <c r="E922" t="s">
        <v>1188</v>
      </c>
    </row>
    <row r="923" spans="1:6" x14ac:dyDescent="0.25">
      <c r="A923" t="str">
        <f>"110204795026"</f>
        <v>110204795026</v>
      </c>
      <c r="B923" t="s">
        <v>1254</v>
      </c>
      <c r="C923" t="s">
        <v>7</v>
      </c>
      <c r="D923" t="s">
        <v>14</v>
      </c>
      <c r="E923" t="s">
        <v>1188</v>
      </c>
    </row>
    <row r="924" spans="1:6" x14ac:dyDescent="0.25">
      <c r="A924" t="str">
        <f>"110205247625"</f>
        <v>110205247625</v>
      </c>
      <c r="B924" t="s">
        <v>1255</v>
      </c>
      <c r="C924" t="s">
        <v>7</v>
      </c>
      <c r="D924" t="s">
        <v>12</v>
      </c>
      <c r="E924" t="s">
        <v>1188</v>
      </c>
    </row>
    <row r="925" spans="1:6" x14ac:dyDescent="0.25">
      <c r="A925" t="str">
        <f>"1103047595"</f>
        <v>1103047595</v>
      </c>
      <c r="B925" t="s">
        <v>1256</v>
      </c>
      <c r="C925" t="s">
        <v>7</v>
      </c>
      <c r="D925" t="s">
        <v>14</v>
      </c>
      <c r="E925" t="s">
        <v>1188</v>
      </c>
      <c r="F925" t="s">
        <v>1257</v>
      </c>
    </row>
    <row r="926" spans="1:6" x14ac:dyDescent="0.25">
      <c r="A926" t="str">
        <f>"110600542950"</f>
        <v>110600542950</v>
      </c>
      <c r="B926" t="s">
        <v>1258</v>
      </c>
      <c r="C926" t="s">
        <v>7</v>
      </c>
      <c r="D926" t="s">
        <v>14</v>
      </c>
      <c r="E926" t="s">
        <v>1188</v>
      </c>
    </row>
    <row r="927" spans="1:6" x14ac:dyDescent="0.25">
      <c r="A927" t="str">
        <f>"1106026988"</f>
        <v>1106026988</v>
      </c>
      <c r="B927" t="s">
        <v>1259</v>
      </c>
      <c r="C927" t="s">
        <v>7</v>
      </c>
      <c r="D927" t="s">
        <v>14</v>
      </c>
      <c r="E927" t="s">
        <v>1188</v>
      </c>
      <c r="F927" t="s">
        <v>1233</v>
      </c>
    </row>
    <row r="928" spans="1:6" x14ac:dyDescent="0.25">
      <c r="A928" t="str">
        <f>"1106034548"</f>
        <v>1106034548</v>
      </c>
      <c r="B928" t="s">
        <v>1260</v>
      </c>
      <c r="C928" t="s">
        <v>7</v>
      </c>
      <c r="D928" t="s">
        <v>14</v>
      </c>
      <c r="E928" t="s">
        <v>1188</v>
      </c>
      <c r="F928" t="s">
        <v>1261</v>
      </c>
    </row>
    <row r="929" spans="1:6" x14ac:dyDescent="0.25">
      <c r="A929" t="str">
        <f>"110804147404"</f>
        <v>110804147404</v>
      </c>
      <c r="B929" t="s">
        <v>1262</v>
      </c>
      <c r="C929" t="s">
        <v>7</v>
      </c>
      <c r="D929" t="s">
        <v>12</v>
      </c>
      <c r="E929" t="s">
        <v>1188</v>
      </c>
    </row>
    <row r="930" spans="1:6" x14ac:dyDescent="0.25">
      <c r="A930" t="str">
        <f>"1109014003"</f>
        <v>1109014003</v>
      </c>
      <c r="B930" t="s">
        <v>1263</v>
      </c>
      <c r="C930" t="s">
        <v>7</v>
      </c>
      <c r="D930" t="s">
        <v>12</v>
      </c>
      <c r="E930" t="s">
        <v>1188</v>
      </c>
      <c r="F930" t="s">
        <v>1264</v>
      </c>
    </row>
    <row r="931" spans="1:6" x14ac:dyDescent="0.25">
      <c r="A931" t="str">
        <f>"1109014765"</f>
        <v>1109014765</v>
      </c>
      <c r="B931" t="s">
        <v>1265</v>
      </c>
      <c r="C931" t="s">
        <v>7</v>
      </c>
      <c r="D931" t="s">
        <v>12</v>
      </c>
      <c r="E931" t="s">
        <v>1188</v>
      </c>
      <c r="F931" t="s">
        <v>1266</v>
      </c>
    </row>
    <row r="932" spans="1:6" x14ac:dyDescent="0.25">
      <c r="A932" t="str">
        <f>"111100203904"</f>
        <v>111100203904</v>
      </c>
      <c r="B932" t="s">
        <v>1267</v>
      </c>
      <c r="C932" t="s">
        <v>7</v>
      </c>
      <c r="D932" t="s">
        <v>14</v>
      </c>
      <c r="E932" t="s">
        <v>1188</v>
      </c>
    </row>
    <row r="933" spans="1:6" x14ac:dyDescent="0.25">
      <c r="A933" t="str">
        <f>"111100939123"</f>
        <v>111100939123</v>
      </c>
      <c r="B933" t="s">
        <v>1268</v>
      </c>
      <c r="C933" t="s">
        <v>7</v>
      </c>
      <c r="D933" t="s">
        <v>14</v>
      </c>
      <c r="E933" t="s">
        <v>1188</v>
      </c>
    </row>
    <row r="934" spans="1:6" x14ac:dyDescent="0.25">
      <c r="A934" t="str">
        <f>"111300628005"</f>
        <v>111300628005</v>
      </c>
      <c r="B934" t="s">
        <v>1269</v>
      </c>
      <c r="C934" t="s">
        <v>7</v>
      </c>
      <c r="D934" t="s">
        <v>14</v>
      </c>
      <c r="E934" t="s">
        <v>1188</v>
      </c>
    </row>
    <row r="935" spans="1:6" x14ac:dyDescent="0.25">
      <c r="A935" t="str">
        <f>"111700927120"</f>
        <v>111700927120</v>
      </c>
      <c r="B935" t="s">
        <v>1270</v>
      </c>
      <c r="C935" t="s">
        <v>7</v>
      </c>
      <c r="D935" t="s">
        <v>12</v>
      </c>
      <c r="E935" t="s">
        <v>1188</v>
      </c>
    </row>
    <row r="936" spans="1:6" x14ac:dyDescent="0.25">
      <c r="A936" t="str">
        <f>"110100205650"</f>
        <v>110100205650</v>
      </c>
      <c r="B936" t="s">
        <v>1271</v>
      </c>
      <c r="C936" t="s">
        <v>7</v>
      </c>
      <c r="D936" t="s">
        <v>14</v>
      </c>
      <c r="E936" t="s">
        <v>1188</v>
      </c>
    </row>
    <row r="937" spans="1:6" x14ac:dyDescent="0.25">
      <c r="A937" t="str">
        <f>"110101161300"</f>
        <v>110101161300</v>
      </c>
      <c r="B937" t="s">
        <v>1272</v>
      </c>
      <c r="C937" t="s">
        <v>7</v>
      </c>
      <c r="D937" t="s">
        <v>12</v>
      </c>
      <c r="E937" t="s">
        <v>1188</v>
      </c>
    </row>
    <row r="938" spans="1:6" x14ac:dyDescent="0.25">
      <c r="A938" t="str">
        <f>"1101013801"</f>
        <v>1101013801</v>
      </c>
      <c r="B938" t="s">
        <v>1273</v>
      </c>
      <c r="C938" t="s">
        <v>7</v>
      </c>
      <c r="D938" t="s">
        <v>33</v>
      </c>
      <c r="E938" t="s">
        <v>1188</v>
      </c>
      <c r="F938" t="s">
        <v>1274</v>
      </c>
    </row>
    <row r="939" spans="1:6" x14ac:dyDescent="0.25">
      <c r="A939" t="str">
        <f>"1101016351"</f>
        <v>1101016351</v>
      </c>
      <c r="B939" t="s">
        <v>1275</v>
      </c>
      <c r="C939" t="s">
        <v>7</v>
      </c>
      <c r="D939" t="s">
        <v>12</v>
      </c>
      <c r="E939" t="s">
        <v>1188</v>
      </c>
      <c r="F939" t="s">
        <v>1276</v>
      </c>
    </row>
    <row r="940" spans="1:6" x14ac:dyDescent="0.25">
      <c r="A940" t="str">
        <f>"1101063030"</f>
        <v>1101063030</v>
      </c>
      <c r="B940" t="s">
        <v>1277</v>
      </c>
      <c r="C940" t="s">
        <v>7</v>
      </c>
      <c r="D940" t="s">
        <v>33</v>
      </c>
      <c r="E940" t="s">
        <v>1188</v>
      </c>
      <c r="F940" t="s">
        <v>1278</v>
      </c>
    </row>
    <row r="941" spans="1:6" x14ac:dyDescent="0.25">
      <c r="A941" t="str">
        <f>"1101065084"</f>
        <v>1101065084</v>
      </c>
      <c r="B941" t="s">
        <v>1279</v>
      </c>
      <c r="C941" t="s">
        <v>7</v>
      </c>
      <c r="D941" t="s">
        <v>12</v>
      </c>
      <c r="E941" t="s">
        <v>1188</v>
      </c>
      <c r="F941" t="s">
        <v>1280</v>
      </c>
    </row>
    <row r="942" spans="1:6" x14ac:dyDescent="0.25">
      <c r="A942" t="str">
        <f>"1101069265"</f>
        <v>1101069265</v>
      </c>
      <c r="B942" t="s">
        <v>1281</v>
      </c>
      <c r="C942" t="s">
        <v>7</v>
      </c>
      <c r="D942" t="s">
        <v>14</v>
      </c>
      <c r="E942" t="s">
        <v>1188</v>
      </c>
      <c r="F942" t="s">
        <v>1282</v>
      </c>
    </row>
    <row r="943" spans="1:6" x14ac:dyDescent="0.25">
      <c r="A943" t="str">
        <f>"110108981020"</f>
        <v>110108981020</v>
      </c>
      <c r="B943" t="s">
        <v>1283</v>
      </c>
      <c r="C943" t="s">
        <v>7</v>
      </c>
      <c r="D943" t="s">
        <v>14</v>
      </c>
      <c r="E943" t="s">
        <v>1188</v>
      </c>
    </row>
    <row r="944" spans="1:6" x14ac:dyDescent="0.25">
      <c r="A944" t="str">
        <f>"1101096251"</f>
        <v>1101096251</v>
      </c>
      <c r="B944" t="s">
        <v>1284</v>
      </c>
      <c r="C944" t="s">
        <v>7</v>
      </c>
      <c r="D944" t="s">
        <v>12</v>
      </c>
      <c r="E944" t="s">
        <v>1188</v>
      </c>
      <c r="F944" t="s">
        <v>1285</v>
      </c>
    </row>
    <row r="945" spans="1:6" x14ac:dyDescent="0.25">
      <c r="A945" t="str">
        <f>"110115975884"</f>
        <v>110115975884</v>
      </c>
      <c r="B945" t="s">
        <v>1286</v>
      </c>
      <c r="C945" t="s">
        <v>7</v>
      </c>
      <c r="D945" t="s">
        <v>14</v>
      </c>
      <c r="E945" t="s">
        <v>1188</v>
      </c>
    </row>
    <row r="946" spans="1:6" x14ac:dyDescent="0.25">
      <c r="A946" t="str">
        <f>"110118322001"</f>
        <v>110118322001</v>
      </c>
      <c r="B946" t="s">
        <v>1287</v>
      </c>
      <c r="C946" t="s">
        <v>7</v>
      </c>
      <c r="D946" t="s">
        <v>33</v>
      </c>
      <c r="E946" t="s">
        <v>1188</v>
      </c>
    </row>
    <row r="947" spans="1:6" x14ac:dyDescent="0.25">
      <c r="A947" t="str">
        <f>"110122709160"</f>
        <v>110122709160</v>
      </c>
      <c r="B947" t="s">
        <v>1288</v>
      </c>
      <c r="C947" t="s">
        <v>7</v>
      </c>
      <c r="D947" t="s">
        <v>12</v>
      </c>
      <c r="E947" t="s">
        <v>1188</v>
      </c>
    </row>
    <row r="948" spans="1:6" x14ac:dyDescent="0.25">
      <c r="A948" t="str">
        <f>"110200009458"</f>
        <v>110200009458</v>
      </c>
      <c r="B948" t="s">
        <v>1289</v>
      </c>
      <c r="C948" t="s">
        <v>7</v>
      </c>
      <c r="D948" t="s">
        <v>14</v>
      </c>
      <c r="E948" t="s">
        <v>1188</v>
      </c>
    </row>
    <row r="949" spans="1:6" x14ac:dyDescent="0.25">
      <c r="A949" t="str">
        <f>"110200140886"</f>
        <v>110200140886</v>
      </c>
      <c r="B949" t="s">
        <v>1290</v>
      </c>
      <c r="C949" t="s">
        <v>7</v>
      </c>
      <c r="D949" t="s">
        <v>14</v>
      </c>
      <c r="E949" t="s">
        <v>1188</v>
      </c>
    </row>
    <row r="950" spans="1:6" x14ac:dyDescent="0.25">
      <c r="A950" t="str">
        <f>"1102064615"</f>
        <v>1102064615</v>
      </c>
      <c r="B950" t="s">
        <v>1291</v>
      </c>
      <c r="C950" t="s">
        <v>7</v>
      </c>
      <c r="D950" t="s">
        <v>14</v>
      </c>
      <c r="E950" t="s">
        <v>1188</v>
      </c>
      <c r="F950" t="s">
        <v>1292</v>
      </c>
    </row>
    <row r="951" spans="1:6" x14ac:dyDescent="0.25">
      <c r="A951" t="str">
        <f>"110210238898"</f>
        <v>110210238898</v>
      </c>
      <c r="B951" t="s">
        <v>1293</v>
      </c>
      <c r="C951" t="s">
        <v>7</v>
      </c>
      <c r="D951" t="s">
        <v>14</v>
      </c>
      <c r="E951" t="s">
        <v>1188</v>
      </c>
    </row>
    <row r="952" spans="1:6" x14ac:dyDescent="0.25">
      <c r="A952" t="str">
        <f>"110210775885"</f>
        <v>110210775885</v>
      </c>
      <c r="B952" t="s">
        <v>1294</v>
      </c>
      <c r="C952" t="s">
        <v>7</v>
      </c>
      <c r="D952" t="s">
        <v>12</v>
      </c>
      <c r="E952" t="s">
        <v>1188</v>
      </c>
    </row>
    <row r="953" spans="1:6" x14ac:dyDescent="0.25">
      <c r="A953" t="str">
        <f>"110210956828"</f>
        <v>110210956828</v>
      </c>
      <c r="B953" t="s">
        <v>1295</v>
      </c>
      <c r="C953" t="s">
        <v>7</v>
      </c>
      <c r="D953" t="s">
        <v>12</v>
      </c>
      <c r="E953" t="s">
        <v>1188</v>
      </c>
    </row>
    <row r="954" spans="1:6" x14ac:dyDescent="0.25">
      <c r="A954" t="str">
        <f>"110310045184"</f>
        <v>110310045184</v>
      </c>
      <c r="B954" t="s">
        <v>1296</v>
      </c>
      <c r="C954" t="s">
        <v>7</v>
      </c>
      <c r="D954" t="s">
        <v>14</v>
      </c>
      <c r="E954" t="s">
        <v>1188</v>
      </c>
    </row>
    <row r="955" spans="1:6" x14ac:dyDescent="0.25">
      <c r="A955" t="str">
        <f>"110400027895"</f>
        <v>110400027895</v>
      </c>
      <c r="B955" t="s">
        <v>1297</v>
      </c>
      <c r="C955" t="s">
        <v>7</v>
      </c>
      <c r="D955" t="s">
        <v>14</v>
      </c>
      <c r="E955" t="s">
        <v>1188</v>
      </c>
    </row>
    <row r="956" spans="1:6" x14ac:dyDescent="0.25">
      <c r="A956" t="str">
        <f>"110500004524"</f>
        <v>110500004524</v>
      </c>
      <c r="B956" t="s">
        <v>1298</v>
      </c>
      <c r="C956" t="s">
        <v>7</v>
      </c>
      <c r="D956" t="s">
        <v>14</v>
      </c>
      <c r="E956" t="s">
        <v>1188</v>
      </c>
    </row>
    <row r="957" spans="1:6" x14ac:dyDescent="0.25">
      <c r="A957" t="str">
        <f>"110505165902"</f>
        <v>110505165902</v>
      </c>
      <c r="B957" t="s">
        <v>1299</v>
      </c>
      <c r="C957" t="s">
        <v>7</v>
      </c>
      <c r="D957" t="s">
        <v>14</v>
      </c>
      <c r="E957" t="s">
        <v>1188</v>
      </c>
    </row>
    <row r="958" spans="1:6" x14ac:dyDescent="0.25">
      <c r="A958" t="str">
        <f>"110600778000"</f>
        <v>110600778000</v>
      </c>
      <c r="B958" t="s">
        <v>1300</v>
      </c>
      <c r="C958" t="s">
        <v>7</v>
      </c>
      <c r="D958" t="s">
        <v>14</v>
      </c>
      <c r="E958" t="s">
        <v>1188</v>
      </c>
    </row>
    <row r="959" spans="1:6" x14ac:dyDescent="0.25">
      <c r="A959" t="str">
        <f>"110603418608"</f>
        <v>110603418608</v>
      </c>
      <c r="B959" t="s">
        <v>1301</v>
      </c>
      <c r="C959" t="s">
        <v>7</v>
      </c>
      <c r="D959" t="s">
        <v>12</v>
      </c>
      <c r="E959" t="s">
        <v>1188</v>
      </c>
    </row>
    <row r="960" spans="1:6" x14ac:dyDescent="0.25">
      <c r="A960" t="str">
        <f>"1108017629"</f>
        <v>1108017629</v>
      </c>
      <c r="B960" t="s">
        <v>1302</v>
      </c>
      <c r="C960" t="s">
        <v>7</v>
      </c>
      <c r="D960" t="s">
        <v>14</v>
      </c>
      <c r="E960" t="s">
        <v>1188</v>
      </c>
      <c r="F960" t="s">
        <v>1303</v>
      </c>
    </row>
    <row r="961" spans="1:6" x14ac:dyDescent="0.25">
      <c r="A961" t="str">
        <f>"1111000223"</f>
        <v>1111000223</v>
      </c>
      <c r="B961" t="s">
        <v>1304</v>
      </c>
      <c r="C961" t="s">
        <v>7</v>
      </c>
      <c r="D961" t="s">
        <v>14</v>
      </c>
      <c r="E961" t="s">
        <v>1188</v>
      </c>
      <c r="F961" t="s">
        <v>1305</v>
      </c>
    </row>
    <row r="962" spans="1:6" x14ac:dyDescent="0.25">
      <c r="A962" t="str">
        <f>"111100062114"</f>
        <v>111100062114</v>
      </c>
      <c r="B962" t="s">
        <v>1306</v>
      </c>
      <c r="C962" t="s">
        <v>7</v>
      </c>
      <c r="D962" t="s">
        <v>14</v>
      </c>
      <c r="E962" t="s">
        <v>1188</v>
      </c>
    </row>
    <row r="963" spans="1:6" x14ac:dyDescent="0.25">
      <c r="A963" t="str">
        <f>"111200045345"</f>
        <v>111200045345</v>
      </c>
      <c r="B963" t="s">
        <v>1307</v>
      </c>
      <c r="C963" t="s">
        <v>7</v>
      </c>
      <c r="D963" t="s">
        <v>14</v>
      </c>
      <c r="E963" t="s">
        <v>1188</v>
      </c>
    </row>
    <row r="964" spans="1:6" x14ac:dyDescent="0.25">
      <c r="A964" t="str">
        <f>"111700842469"</f>
        <v>111700842469</v>
      </c>
      <c r="B964" t="s">
        <v>1308</v>
      </c>
      <c r="C964" t="s">
        <v>7</v>
      </c>
      <c r="D964" t="s">
        <v>14</v>
      </c>
      <c r="E964" t="s">
        <v>1188</v>
      </c>
    </row>
    <row r="965" spans="1:6" x14ac:dyDescent="0.25">
      <c r="A965" t="str">
        <f>"112001333100"</f>
        <v>112001333100</v>
      </c>
      <c r="B965" t="s">
        <v>1309</v>
      </c>
      <c r="C965" t="s">
        <v>7</v>
      </c>
      <c r="D965" t="s">
        <v>14</v>
      </c>
      <c r="E965" t="s">
        <v>1188</v>
      </c>
    </row>
    <row r="966" spans="1:6" x14ac:dyDescent="0.25">
      <c r="A966" t="str">
        <f>"1121025971"</f>
        <v>1121025971</v>
      </c>
      <c r="B966" t="s">
        <v>1310</v>
      </c>
      <c r="C966" t="s">
        <v>7</v>
      </c>
      <c r="D966" t="s">
        <v>14</v>
      </c>
      <c r="E966" t="s">
        <v>1188</v>
      </c>
      <c r="F966" t="s">
        <v>1311</v>
      </c>
    </row>
    <row r="967" spans="1:6" x14ac:dyDescent="0.25">
      <c r="A967" t="str">
        <f>"112104132357"</f>
        <v>112104132357</v>
      </c>
      <c r="B967" t="s">
        <v>1312</v>
      </c>
      <c r="C967" t="s">
        <v>7</v>
      </c>
      <c r="D967" t="s">
        <v>12</v>
      </c>
      <c r="E967" t="s">
        <v>1188</v>
      </c>
    </row>
    <row r="968" spans="1:6" x14ac:dyDescent="0.25">
      <c r="A968" t="str">
        <f>"112105949208"</f>
        <v>112105949208</v>
      </c>
      <c r="B968" t="s">
        <v>1313</v>
      </c>
      <c r="C968" t="s">
        <v>7</v>
      </c>
      <c r="D968" t="s">
        <v>14</v>
      </c>
      <c r="E968" t="s">
        <v>1188</v>
      </c>
    </row>
    <row r="969" spans="1:6" x14ac:dyDescent="0.25">
      <c r="A969" t="str">
        <f>"112105997730"</f>
        <v>112105997730</v>
      </c>
      <c r="B969" t="s">
        <v>1314</v>
      </c>
      <c r="C969" t="s">
        <v>7</v>
      </c>
      <c r="D969" t="s">
        <v>14</v>
      </c>
      <c r="E969" t="s">
        <v>1188</v>
      </c>
    </row>
    <row r="970" spans="1:6" x14ac:dyDescent="0.25">
      <c r="A970" t="str">
        <f>"291580544479"</f>
        <v>291580544479</v>
      </c>
      <c r="B970" t="s">
        <v>1315</v>
      </c>
      <c r="C970" t="s">
        <v>7</v>
      </c>
      <c r="D970" t="s">
        <v>14</v>
      </c>
      <c r="E970" t="s">
        <v>1188</v>
      </c>
    </row>
    <row r="971" spans="1:6" x14ac:dyDescent="0.25">
      <c r="A971" t="str">
        <f>"120303017810"</f>
        <v>120303017810</v>
      </c>
      <c r="B971" t="s">
        <v>1316</v>
      </c>
      <c r="C971" t="s">
        <v>7</v>
      </c>
      <c r="D971" t="s">
        <v>14</v>
      </c>
      <c r="E971" t="s">
        <v>1317</v>
      </c>
    </row>
    <row r="972" spans="1:6" x14ac:dyDescent="0.25">
      <c r="A972" t="str">
        <f>"120700523234"</f>
        <v>120700523234</v>
      </c>
      <c r="B972" t="s">
        <v>1318</v>
      </c>
      <c r="C972" t="s">
        <v>7</v>
      </c>
      <c r="D972" t="s">
        <v>189</v>
      </c>
      <c r="E972" t="s">
        <v>1317</v>
      </c>
    </row>
    <row r="973" spans="1:6" x14ac:dyDescent="0.25">
      <c r="A973" t="str">
        <f>"120800886400"</f>
        <v>120800886400</v>
      </c>
      <c r="B973" t="s">
        <v>1319</v>
      </c>
      <c r="C973" t="s">
        <v>7</v>
      </c>
      <c r="D973" t="s">
        <v>14</v>
      </c>
      <c r="E973" t="s">
        <v>1317</v>
      </c>
    </row>
    <row r="974" spans="1:6" x14ac:dyDescent="0.25">
      <c r="A974" t="str">
        <f>"121100754640"</f>
        <v>121100754640</v>
      </c>
      <c r="B974" t="s">
        <v>1320</v>
      </c>
      <c r="C974" t="s">
        <v>7</v>
      </c>
      <c r="D974" t="s">
        <v>14</v>
      </c>
      <c r="E974" t="s">
        <v>1317</v>
      </c>
    </row>
    <row r="975" spans="1:6" x14ac:dyDescent="0.25">
      <c r="A975" t="str">
        <f>"1215015859"</f>
        <v>1215015859</v>
      </c>
      <c r="B975" t="s">
        <v>1321</v>
      </c>
      <c r="C975" t="s">
        <v>7</v>
      </c>
      <c r="D975" t="s">
        <v>14</v>
      </c>
      <c r="E975" t="s">
        <v>1317</v>
      </c>
      <c r="F975" t="s">
        <v>1322</v>
      </c>
    </row>
    <row r="976" spans="1:6" x14ac:dyDescent="0.25">
      <c r="A976" t="str">
        <f>"121516843770"</f>
        <v>121516843770</v>
      </c>
      <c r="B976" t="s">
        <v>1323</v>
      </c>
      <c r="C976" t="s">
        <v>7</v>
      </c>
      <c r="D976" t="s">
        <v>12</v>
      </c>
      <c r="E976" t="s">
        <v>1317</v>
      </c>
    </row>
    <row r="977" spans="1:6" x14ac:dyDescent="0.25">
      <c r="A977" t="str">
        <f>"121521935402"</f>
        <v>121521935402</v>
      </c>
      <c r="B977" t="s">
        <v>1324</v>
      </c>
      <c r="C977" t="s">
        <v>7</v>
      </c>
      <c r="D977" t="s">
        <v>14</v>
      </c>
      <c r="E977" t="s">
        <v>1317</v>
      </c>
    </row>
    <row r="978" spans="1:6" x14ac:dyDescent="0.25">
      <c r="A978" t="str">
        <f>"1200006957"</f>
        <v>1200006957</v>
      </c>
      <c r="B978" t="s">
        <v>1325</v>
      </c>
      <c r="C978" t="s">
        <v>7</v>
      </c>
      <c r="D978" t="s">
        <v>14</v>
      </c>
      <c r="E978" t="s">
        <v>1317</v>
      </c>
      <c r="F978" t="s">
        <v>1326</v>
      </c>
    </row>
    <row r="979" spans="1:6" x14ac:dyDescent="0.25">
      <c r="A979" t="str">
        <f>"1200015165"</f>
        <v>1200015165</v>
      </c>
      <c r="B979" t="s">
        <v>1327</v>
      </c>
      <c r="C979" t="s">
        <v>7</v>
      </c>
      <c r="D979" t="s">
        <v>12</v>
      </c>
      <c r="E979" t="s">
        <v>1317</v>
      </c>
      <c r="F979" t="s">
        <v>1328</v>
      </c>
    </row>
    <row r="980" spans="1:6" x14ac:dyDescent="0.25">
      <c r="A980" t="str">
        <f>"1200016313"</f>
        <v>1200016313</v>
      </c>
      <c r="B980" t="s">
        <v>1329</v>
      </c>
      <c r="C980" t="s">
        <v>7</v>
      </c>
      <c r="D980" t="s">
        <v>33</v>
      </c>
      <c r="E980" t="s">
        <v>1317</v>
      </c>
      <c r="F980" t="s">
        <v>1330</v>
      </c>
    </row>
    <row r="981" spans="1:6" x14ac:dyDescent="0.25">
      <c r="A981" t="str">
        <f>"120303564386"</f>
        <v>120303564386</v>
      </c>
      <c r="B981" t="s">
        <v>1331</v>
      </c>
      <c r="C981" t="s">
        <v>7</v>
      </c>
      <c r="D981" t="s">
        <v>14</v>
      </c>
      <c r="E981" t="s">
        <v>1317</v>
      </c>
    </row>
    <row r="982" spans="1:6" x14ac:dyDescent="0.25">
      <c r="A982" t="str">
        <f>"120601545413"</f>
        <v>120601545413</v>
      </c>
      <c r="B982" t="s">
        <v>1332</v>
      </c>
      <c r="C982" t="s">
        <v>7</v>
      </c>
      <c r="D982" t="s">
        <v>14</v>
      </c>
      <c r="E982" t="s">
        <v>1317</v>
      </c>
    </row>
    <row r="983" spans="1:6" x14ac:dyDescent="0.25">
      <c r="A983" t="str">
        <f>"120602737894"</f>
        <v>120602737894</v>
      </c>
      <c r="B983" t="s">
        <v>1333</v>
      </c>
      <c r="C983" t="s">
        <v>7</v>
      </c>
      <c r="D983" t="s">
        <v>14</v>
      </c>
      <c r="E983" t="s">
        <v>1317</v>
      </c>
    </row>
    <row r="984" spans="1:6" x14ac:dyDescent="0.25">
      <c r="A984" t="str">
        <f>"1207003296"</f>
        <v>1207003296</v>
      </c>
      <c r="B984" t="s">
        <v>1334</v>
      </c>
      <c r="C984" t="s">
        <v>7</v>
      </c>
      <c r="D984" t="s">
        <v>14</v>
      </c>
      <c r="E984" t="s">
        <v>1317</v>
      </c>
      <c r="F984" t="s">
        <v>1335</v>
      </c>
    </row>
    <row r="985" spans="1:6" x14ac:dyDescent="0.25">
      <c r="A985" t="str">
        <f>"1207006667"</f>
        <v>1207006667</v>
      </c>
      <c r="B985" t="s">
        <v>1336</v>
      </c>
      <c r="C985" t="s">
        <v>7</v>
      </c>
      <c r="D985" t="s">
        <v>14</v>
      </c>
      <c r="E985" t="s">
        <v>1317</v>
      </c>
      <c r="F985" t="s">
        <v>1337</v>
      </c>
    </row>
    <row r="986" spans="1:6" x14ac:dyDescent="0.25">
      <c r="A986" t="str">
        <f>"120703527903"</f>
        <v>120703527903</v>
      </c>
      <c r="B986" t="s">
        <v>1338</v>
      </c>
      <c r="C986" t="s">
        <v>7</v>
      </c>
      <c r="D986" t="s">
        <v>14</v>
      </c>
      <c r="E986" t="s">
        <v>1317</v>
      </c>
    </row>
    <row r="987" spans="1:6" x14ac:dyDescent="0.25">
      <c r="A987" t="str">
        <f>"1207901941"</f>
        <v>1207901941</v>
      </c>
      <c r="B987" t="s">
        <v>1339</v>
      </c>
      <c r="C987" t="s">
        <v>7</v>
      </c>
      <c r="D987" t="s">
        <v>14</v>
      </c>
      <c r="E987" t="s">
        <v>1317</v>
      </c>
      <c r="F987" t="s">
        <v>1340</v>
      </c>
    </row>
    <row r="988" spans="1:6" x14ac:dyDescent="0.25">
      <c r="A988" t="str">
        <f>"120802465824"</f>
        <v>120802465824</v>
      </c>
      <c r="B988" t="s">
        <v>1341</v>
      </c>
      <c r="C988" t="s">
        <v>7</v>
      </c>
      <c r="D988" t="s">
        <v>14</v>
      </c>
      <c r="E988" t="s">
        <v>1317</v>
      </c>
    </row>
    <row r="989" spans="1:6" x14ac:dyDescent="0.25">
      <c r="A989" t="str">
        <f>"121000523872"</f>
        <v>121000523872</v>
      </c>
      <c r="B989" t="s">
        <v>1342</v>
      </c>
      <c r="C989" t="s">
        <v>7</v>
      </c>
      <c r="D989" t="s">
        <v>14</v>
      </c>
      <c r="E989" t="s">
        <v>1317</v>
      </c>
    </row>
    <row r="990" spans="1:6" x14ac:dyDescent="0.25">
      <c r="A990" t="str">
        <f>"121001493405"</f>
        <v>121001493405</v>
      </c>
      <c r="B990" t="s">
        <v>1343</v>
      </c>
      <c r="C990" t="s">
        <v>7</v>
      </c>
      <c r="D990" t="s">
        <v>14</v>
      </c>
      <c r="E990" t="s">
        <v>1317</v>
      </c>
    </row>
    <row r="991" spans="1:6" x14ac:dyDescent="0.25">
      <c r="A991" t="str">
        <f>"121100810736"</f>
        <v>121100810736</v>
      </c>
      <c r="B991" t="s">
        <v>1344</v>
      </c>
      <c r="C991" t="s">
        <v>7</v>
      </c>
      <c r="D991" t="s">
        <v>14</v>
      </c>
      <c r="E991" t="s">
        <v>1317</v>
      </c>
    </row>
    <row r="992" spans="1:6" x14ac:dyDescent="0.25">
      <c r="A992" t="str">
        <f>"121500028259"</f>
        <v>121500028259</v>
      </c>
      <c r="B992" t="s">
        <v>1345</v>
      </c>
      <c r="C992" t="s">
        <v>7</v>
      </c>
      <c r="D992" t="s">
        <v>12</v>
      </c>
      <c r="E992" t="s">
        <v>1317</v>
      </c>
    </row>
    <row r="993" spans="1:6" x14ac:dyDescent="0.25">
      <c r="A993" t="str">
        <f>"121501933206"</f>
        <v>121501933206</v>
      </c>
      <c r="B993" t="s">
        <v>1346</v>
      </c>
      <c r="C993" t="s">
        <v>7</v>
      </c>
      <c r="D993" t="s">
        <v>12</v>
      </c>
      <c r="E993" t="s">
        <v>1317</v>
      </c>
    </row>
    <row r="994" spans="1:6" x14ac:dyDescent="0.25">
      <c r="A994" t="str">
        <f>"121502535303"</f>
        <v>121502535303</v>
      </c>
      <c r="B994" t="s">
        <v>1347</v>
      </c>
      <c r="C994" t="s">
        <v>7</v>
      </c>
      <c r="D994" t="s">
        <v>33</v>
      </c>
      <c r="E994" t="s">
        <v>1317</v>
      </c>
    </row>
    <row r="995" spans="1:6" x14ac:dyDescent="0.25">
      <c r="A995" t="str">
        <f>"1215047219"</f>
        <v>1215047219</v>
      </c>
      <c r="B995" t="s">
        <v>1348</v>
      </c>
      <c r="C995" t="s">
        <v>7</v>
      </c>
      <c r="D995" t="s">
        <v>14</v>
      </c>
      <c r="E995" t="s">
        <v>1317</v>
      </c>
      <c r="F995" t="s">
        <v>1349</v>
      </c>
    </row>
    <row r="996" spans="1:6" x14ac:dyDescent="0.25">
      <c r="A996" t="str">
        <f>"1215121790"</f>
        <v>1215121790</v>
      </c>
      <c r="B996" t="s">
        <v>1350</v>
      </c>
      <c r="C996" t="s">
        <v>7</v>
      </c>
      <c r="D996" t="s">
        <v>14</v>
      </c>
      <c r="E996" t="s">
        <v>1317</v>
      </c>
      <c r="F996" t="s">
        <v>1351</v>
      </c>
    </row>
    <row r="997" spans="1:6" x14ac:dyDescent="0.25">
      <c r="A997" t="str">
        <f>"121512419070"</f>
        <v>121512419070</v>
      </c>
      <c r="B997" t="s">
        <v>1352</v>
      </c>
      <c r="C997" t="s">
        <v>7</v>
      </c>
      <c r="D997" t="s">
        <v>14</v>
      </c>
      <c r="E997" t="s">
        <v>1317</v>
      </c>
    </row>
    <row r="998" spans="1:6" x14ac:dyDescent="0.25">
      <c r="A998" t="str">
        <f>"1215161306"</f>
        <v>1215161306</v>
      </c>
      <c r="B998" t="s">
        <v>1353</v>
      </c>
      <c r="C998" t="s">
        <v>7</v>
      </c>
      <c r="D998" t="s">
        <v>12</v>
      </c>
      <c r="E998" t="s">
        <v>1317</v>
      </c>
      <c r="F998" t="s">
        <v>1354</v>
      </c>
    </row>
    <row r="999" spans="1:6" x14ac:dyDescent="0.25">
      <c r="A999" t="str">
        <f>"121518178600"</f>
        <v>121518178600</v>
      </c>
      <c r="B999" t="s">
        <v>1355</v>
      </c>
      <c r="C999" t="s">
        <v>7</v>
      </c>
      <c r="D999" t="s">
        <v>14</v>
      </c>
      <c r="E999" t="s">
        <v>1317</v>
      </c>
    </row>
    <row r="1000" spans="1:6" x14ac:dyDescent="0.25">
      <c r="A1000" t="str">
        <f>"121518617311"</f>
        <v>121518617311</v>
      </c>
      <c r="B1000" t="s">
        <v>1356</v>
      </c>
      <c r="C1000" t="s">
        <v>7</v>
      </c>
      <c r="D1000" t="s">
        <v>14</v>
      </c>
      <c r="E1000" t="s">
        <v>1317</v>
      </c>
    </row>
    <row r="1001" spans="1:6" x14ac:dyDescent="0.25">
      <c r="A1001" t="str">
        <f>"121520708132"</f>
        <v>121520708132</v>
      </c>
      <c r="B1001" t="s">
        <v>1357</v>
      </c>
      <c r="C1001" t="s">
        <v>7</v>
      </c>
      <c r="D1001" t="s">
        <v>14</v>
      </c>
      <c r="E1001" t="s">
        <v>1317</v>
      </c>
    </row>
    <row r="1002" spans="1:6" x14ac:dyDescent="0.25">
      <c r="A1002" t="str">
        <f>"121521485231"</f>
        <v>121521485231</v>
      </c>
      <c r="B1002" t="s">
        <v>1358</v>
      </c>
      <c r="C1002" t="s">
        <v>7</v>
      </c>
      <c r="D1002" t="s">
        <v>14</v>
      </c>
      <c r="E1002" t="s">
        <v>1317</v>
      </c>
    </row>
    <row r="1003" spans="1:6" x14ac:dyDescent="0.25">
      <c r="A1003" t="str">
        <f>"1215219250"</f>
        <v>1215219250</v>
      </c>
      <c r="B1003" t="s">
        <v>1359</v>
      </c>
      <c r="C1003" t="s">
        <v>7</v>
      </c>
      <c r="D1003" t="s">
        <v>33</v>
      </c>
      <c r="E1003" t="s">
        <v>1317</v>
      </c>
      <c r="F1003" t="s">
        <v>1360</v>
      </c>
    </row>
    <row r="1004" spans="1:6" x14ac:dyDescent="0.25">
      <c r="A1004" t="str">
        <f>"121526234337"</f>
        <v>121526234337</v>
      </c>
      <c r="B1004" t="s">
        <v>1361</v>
      </c>
      <c r="C1004" t="s">
        <v>7</v>
      </c>
      <c r="D1004" t="s">
        <v>14</v>
      </c>
      <c r="E1004" t="s">
        <v>1317</v>
      </c>
    </row>
    <row r="1005" spans="1:6" x14ac:dyDescent="0.25">
      <c r="A1005" t="str">
        <f>"121531604030"</f>
        <v>121531604030</v>
      </c>
      <c r="B1005" t="s">
        <v>1362</v>
      </c>
      <c r="C1005" t="s">
        <v>7</v>
      </c>
      <c r="D1005" t="s">
        <v>12</v>
      </c>
      <c r="E1005" t="s">
        <v>1317</v>
      </c>
    </row>
    <row r="1006" spans="1:6" x14ac:dyDescent="0.25">
      <c r="A1006" t="str">
        <f>"121700000540"</f>
        <v>121700000540</v>
      </c>
      <c r="B1006" t="s">
        <v>1363</v>
      </c>
      <c r="C1006" t="s">
        <v>7</v>
      </c>
      <c r="D1006" t="s">
        <v>14</v>
      </c>
      <c r="E1006" t="s">
        <v>1317</v>
      </c>
    </row>
    <row r="1007" spans="1:6" x14ac:dyDescent="0.25">
      <c r="A1007" t="str">
        <f>"1200015976"</f>
        <v>1200015976</v>
      </c>
      <c r="B1007" t="s">
        <v>1364</v>
      </c>
      <c r="C1007" t="s">
        <v>7</v>
      </c>
      <c r="D1007" t="s">
        <v>14</v>
      </c>
      <c r="E1007" t="s">
        <v>1317</v>
      </c>
      <c r="F1007" t="s">
        <v>1365</v>
      </c>
    </row>
    <row r="1008" spans="1:6" x14ac:dyDescent="0.25">
      <c r="A1008" t="str">
        <f>"120101131301"</f>
        <v>120101131301</v>
      </c>
      <c r="B1008" t="s">
        <v>1366</v>
      </c>
      <c r="C1008" t="s">
        <v>7</v>
      </c>
      <c r="D1008" t="s">
        <v>14</v>
      </c>
      <c r="E1008" t="s">
        <v>1317</v>
      </c>
    </row>
    <row r="1009" spans="1:6" x14ac:dyDescent="0.25">
      <c r="A1009" t="str">
        <f>"120203190994"</f>
        <v>120203190994</v>
      </c>
      <c r="B1009" t="s">
        <v>1367</v>
      </c>
      <c r="C1009" t="s">
        <v>7</v>
      </c>
      <c r="D1009" t="s">
        <v>14</v>
      </c>
      <c r="E1009" t="s">
        <v>1317</v>
      </c>
    </row>
    <row r="1010" spans="1:6" x14ac:dyDescent="0.25">
      <c r="A1010" t="str">
        <f>"120303085305"</f>
        <v>120303085305</v>
      </c>
      <c r="B1010" t="s">
        <v>1368</v>
      </c>
      <c r="C1010" t="s">
        <v>7</v>
      </c>
      <c r="D1010" t="s">
        <v>14</v>
      </c>
      <c r="E1010" t="s">
        <v>1317</v>
      </c>
    </row>
    <row r="1011" spans="1:6" x14ac:dyDescent="0.25">
      <c r="A1011" t="str">
        <f>"120303161073"</f>
        <v>120303161073</v>
      </c>
      <c r="B1011" t="s">
        <v>1369</v>
      </c>
      <c r="C1011" t="s">
        <v>7</v>
      </c>
      <c r="D1011" t="s">
        <v>14</v>
      </c>
      <c r="E1011" t="s">
        <v>1317</v>
      </c>
    </row>
    <row r="1012" spans="1:6" x14ac:dyDescent="0.25">
      <c r="A1012" t="str">
        <f>"120602027492"</f>
        <v>120602027492</v>
      </c>
      <c r="B1012" t="s">
        <v>1370</v>
      </c>
      <c r="C1012" t="s">
        <v>7</v>
      </c>
      <c r="D1012" t="s">
        <v>14</v>
      </c>
      <c r="E1012" t="s">
        <v>1317</v>
      </c>
    </row>
    <row r="1013" spans="1:6" x14ac:dyDescent="0.25">
      <c r="A1013" t="str">
        <f>"120703138181"</f>
        <v>120703138181</v>
      </c>
      <c r="B1013" t="s">
        <v>1371</v>
      </c>
      <c r="C1013" t="s">
        <v>7</v>
      </c>
      <c r="D1013" t="s">
        <v>14</v>
      </c>
      <c r="E1013" t="s">
        <v>1317</v>
      </c>
    </row>
    <row r="1014" spans="1:6" x14ac:dyDescent="0.25">
      <c r="A1014" t="str">
        <f>"120803077253"</f>
        <v>120803077253</v>
      </c>
      <c r="B1014" t="s">
        <v>1372</v>
      </c>
      <c r="C1014" t="s">
        <v>7</v>
      </c>
      <c r="D1014" t="s">
        <v>14</v>
      </c>
      <c r="E1014" t="s">
        <v>1317</v>
      </c>
    </row>
    <row r="1015" spans="1:6" x14ac:dyDescent="0.25">
      <c r="A1015" t="str">
        <f>"121000502382"</f>
        <v>121000502382</v>
      </c>
      <c r="B1015" t="s">
        <v>1373</v>
      </c>
      <c r="C1015" t="s">
        <v>7</v>
      </c>
      <c r="D1015" t="s">
        <v>14</v>
      </c>
      <c r="E1015" t="s">
        <v>1317</v>
      </c>
    </row>
    <row r="1016" spans="1:6" x14ac:dyDescent="0.25">
      <c r="A1016" t="str">
        <f>"121201322703"</f>
        <v>121201322703</v>
      </c>
      <c r="B1016" t="s">
        <v>1374</v>
      </c>
      <c r="C1016" t="s">
        <v>7</v>
      </c>
      <c r="D1016" t="s">
        <v>14</v>
      </c>
      <c r="E1016" t="s">
        <v>1317</v>
      </c>
    </row>
    <row r="1017" spans="1:6" x14ac:dyDescent="0.25">
      <c r="A1017" t="str">
        <f>"121201920478"</f>
        <v>121201920478</v>
      </c>
      <c r="B1017" t="s">
        <v>1375</v>
      </c>
      <c r="C1017" t="s">
        <v>7</v>
      </c>
      <c r="D1017" t="s">
        <v>14</v>
      </c>
      <c r="E1017" t="s">
        <v>1317</v>
      </c>
    </row>
    <row r="1018" spans="1:6" x14ac:dyDescent="0.25">
      <c r="A1018" t="str">
        <f>"121301890682"</f>
        <v>121301890682</v>
      </c>
      <c r="B1018" t="s">
        <v>1376</v>
      </c>
      <c r="C1018" t="s">
        <v>7</v>
      </c>
      <c r="D1018" t="s">
        <v>12</v>
      </c>
      <c r="E1018" t="s">
        <v>1317</v>
      </c>
    </row>
    <row r="1019" spans="1:6" x14ac:dyDescent="0.25">
      <c r="A1019" t="str">
        <f>"121303089816"</f>
        <v>121303089816</v>
      </c>
      <c r="B1019" t="s">
        <v>1377</v>
      </c>
      <c r="C1019" t="s">
        <v>7</v>
      </c>
      <c r="D1019" t="s">
        <v>14</v>
      </c>
      <c r="E1019" t="s">
        <v>1317</v>
      </c>
    </row>
    <row r="1020" spans="1:6" x14ac:dyDescent="0.25">
      <c r="A1020" t="str">
        <f>"121400594525"</f>
        <v>121400594525</v>
      </c>
      <c r="B1020" t="s">
        <v>1378</v>
      </c>
      <c r="C1020" t="s">
        <v>7</v>
      </c>
      <c r="D1020" t="s">
        <v>14</v>
      </c>
      <c r="E1020" t="s">
        <v>1317</v>
      </c>
    </row>
    <row r="1021" spans="1:6" x14ac:dyDescent="0.25">
      <c r="A1021" t="str">
        <f>"121502316005"</f>
        <v>121502316005</v>
      </c>
      <c r="B1021" t="s">
        <v>1379</v>
      </c>
      <c r="C1021" t="s">
        <v>7</v>
      </c>
      <c r="D1021" t="s">
        <v>14</v>
      </c>
      <c r="E1021" t="s">
        <v>1317</v>
      </c>
    </row>
    <row r="1022" spans="1:6" x14ac:dyDescent="0.25">
      <c r="A1022" t="str">
        <f>"1215050606"</f>
        <v>1215050606</v>
      </c>
      <c r="B1022" t="s">
        <v>1380</v>
      </c>
      <c r="C1022" t="s">
        <v>7</v>
      </c>
      <c r="D1022" t="s">
        <v>33</v>
      </c>
      <c r="E1022" t="s">
        <v>1317</v>
      </c>
      <c r="F1022" t="s">
        <v>1381</v>
      </c>
    </row>
    <row r="1023" spans="1:6" x14ac:dyDescent="0.25">
      <c r="A1023" t="str">
        <f>"1215070112"</f>
        <v>1215070112</v>
      </c>
      <c r="B1023" t="s">
        <v>1382</v>
      </c>
      <c r="C1023" t="s">
        <v>7</v>
      </c>
      <c r="D1023" t="s">
        <v>12</v>
      </c>
      <c r="E1023" t="s">
        <v>1317</v>
      </c>
      <c r="F1023" t="s">
        <v>1383</v>
      </c>
    </row>
    <row r="1024" spans="1:6" x14ac:dyDescent="0.25">
      <c r="A1024" t="str">
        <f>"121507597286"</f>
        <v>121507597286</v>
      </c>
      <c r="B1024" t="s">
        <v>1384</v>
      </c>
      <c r="C1024" t="s">
        <v>7</v>
      </c>
      <c r="D1024" t="s">
        <v>14</v>
      </c>
      <c r="E1024" t="s">
        <v>1317</v>
      </c>
    </row>
    <row r="1025" spans="1:6" x14ac:dyDescent="0.25">
      <c r="A1025" t="str">
        <f>"1215104114"</f>
        <v>1215104114</v>
      </c>
      <c r="B1025" t="s">
        <v>1385</v>
      </c>
      <c r="C1025" t="s">
        <v>7</v>
      </c>
      <c r="D1025" t="s">
        <v>12</v>
      </c>
      <c r="E1025" t="s">
        <v>1317</v>
      </c>
      <c r="F1025" t="s">
        <v>1383</v>
      </c>
    </row>
    <row r="1026" spans="1:6" x14ac:dyDescent="0.25">
      <c r="A1026" t="str">
        <f>"1215124921"</f>
        <v>1215124921</v>
      </c>
      <c r="B1026" t="s">
        <v>1386</v>
      </c>
      <c r="C1026" t="s">
        <v>7</v>
      </c>
      <c r="D1026" t="s">
        <v>14</v>
      </c>
      <c r="E1026" t="s">
        <v>1317</v>
      </c>
      <c r="F1026" t="s">
        <v>1387</v>
      </c>
    </row>
    <row r="1027" spans="1:6" x14ac:dyDescent="0.25">
      <c r="A1027" t="str">
        <f>"121515153220"</f>
        <v>121515153220</v>
      </c>
      <c r="B1027" t="s">
        <v>1388</v>
      </c>
      <c r="C1027" t="s">
        <v>7</v>
      </c>
      <c r="D1027" t="s">
        <v>14</v>
      </c>
      <c r="E1027" t="s">
        <v>1317</v>
      </c>
    </row>
    <row r="1028" spans="1:6" x14ac:dyDescent="0.25">
      <c r="A1028" t="str">
        <f>"1215235501"</f>
        <v>1215235501</v>
      </c>
      <c r="B1028" t="s">
        <v>1389</v>
      </c>
      <c r="C1028" t="s">
        <v>7</v>
      </c>
      <c r="D1028" t="s">
        <v>33</v>
      </c>
      <c r="E1028" t="s">
        <v>1317</v>
      </c>
      <c r="F1028" t="s">
        <v>1390</v>
      </c>
    </row>
    <row r="1029" spans="1:6" x14ac:dyDescent="0.25">
      <c r="A1029" t="str">
        <f>"121525418860"</f>
        <v>121525418860</v>
      </c>
      <c r="B1029" t="s">
        <v>1391</v>
      </c>
      <c r="C1029" t="s">
        <v>7</v>
      </c>
      <c r="D1029" t="s">
        <v>14</v>
      </c>
      <c r="E1029" t="s">
        <v>1317</v>
      </c>
    </row>
    <row r="1030" spans="1:6" x14ac:dyDescent="0.25">
      <c r="A1030" t="str">
        <f>"121601758029"</f>
        <v>121601758029</v>
      </c>
      <c r="B1030" t="s">
        <v>1392</v>
      </c>
      <c r="C1030" t="s">
        <v>7</v>
      </c>
      <c r="D1030" t="s">
        <v>14</v>
      </c>
      <c r="E1030" t="s">
        <v>1317</v>
      </c>
    </row>
    <row r="1031" spans="1:6" x14ac:dyDescent="0.25">
      <c r="A1031" t="str">
        <f>"121603774393"</f>
        <v>121603774393</v>
      </c>
      <c r="B1031" t="s">
        <v>1393</v>
      </c>
      <c r="C1031" t="s">
        <v>7</v>
      </c>
      <c r="D1031" t="s">
        <v>33</v>
      </c>
      <c r="E1031" t="s">
        <v>1317</v>
      </c>
    </row>
    <row r="1032" spans="1:6" x14ac:dyDescent="0.25">
      <c r="A1032" t="str">
        <f>"121662061972"</f>
        <v>121662061972</v>
      </c>
      <c r="B1032" t="s">
        <v>1394</v>
      </c>
      <c r="C1032" t="s">
        <v>7</v>
      </c>
      <c r="D1032" t="s">
        <v>14</v>
      </c>
      <c r="E1032" t="s">
        <v>1317</v>
      </c>
    </row>
    <row r="1033" spans="1:6" x14ac:dyDescent="0.25">
      <c r="A1033" t="str">
        <f>"121700006326"</f>
        <v>121700006326</v>
      </c>
      <c r="B1033" t="s">
        <v>1395</v>
      </c>
      <c r="C1033" t="s">
        <v>7</v>
      </c>
      <c r="D1033" t="s">
        <v>14</v>
      </c>
      <c r="E1033" t="s">
        <v>1317</v>
      </c>
    </row>
    <row r="1034" spans="1:6" x14ac:dyDescent="0.25">
      <c r="A1034" t="str">
        <f>"121701841150"</f>
        <v>121701841150</v>
      </c>
      <c r="B1034" t="s">
        <v>1396</v>
      </c>
      <c r="C1034" t="s">
        <v>7</v>
      </c>
      <c r="D1034" t="s">
        <v>14</v>
      </c>
      <c r="E1034" t="s">
        <v>1317</v>
      </c>
    </row>
    <row r="1035" spans="1:6" x14ac:dyDescent="0.25">
      <c r="A1035" t="str">
        <f>"121702122744"</f>
        <v>121702122744</v>
      </c>
      <c r="B1035" t="s">
        <v>1397</v>
      </c>
      <c r="C1035" t="s">
        <v>7</v>
      </c>
      <c r="D1035" t="s">
        <v>14</v>
      </c>
      <c r="E1035" t="s">
        <v>1317</v>
      </c>
    </row>
    <row r="1036" spans="1:6" x14ac:dyDescent="0.25">
      <c r="A1036" t="str">
        <f>"1200015895"</f>
        <v>1200015895</v>
      </c>
      <c r="B1036" t="s">
        <v>1398</v>
      </c>
      <c r="C1036" t="s">
        <v>7</v>
      </c>
      <c r="D1036" t="s">
        <v>14</v>
      </c>
      <c r="E1036" t="s">
        <v>1317</v>
      </c>
      <c r="F1036" t="s">
        <v>1399</v>
      </c>
    </row>
    <row r="1037" spans="1:6" x14ac:dyDescent="0.25">
      <c r="A1037" t="str">
        <f>"120101005723"</f>
        <v>120101005723</v>
      </c>
      <c r="B1037" t="s">
        <v>1400</v>
      </c>
      <c r="C1037" t="s">
        <v>7</v>
      </c>
      <c r="D1037" t="s">
        <v>14</v>
      </c>
      <c r="E1037" t="s">
        <v>1317</v>
      </c>
    </row>
    <row r="1038" spans="1:6" x14ac:dyDescent="0.25">
      <c r="A1038" t="str">
        <f>"120200082091"</f>
        <v>120200082091</v>
      </c>
      <c r="B1038" t="s">
        <v>1401</v>
      </c>
      <c r="C1038" t="s">
        <v>7</v>
      </c>
      <c r="D1038" t="s">
        <v>14</v>
      </c>
      <c r="E1038" t="s">
        <v>1317</v>
      </c>
    </row>
    <row r="1039" spans="1:6" x14ac:dyDescent="0.25">
      <c r="A1039" t="str">
        <f>"1204001822"</f>
        <v>1204001822</v>
      </c>
      <c r="B1039" t="s">
        <v>1402</v>
      </c>
      <c r="C1039" t="s">
        <v>7</v>
      </c>
      <c r="D1039" t="s">
        <v>14</v>
      </c>
      <c r="E1039" t="s">
        <v>1317</v>
      </c>
      <c r="F1039" t="s">
        <v>1403</v>
      </c>
    </row>
    <row r="1040" spans="1:6" x14ac:dyDescent="0.25">
      <c r="A1040" t="str">
        <f>"120700052289"</f>
        <v>120700052289</v>
      </c>
      <c r="B1040" t="s">
        <v>1404</v>
      </c>
      <c r="C1040" t="s">
        <v>7</v>
      </c>
      <c r="D1040" t="s">
        <v>14</v>
      </c>
      <c r="E1040" t="s">
        <v>1317</v>
      </c>
    </row>
    <row r="1041" spans="1:6" x14ac:dyDescent="0.25">
      <c r="A1041" t="str">
        <f>"120702423490"</f>
        <v>120702423490</v>
      </c>
      <c r="B1041" t="s">
        <v>1405</v>
      </c>
      <c r="C1041" t="s">
        <v>7</v>
      </c>
      <c r="D1041" t="s">
        <v>14</v>
      </c>
      <c r="E1041" t="s">
        <v>1317</v>
      </c>
    </row>
    <row r="1042" spans="1:6" x14ac:dyDescent="0.25">
      <c r="A1042" t="str">
        <f>"120802594611"</f>
        <v>120802594611</v>
      </c>
      <c r="B1042" t="s">
        <v>1406</v>
      </c>
      <c r="C1042" t="s">
        <v>7</v>
      </c>
      <c r="D1042" t="s">
        <v>12</v>
      </c>
      <c r="E1042" t="s">
        <v>1317</v>
      </c>
    </row>
    <row r="1043" spans="1:6" x14ac:dyDescent="0.25">
      <c r="A1043" t="str">
        <f>"120803509143"</f>
        <v>120803509143</v>
      </c>
      <c r="B1043" t="s">
        <v>1407</v>
      </c>
      <c r="C1043" t="s">
        <v>7</v>
      </c>
      <c r="D1043" t="s">
        <v>12</v>
      </c>
      <c r="E1043" t="s">
        <v>1317</v>
      </c>
    </row>
    <row r="1044" spans="1:6" x14ac:dyDescent="0.25">
      <c r="A1044" t="str">
        <f>"121001003690"</f>
        <v>121001003690</v>
      </c>
      <c r="B1044" t="s">
        <v>1408</v>
      </c>
      <c r="C1044" t="s">
        <v>7</v>
      </c>
      <c r="D1044" t="s">
        <v>14</v>
      </c>
      <c r="E1044" t="s">
        <v>1317</v>
      </c>
    </row>
    <row r="1045" spans="1:6" x14ac:dyDescent="0.25">
      <c r="A1045" t="str">
        <f>"121001075408"</f>
        <v>121001075408</v>
      </c>
      <c r="B1045" t="s">
        <v>1409</v>
      </c>
      <c r="C1045" t="s">
        <v>7</v>
      </c>
      <c r="D1045" t="s">
        <v>14</v>
      </c>
      <c r="E1045" t="s">
        <v>1317</v>
      </c>
    </row>
    <row r="1046" spans="1:6" x14ac:dyDescent="0.25">
      <c r="A1046" t="str">
        <f>"121001115227"</f>
        <v>121001115227</v>
      </c>
      <c r="B1046" t="s">
        <v>1410</v>
      </c>
      <c r="C1046" t="s">
        <v>7</v>
      </c>
      <c r="D1046" t="s">
        <v>14</v>
      </c>
      <c r="E1046" t="s">
        <v>1317</v>
      </c>
    </row>
    <row r="1047" spans="1:6" x14ac:dyDescent="0.25">
      <c r="A1047" t="str">
        <f>"121101477439"</f>
        <v>121101477439</v>
      </c>
      <c r="B1047" t="s">
        <v>1411</v>
      </c>
      <c r="C1047" t="s">
        <v>7</v>
      </c>
      <c r="D1047" t="s">
        <v>12</v>
      </c>
      <c r="E1047" t="s">
        <v>1317</v>
      </c>
    </row>
    <row r="1048" spans="1:6" x14ac:dyDescent="0.25">
      <c r="A1048" t="str">
        <f>"121200367211"</f>
        <v>121200367211</v>
      </c>
      <c r="B1048" t="s">
        <v>1412</v>
      </c>
      <c r="C1048" t="s">
        <v>7</v>
      </c>
      <c r="D1048" t="s">
        <v>14</v>
      </c>
      <c r="E1048" t="s">
        <v>1317</v>
      </c>
    </row>
    <row r="1049" spans="1:6" x14ac:dyDescent="0.25">
      <c r="A1049" t="str">
        <f>"1215055403"</f>
        <v>1215055403</v>
      </c>
      <c r="B1049" t="s">
        <v>1413</v>
      </c>
      <c r="C1049" t="s">
        <v>7</v>
      </c>
      <c r="D1049" t="s">
        <v>12</v>
      </c>
      <c r="E1049" t="s">
        <v>1317</v>
      </c>
      <c r="F1049" t="s">
        <v>1414</v>
      </c>
    </row>
    <row r="1050" spans="1:6" x14ac:dyDescent="0.25">
      <c r="A1050" t="str">
        <f>"1215104918"</f>
        <v>1215104918</v>
      </c>
      <c r="B1050" t="s">
        <v>1415</v>
      </c>
      <c r="C1050" t="s">
        <v>7</v>
      </c>
      <c r="D1050" t="s">
        <v>14</v>
      </c>
      <c r="E1050" t="s">
        <v>1317</v>
      </c>
      <c r="F1050" t="s">
        <v>1416</v>
      </c>
    </row>
    <row r="1051" spans="1:6" x14ac:dyDescent="0.25">
      <c r="A1051" t="str">
        <f>"121511452558"</f>
        <v>121511452558</v>
      </c>
      <c r="B1051" t="s">
        <v>1417</v>
      </c>
      <c r="C1051" t="s">
        <v>7</v>
      </c>
      <c r="D1051" t="s">
        <v>12</v>
      </c>
      <c r="E1051" t="s">
        <v>1317</v>
      </c>
    </row>
    <row r="1052" spans="1:6" x14ac:dyDescent="0.25">
      <c r="A1052" t="str">
        <f>"121512966700"</f>
        <v>121512966700</v>
      </c>
      <c r="B1052" t="s">
        <v>1418</v>
      </c>
      <c r="C1052" t="s">
        <v>7</v>
      </c>
      <c r="D1052" t="s">
        <v>14</v>
      </c>
      <c r="E1052" t="s">
        <v>1317</v>
      </c>
    </row>
    <row r="1053" spans="1:6" x14ac:dyDescent="0.25">
      <c r="A1053" t="str">
        <f>"121521194987"</f>
        <v>121521194987</v>
      </c>
      <c r="B1053" t="s">
        <v>1419</v>
      </c>
      <c r="C1053" t="s">
        <v>7</v>
      </c>
      <c r="D1053" t="s">
        <v>14</v>
      </c>
      <c r="E1053" t="s">
        <v>1317</v>
      </c>
    </row>
    <row r="1054" spans="1:6" x14ac:dyDescent="0.25">
      <c r="A1054" t="str">
        <f>"121529114310"</f>
        <v>121529114310</v>
      </c>
      <c r="B1054" t="s">
        <v>1420</v>
      </c>
      <c r="C1054" t="s">
        <v>7</v>
      </c>
      <c r="D1054" t="s">
        <v>14</v>
      </c>
      <c r="E1054" t="s">
        <v>1317</v>
      </c>
    </row>
    <row r="1055" spans="1:6" x14ac:dyDescent="0.25">
      <c r="A1055" t="str">
        <f>"121600482650"</f>
        <v>121600482650</v>
      </c>
      <c r="B1055" t="s">
        <v>1421</v>
      </c>
      <c r="C1055" t="s">
        <v>7</v>
      </c>
      <c r="D1055" t="s">
        <v>14</v>
      </c>
      <c r="E1055" t="s">
        <v>1317</v>
      </c>
    </row>
    <row r="1056" spans="1:6" x14ac:dyDescent="0.25">
      <c r="A1056" t="str">
        <f>"121601387448"</f>
        <v>121601387448</v>
      </c>
      <c r="B1056" t="s">
        <v>1422</v>
      </c>
      <c r="C1056" t="s">
        <v>7</v>
      </c>
      <c r="D1056" t="s">
        <v>14</v>
      </c>
      <c r="E1056" t="s">
        <v>1317</v>
      </c>
    </row>
    <row r="1057" spans="1:6" x14ac:dyDescent="0.25">
      <c r="A1057" t="str">
        <f>"121603852394"</f>
        <v>121603852394</v>
      </c>
      <c r="B1057" t="s">
        <v>1423</v>
      </c>
      <c r="C1057" t="s">
        <v>7</v>
      </c>
      <c r="D1057" t="s">
        <v>14</v>
      </c>
      <c r="E1057" t="s">
        <v>1317</v>
      </c>
    </row>
    <row r="1058" spans="1:6" x14ac:dyDescent="0.25">
      <c r="A1058" t="str">
        <f>"121604511929"</f>
        <v>121604511929</v>
      </c>
      <c r="B1058" t="s">
        <v>1424</v>
      </c>
      <c r="C1058" t="s">
        <v>7</v>
      </c>
      <c r="D1058" t="s">
        <v>14</v>
      </c>
      <c r="E1058" t="s">
        <v>1317</v>
      </c>
    </row>
    <row r="1059" spans="1:6" x14ac:dyDescent="0.25">
      <c r="A1059" t="str">
        <f>"121604870082"</f>
        <v>121604870082</v>
      </c>
      <c r="B1059" t="s">
        <v>1425</v>
      </c>
      <c r="C1059" t="s">
        <v>7</v>
      </c>
      <c r="D1059" t="s">
        <v>12</v>
      </c>
      <c r="E1059" t="s">
        <v>1317</v>
      </c>
    </row>
    <row r="1060" spans="1:6" x14ac:dyDescent="0.25">
      <c r="A1060" t="str">
        <f>"121702069547"</f>
        <v>121702069547</v>
      </c>
      <c r="B1060" t="s">
        <v>1426</v>
      </c>
      <c r="C1060" t="s">
        <v>7</v>
      </c>
      <c r="D1060" t="s">
        <v>14</v>
      </c>
      <c r="E1060" t="s">
        <v>1317</v>
      </c>
    </row>
    <row r="1061" spans="1:6" x14ac:dyDescent="0.25">
      <c r="A1061" t="str">
        <f>"1218002689"</f>
        <v>1218002689</v>
      </c>
      <c r="B1061" t="s">
        <v>1427</v>
      </c>
      <c r="C1061" t="s">
        <v>7</v>
      </c>
      <c r="D1061" t="s">
        <v>12</v>
      </c>
      <c r="E1061" t="s">
        <v>1317</v>
      </c>
      <c r="F1061" t="s">
        <v>1428</v>
      </c>
    </row>
    <row r="1062" spans="1:6" x14ac:dyDescent="0.25">
      <c r="A1062" t="str">
        <f>"1655077422"</f>
        <v>1655077422</v>
      </c>
      <c r="B1062" t="s">
        <v>1429</v>
      </c>
      <c r="C1062" t="s">
        <v>7</v>
      </c>
      <c r="D1062" t="s">
        <v>1430</v>
      </c>
      <c r="E1062" t="s">
        <v>1317</v>
      </c>
      <c r="F1062" t="s">
        <v>1431</v>
      </c>
    </row>
    <row r="1063" spans="1:6" x14ac:dyDescent="0.25">
      <c r="A1063" t="str">
        <f>"1300005883"</f>
        <v>1300005883</v>
      </c>
      <c r="B1063" t="s">
        <v>1432</v>
      </c>
      <c r="C1063" t="s">
        <v>7</v>
      </c>
      <c r="D1063" t="s">
        <v>12</v>
      </c>
      <c r="E1063" t="s">
        <v>1433</v>
      </c>
      <c r="F1063" t="s">
        <v>1434</v>
      </c>
    </row>
    <row r="1064" spans="1:6" x14ac:dyDescent="0.25">
      <c r="A1064" t="str">
        <f>"1326188293"</f>
        <v>1326188293</v>
      </c>
      <c r="B1064" t="s">
        <v>1435</v>
      </c>
      <c r="C1064" t="s">
        <v>7</v>
      </c>
      <c r="D1064" t="s">
        <v>14</v>
      </c>
      <c r="E1064" t="s">
        <v>1433</v>
      </c>
      <c r="F1064" t="s">
        <v>1436</v>
      </c>
    </row>
    <row r="1065" spans="1:6" x14ac:dyDescent="0.25">
      <c r="A1065" t="str">
        <f>"132700794900"</f>
        <v>132700794900</v>
      </c>
      <c r="B1065" t="s">
        <v>1437</v>
      </c>
      <c r="C1065" t="s">
        <v>7</v>
      </c>
      <c r="D1065" t="s">
        <v>12</v>
      </c>
      <c r="E1065" t="s">
        <v>1433</v>
      </c>
    </row>
    <row r="1066" spans="1:6" x14ac:dyDescent="0.25">
      <c r="A1066" t="str">
        <f>"026107104856"</f>
        <v>026107104856</v>
      </c>
      <c r="B1066" t="s">
        <v>1438</v>
      </c>
      <c r="C1066" t="s">
        <v>7</v>
      </c>
      <c r="D1066" t="s">
        <v>12</v>
      </c>
      <c r="E1066" t="s">
        <v>1433</v>
      </c>
    </row>
    <row r="1067" spans="1:6" x14ac:dyDescent="0.25">
      <c r="A1067" t="str">
        <f>"213006082504"</f>
        <v>213006082504</v>
      </c>
      <c r="B1067" t="s">
        <v>1439</v>
      </c>
      <c r="C1067" t="s">
        <v>7</v>
      </c>
      <c r="D1067" t="s">
        <v>14</v>
      </c>
      <c r="E1067" t="s">
        <v>1433</v>
      </c>
    </row>
    <row r="1068" spans="1:6" x14ac:dyDescent="0.25">
      <c r="A1068" t="str">
        <f>"434536616984"</f>
        <v>434536616984</v>
      </c>
      <c r="B1068" t="s">
        <v>1440</v>
      </c>
      <c r="C1068" t="s">
        <v>7</v>
      </c>
      <c r="D1068" t="s">
        <v>12</v>
      </c>
      <c r="E1068" t="s">
        <v>1433</v>
      </c>
    </row>
    <row r="1069" spans="1:6" x14ac:dyDescent="0.25">
      <c r="A1069" t="str">
        <f>"161000687548"</f>
        <v>161000687548</v>
      </c>
      <c r="B1069" t="s">
        <v>1441</v>
      </c>
      <c r="C1069" t="s">
        <v>7</v>
      </c>
      <c r="D1069" t="s">
        <v>12</v>
      </c>
      <c r="E1069" t="s">
        <v>1433</v>
      </c>
    </row>
    <row r="1070" spans="1:6" x14ac:dyDescent="0.25">
      <c r="A1070" t="str">
        <f>"212885302059"</f>
        <v>212885302059</v>
      </c>
      <c r="B1070" t="s">
        <v>1442</v>
      </c>
      <c r="C1070" t="s">
        <v>7</v>
      </c>
      <c r="D1070" t="s">
        <v>12</v>
      </c>
      <c r="E1070" t="s">
        <v>1433</v>
      </c>
    </row>
    <row r="1071" spans="1:6" x14ac:dyDescent="0.25">
      <c r="A1071" t="str">
        <f>"2635222391"</f>
        <v>2635222391</v>
      </c>
      <c r="B1071" t="s">
        <v>1135</v>
      </c>
      <c r="C1071" t="s">
        <v>7</v>
      </c>
      <c r="D1071" t="s">
        <v>14</v>
      </c>
      <c r="E1071" t="s">
        <v>1433</v>
      </c>
      <c r="F1071" t="s">
        <v>1443</v>
      </c>
    </row>
    <row r="1072" spans="1:6" x14ac:dyDescent="0.25">
      <c r="A1072" t="str">
        <f>"121601656500"</f>
        <v>121601656500</v>
      </c>
      <c r="B1072" t="s">
        <v>1444</v>
      </c>
      <c r="C1072" t="s">
        <v>7</v>
      </c>
      <c r="D1072" t="s">
        <v>14</v>
      </c>
      <c r="E1072" t="s">
        <v>1433</v>
      </c>
    </row>
    <row r="1073" spans="1:6" x14ac:dyDescent="0.25">
      <c r="A1073" t="str">
        <f>"130700400165"</f>
        <v>130700400165</v>
      </c>
      <c r="B1073" t="s">
        <v>1445</v>
      </c>
      <c r="C1073" t="s">
        <v>7</v>
      </c>
      <c r="D1073" t="s">
        <v>14</v>
      </c>
      <c r="E1073" t="s">
        <v>1433</v>
      </c>
    </row>
    <row r="1074" spans="1:6" x14ac:dyDescent="0.25">
      <c r="A1074" t="str">
        <f>"131000018996"</f>
        <v>131000018996</v>
      </c>
      <c r="B1074" t="s">
        <v>1446</v>
      </c>
      <c r="C1074" t="s">
        <v>7</v>
      </c>
      <c r="D1074" t="s">
        <v>14</v>
      </c>
      <c r="E1074" t="s">
        <v>1433</v>
      </c>
    </row>
    <row r="1075" spans="1:6" x14ac:dyDescent="0.25">
      <c r="A1075" t="str">
        <f>"1313903034"</f>
        <v>1313903034</v>
      </c>
      <c r="B1075" t="s">
        <v>1447</v>
      </c>
      <c r="C1075" t="s">
        <v>7</v>
      </c>
      <c r="D1075" t="s">
        <v>14</v>
      </c>
      <c r="E1075" t="s">
        <v>1433</v>
      </c>
      <c r="F1075" t="s">
        <v>1448</v>
      </c>
    </row>
    <row r="1076" spans="1:6" x14ac:dyDescent="0.25">
      <c r="A1076" t="str">
        <f>"131501721776"</f>
        <v>131501721776</v>
      </c>
      <c r="B1076" t="s">
        <v>1449</v>
      </c>
      <c r="C1076" t="s">
        <v>7</v>
      </c>
      <c r="D1076" t="s">
        <v>12</v>
      </c>
      <c r="E1076" t="s">
        <v>1433</v>
      </c>
    </row>
    <row r="1077" spans="1:6" x14ac:dyDescent="0.25">
      <c r="A1077" t="str">
        <f>"131600704242"</f>
        <v>131600704242</v>
      </c>
      <c r="B1077" t="s">
        <v>1450</v>
      </c>
      <c r="C1077" t="s">
        <v>7</v>
      </c>
      <c r="D1077" t="s">
        <v>14</v>
      </c>
      <c r="E1077" t="s">
        <v>1433</v>
      </c>
    </row>
    <row r="1078" spans="1:6" x14ac:dyDescent="0.25">
      <c r="A1078" t="str">
        <f>"132101243407"</f>
        <v>132101243407</v>
      </c>
      <c r="B1078" t="s">
        <v>1451</v>
      </c>
      <c r="C1078" t="s">
        <v>7</v>
      </c>
      <c r="D1078" t="s">
        <v>14</v>
      </c>
      <c r="E1078" t="s">
        <v>1433</v>
      </c>
    </row>
    <row r="1079" spans="1:6" x14ac:dyDescent="0.25">
      <c r="A1079" t="str">
        <f>"132200048911"</f>
        <v>132200048911</v>
      </c>
      <c r="B1079" t="s">
        <v>1452</v>
      </c>
      <c r="C1079" t="s">
        <v>7</v>
      </c>
      <c r="D1079" t="s">
        <v>14</v>
      </c>
      <c r="E1079" t="s">
        <v>1433</v>
      </c>
    </row>
    <row r="1080" spans="1:6" x14ac:dyDescent="0.25">
      <c r="A1080" t="str">
        <f>"132200135297"</f>
        <v>132200135297</v>
      </c>
      <c r="B1080" t="s">
        <v>1453</v>
      </c>
      <c r="C1080" t="s">
        <v>7</v>
      </c>
      <c r="D1080" t="s">
        <v>14</v>
      </c>
      <c r="E1080" t="s">
        <v>1433</v>
      </c>
    </row>
    <row r="1081" spans="1:6" x14ac:dyDescent="0.25">
      <c r="A1081" t="str">
        <f>"1323124848"</f>
        <v>1323124848</v>
      </c>
      <c r="B1081" t="s">
        <v>1454</v>
      </c>
      <c r="C1081" t="s">
        <v>7</v>
      </c>
      <c r="D1081" t="s">
        <v>12</v>
      </c>
      <c r="E1081" t="s">
        <v>1433</v>
      </c>
      <c r="F1081" t="s">
        <v>1455</v>
      </c>
    </row>
    <row r="1082" spans="1:6" x14ac:dyDescent="0.25">
      <c r="A1082" t="str">
        <f>"1324003476"</f>
        <v>1324003476</v>
      </c>
      <c r="B1082" t="s">
        <v>1456</v>
      </c>
      <c r="C1082" t="s">
        <v>7</v>
      </c>
      <c r="D1082" t="s">
        <v>33</v>
      </c>
      <c r="E1082" t="s">
        <v>1433</v>
      </c>
      <c r="F1082" t="s">
        <v>1457</v>
      </c>
    </row>
    <row r="1083" spans="1:6" x14ac:dyDescent="0.25">
      <c r="A1083" t="str">
        <f>"132404084763"</f>
        <v>132404084763</v>
      </c>
      <c r="B1083" t="s">
        <v>1458</v>
      </c>
      <c r="C1083" t="s">
        <v>7</v>
      </c>
      <c r="D1083" t="s">
        <v>14</v>
      </c>
      <c r="E1083" t="s">
        <v>1433</v>
      </c>
    </row>
    <row r="1084" spans="1:6" x14ac:dyDescent="0.25">
      <c r="A1084" t="str">
        <f>"132600264297"</f>
        <v>132600264297</v>
      </c>
      <c r="B1084" t="s">
        <v>1459</v>
      </c>
      <c r="C1084" t="s">
        <v>7</v>
      </c>
      <c r="D1084" t="s">
        <v>14</v>
      </c>
      <c r="E1084" t="s">
        <v>1433</v>
      </c>
    </row>
    <row r="1085" spans="1:6" x14ac:dyDescent="0.25">
      <c r="A1085" t="str">
        <f>"132600908657"</f>
        <v>132600908657</v>
      </c>
      <c r="B1085" t="s">
        <v>1460</v>
      </c>
      <c r="C1085" t="s">
        <v>7</v>
      </c>
      <c r="D1085" t="s">
        <v>14</v>
      </c>
      <c r="E1085" t="s">
        <v>1433</v>
      </c>
    </row>
    <row r="1086" spans="1:6" x14ac:dyDescent="0.25">
      <c r="A1086" t="str">
        <f>"132604815555"</f>
        <v>132604815555</v>
      </c>
      <c r="B1086" t="s">
        <v>1461</v>
      </c>
      <c r="C1086" t="s">
        <v>7</v>
      </c>
      <c r="D1086" t="s">
        <v>12</v>
      </c>
      <c r="E1086" t="s">
        <v>1433</v>
      </c>
    </row>
    <row r="1087" spans="1:6" x14ac:dyDescent="0.25">
      <c r="A1087" t="str">
        <f>"132605157193"</f>
        <v>132605157193</v>
      </c>
      <c r="B1087" t="s">
        <v>1462</v>
      </c>
      <c r="C1087" t="s">
        <v>7</v>
      </c>
      <c r="D1087" t="s">
        <v>12</v>
      </c>
      <c r="E1087" t="s">
        <v>1433</v>
      </c>
    </row>
    <row r="1088" spans="1:6" x14ac:dyDescent="0.25">
      <c r="A1088" t="str">
        <f>"1326249073"</f>
        <v>1326249073</v>
      </c>
      <c r="B1088" t="s">
        <v>1463</v>
      </c>
      <c r="C1088" t="s">
        <v>7</v>
      </c>
      <c r="D1088" t="s">
        <v>14</v>
      </c>
      <c r="E1088" t="s">
        <v>1433</v>
      </c>
      <c r="F1088" t="s">
        <v>1464</v>
      </c>
    </row>
    <row r="1089" spans="1:6" x14ac:dyDescent="0.25">
      <c r="A1089" t="str">
        <f>"1327006933"</f>
        <v>1327006933</v>
      </c>
      <c r="B1089" t="s">
        <v>1465</v>
      </c>
      <c r="C1089" t="s">
        <v>7</v>
      </c>
      <c r="D1089" t="s">
        <v>12</v>
      </c>
      <c r="E1089" t="s">
        <v>1433</v>
      </c>
      <c r="F1089" t="s">
        <v>1466</v>
      </c>
    </row>
    <row r="1090" spans="1:6" x14ac:dyDescent="0.25">
      <c r="A1090" t="str">
        <f>"1300005643"</f>
        <v>1300005643</v>
      </c>
      <c r="B1090" t="s">
        <v>1467</v>
      </c>
      <c r="C1090" t="s">
        <v>7</v>
      </c>
      <c r="D1090" t="s">
        <v>12</v>
      </c>
      <c r="E1090" t="s">
        <v>1433</v>
      </c>
      <c r="F1090" t="s">
        <v>1468</v>
      </c>
    </row>
    <row r="1091" spans="1:6" x14ac:dyDescent="0.25">
      <c r="A1091" t="str">
        <f>"130102922101"</f>
        <v>130102922101</v>
      </c>
      <c r="B1091" t="s">
        <v>1469</v>
      </c>
      <c r="C1091" t="s">
        <v>7</v>
      </c>
      <c r="D1091" t="s">
        <v>14</v>
      </c>
      <c r="E1091" t="s">
        <v>1433</v>
      </c>
    </row>
    <row r="1092" spans="1:6" x14ac:dyDescent="0.25">
      <c r="A1092" t="str">
        <f>"130801871918"</f>
        <v>130801871918</v>
      </c>
      <c r="B1092" t="s">
        <v>1470</v>
      </c>
      <c r="C1092" t="s">
        <v>7</v>
      </c>
      <c r="D1092" t="s">
        <v>14</v>
      </c>
      <c r="E1092" t="s">
        <v>1433</v>
      </c>
    </row>
    <row r="1093" spans="1:6" x14ac:dyDescent="0.25">
      <c r="A1093" t="str">
        <f>"131002267807"</f>
        <v>131002267807</v>
      </c>
      <c r="B1093" t="s">
        <v>1471</v>
      </c>
      <c r="C1093" t="s">
        <v>7</v>
      </c>
      <c r="D1093" t="s">
        <v>14</v>
      </c>
      <c r="E1093" t="s">
        <v>1433</v>
      </c>
    </row>
    <row r="1094" spans="1:6" x14ac:dyDescent="0.25">
      <c r="A1094" t="str">
        <f>"131300921630"</f>
        <v>131300921630</v>
      </c>
      <c r="B1094" t="s">
        <v>1472</v>
      </c>
      <c r="C1094" t="s">
        <v>7</v>
      </c>
      <c r="D1094" t="s">
        <v>14</v>
      </c>
      <c r="E1094" t="s">
        <v>1433</v>
      </c>
    </row>
    <row r="1095" spans="1:6" x14ac:dyDescent="0.25">
      <c r="A1095" t="str">
        <f>"1315488802"</f>
        <v>1315488802</v>
      </c>
      <c r="B1095" t="s">
        <v>1473</v>
      </c>
      <c r="C1095" t="s">
        <v>7</v>
      </c>
      <c r="D1095" t="s">
        <v>33</v>
      </c>
      <c r="E1095" t="s">
        <v>1433</v>
      </c>
      <c r="F1095" t="s">
        <v>1474</v>
      </c>
    </row>
    <row r="1096" spans="1:6" x14ac:dyDescent="0.25">
      <c r="A1096" t="str">
        <f>"132202457204"</f>
        <v>132202457204</v>
      </c>
      <c r="B1096" t="s">
        <v>1475</v>
      </c>
      <c r="C1096" t="s">
        <v>7</v>
      </c>
      <c r="D1096" t="s">
        <v>12</v>
      </c>
      <c r="E1096" t="s">
        <v>1433</v>
      </c>
    </row>
    <row r="1097" spans="1:6" x14ac:dyDescent="0.25">
      <c r="A1097" t="str">
        <f>"132400231304"</f>
        <v>132400231304</v>
      </c>
      <c r="B1097" t="s">
        <v>1476</v>
      </c>
      <c r="C1097" t="s">
        <v>7</v>
      </c>
      <c r="D1097" t="s">
        <v>14</v>
      </c>
      <c r="E1097" t="s">
        <v>1433</v>
      </c>
    </row>
    <row r="1098" spans="1:6" x14ac:dyDescent="0.25">
      <c r="A1098" t="str">
        <f>"132608587099"</f>
        <v>132608587099</v>
      </c>
      <c r="B1098" t="s">
        <v>1477</v>
      </c>
      <c r="C1098" t="s">
        <v>7</v>
      </c>
      <c r="D1098" t="s">
        <v>463</v>
      </c>
      <c r="E1098" t="s">
        <v>1433</v>
      </c>
    </row>
    <row r="1099" spans="1:6" x14ac:dyDescent="0.25">
      <c r="A1099" t="str">
        <f>"1326229221"</f>
        <v>1326229221</v>
      </c>
      <c r="B1099" t="s">
        <v>1478</v>
      </c>
      <c r="C1099" t="s">
        <v>7</v>
      </c>
      <c r="D1099" t="s">
        <v>14</v>
      </c>
      <c r="E1099" t="s">
        <v>1433</v>
      </c>
      <c r="F1099" t="s">
        <v>1479</v>
      </c>
    </row>
    <row r="1100" spans="1:6" x14ac:dyDescent="0.25">
      <c r="A1100" t="str">
        <f>"1326231439"</f>
        <v>1326231439</v>
      </c>
      <c r="B1100" t="s">
        <v>1480</v>
      </c>
      <c r="C1100" t="s">
        <v>7</v>
      </c>
      <c r="D1100" t="s">
        <v>12</v>
      </c>
      <c r="E1100" t="s">
        <v>1433</v>
      </c>
      <c r="F1100" t="s">
        <v>1481</v>
      </c>
    </row>
    <row r="1101" spans="1:6" x14ac:dyDescent="0.25">
      <c r="A1101" t="str">
        <f>"1327036416"</f>
        <v>1327036416</v>
      </c>
      <c r="B1101" t="s">
        <v>1482</v>
      </c>
      <c r="C1101" t="s">
        <v>7</v>
      </c>
      <c r="D1101" t="s">
        <v>12</v>
      </c>
      <c r="E1101" t="s">
        <v>1433</v>
      </c>
      <c r="F1101" t="s">
        <v>1483</v>
      </c>
    </row>
    <row r="1102" spans="1:6" x14ac:dyDescent="0.25">
      <c r="A1102" t="str">
        <f>"132709101300"</f>
        <v>132709101300</v>
      </c>
      <c r="B1102" t="s">
        <v>1484</v>
      </c>
      <c r="C1102" t="s">
        <v>7</v>
      </c>
      <c r="D1102" t="s">
        <v>12</v>
      </c>
      <c r="E1102" t="s">
        <v>1433</v>
      </c>
    </row>
    <row r="1103" spans="1:6" x14ac:dyDescent="0.25">
      <c r="A1103" t="str">
        <f>"1327157523"</f>
        <v>1327157523</v>
      </c>
      <c r="B1103" t="s">
        <v>1485</v>
      </c>
      <c r="C1103" t="s">
        <v>7</v>
      </c>
      <c r="D1103" t="s">
        <v>12</v>
      </c>
      <c r="E1103" t="s">
        <v>1433</v>
      </c>
      <c r="F1103" t="s">
        <v>1486</v>
      </c>
    </row>
    <row r="1104" spans="1:6" x14ac:dyDescent="0.25">
      <c r="A1104" t="str">
        <f>"130300009165"</f>
        <v>130300009165</v>
      </c>
      <c r="B1104" t="s">
        <v>1487</v>
      </c>
      <c r="C1104" t="s">
        <v>7</v>
      </c>
      <c r="D1104" t="s">
        <v>14</v>
      </c>
      <c r="E1104" t="s">
        <v>1433</v>
      </c>
    </row>
    <row r="1105" spans="1:6" x14ac:dyDescent="0.25">
      <c r="A1105" t="str">
        <f>"130301571137"</f>
        <v>130301571137</v>
      </c>
      <c r="B1105" t="s">
        <v>1488</v>
      </c>
      <c r="C1105" t="s">
        <v>7</v>
      </c>
      <c r="D1105" t="s">
        <v>14</v>
      </c>
      <c r="E1105" t="s">
        <v>1433</v>
      </c>
    </row>
    <row r="1106" spans="1:6" x14ac:dyDescent="0.25">
      <c r="A1106" t="str">
        <f>"131401414838"</f>
        <v>131401414838</v>
      </c>
      <c r="B1106" t="s">
        <v>1489</v>
      </c>
      <c r="C1106" t="s">
        <v>7</v>
      </c>
      <c r="D1106" t="s">
        <v>14</v>
      </c>
      <c r="E1106" t="s">
        <v>1433</v>
      </c>
    </row>
    <row r="1107" spans="1:6" x14ac:dyDescent="0.25">
      <c r="A1107" t="str">
        <f>"131601405767"</f>
        <v>131601405767</v>
      </c>
      <c r="B1107" t="s">
        <v>1490</v>
      </c>
      <c r="C1107" t="s">
        <v>7</v>
      </c>
      <c r="D1107" t="s">
        <v>14</v>
      </c>
      <c r="E1107" t="s">
        <v>1433</v>
      </c>
    </row>
    <row r="1108" spans="1:6" x14ac:dyDescent="0.25">
      <c r="A1108" t="str">
        <f>"131801092078"</f>
        <v>131801092078</v>
      </c>
      <c r="B1108" t="s">
        <v>1491</v>
      </c>
      <c r="C1108" t="s">
        <v>7</v>
      </c>
      <c r="D1108" t="s">
        <v>14</v>
      </c>
      <c r="E1108" t="s">
        <v>1433</v>
      </c>
    </row>
    <row r="1109" spans="1:6" x14ac:dyDescent="0.25">
      <c r="A1109" t="str">
        <f>"131900001353"</f>
        <v>131900001353</v>
      </c>
      <c r="B1109" t="s">
        <v>1492</v>
      </c>
      <c r="C1109" t="s">
        <v>7</v>
      </c>
      <c r="D1109" t="s">
        <v>14</v>
      </c>
      <c r="E1109" t="s">
        <v>1433</v>
      </c>
    </row>
    <row r="1110" spans="1:6" x14ac:dyDescent="0.25">
      <c r="A1110" t="str">
        <f>"132200058317"</f>
        <v>132200058317</v>
      </c>
      <c r="B1110" t="s">
        <v>1493</v>
      </c>
      <c r="C1110" t="s">
        <v>7</v>
      </c>
      <c r="D1110" t="s">
        <v>14</v>
      </c>
      <c r="E1110" t="s">
        <v>1433</v>
      </c>
    </row>
    <row r="1111" spans="1:6" x14ac:dyDescent="0.25">
      <c r="A1111" t="str">
        <f>"1323126370"</f>
        <v>1323126370</v>
      </c>
      <c r="B1111" t="s">
        <v>1494</v>
      </c>
      <c r="C1111" t="s">
        <v>7</v>
      </c>
      <c r="D1111" t="s">
        <v>14</v>
      </c>
      <c r="E1111" t="s">
        <v>1433</v>
      </c>
      <c r="F1111" t="s">
        <v>1495</v>
      </c>
    </row>
    <row r="1112" spans="1:6" x14ac:dyDescent="0.25">
      <c r="A1112" t="str">
        <f>"132394376980"</f>
        <v>132394376980</v>
      </c>
      <c r="B1112" t="s">
        <v>1496</v>
      </c>
      <c r="C1112" t="s">
        <v>7</v>
      </c>
      <c r="D1112" t="s">
        <v>33</v>
      </c>
      <c r="E1112" t="s">
        <v>1433</v>
      </c>
    </row>
    <row r="1113" spans="1:6" x14ac:dyDescent="0.25">
      <c r="A1113" t="str">
        <f>"132400135664"</f>
        <v>132400135664</v>
      </c>
      <c r="B1113" t="s">
        <v>1497</v>
      </c>
      <c r="C1113" t="s">
        <v>7</v>
      </c>
      <c r="D1113" t="s">
        <v>14</v>
      </c>
      <c r="E1113" t="s">
        <v>1433</v>
      </c>
    </row>
    <row r="1114" spans="1:6" x14ac:dyDescent="0.25">
      <c r="A1114" t="str">
        <f>"132611396979"</f>
        <v>132611396979</v>
      </c>
      <c r="B1114" t="s">
        <v>1498</v>
      </c>
      <c r="C1114" t="s">
        <v>7</v>
      </c>
      <c r="D1114" t="s">
        <v>14</v>
      </c>
      <c r="E1114" t="s">
        <v>1433</v>
      </c>
    </row>
    <row r="1115" spans="1:6" x14ac:dyDescent="0.25">
      <c r="A1115" t="str">
        <f>"1326190831"</f>
        <v>1326190831</v>
      </c>
      <c r="B1115" t="s">
        <v>1499</v>
      </c>
      <c r="C1115" t="s">
        <v>7</v>
      </c>
      <c r="D1115" t="s">
        <v>33</v>
      </c>
      <c r="E1115" t="s">
        <v>1433</v>
      </c>
      <c r="F1115" t="s">
        <v>1500</v>
      </c>
    </row>
    <row r="1116" spans="1:6" x14ac:dyDescent="0.25">
      <c r="A1116" t="str">
        <f>"1326249355"</f>
        <v>1326249355</v>
      </c>
      <c r="B1116" t="s">
        <v>1501</v>
      </c>
      <c r="C1116" t="s">
        <v>7</v>
      </c>
      <c r="D1116" t="s">
        <v>14</v>
      </c>
      <c r="E1116" t="s">
        <v>1433</v>
      </c>
      <c r="F1116" t="s">
        <v>1502</v>
      </c>
    </row>
    <row r="1117" spans="1:6" x14ac:dyDescent="0.25">
      <c r="A1117" t="str">
        <f>"1327025044"</f>
        <v>1327025044</v>
      </c>
      <c r="B1117" t="s">
        <v>1503</v>
      </c>
      <c r="C1117" t="s">
        <v>7</v>
      </c>
      <c r="D1117" t="s">
        <v>12</v>
      </c>
      <c r="E1117" t="s">
        <v>1433</v>
      </c>
      <c r="F1117" t="s">
        <v>1504</v>
      </c>
    </row>
    <row r="1118" spans="1:6" x14ac:dyDescent="0.25">
      <c r="A1118" t="str">
        <f>"132707833309"</f>
        <v>132707833309</v>
      </c>
      <c r="B1118" t="s">
        <v>1505</v>
      </c>
      <c r="C1118" t="s">
        <v>7</v>
      </c>
      <c r="D1118" t="s">
        <v>12</v>
      </c>
      <c r="E1118" t="s">
        <v>1433</v>
      </c>
    </row>
    <row r="1119" spans="1:6" x14ac:dyDescent="0.25">
      <c r="A1119" t="str">
        <f>"132800431403"</f>
        <v>132800431403</v>
      </c>
      <c r="B1119" t="s">
        <v>1506</v>
      </c>
      <c r="C1119" t="s">
        <v>7</v>
      </c>
      <c r="D1119" t="s">
        <v>14</v>
      </c>
      <c r="E1119" t="s">
        <v>1433</v>
      </c>
    </row>
    <row r="1120" spans="1:6" x14ac:dyDescent="0.25">
      <c r="A1120" t="str">
        <f>"583700346999"</f>
        <v>583700346999</v>
      </c>
      <c r="B1120" t="s">
        <v>1507</v>
      </c>
      <c r="C1120" t="s">
        <v>7</v>
      </c>
      <c r="D1120" t="s">
        <v>12</v>
      </c>
      <c r="E1120" t="s">
        <v>1433</v>
      </c>
    </row>
    <row r="1121" spans="1:6" x14ac:dyDescent="0.25">
      <c r="A1121" t="str">
        <f>"1327014980"</f>
        <v>1327014980</v>
      </c>
      <c r="B1121" t="s">
        <v>1508</v>
      </c>
      <c r="C1121" t="s">
        <v>7</v>
      </c>
      <c r="D1121" t="s">
        <v>14</v>
      </c>
      <c r="E1121" t="s">
        <v>1433</v>
      </c>
      <c r="F1121" t="s">
        <v>1509</v>
      </c>
    </row>
    <row r="1122" spans="1:6" x14ac:dyDescent="0.25">
      <c r="A1122" t="str">
        <f>"1327018657"</f>
        <v>1327018657</v>
      </c>
      <c r="B1122" t="s">
        <v>1510</v>
      </c>
      <c r="C1122" t="s">
        <v>7</v>
      </c>
      <c r="D1122" t="s">
        <v>14</v>
      </c>
      <c r="E1122" t="s">
        <v>1433</v>
      </c>
      <c r="F1122" t="s">
        <v>1511</v>
      </c>
    </row>
    <row r="1123" spans="1:6" x14ac:dyDescent="0.25">
      <c r="A1123" t="str">
        <f>"1327018907"</f>
        <v>1327018907</v>
      </c>
      <c r="B1123" t="s">
        <v>1512</v>
      </c>
      <c r="C1123" t="s">
        <v>7</v>
      </c>
      <c r="D1123" t="s">
        <v>12</v>
      </c>
      <c r="E1123" t="s">
        <v>1433</v>
      </c>
      <c r="F1123" t="s">
        <v>1513</v>
      </c>
    </row>
    <row r="1124" spans="1:6" x14ac:dyDescent="0.25">
      <c r="A1124" t="str">
        <f>"1327030630"</f>
        <v>1327030630</v>
      </c>
      <c r="B1124" t="s">
        <v>1514</v>
      </c>
      <c r="C1124" t="s">
        <v>7</v>
      </c>
      <c r="D1124" t="s">
        <v>674</v>
      </c>
      <c r="E1124" t="s">
        <v>1433</v>
      </c>
      <c r="F1124" t="s">
        <v>1515</v>
      </c>
    </row>
    <row r="1125" spans="1:6" x14ac:dyDescent="0.25">
      <c r="A1125" t="str">
        <f>"1327031175"</f>
        <v>1327031175</v>
      </c>
      <c r="B1125" t="s">
        <v>1516</v>
      </c>
      <c r="C1125" t="s">
        <v>7</v>
      </c>
      <c r="D1125" t="s">
        <v>12</v>
      </c>
      <c r="E1125" t="s">
        <v>1433</v>
      </c>
      <c r="F1125" t="s">
        <v>1517</v>
      </c>
    </row>
    <row r="1126" spans="1:6" x14ac:dyDescent="0.25">
      <c r="A1126" t="str">
        <f>"132707650023"</f>
        <v>132707650023</v>
      </c>
      <c r="B1126" t="s">
        <v>1518</v>
      </c>
      <c r="C1126" t="s">
        <v>7</v>
      </c>
      <c r="D1126" t="s">
        <v>14</v>
      </c>
      <c r="E1126" t="s">
        <v>1433</v>
      </c>
    </row>
    <row r="1127" spans="1:6" x14ac:dyDescent="0.25">
      <c r="A1127" t="str">
        <f>"132800523855"</f>
        <v>132800523855</v>
      </c>
      <c r="B1127" t="s">
        <v>1519</v>
      </c>
      <c r="C1127" t="s">
        <v>7</v>
      </c>
      <c r="D1127" t="s">
        <v>12</v>
      </c>
      <c r="E1127" t="s">
        <v>1433</v>
      </c>
    </row>
    <row r="1128" spans="1:6" x14ac:dyDescent="0.25">
      <c r="A1128" t="str">
        <f>"1328016170"</f>
        <v>1328016170</v>
      </c>
      <c r="B1128" t="s">
        <v>1520</v>
      </c>
      <c r="C1128" t="s">
        <v>7</v>
      </c>
      <c r="D1128" t="s">
        <v>12</v>
      </c>
      <c r="E1128" t="s">
        <v>1433</v>
      </c>
      <c r="F1128" t="s">
        <v>1521</v>
      </c>
    </row>
    <row r="1129" spans="1:6" x14ac:dyDescent="0.25">
      <c r="A1129" t="str">
        <f>"132803273681"</f>
        <v>132803273681</v>
      </c>
      <c r="B1129" t="s">
        <v>1522</v>
      </c>
      <c r="C1129" t="s">
        <v>7</v>
      </c>
      <c r="D1129" t="s">
        <v>14</v>
      </c>
      <c r="E1129" t="s">
        <v>1433</v>
      </c>
    </row>
    <row r="1130" spans="1:6" x14ac:dyDescent="0.25">
      <c r="A1130" t="str">
        <f>"132809830498"</f>
        <v>132809830498</v>
      </c>
      <c r="B1130" t="s">
        <v>1523</v>
      </c>
      <c r="C1130" t="s">
        <v>7</v>
      </c>
      <c r="D1130" t="s">
        <v>12</v>
      </c>
      <c r="E1130" t="s">
        <v>1433</v>
      </c>
    </row>
    <row r="1131" spans="1:6" x14ac:dyDescent="0.25">
      <c r="A1131" t="str">
        <f>"132899928270"</f>
        <v>132899928270</v>
      </c>
      <c r="B1131" t="s">
        <v>1524</v>
      </c>
      <c r="C1131" t="s">
        <v>7</v>
      </c>
      <c r="D1131" t="s">
        <v>14</v>
      </c>
      <c r="E1131" t="s">
        <v>1433</v>
      </c>
    </row>
    <row r="1132" spans="1:6" x14ac:dyDescent="0.25">
      <c r="A1132" t="str">
        <f>"1328013161"</f>
        <v>1328013161</v>
      </c>
      <c r="B1132" t="s">
        <v>1525</v>
      </c>
      <c r="C1132" t="s">
        <v>7</v>
      </c>
      <c r="D1132" t="s">
        <v>674</v>
      </c>
      <c r="E1132" t="s">
        <v>1433</v>
      </c>
      <c r="F1132" t="s">
        <v>1526</v>
      </c>
    </row>
    <row r="1133" spans="1:6" x14ac:dyDescent="0.25">
      <c r="A1133" t="str">
        <f>"132802379572"</f>
        <v>132802379572</v>
      </c>
      <c r="B1133" t="s">
        <v>1527</v>
      </c>
      <c r="C1133" t="s">
        <v>7</v>
      </c>
      <c r="D1133" t="s">
        <v>14</v>
      </c>
      <c r="E1133" t="s">
        <v>1433</v>
      </c>
    </row>
    <row r="1134" spans="1:6" x14ac:dyDescent="0.25">
      <c r="A1134" t="str">
        <f>"132802862638"</f>
        <v>132802862638</v>
      </c>
      <c r="B1134" t="s">
        <v>1528</v>
      </c>
      <c r="C1134" t="s">
        <v>7</v>
      </c>
      <c r="D1134" t="s">
        <v>14</v>
      </c>
      <c r="E1134" t="s">
        <v>1433</v>
      </c>
    </row>
    <row r="1135" spans="1:6" x14ac:dyDescent="0.25">
      <c r="A1135" t="str">
        <f>"1328908116"</f>
        <v>1328908116</v>
      </c>
      <c r="B1135" t="s">
        <v>1529</v>
      </c>
      <c r="C1135" t="s">
        <v>7</v>
      </c>
      <c r="D1135" t="s">
        <v>12</v>
      </c>
      <c r="E1135" t="s">
        <v>1433</v>
      </c>
      <c r="F1135" t="s">
        <v>1530</v>
      </c>
    </row>
    <row r="1136" spans="1:6" x14ac:dyDescent="0.25">
      <c r="A1136" t="str">
        <f>"132898061643"</f>
        <v>132898061643</v>
      </c>
      <c r="B1136" t="s">
        <v>1531</v>
      </c>
      <c r="C1136" t="s">
        <v>7</v>
      </c>
      <c r="D1136" t="s">
        <v>12</v>
      </c>
      <c r="E1136" t="s">
        <v>1433</v>
      </c>
    </row>
    <row r="1137" spans="1:6" x14ac:dyDescent="0.25">
      <c r="A1137" t="str">
        <f>"1328007432"</f>
        <v>1328007432</v>
      </c>
      <c r="B1137" t="s">
        <v>1532</v>
      </c>
      <c r="C1137" t="s">
        <v>7</v>
      </c>
      <c r="D1137" t="s">
        <v>14</v>
      </c>
      <c r="E1137" t="s">
        <v>1433</v>
      </c>
      <c r="F1137" t="s">
        <v>1533</v>
      </c>
    </row>
    <row r="1138" spans="1:6" x14ac:dyDescent="0.25">
      <c r="A1138" t="str">
        <f>"1328012440"</f>
        <v>1328012440</v>
      </c>
      <c r="B1138" t="s">
        <v>1534</v>
      </c>
      <c r="C1138" t="s">
        <v>7</v>
      </c>
      <c r="D1138" t="s">
        <v>12</v>
      </c>
      <c r="E1138" t="s">
        <v>1433</v>
      </c>
      <c r="F1138" t="s">
        <v>1535</v>
      </c>
    </row>
    <row r="1139" spans="1:6" x14ac:dyDescent="0.25">
      <c r="A1139" t="str">
        <f>"132802107089"</f>
        <v>132802107089</v>
      </c>
      <c r="B1139" t="s">
        <v>1536</v>
      </c>
      <c r="C1139" t="s">
        <v>7</v>
      </c>
      <c r="D1139" t="s">
        <v>14</v>
      </c>
      <c r="E1139" t="s">
        <v>1433</v>
      </c>
    </row>
    <row r="1140" spans="1:6" x14ac:dyDescent="0.25">
      <c r="A1140" t="str">
        <f>"132807850227"</f>
        <v>132807850227</v>
      </c>
      <c r="B1140" t="s">
        <v>1537</v>
      </c>
      <c r="C1140" t="s">
        <v>7</v>
      </c>
      <c r="D1140" t="s">
        <v>33</v>
      </c>
      <c r="E1140" t="s">
        <v>1433</v>
      </c>
    </row>
    <row r="1141" spans="1:6" x14ac:dyDescent="0.25">
      <c r="A1141" t="str">
        <f>"132809344434"</f>
        <v>132809344434</v>
      </c>
      <c r="B1141" t="s">
        <v>1538</v>
      </c>
      <c r="C1141" t="s">
        <v>7</v>
      </c>
      <c r="D1141" t="s">
        <v>14</v>
      </c>
      <c r="E1141" t="s">
        <v>1433</v>
      </c>
    </row>
    <row r="1142" spans="1:6" x14ac:dyDescent="0.25">
      <c r="A1142" t="str">
        <f>"132812353502"</f>
        <v>132812353502</v>
      </c>
      <c r="B1142" t="s">
        <v>1539</v>
      </c>
      <c r="C1142" t="s">
        <v>7</v>
      </c>
      <c r="D1142" t="s">
        <v>14</v>
      </c>
      <c r="E1142" t="s">
        <v>1433</v>
      </c>
    </row>
    <row r="1143" spans="1:6" x14ac:dyDescent="0.25">
      <c r="A1143" t="str">
        <f>"163400770547"</f>
        <v>163400770547</v>
      </c>
      <c r="B1143" t="s">
        <v>1540</v>
      </c>
      <c r="C1143" t="s">
        <v>7</v>
      </c>
      <c r="D1143" t="s">
        <v>14</v>
      </c>
      <c r="E1143" t="s">
        <v>1433</v>
      </c>
    </row>
    <row r="1144" spans="1:6" x14ac:dyDescent="0.25">
      <c r="A1144" t="str">
        <f>"891104349460"</f>
        <v>891104349460</v>
      </c>
      <c r="B1144" t="s">
        <v>1541</v>
      </c>
      <c r="C1144" t="s">
        <v>7</v>
      </c>
      <c r="D1144" t="s">
        <v>14</v>
      </c>
      <c r="E1144" t="s">
        <v>1433</v>
      </c>
    </row>
    <row r="1145" spans="1:6" x14ac:dyDescent="0.25">
      <c r="A1145" t="str">
        <f>"7743374961"</f>
        <v>7743374961</v>
      </c>
      <c r="B1145" t="s">
        <v>1542</v>
      </c>
      <c r="C1145" t="s">
        <v>7</v>
      </c>
      <c r="D1145" t="s">
        <v>14</v>
      </c>
      <c r="E1145" t="s">
        <v>1543</v>
      </c>
      <c r="F1145" t="s">
        <v>1544</v>
      </c>
    </row>
    <row r="1146" spans="1:6" x14ac:dyDescent="0.25">
      <c r="A1146" t="str">
        <f>"2801199399"</f>
        <v>2801199399</v>
      </c>
      <c r="B1146" t="s">
        <v>1545</v>
      </c>
      <c r="C1146" t="s">
        <v>7</v>
      </c>
      <c r="D1146" t="s">
        <v>33</v>
      </c>
      <c r="E1146" t="s">
        <v>1543</v>
      </c>
      <c r="F1146" t="s">
        <v>1546</v>
      </c>
    </row>
    <row r="1147" spans="1:6" x14ac:dyDescent="0.25">
      <c r="A1147" t="str">
        <f>"1400022882"</f>
        <v>1400022882</v>
      </c>
      <c r="B1147" t="s">
        <v>1547</v>
      </c>
      <c r="C1147" t="s">
        <v>7</v>
      </c>
      <c r="D1147" t="s">
        <v>12</v>
      </c>
      <c r="E1147" t="s">
        <v>1543</v>
      </c>
      <c r="F1147" t="s">
        <v>1548</v>
      </c>
    </row>
    <row r="1148" spans="1:6" x14ac:dyDescent="0.25">
      <c r="A1148" t="str">
        <f>"1402012907"</f>
        <v>1402012907</v>
      </c>
      <c r="B1148" t="s">
        <v>1549</v>
      </c>
      <c r="C1148" t="s">
        <v>7</v>
      </c>
      <c r="D1148" t="s">
        <v>14</v>
      </c>
      <c r="E1148" t="s">
        <v>1543</v>
      </c>
      <c r="F1148" t="s">
        <v>1550</v>
      </c>
    </row>
    <row r="1149" spans="1:6" x14ac:dyDescent="0.25">
      <c r="A1149" t="str">
        <f>"140501131098"</f>
        <v>140501131098</v>
      </c>
      <c r="B1149" t="s">
        <v>1551</v>
      </c>
      <c r="C1149" t="s">
        <v>7</v>
      </c>
      <c r="D1149" t="s">
        <v>14</v>
      </c>
      <c r="E1149" t="s">
        <v>1543</v>
      </c>
    </row>
    <row r="1150" spans="1:6" x14ac:dyDescent="0.25">
      <c r="A1150" t="str">
        <f>"140700727181"</f>
        <v>140700727181</v>
      </c>
      <c r="B1150" t="s">
        <v>1552</v>
      </c>
      <c r="C1150" t="s">
        <v>7</v>
      </c>
      <c r="D1150" t="s">
        <v>14</v>
      </c>
      <c r="E1150" t="s">
        <v>1543</v>
      </c>
    </row>
    <row r="1151" spans="1:6" x14ac:dyDescent="0.25">
      <c r="A1151" t="str">
        <f>"142000064768"</f>
        <v>142000064768</v>
      </c>
      <c r="B1151" t="s">
        <v>1553</v>
      </c>
      <c r="C1151" t="s">
        <v>7</v>
      </c>
      <c r="D1151" t="s">
        <v>14</v>
      </c>
      <c r="E1151" t="s">
        <v>1543</v>
      </c>
    </row>
    <row r="1152" spans="1:6" x14ac:dyDescent="0.25">
      <c r="A1152" t="str">
        <f>"1430011430"</f>
        <v>1430011430</v>
      </c>
      <c r="B1152" t="s">
        <v>1554</v>
      </c>
      <c r="C1152" t="s">
        <v>7</v>
      </c>
      <c r="D1152" t="s">
        <v>14</v>
      </c>
      <c r="E1152" t="s">
        <v>1543</v>
      </c>
      <c r="F1152" t="s">
        <v>1555</v>
      </c>
    </row>
    <row r="1153" spans="1:6" x14ac:dyDescent="0.25">
      <c r="A1153" t="str">
        <f>"143300161860"</f>
        <v>143300161860</v>
      </c>
      <c r="B1153" t="s">
        <v>1556</v>
      </c>
      <c r="C1153" t="s">
        <v>7</v>
      </c>
      <c r="D1153" t="s">
        <v>12</v>
      </c>
      <c r="E1153" t="s">
        <v>1543</v>
      </c>
    </row>
    <row r="1154" spans="1:6" x14ac:dyDescent="0.25">
      <c r="A1154" t="str">
        <f>"1433014566"</f>
        <v>1433014566</v>
      </c>
      <c r="B1154" t="s">
        <v>1557</v>
      </c>
      <c r="C1154" t="s">
        <v>7</v>
      </c>
      <c r="D1154" t="s">
        <v>14</v>
      </c>
      <c r="E1154" t="s">
        <v>1543</v>
      </c>
      <c r="F1154" t="s">
        <v>1558</v>
      </c>
    </row>
    <row r="1155" spans="1:6" x14ac:dyDescent="0.25">
      <c r="A1155" t="str">
        <f>"1433027692"</f>
        <v>1433027692</v>
      </c>
      <c r="B1155" t="s">
        <v>1559</v>
      </c>
      <c r="C1155" t="s">
        <v>7</v>
      </c>
      <c r="D1155" t="s">
        <v>14</v>
      </c>
      <c r="E1155" t="s">
        <v>1543</v>
      </c>
      <c r="F1155" t="s">
        <v>1560</v>
      </c>
    </row>
    <row r="1156" spans="1:6" x14ac:dyDescent="0.25">
      <c r="A1156" t="str">
        <f>"1434047003"</f>
        <v>1434047003</v>
      </c>
      <c r="B1156" t="s">
        <v>1561</v>
      </c>
      <c r="C1156" t="s">
        <v>7</v>
      </c>
      <c r="D1156" t="s">
        <v>12</v>
      </c>
      <c r="E1156" t="s">
        <v>1543</v>
      </c>
      <c r="F1156" t="s">
        <v>1562</v>
      </c>
    </row>
    <row r="1157" spans="1:6" x14ac:dyDescent="0.25">
      <c r="A1157" t="str">
        <f>"1434047476"</f>
        <v>1434047476</v>
      </c>
      <c r="B1157" t="s">
        <v>1563</v>
      </c>
      <c r="C1157" t="s">
        <v>7</v>
      </c>
      <c r="D1157" t="s">
        <v>12</v>
      </c>
      <c r="E1157" t="s">
        <v>1543</v>
      </c>
      <c r="F1157" t="s">
        <v>1564</v>
      </c>
    </row>
    <row r="1158" spans="1:6" x14ac:dyDescent="0.25">
      <c r="A1158" t="str">
        <f>"143500446573"</f>
        <v>143500446573</v>
      </c>
      <c r="B1158" t="s">
        <v>1565</v>
      </c>
      <c r="C1158" t="s">
        <v>7</v>
      </c>
      <c r="D1158" t="s">
        <v>14</v>
      </c>
      <c r="E1158" t="s">
        <v>1543</v>
      </c>
    </row>
    <row r="1159" spans="1:6" x14ac:dyDescent="0.25">
      <c r="A1159" t="str">
        <f>"143500491657"</f>
        <v>143500491657</v>
      </c>
      <c r="B1159" t="s">
        <v>1566</v>
      </c>
      <c r="C1159" t="s">
        <v>7</v>
      </c>
      <c r="D1159" t="s">
        <v>14</v>
      </c>
      <c r="E1159" t="s">
        <v>1543</v>
      </c>
    </row>
    <row r="1160" spans="1:6" x14ac:dyDescent="0.25">
      <c r="A1160" t="str">
        <f>"1435008670"</f>
        <v>1435008670</v>
      </c>
      <c r="B1160" t="s">
        <v>1567</v>
      </c>
      <c r="C1160" t="s">
        <v>7</v>
      </c>
      <c r="D1160" t="s">
        <v>12</v>
      </c>
      <c r="E1160" t="s">
        <v>1543</v>
      </c>
      <c r="F1160" t="s">
        <v>1568</v>
      </c>
    </row>
    <row r="1161" spans="1:6" x14ac:dyDescent="0.25">
      <c r="A1161" t="str">
        <f>"143506004490"</f>
        <v>143506004490</v>
      </c>
      <c r="B1161" t="s">
        <v>1569</v>
      </c>
      <c r="C1161" t="s">
        <v>7</v>
      </c>
      <c r="D1161" t="s">
        <v>12</v>
      </c>
      <c r="E1161" t="s">
        <v>1543</v>
      </c>
    </row>
    <row r="1162" spans="1:6" x14ac:dyDescent="0.25">
      <c r="A1162" t="str">
        <f>"143506685507"</f>
        <v>143506685507</v>
      </c>
      <c r="B1162" t="s">
        <v>1570</v>
      </c>
      <c r="C1162" t="s">
        <v>7</v>
      </c>
      <c r="D1162" t="s">
        <v>14</v>
      </c>
      <c r="E1162" t="s">
        <v>1543</v>
      </c>
    </row>
    <row r="1163" spans="1:6" x14ac:dyDescent="0.25">
      <c r="A1163" t="str">
        <f>"143521030262"</f>
        <v>143521030262</v>
      </c>
      <c r="B1163" t="s">
        <v>1571</v>
      </c>
      <c r="C1163" t="s">
        <v>7</v>
      </c>
      <c r="D1163" t="s">
        <v>14</v>
      </c>
      <c r="E1163" t="s">
        <v>1543</v>
      </c>
    </row>
    <row r="1164" spans="1:6" x14ac:dyDescent="0.25">
      <c r="A1164" t="str">
        <f>"143522872215"</f>
        <v>143522872215</v>
      </c>
      <c r="B1164" t="s">
        <v>1572</v>
      </c>
      <c r="C1164" t="s">
        <v>7</v>
      </c>
      <c r="D1164" t="s">
        <v>14</v>
      </c>
      <c r="E1164" t="s">
        <v>1543</v>
      </c>
    </row>
    <row r="1165" spans="1:6" x14ac:dyDescent="0.25">
      <c r="A1165" t="str">
        <f>"1435233242"</f>
        <v>1435233242</v>
      </c>
      <c r="B1165" t="s">
        <v>1573</v>
      </c>
      <c r="C1165" t="s">
        <v>7</v>
      </c>
      <c r="D1165" t="s">
        <v>12</v>
      </c>
      <c r="E1165" t="s">
        <v>1543</v>
      </c>
      <c r="F1165" t="s">
        <v>1574</v>
      </c>
    </row>
    <row r="1166" spans="1:6" x14ac:dyDescent="0.25">
      <c r="A1166" t="str">
        <f>"143527561848"</f>
        <v>143527561848</v>
      </c>
      <c r="B1166" t="s">
        <v>1575</v>
      </c>
      <c r="C1166" t="s">
        <v>7</v>
      </c>
      <c r="D1166" t="s">
        <v>14</v>
      </c>
      <c r="E1166" t="s">
        <v>1543</v>
      </c>
    </row>
    <row r="1167" spans="1:6" x14ac:dyDescent="0.25">
      <c r="A1167" t="str">
        <f>"1435334875"</f>
        <v>1435334875</v>
      </c>
      <c r="B1167" t="s">
        <v>1576</v>
      </c>
      <c r="C1167" t="s">
        <v>7</v>
      </c>
      <c r="D1167" t="s">
        <v>12</v>
      </c>
      <c r="E1167" t="s">
        <v>1543</v>
      </c>
      <c r="F1167" t="s">
        <v>1577</v>
      </c>
    </row>
    <row r="1168" spans="1:6" x14ac:dyDescent="0.25">
      <c r="A1168" t="str">
        <f>"1400025298"</f>
        <v>1400025298</v>
      </c>
      <c r="B1168" t="s">
        <v>1578</v>
      </c>
      <c r="C1168" t="s">
        <v>7</v>
      </c>
      <c r="D1168" t="s">
        <v>12</v>
      </c>
      <c r="E1168" t="s">
        <v>1543</v>
      </c>
      <c r="F1168" t="s">
        <v>1579</v>
      </c>
    </row>
    <row r="1169" spans="1:6" x14ac:dyDescent="0.25">
      <c r="A1169" t="str">
        <f>"1400041243"</f>
        <v>1400041243</v>
      </c>
      <c r="B1169" t="s">
        <v>1580</v>
      </c>
      <c r="C1169" t="s">
        <v>7</v>
      </c>
      <c r="D1169" t="s">
        <v>14</v>
      </c>
      <c r="E1169" t="s">
        <v>1543</v>
      </c>
      <c r="F1169" t="s">
        <v>1581</v>
      </c>
    </row>
    <row r="1170" spans="1:6" x14ac:dyDescent="0.25">
      <c r="A1170" t="str">
        <f>"140200018170"</f>
        <v>140200018170</v>
      </c>
      <c r="B1170" t="s">
        <v>1582</v>
      </c>
      <c r="C1170" t="s">
        <v>7</v>
      </c>
      <c r="D1170" t="s">
        <v>12</v>
      </c>
      <c r="E1170" t="s">
        <v>1543</v>
      </c>
    </row>
    <row r="1171" spans="1:6" x14ac:dyDescent="0.25">
      <c r="A1171" t="str">
        <f>"140201417339"</f>
        <v>140201417339</v>
      </c>
      <c r="B1171" t="s">
        <v>1583</v>
      </c>
      <c r="C1171" t="s">
        <v>7</v>
      </c>
      <c r="D1171" t="s">
        <v>14</v>
      </c>
      <c r="E1171" t="s">
        <v>1543</v>
      </c>
    </row>
    <row r="1172" spans="1:6" x14ac:dyDescent="0.25">
      <c r="A1172" t="str">
        <f>"141000606240"</f>
        <v>141000606240</v>
      </c>
      <c r="B1172" t="s">
        <v>1584</v>
      </c>
      <c r="C1172" t="s">
        <v>7</v>
      </c>
      <c r="D1172" t="s">
        <v>12</v>
      </c>
      <c r="E1172" t="s">
        <v>1543</v>
      </c>
    </row>
    <row r="1173" spans="1:6" x14ac:dyDescent="0.25">
      <c r="A1173" t="str">
        <f>"141402087890"</f>
        <v>141402087890</v>
      </c>
      <c r="B1173" t="s">
        <v>1585</v>
      </c>
      <c r="C1173" t="s">
        <v>7</v>
      </c>
      <c r="D1173" t="s">
        <v>14</v>
      </c>
      <c r="E1173" t="s">
        <v>1543</v>
      </c>
    </row>
    <row r="1174" spans="1:6" x14ac:dyDescent="0.25">
      <c r="A1174" t="str">
        <f>"141402959439"</f>
        <v>141402959439</v>
      </c>
      <c r="B1174" t="s">
        <v>1586</v>
      </c>
      <c r="C1174" t="s">
        <v>7</v>
      </c>
      <c r="D1174" t="s">
        <v>12</v>
      </c>
      <c r="E1174" t="s">
        <v>1543</v>
      </c>
    </row>
    <row r="1175" spans="1:6" x14ac:dyDescent="0.25">
      <c r="A1175" t="str">
        <f>"141403927920"</f>
        <v>141403927920</v>
      </c>
      <c r="B1175" t="s">
        <v>1587</v>
      </c>
      <c r="C1175" t="s">
        <v>7</v>
      </c>
      <c r="D1175" t="s">
        <v>14</v>
      </c>
      <c r="E1175" t="s">
        <v>1543</v>
      </c>
    </row>
    <row r="1176" spans="1:6" x14ac:dyDescent="0.25">
      <c r="A1176" t="str">
        <f>"141900267840"</f>
        <v>141900267840</v>
      </c>
      <c r="B1176" t="s">
        <v>1588</v>
      </c>
      <c r="C1176" t="s">
        <v>7</v>
      </c>
      <c r="D1176" t="s">
        <v>14</v>
      </c>
      <c r="E1176" t="s">
        <v>1543</v>
      </c>
    </row>
    <row r="1177" spans="1:6" x14ac:dyDescent="0.25">
      <c r="A1177" t="str">
        <f>"141900413410"</f>
        <v>141900413410</v>
      </c>
      <c r="B1177" t="s">
        <v>1589</v>
      </c>
      <c r="C1177" t="s">
        <v>7</v>
      </c>
      <c r="D1177" t="s">
        <v>14</v>
      </c>
      <c r="E1177" t="s">
        <v>1543</v>
      </c>
    </row>
    <row r="1178" spans="1:6" x14ac:dyDescent="0.25">
      <c r="A1178" t="str">
        <f>"1425003955"</f>
        <v>1425003955</v>
      </c>
      <c r="B1178" t="s">
        <v>1590</v>
      </c>
      <c r="C1178" t="s">
        <v>7</v>
      </c>
      <c r="D1178" t="s">
        <v>12</v>
      </c>
      <c r="E1178" t="s">
        <v>1543</v>
      </c>
      <c r="F1178" t="s">
        <v>1591</v>
      </c>
    </row>
    <row r="1179" spans="1:6" x14ac:dyDescent="0.25">
      <c r="A1179" t="str">
        <f>"142600101490"</f>
        <v>142600101490</v>
      </c>
      <c r="B1179" t="s">
        <v>1592</v>
      </c>
      <c r="C1179" t="s">
        <v>7</v>
      </c>
      <c r="D1179" t="s">
        <v>14</v>
      </c>
      <c r="E1179" t="s">
        <v>1543</v>
      </c>
    </row>
    <row r="1180" spans="1:6" x14ac:dyDescent="0.25">
      <c r="A1180" t="str">
        <f>"1430011609"</f>
        <v>1430011609</v>
      </c>
      <c r="B1180" t="s">
        <v>1593</v>
      </c>
      <c r="C1180" t="s">
        <v>7</v>
      </c>
      <c r="D1180" t="s">
        <v>14</v>
      </c>
      <c r="E1180" t="s">
        <v>1543</v>
      </c>
      <c r="F1180" t="s">
        <v>1594</v>
      </c>
    </row>
    <row r="1181" spans="1:6" x14ac:dyDescent="0.25">
      <c r="A1181" t="str">
        <f>"143500892313"</f>
        <v>143500892313</v>
      </c>
      <c r="B1181" t="s">
        <v>1595</v>
      </c>
      <c r="C1181" t="s">
        <v>7</v>
      </c>
      <c r="D1181" t="s">
        <v>14</v>
      </c>
      <c r="E1181" t="s">
        <v>1543</v>
      </c>
    </row>
    <row r="1182" spans="1:6" x14ac:dyDescent="0.25">
      <c r="A1182" t="str">
        <f>"143500930696"</f>
        <v>143500930696</v>
      </c>
      <c r="B1182" t="s">
        <v>1596</v>
      </c>
      <c r="C1182" t="s">
        <v>7</v>
      </c>
      <c r="D1182" t="s">
        <v>14</v>
      </c>
      <c r="E1182" t="s">
        <v>1543</v>
      </c>
    </row>
    <row r="1183" spans="1:6" x14ac:dyDescent="0.25">
      <c r="A1183" t="str">
        <f>"143504185996"</f>
        <v>143504185996</v>
      </c>
      <c r="B1183" t="s">
        <v>1597</v>
      </c>
      <c r="C1183" t="s">
        <v>7</v>
      </c>
      <c r="D1183" t="s">
        <v>14</v>
      </c>
      <c r="E1183" t="s">
        <v>1543</v>
      </c>
    </row>
    <row r="1184" spans="1:6" x14ac:dyDescent="0.25">
      <c r="A1184" t="str">
        <f>"143506180376"</f>
        <v>143506180376</v>
      </c>
      <c r="B1184" t="s">
        <v>1598</v>
      </c>
      <c r="C1184" t="s">
        <v>7</v>
      </c>
      <c r="D1184" t="s">
        <v>12</v>
      </c>
      <c r="E1184" t="s">
        <v>1543</v>
      </c>
    </row>
    <row r="1185" spans="1:6" x14ac:dyDescent="0.25">
      <c r="A1185" t="str">
        <f>"1435079640"</f>
        <v>1435079640</v>
      </c>
      <c r="B1185" t="s">
        <v>1599</v>
      </c>
      <c r="C1185" t="s">
        <v>7</v>
      </c>
      <c r="D1185" t="s">
        <v>12</v>
      </c>
      <c r="E1185" t="s">
        <v>1543</v>
      </c>
      <c r="F1185" t="s">
        <v>1600</v>
      </c>
    </row>
    <row r="1186" spans="1:6" x14ac:dyDescent="0.25">
      <c r="A1186" t="str">
        <f>"143511497266"</f>
        <v>143511497266</v>
      </c>
      <c r="B1186" t="s">
        <v>1601</v>
      </c>
      <c r="C1186" t="s">
        <v>7</v>
      </c>
      <c r="D1186" t="s">
        <v>12</v>
      </c>
      <c r="E1186" t="s">
        <v>1543</v>
      </c>
    </row>
    <row r="1187" spans="1:6" x14ac:dyDescent="0.25">
      <c r="A1187" t="str">
        <f>"1435170835"</f>
        <v>1435170835</v>
      </c>
      <c r="B1187" t="s">
        <v>1602</v>
      </c>
      <c r="C1187" t="s">
        <v>7</v>
      </c>
      <c r="D1187" t="s">
        <v>14</v>
      </c>
      <c r="E1187" t="s">
        <v>1543</v>
      </c>
      <c r="F1187" t="s">
        <v>1603</v>
      </c>
    </row>
    <row r="1188" spans="1:6" x14ac:dyDescent="0.25">
      <c r="A1188" t="str">
        <f>"143519772475"</f>
        <v>143519772475</v>
      </c>
      <c r="B1188" t="s">
        <v>1604</v>
      </c>
      <c r="C1188" t="s">
        <v>7</v>
      </c>
      <c r="D1188" t="s">
        <v>14</v>
      </c>
      <c r="E1188" t="s">
        <v>1543</v>
      </c>
    </row>
    <row r="1189" spans="1:6" x14ac:dyDescent="0.25">
      <c r="A1189" t="str">
        <f>"143522118713"</f>
        <v>143522118713</v>
      </c>
      <c r="B1189" t="s">
        <v>1605</v>
      </c>
      <c r="C1189" t="s">
        <v>7</v>
      </c>
      <c r="D1189" t="s">
        <v>12</v>
      </c>
      <c r="E1189" t="s">
        <v>1543</v>
      </c>
    </row>
    <row r="1190" spans="1:6" x14ac:dyDescent="0.25">
      <c r="A1190" t="str">
        <f>"143523504599"</f>
        <v>143523504599</v>
      </c>
      <c r="B1190" t="s">
        <v>1606</v>
      </c>
      <c r="C1190" t="s">
        <v>7</v>
      </c>
      <c r="D1190" t="s">
        <v>14</v>
      </c>
      <c r="E1190" t="s">
        <v>1543</v>
      </c>
    </row>
    <row r="1191" spans="1:6" x14ac:dyDescent="0.25">
      <c r="A1191" t="str">
        <f>"1435327571"</f>
        <v>1435327571</v>
      </c>
      <c r="B1191" t="s">
        <v>1607</v>
      </c>
      <c r="C1191" t="s">
        <v>7</v>
      </c>
      <c r="D1191" t="s">
        <v>14</v>
      </c>
      <c r="E1191" t="s">
        <v>1543</v>
      </c>
      <c r="F1191" t="s">
        <v>1608</v>
      </c>
    </row>
    <row r="1192" spans="1:6" x14ac:dyDescent="0.25">
      <c r="A1192" t="str">
        <f>"1435339979"</f>
        <v>1435339979</v>
      </c>
      <c r="B1192" t="s">
        <v>1609</v>
      </c>
      <c r="C1192" t="s">
        <v>7</v>
      </c>
      <c r="D1192" t="s">
        <v>12</v>
      </c>
      <c r="E1192" t="s">
        <v>1543</v>
      </c>
      <c r="F1192" t="s">
        <v>1610</v>
      </c>
    </row>
    <row r="1193" spans="1:6" x14ac:dyDescent="0.25">
      <c r="A1193" t="str">
        <f>"1400028933"</f>
        <v>1400028933</v>
      </c>
      <c r="B1193" t="s">
        <v>1611</v>
      </c>
      <c r="C1193" t="s">
        <v>7</v>
      </c>
      <c r="D1193" t="s">
        <v>12</v>
      </c>
      <c r="E1193" t="s">
        <v>1543</v>
      </c>
      <c r="F1193" t="s">
        <v>1612</v>
      </c>
    </row>
    <row r="1194" spans="1:6" x14ac:dyDescent="0.25">
      <c r="A1194" t="str">
        <f>"140200035961"</f>
        <v>140200035961</v>
      </c>
      <c r="B1194" t="s">
        <v>1613</v>
      </c>
      <c r="C1194" t="s">
        <v>7</v>
      </c>
      <c r="D1194" t="s">
        <v>14</v>
      </c>
      <c r="E1194" t="s">
        <v>1543</v>
      </c>
    </row>
    <row r="1195" spans="1:6" x14ac:dyDescent="0.25">
      <c r="A1195" t="str">
        <f>"140200077457"</f>
        <v>140200077457</v>
      </c>
      <c r="B1195" t="s">
        <v>1614</v>
      </c>
      <c r="C1195" t="s">
        <v>7</v>
      </c>
      <c r="D1195" t="s">
        <v>14</v>
      </c>
      <c r="E1195" t="s">
        <v>1543</v>
      </c>
    </row>
    <row r="1196" spans="1:6" x14ac:dyDescent="0.25">
      <c r="A1196" t="str">
        <f>"140200354855"</f>
        <v>140200354855</v>
      </c>
      <c r="B1196" t="s">
        <v>1615</v>
      </c>
      <c r="C1196" t="s">
        <v>7</v>
      </c>
      <c r="D1196" t="s">
        <v>14</v>
      </c>
      <c r="E1196" t="s">
        <v>1543</v>
      </c>
    </row>
    <row r="1197" spans="1:6" x14ac:dyDescent="0.25">
      <c r="A1197" t="str">
        <f>"140203627405"</f>
        <v>140203627405</v>
      </c>
      <c r="B1197" t="s">
        <v>1616</v>
      </c>
      <c r="C1197" t="s">
        <v>7</v>
      </c>
      <c r="D1197" t="s">
        <v>14</v>
      </c>
      <c r="E1197" t="s">
        <v>1543</v>
      </c>
    </row>
    <row r="1198" spans="1:6" x14ac:dyDescent="0.25">
      <c r="A1198" t="str">
        <f>"140800600848"</f>
        <v>140800600848</v>
      </c>
      <c r="B1198" t="s">
        <v>1617</v>
      </c>
      <c r="C1198" t="s">
        <v>7</v>
      </c>
      <c r="D1198" t="s">
        <v>14</v>
      </c>
      <c r="E1198" t="s">
        <v>1543</v>
      </c>
    </row>
    <row r="1199" spans="1:6" x14ac:dyDescent="0.25">
      <c r="A1199" t="str">
        <f>"141300018418"</f>
        <v>141300018418</v>
      </c>
      <c r="B1199" t="s">
        <v>1618</v>
      </c>
      <c r="C1199" t="s">
        <v>7</v>
      </c>
      <c r="D1199" t="s">
        <v>14</v>
      </c>
      <c r="E1199" t="s">
        <v>1543</v>
      </c>
    </row>
    <row r="1200" spans="1:6" x14ac:dyDescent="0.25">
      <c r="A1200" t="str">
        <f>"141400087197"</f>
        <v>141400087197</v>
      </c>
      <c r="B1200" t="s">
        <v>1619</v>
      </c>
      <c r="C1200" t="s">
        <v>7</v>
      </c>
      <c r="D1200" t="s">
        <v>14</v>
      </c>
      <c r="E1200" t="s">
        <v>1543</v>
      </c>
    </row>
    <row r="1201" spans="1:6" x14ac:dyDescent="0.25">
      <c r="A1201" t="str">
        <f>"141700869861"</f>
        <v>141700869861</v>
      </c>
      <c r="B1201" t="s">
        <v>1620</v>
      </c>
      <c r="C1201" t="s">
        <v>7</v>
      </c>
      <c r="D1201" t="s">
        <v>14</v>
      </c>
      <c r="E1201" t="s">
        <v>1543</v>
      </c>
    </row>
    <row r="1202" spans="1:6" x14ac:dyDescent="0.25">
      <c r="A1202" t="str">
        <f>"143305328897"</f>
        <v>143305328897</v>
      </c>
      <c r="B1202" t="s">
        <v>1621</v>
      </c>
      <c r="C1202" t="s">
        <v>7</v>
      </c>
      <c r="D1202" t="s">
        <v>14</v>
      </c>
      <c r="E1202" t="s">
        <v>1543</v>
      </c>
    </row>
    <row r="1203" spans="1:6" x14ac:dyDescent="0.25">
      <c r="A1203" t="str">
        <f>"1434046352"</f>
        <v>1434046352</v>
      </c>
      <c r="B1203" t="s">
        <v>1622</v>
      </c>
      <c r="C1203" t="s">
        <v>7</v>
      </c>
      <c r="D1203" t="s">
        <v>14</v>
      </c>
      <c r="E1203" t="s">
        <v>1543</v>
      </c>
      <c r="F1203" t="s">
        <v>1623</v>
      </c>
    </row>
    <row r="1204" spans="1:6" x14ac:dyDescent="0.25">
      <c r="A1204" t="str">
        <f>"143410411382"</f>
        <v>143410411382</v>
      </c>
      <c r="B1204" t="s">
        <v>1624</v>
      </c>
      <c r="C1204" t="s">
        <v>7</v>
      </c>
      <c r="D1204" t="s">
        <v>14</v>
      </c>
      <c r="E1204" t="s">
        <v>1543</v>
      </c>
    </row>
    <row r="1205" spans="1:6" x14ac:dyDescent="0.25">
      <c r="A1205" t="str">
        <f>"143411651588"</f>
        <v>143411651588</v>
      </c>
      <c r="B1205" t="s">
        <v>1625</v>
      </c>
      <c r="C1205" t="s">
        <v>7</v>
      </c>
      <c r="D1205" t="s">
        <v>14</v>
      </c>
      <c r="E1205" t="s">
        <v>1543</v>
      </c>
    </row>
    <row r="1206" spans="1:6" x14ac:dyDescent="0.25">
      <c r="A1206" t="str">
        <f>"143500737607"</f>
        <v>143500737607</v>
      </c>
      <c r="B1206" t="s">
        <v>1626</v>
      </c>
      <c r="C1206" t="s">
        <v>7</v>
      </c>
      <c r="D1206" t="s">
        <v>14</v>
      </c>
      <c r="E1206" t="s">
        <v>1543</v>
      </c>
    </row>
    <row r="1207" spans="1:6" x14ac:dyDescent="0.25">
      <c r="A1207" t="str">
        <f>"143500933802"</f>
        <v>143500933802</v>
      </c>
      <c r="B1207" t="s">
        <v>1627</v>
      </c>
      <c r="C1207" t="s">
        <v>7</v>
      </c>
      <c r="D1207" t="s">
        <v>12</v>
      </c>
      <c r="E1207" t="s">
        <v>1543</v>
      </c>
    </row>
    <row r="1208" spans="1:6" x14ac:dyDescent="0.25">
      <c r="A1208" t="str">
        <f>"143505692131"</f>
        <v>143505692131</v>
      </c>
      <c r="B1208" t="s">
        <v>1628</v>
      </c>
      <c r="C1208" t="s">
        <v>7</v>
      </c>
      <c r="D1208" t="s">
        <v>14</v>
      </c>
      <c r="E1208" t="s">
        <v>1543</v>
      </c>
    </row>
    <row r="1209" spans="1:6" x14ac:dyDescent="0.25">
      <c r="A1209" t="str">
        <f>"143507842350"</f>
        <v>143507842350</v>
      </c>
      <c r="B1209" t="s">
        <v>1629</v>
      </c>
      <c r="C1209" t="s">
        <v>7</v>
      </c>
      <c r="D1209" t="s">
        <v>14</v>
      </c>
      <c r="E1209" t="s">
        <v>1543</v>
      </c>
    </row>
    <row r="1210" spans="1:6" x14ac:dyDescent="0.25">
      <c r="A1210" t="str">
        <f>"143515710397"</f>
        <v>143515710397</v>
      </c>
      <c r="B1210" t="s">
        <v>1630</v>
      </c>
      <c r="C1210" t="s">
        <v>7</v>
      </c>
      <c r="D1210" t="s">
        <v>14</v>
      </c>
      <c r="E1210" t="s">
        <v>1543</v>
      </c>
    </row>
    <row r="1211" spans="1:6" x14ac:dyDescent="0.25">
      <c r="A1211" t="str">
        <f>"143522724979"</f>
        <v>143522724979</v>
      </c>
      <c r="B1211" t="s">
        <v>1631</v>
      </c>
      <c r="C1211" t="s">
        <v>7</v>
      </c>
      <c r="D1211" t="s">
        <v>14</v>
      </c>
      <c r="E1211" t="s">
        <v>1543</v>
      </c>
    </row>
    <row r="1212" spans="1:6" x14ac:dyDescent="0.25">
      <c r="A1212" t="str">
        <f>"1435301397"</f>
        <v>1435301397</v>
      </c>
      <c r="B1212" t="s">
        <v>1632</v>
      </c>
      <c r="C1212" t="s">
        <v>7</v>
      </c>
      <c r="D1212" t="s">
        <v>12</v>
      </c>
      <c r="E1212" t="s">
        <v>1543</v>
      </c>
      <c r="F1212" t="s">
        <v>1633</v>
      </c>
    </row>
    <row r="1213" spans="1:6" x14ac:dyDescent="0.25">
      <c r="A1213" t="str">
        <f>"143531811307"</f>
        <v>143531811307</v>
      </c>
      <c r="B1213" t="s">
        <v>1634</v>
      </c>
      <c r="C1213" t="s">
        <v>7</v>
      </c>
      <c r="D1213" t="s">
        <v>14</v>
      </c>
      <c r="E1213" t="s">
        <v>1543</v>
      </c>
    </row>
    <row r="1214" spans="1:6" x14ac:dyDescent="0.25">
      <c r="A1214" t="str">
        <f>"1435322710"</f>
        <v>1435322710</v>
      </c>
      <c r="B1214" t="s">
        <v>1635</v>
      </c>
      <c r="C1214" t="s">
        <v>7</v>
      </c>
      <c r="D1214" t="s">
        <v>463</v>
      </c>
      <c r="E1214" t="s">
        <v>1543</v>
      </c>
      <c r="F1214" t="s">
        <v>1636</v>
      </c>
    </row>
    <row r="1215" spans="1:6" x14ac:dyDescent="0.25">
      <c r="A1215" t="str">
        <f>"151605457913"</f>
        <v>151605457913</v>
      </c>
      <c r="B1215" t="s">
        <v>1637</v>
      </c>
      <c r="C1215" t="s">
        <v>7</v>
      </c>
      <c r="D1215" t="s">
        <v>14</v>
      </c>
      <c r="E1215" t="s">
        <v>1638</v>
      </c>
    </row>
    <row r="1216" spans="1:6" x14ac:dyDescent="0.25">
      <c r="A1216" t="str">
        <f>"1500017318"</f>
        <v>1500017318</v>
      </c>
      <c r="B1216" t="s">
        <v>1639</v>
      </c>
      <c r="C1216" t="s">
        <v>7</v>
      </c>
      <c r="D1216" t="s">
        <v>28</v>
      </c>
      <c r="E1216" t="s">
        <v>1638</v>
      </c>
      <c r="F1216" t="s">
        <v>1640</v>
      </c>
    </row>
    <row r="1217" spans="1:6" x14ac:dyDescent="0.25">
      <c r="A1217" t="str">
        <f>"150100713803"</f>
        <v>150100713803</v>
      </c>
      <c r="B1217" t="s">
        <v>1641</v>
      </c>
      <c r="C1217" t="s">
        <v>7</v>
      </c>
      <c r="D1217" t="s">
        <v>14</v>
      </c>
      <c r="E1217" t="s">
        <v>1638</v>
      </c>
    </row>
    <row r="1218" spans="1:6" x14ac:dyDescent="0.25">
      <c r="A1218" t="str">
        <f>"1501020634"</f>
        <v>1501020634</v>
      </c>
      <c r="B1218" t="s">
        <v>1642</v>
      </c>
      <c r="C1218" t="s">
        <v>7</v>
      </c>
      <c r="D1218" t="s">
        <v>12</v>
      </c>
      <c r="E1218" t="s">
        <v>1638</v>
      </c>
      <c r="F1218" t="s">
        <v>1643</v>
      </c>
    </row>
    <row r="1219" spans="1:6" x14ac:dyDescent="0.25">
      <c r="A1219" t="str">
        <f>"150106493047"</f>
        <v>150106493047</v>
      </c>
      <c r="B1219" t="s">
        <v>1644</v>
      </c>
      <c r="C1219" t="s">
        <v>7</v>
      </c>
      <c r="D1219" t="s">
        <v>12</v>
      </c>
      <c r="E1219" t="s">
        <v>1638</v>
      </c>
    </row>
    <row r="1220" spans="1:6" x14ac:dyDescent="0.25">
      <c r="A1220" t="str">
        <f>"150204208731"</f>
        <v>150204208731</v>
      </c>
      <c r="B1220" t="s">
        <v>1645</v>
      </c>
      <c r="C1220" t="s">
        <v>7</v>
      </c>
      <c r="D1220" t="s">
        <v>12</v>
      </c>
      <c r="E1220" t="s">
        <v>1638</v>
      </c>
    </row>
    <row r="1221" spans="1:6" x14ac:dyDescent="0.25">
      <c r="A1221" t="str">
        <f>"150408664010"</f>
        <v>150408664010</v>
      </c>
      <c r="B1221" t="s">
        <v>1646</v>
      </c>
      <c r="C1221" t="s">
        <v>7</v>
      </c>
      <c r="D1221" t="s">
        <v>12</v>
      </c>
      <c r="E1221" t="s">
        <v>1638</v>
      </c>
    </row>
    <row r="1222" spans="1:6" x14ac:dyDescent="0.25">
      <c r="A1222" t="str">
        <f>"151000396704"</f>
        <v>151000396704</v>
      </c>
      <c r="B1222" t="s">
        <v>1647</v>
      </c>
      <c r="C1222" t="s">
        <v>7</v>
      </c>
      <c r="D1222" t="s">
        <v>14</v>
      </c>
      <c r="E1222" t="s">
        <v>1638</v>
      </c>
    </row>
    <row r="1223" spans="1:6" x14ac:dyDescent="0.25">
      <c r="A1223" t="str">
        <f>"1513040473"</f>
        <v>1513040473</v>
      </c>
      <c r="B1223" t="s">
        <v>1648</v>
      </c>
      <c r="C1223" t="s">
        <v>7</v>
      </c>
      <c r="D1223" t="s">
        <v>14</v>
      </c>
      <c r="E1223" t="s">
        <v>1638</v>
      </c>
      <c r="F1223" t="s">
        <v>1649</v>
      </c>
    </row>
    <row r="1224" spans="1:6" x14ac:dyDescent="0.25">
      <c r="A1224" t="str">
        <f>"1513063128"</f>
        <v>1513063128</v>
      </c>
      <c r="B1224" t="s">
        <v>1650</v>
      </c>
      <c r="C1224" t="s">
        <v>7</v>
      </c>
      <c r="D1224" t="s">
        <v>8</v>
      </c>
      <c r="E1224" t="s">
        <v>1638</v>
      </c>
      <c r="F1224" t="s">
        <v>1651</v>
      </c>
    </row>
    <row r="1225" spans="1:6" x14ac:dyDescent="0.25">
      <c r="A1225" t="str">
        <f>"151603540429"</f>
        <v>151603540429</v>
      </c>
      <c r="B1225" t="s">
        <v>1652</v>
      </c>
      <c r="C1225" t="s">
        <v>7</v>
      </c>
      <c r="D1225" t="s">
        <v>12</v>
      </c>
      <c r="E1225" t="s">
        <v>1638</v>
      </c>
    </row>
    <row r="1226" spans="1:6" x14ac:dyDescent="0.25">
      <c r="A1226" t="str">
        <f>"151001904703"</f>
        <v>151001904703</v>
      </c>
      <c r="B1226" t="s">
        <v>1653</v>
      </c>
      <c r="C1226" t="s">
        <v>7</v>
      </c>
      <c r="D1226" t="s">
        <v>14</v>
      </c>
      <c r="E1226" t="s">
        <v>1638</v>
      </c>
    </row>
    <row r="1227" spans="1:6" x14ac:dyDescent="0.25">
      <c r="A1227" t="str">
        <f>"151002080470"</f>
        <v>151002080470</v>
      </c>
      <c r="B1227" t="s">
        <v>1654</v>
      </c>
      <c r="C1227" t="s">
        <v>7</v>
      </c>
      <c r="D1227" t="s">
        <v>14</v>
      </c>
      <c r="E1227" t="s">
        <v>1638</v>
      </c>
    </row>
    <row r="1228" spans="1:6" x14ac:dyDescent="0.25">
      <c r="A1228" t="str">
        <f>"151006883479"</f>
        <v>151006883479</v>
      </c>
      <c r="B1228" t="s">
        <v>1655</v>
      </c>
      <c r="C1228" t="s">
        <v>7</v>
      </c>
      <c r="D1228" t="s">
        <v>14</v>
      </c>
      <c r="E1228" t="s">
        <v>1638</v>
      </c>
    </row>
    <row r="1229" spans="1:6" x14ac:dyDescent="0.25">
      <c r="A1229" t="str">
        <f>"151208996108"</f>
        <v>151208996108</v>
      </c>
      <c r="B1229" t="s">
        <v>1656</v>
      </c>
      <c r="C1229" t="s">
        <v>7</v>
      </c>
      <c r="D1229" t="s">
        <v>14</v>
      </c>
      <c r="E1229" t="s">
        <v>1638</v>
      </c>
    </row>
    <row r="1230" spans="1:6" x14ac:dyDescent="0.25">
      <c r="A1230" t="str">
        <f>"1513067186"</f>
        <v>1513067186</v>
      </c>
      <c r="B1230" t="s">
        <v>1657</v>
      </c>
      <c r="C1230" t="s">
        <v>7</v>
      </c>
      <c r="D1230" t="s">
        <v>14</v>
      </c>
      <c r="E1230" t="s">
        <v>1638</v>
      </c>
      <c r="F1230" t="s">
        <v>1658</v>
      </c>
    </row>
    <row r="1231" spans="1:6" x14ac:dyDescent="0.25">
      <c r="A1231" t="str">
        <f>"1513076960"</f>
        <v>1513076960</v>
      </c>
      <c r="B1231" t="s">
        <v>1659</v>
      </c>
      <c r="C1231" t="s">
        <v>7</v>
      </c>
      <c r="D1231" t="s">
        <v>146</v>
      </c>
      <c r="E1231" t="s">
        <v>1638</v>
      </c>
      <c r="F1231" t="s">
        <v>1660</v>
      </c>
    </row>
    <row r="1232" spans="1:6" x14ac:dyDescent="0.25">
      <c r="A1232" t="str">
        <f>"151501183810"</f>
        <v>151501183810</v>
      </c>
      <c r="B1232" t="s">
        <v>1661</v>
      </c>
      <c r="C1232" t="s">
        <v>7</v>
      </c>
      <c r="D1232" t="s">
        <v>14</v>
      </c>
      <c r="E1232" t="s">
        <v>1638</v>
      </c>
    </row>
    <row r="1233" spans="1:6" x14ac:dyDescent="0.25">
      <c r="A1233" t="str">
        <f>"1511010441"</f>
        <v>1511010441</v>
      </c>
      <c r="B1233" t="s">
        <v>1008</v>
      </c>
      <c r="C1233" t="s">
        <v>7</v>
      </c>
      <c r="D1233" t="s">
        <v>14</v>
      </c>
      <c r="E1233" t="s">
        <v>1638</v>
      </c>
      <c r="F1233" t="s">
        <v>1662</v>
      </c>
    </row>
    <row r="1234" spans="1:6" x14ac:dyDescent="0.25">
      <c r="A1234" t="str">
        <f>"151205412308"</f>
        <v>151205412308</v>
      </c>
      <c r="B1234" t="s">
        <v>1663</v>
      </c>
      <c r="C1234" t="s">
        <v>7</v>
      </c>
      <c r="D1234" t="s">
        <v>12</v>
      </c>
      <c r="E1234" t="s">
        <v>1638</v>
      </c>
    </row>
    <row r="1235" spans="1:6" x14ac:dyDescent="0.25">
      <c r="A1235" t="str">
        <f>"151501043964"</f>
        <v>151501043964</v>
      </c>
      <c r="B1235" t="s">
        <v>1664</v>
      </c>
      <c r="C1235" t="s">
        <v>7</v>
      </c>
      <c r="D1235" t="s">
        <v>14</v>
      </c>
      <c r="E1235" t="s">
        <v>1638</v>
      </c>
    </row>
    <row r="1236" spans="1:6" x14ac:dyDescent="0.25">
      <c r="A1236" t="str">
        <f>"024203271158"</f>
        <v>024203271158</v>
      </c>
      <c r="B1236" t="s">
        <v>1665</v>
      </c>
      <c r="C1236" t="s">
        <v>7</v>
      </c>
      <c r="D1236" t="s">
        <v>12</v>
      </c>
      <c r="E1236" t="s">
        <v>1666</v>
      </c>
    </row>
    <row r="1237" spans="1:6" x14ac:dyDescent="0.25">
      <c r="A1237" t="str">
        <f>"430705195133"</f>
        <v>430705195133</v>
      </c>
      <c r="B1237" t="s">
        <v>1667</v>
      </c>
      <c r="C1237" t="s">
        <v>7</v>
      </c>
      <c r="D1237" t="s">
        <v>14</v>
      </c>
      <c r="E1237" t="s">
        <v>1666</v>
      </c>
    </row>
    <row r="1238" spans="1:6" x14ac:dyDescent="0.25">
      <c r="A1238" t="str">
        <f>"430705844003"</f>
        <v>430705844003</v>
      </c>
      <c r="B1238" t="s">
        <v>1668</v>
      </c>
      <c r="C1238" t="s">
        <v>7</v>
      </c>
      <c r="D1238" t="s">
        <v>14</v>
      </c>
      <c r="E1238" t="s">
        <v>1666</v>
      </c>
    </row>
    <row r="1239" spans="1:6" x14ac:dyDescent="0.25">
      <c r="A1239" t="str">
        <f>"430706992702"</f>
        <v>430706992702</v>
      </c>
      <c r="B1239" t="s">
        <v>1669</v>
      </c>
      <c r="C1239" t="s">
        <v>7</v>
      </c>
      <c r="D1239" t="s">
        <v>14</v>
      </c>
      <c r="E1239" t="s">
        <v>1666</v>
      </c>
    </row>
    <row r="1240" spans="1:6" x14ac:dyDescent="0.25">
      <c r="A1240" t="str">
        <f>"212801886530"</f>
        <v>212801886530</v>
      </c>
      <c r="B1240" t="s">
        <v>1670</v>
      </c>
      <c r="C1240" t="s">
        <v>7</v>
      </c>
      <c r="D1240" t="s">
        <v>12</v>
      </c>
      <c r="E1240" t="s">
        <v>1666</v>
      </c>
    </row>
    <row r="1241" spans="1:6" x14ac:dyDescent="0.25">
      <c r="A1241" t="str">
        <f>"1601007108"</f>
        <v>1601007108</v>
      </c>
      <c r="B1241" t="s">
        <v>1671</v>
      </c>
      <c r="C1241" t="s">
        <v>7</v>
      </c>
      <c r="D1241" t="s">
        <v>28</v>
      </c>
      <c r="E1241" t="s">
        <v>1666</v>
      </c>
      <c r="F1241" t="s">
        <v>1672</v>
      </c>
    </row>
    <row r="1242" spans="1:6" x14ac:dyDescent="0.25">
      <c r="A1242" t="str">
        <f>"160300391540"</f>
        <v>160300391540</v>
      </c>
      <c r="B1242" t="s">
        <v>1673</v>
      </c>
      <c r="C1242" t="s">
        <v>7</v>
      </c>
      <c r="D1242" t="s">
        <v>14</v>
      </c>
      <c r="E1242" t="s">
        <v>1666</v>
      </c>
    </row>
    <row r="1243" spans="1:6" x14ac:dyDescent="0.25">
      <c r="A1243" t="str">
        <f>"1605004637"</f>
        <v>1605004637</v>
      </c>
      <c r="B1243" t="s">
        <v>1674</v>
      </c>
      <c r="C1243" t="s">
        <v>7</v>
      </c>
      <c r="D1243" t="s">
        <v>12</v>
      </c>
      <c r="E1243" t="s">
        <v>1666</v>
      </c>
      <c r="F1243" t="s">
        <v>1675</v>
      </c>
    </row>
    <row r="1244" spans="1:6" x14ac:dyDescent="0.25">
      <c r="A1244" t="str">
        <f>"161700014259"</f>
        <v>161700014259</v>
      </c>
      <c r="B1244" t="s">
        <v>1676</v>
      </c>
      <c r="C1244" t="s">
        <v>7</v>
      </c>
      <c r="D1244" t="s">
        <v>586</v>
      </c>
      <c r="E1244" t="s">
        <v>1666</v>
      </c>
    </row>
    <row r="1245" spans="1:6" x14ac:dyDescent="0.25">
      <c r="A1245" t="str">
        <f>"162302443691"</f>
        <v>162302443691</v>
      </c>
      <c r="B1245" t="s">
        <v>1677</v>
      </c>
      <c r="C1245" t="s">
        <v>7</v>
      </c>
      <c r="D1245" t="s">
        <v>14</v>
      </c>
      <c r="E1245" t="s">
        <v>1666</v>
      </c>
    </row>
    <row r="1246" spans="1:6" x14ac:dyDescent="0.25">
      <c r="A1246" t="str">
        <f>"163200443408"</f>
        <v>163200443408</v>
      </c>
      <c r="B1246" t="s">
        <v>1678</v>
      </c>
      <c r="C1246" t="s">
        <v>7</v>
      </c>
      <c r="D1246" t="s">
        <v>12</v>
      </c>
      <c r="E1246" t="s">
        <v>1666</v>
      </c>
    </row>
    <row r="1247" spans="1:6" x14ac:dyDescent="0.25">
      <c r="A1247" t="str">
        <f>"164200002726"</f>
        <v>164200002726</v>
      </c>
      <c r="B1247" t="s">
        <v>1679</v>
      </c>
      <c r="C1247" t="s">
        <v>7</v>
      </c>
      <c r="D1247" t="s">
        <v>14</v>
      </c>
      <c r="E1247" t="s">
        <v>1666</v>
      </c>
    </row>
    <row r="1248" spans="1:6" x14ac:dyDescent="0.25">
      <c r="A1248" t="str">
        <f>"164303182580"</f>
        <v>164303182580</v>
      </c>
      <c r="B1248" t="s">
        <v>1680</v>
      </c>
      <c r="C1248" t="s">
        <v>7</v>
      </c>
      <c r="D1248" t="s">
        <v>14</v>
      </c>
      <c r="E1248" t="s">
        <v>1666</v>
      </c>
    </row>
    <row r="1249" spans="1:6" x14ac:dyDescent="0.25">
      <c r="A1249" t="str">
        <f>"164404969582"</f>
        <v>164404969582</v>
      </c>
      <c r="B1249" t="s">
        <v>1681</v>
      </c>
      <c r="C1249" t="s">
        <v>7</v>
      </c>
      <c r="D1249" t="s">
        <v>14</v>
      </c>
      <c r="E1249" t="s">
        <v>1666</v>
      </c>
    </row>
    <row r="1250" spans="1:6" x14ac:dyDescent="0.25">
      <c r="A1250" t="str">
        <f>"164706872058"</f>
        <v>164706872058</v>
      </c>
      <c r="B1250" t="s">
        <v>1682</v>
      </c>
      <c r="C1250" t="s">
        <v>7</v>
      </c>
      <c r="D1250" t="s">
        <v>12</v>
      </c>
      <c r="E1250" t="s">
        <v>1666</v>
      </c>
    </row>
    <row r="1251" spans="1:6" x14ac:dyDescent="0.25">
      <c r="A1251" t="str">
        <f>"164901064103"</f>
        <v>164901064103</v>
      </c>
      <c r="B1251" t="s">
        <v>1683</v>
      </c>
      <c r="C1251" t="s">
        <v>7</v>
      </c>
      <c r="D1251" t="s">
        <v>12</v>
      </c>
      <c r="E1251" t="s">
        <v>1666</v>
      </c>
    </row>
    <row r="1252" spans="1:6" x14ac:dyDescent="0.25">
      <c r="A1252" t="str">
        <f>"164904757770"</f>
        <v>164904757770</v>
      </c>
      <c r="B1252" t="s">
        <v>1684</v>
      </c>
      <c r="C1252" t="s">
        <v>7</v>
      </c>
      <c r="D1252" t="s">
        <v>14</v>
      </c>
      <c r="E1252" t="s">
        <v>1666</v>
      </c>
    </row>
    <row r="1253" spans="1:6" x14ac:dyDescent="0.25">
      <c r="A1253" t="str">
        <f>"1650067519"</f>
        <v>1650067519</v>
      </c>
      <c r="B1253" t="s">
        <v>1685</v>
      </c>
      <c r="C1253" t="s">
        <v>7</v>
      </c>
      <c r="D1253" t="s">
        <v>12</v>
      </c>
      <c r="E1253" t="s">
        <v>1666</v>
      </c>
      <c r="F1253" t="s">
        <v>1686</v>
      </c>
    </row>
    <row r="1254" spans="1:6" x14ac:dyDescent="0.25">
      <c r="A1254" t="str">
        <f>"1650098034"</f>
        <v>1650098034</v>
      </c>
      <c r="B1254" t="s">
        <v>1687</v>
      </c>
      <c r="C1254" t="s">
        <v>7</v>
      </c>
      <c r="D1254" t="s">
        <v>33</v>
      </c>
      <c r="E1254" t="s">
        <v>1666</v>
      </c>
      <c r="F1254" t="s">
        <v>1688</v>
      </c>
    </row>
    <row r="1255" spans="1:6" x14ac:dyDescent="0.25">
      <c r="A1255" t="str">
        <f>"165013203512"</f>
        <v>165013203512</v>
      </c>
      <c r="B1255" t="s">
        <v>1689</v>
      </c>
      <c r="C1255" t="s">
        <v>7</v>
      </c>
      <c r="D1255" t="s">
        <v>14</v>
      </c>
      <c r="E1255" t="s">
        <v>1666</v>
      </c>
    </row>
    <row r="1256" spans="1:6" x14ac:dyDescent="0.25">
      <c r="A1256" t="str">
        <f>"1650213336"</f>
        <v>1650213336</v>
      </c>
      <c r="B1256" t="s">
        <v>1690</v>
      </c>
      <c r="C1256" t="s">
        <v>7</v>
      </c>
      <c r="D1256" t="s">
        <v>14</v>
      </c>
      <c r="E1256" t="s">
        <v>1666</v>
      </c>
      <c r="F1256" t="s">
        <v>1691</v>
      </c>
    </row>
    <row r="1257" spans="1:6" x14ac:dyDescent="0.25">
      <c r="A1257" t="str">
        <f>"1650216979"</f>
        <v>1650216979</v>
      </c>
      <c r="B1257" t="s">
        <v>1692</v>
      </c>
      <c r="C1257" t="s">
        <v>7</v>
      </c>
      <c r="D1257" t="s">
        <v>14</v>
      </c>
      <c r="E1257" t="s">
        <v>1666</v>
      </c>
      <c r="F1257" t="s">
        <v>1693</v>
      </c>
    </row>
    <row r="1258" spans="1:6" x14ac:dyDescent="0.25">
      <c r="A1258" t="str">
        <f>"165030624599"</f>
        <v>165030624599</v>
      </c>
      <c r="B1258" t="s">
        <v>1694</v>
      </c>
      <c r="C1258" t="s">
        <v>7</v>
      </c>
      <c r="D1258" t="s">
        <v>14</v>
      </c>
      <c r="E1258" t="s">
        <v>1666</v>
      </c>
    </row>
    <row r="1259" spans="1:6" x14ac:dyDescent="0.25">
      <c r="A1259" t="str">
        <f>"1650382373"</f>
        <v>1650382373</v>
      </c>
      <c r="B1259" t="s">
        <v>1695</v>
      </c>
      <c r="C1259" t="s">
        <v>7</v>
      </c>
      <c r="D1259" t="s">
        <v>33</v>
      </c>
      <c r="E1259" t="s">
        <v>1666</v>
      </c>
      <c r="F1259" t="s">
        <v>1696</v>
      </c>
    </row>
    <row r="1260" spans="1:6" x14ac:dyDescent="0.25">
      <c r="A1260" t="str">
        <f>"1650409949"</f>
        <v>1650409949</v>
      </c>
      <c r="B1260" t="s">
        <v>1697</v>
      </c>
      <c r="C1260" t="s">
        <v>7</v>
      </c>
      <c r="D1260" t="s">
        <v>146</v>
      </c>
      <c r="E1260" t="s">
        <v>1666</v>
      </c>
      <c r="F1260" t="s">
        <v>1698</v>
      </c>
    </row>
    <row r="1261" spans="1:6" x14ac:dyDescent="0.25">
      <c r="A1261" t="str">
        <f>"1650427232"</f>
        <v>1650427232</v>
      </c>
      <c r="B1261" t="s">
        <v>1699</v>
      </c>
      <c r="C1261" t="s">
        <v>7</v>
      </c>
      <c r="D1261" t="s">
        <v>674</v>
      </c>
      <c r="E1261" t="s">
        <v>1666</v>
      </c>
      <c r="F1261" t="s">
        <v>1700</v>
      </c>
    </row>
    <row r="1262" spans="1:6" x14ac:dyDescent="0.25">
      <c r="A1262" t="str">
        <f>"165101296587"</f>
        <v>165101296587</v>
      </c>
      <c r="B1262" t="s">
        <v>1701</v>
      </c>
      <c r="C1262" t="s">
        <v>7</v>
      </c>
      <c r="D1262" t="s">
        <v>14</v>
      </c>
      <c r="E1262" t="s">
        <v>1666</v>
      </c>
    </row>
    <row r="1263" spans="1:6" x14ac:dyDescent="0.25">
      <c r="A1263" t="str">
        <f>"1651066469"</f>
        <v>1651066469</v>
      </c>
      <c r="B1263" t="s">
        <v>1702</v>
      </c>
      <c r="C1263" t="s">
        <v>7</v>
      </c>
      <c r="D1263" t="s">
        <v>14</v>
      </c>
      <c r="E1263" t="s">
        <v>1666</v>
      </c>
      <c r="F1263" t="s">
        <v>1703</v>
      </c>
    </row>
    <row r="1264" spans="1:6" x14ac:dyDescent="0.25">
      <c r="A1264" t="str">
        <f>"1655280135"</f>
        <v>1655280135</v>
      </c>
      <c r="B1264" t="s">
        <v>1704</v>
      </c>
      <c r="C1264" t="s">
        <v>7</v>
      </c>
      <c r="D1264" t="s">
        <v>33</v>
      </c>
      <c r="E1264" t="s">
        <v>1666</v>
      </c>
      <c r="F1264" t="s">
        <v>1705</v>
      </c>
    </row>
    <row r="1265" spans="1:6" x14ac:dyDescent="0.25">
      <c r="A1265" t="str">
        <f>"1655423224"</f>
        <v>1655423224</v>
      </c>
      <c r="B1265" t="s">
        <v>1580</v>
      </c>
      <c r="C1265" t="s">
        <v>7</v>
      </c>
      <c r="D1265" t="s">
        <v>14</v>
      </c>
      <c r="E1265" t="s">
        <v>1666</v>
      </c>
      <c r="F1265" t="s">
        <v>1706</v>
      </c>
    </row>
    <row r="1266" spans="1:6" x14ac:dyDescent="0.25">
      <c r="A1266" t="str">
        <f>"1657193520"</f>
        <v>1657193520</v>
      </c>
      <c r="B1266" t="s">
        <v>1707</v>
      </c>
      <c r="C1266" t="s">
        <v>7</v>
      </c>
      <c r="D1266" t="s">
        <v>8</v>
      </c>
      <c r="E1266" t="s">
        <v>1666</v>
      </c>
      <c r="F1266" t="s">
        <v>1708</v>
      </c>
    </row>
    <row r="1267" spans="1:6" x14ac:dyDescent="0.25">
      <c r="A1267" t="str">
        <f>"165800505466"</f>
        <v>165800505466</v>
      </c>
      <c r="B1267" t="s">
        <v>1709</v>
      </c>
      <c r="C1267" t="s">
        <v>7</v>
      </c>
      <c r="D1267" t="s">
        <v>14</v>
      </c>
      <c r="E1267" t="s">
        <v>1666</v>
      </c>
    </row>
    <row r="1268" spans="1:6" x14ac:dyDescent="0.25">
      <c r="A1268" t="str">
        <f>"1658078262"</f>
        <v>1658078262</v>
      </c>
      <c r="B1268" t="s">
        <v>1710</v>
      </c>
      <c r="C1268" t="s">
        <v>7</v>
      </c>
      <c r="D1268" t="s">
        <v>14</v>
      </c>
      <c r="E1268" t="s">
        <v>1666</v>
      </c>
      <c r="F1268" t="s">
        <v>1711</v>
      </c>
    </row>
    <row r="1269" spans="1:6" x14ac:dyDescent="0.25">
      <c r="A1269" t="str">
        <f>"1658252344"</f>
        <v>1658252344</v>
      </c>
      <c r="B1269" t="s">
        <v>1712</v>
      </c>
      <c r="C1269" t="s">
        <v>7</v>
      </c>
      <c r="D1269" t="s">
        <v>12</v>
      </c>
      <c r="E1269" t="s">
        <v>1666</v>
      </c>
      <c r="F1269" t="s">
        <v>1713</v>
      </c>
    </row>
    <row r="1270" spans="1:6" x14ac:dyDescent="0.25">
      <c r="A1270" t="str">
        <f>"1659141380"</f>
        <v>1659141380</v>
      </c>
      <c r="B1270" t="s">
        <v>1714</v>
      </c>
      <c r="C1270" t="s">
        <v>7</v>
      </c>
      <c r="D1270" t="s">
        <v>12</v>
      </c>
      <c r="E1270" t="s">
        <v>1666</v>
      </c>
      <c r="F1270" t="s">
        <v>1715</v>
      </c>
    </row>
    <row r="1271" spans="1:6" x14ac:dyDescent="0.25">
      <c r="A1271" t="str">
        <f>"166001139102"</f>
        <v>166001139102</v>
      </c>
      <c r="B1271" t="s">
        <v>1716</v>
      </c>
      <c r="C1271" t="s">
        <v>7</v>
      </c>
      <c r="D1271" t="s">
        <v>33</v>
      </c>
      <c r="E1271" t="s">
        <v>1666</v>
      </c>
    </row>
    <row r="1272" spans="1:6" x14ac:dyDescent="0.25">
      <c r="A1272" t="str">
        <f>"1660181972"</f>
        <v>1660181972</v>
      </c>
      <c r="B1272" t="s">
        <v>1717</v>
      </c>
      <c r="C1272" t="s">
        <v>7</v>
      </c>
      <c r="D1272" t="s">
        <v>14</v>
      </c>
      <c r="E1272" t="s">
        <v>1666</v>
      </c>
      <c r="F1272" t="s">
        <v>1718</v>
      </c>
    </row>
    <row r="1273" spans="1:6" x14ac:dyDescent="0.25">
      <c r="A1273" t="str">
        <f>"1660275042"</f>
        <v>1660275042</v>
      </c>
      <c r="B1273" t="s">
        <v>1719</v>
      </c>
      <c r="C1273" t="s">
        <v>7</v>
      </c>
      <c r="D1273" t="s">
        <v>33</v>
      </c>
      <c r="E1273" t="s">
        <v>1666</v>
      </c>
      <c r="F1273" t="s">
        <v>1720</v>
      </c>
    </row>
    <row r="1274" spans="1:6" x14ac:dyDescent="0.25">
      <c r="A1274" t="str">
        <f>"1686014380"</f>
        <v>1686014380</v>
      </c>
      <c r="B1274" t="s">
        <v>1721</v>
      </c>
      <c r="C1274" t="s">
        <v>7</v>
      </c>
      <c r="D1274" t="s">
        <v>12</v>
      </c>
      <c r="E1274" t="s">
        <v>1666</v>
      </c>
      <c r="F1274" t="s">
        <v>1722</v>
      </c>
    </row>
    <row r="1275" spans="1:6" x14ac:dyDescent="0.25">
      <c r="A1275" t="str">
        <f>"2130134295"</f>
        <v>2130134295</v>
      </c>
      <c r="B1275" t="s">
        <v>1723</v>
      </c>
      <c r="C1275" t="s">
        <v>7</v>
      </c>
      <c r="D1275" t="s">
        <v>98</v>
      </c>
      <c r="E1275" t="s">
        <v>1666</v>
      </c>
      <c r="F1275" t="s">
        <v>1724</v>
      </c>
    </row>
    <row r="1276" spans="1:6" x14ac:dyDescent="0.25">
      <c r="A1276" t="str">
        <f>"0276133431"</f>
        <v>0276133431</v>
      </c>
      <c r="B1276" t="s">
        <v>1725</v>
      </c>
      <c r="C1276" t="s">
        <v>7</v>
      </c>
      <c r="D1276" t="s">
        <v>33</v>
      </c>
      <c r="E1276" t="s">
        <v>1666</v>
      </c>
      <c r="F1276" t="s">
        <v>1726</v>
      </c>
    </row>
    <row r="1277" spans="1:6" x14ac:dyDescent="0.25">
      <c r="A1277" t="str">
        <f>"7729703685"</f>
        <v>7729703685</v>
      </c>
      <c r="B1277" t="s">
        <v>1727</v>
      </c>
      <c r="C1277" t="s">
        <v>7</v>
      </c>
      <c r="D1277" t="s">
        <v>189</v>
      </c>
      <c r="E1277" t="s">
        <v>1666</v>
      </c>
      <c r="F1277" t="s">
        <v>1728</v>
      </c>
    </row>
    <row r="1278" spans="1:6" x14ac:dyDescent="0.25">
      <c r="A1278" t="str">
        <f>"5609093593"</f>
        <v>5609093593</v>
      </c>
      <c r="B1278" t="s">
        <v>1729</v>
      </c>
      <c r="C1278" t="s">
        <v>7</v>
      </c>
      <c r="D1278" t="s">
        <v>14</v>
      </c>
      <c r="E1278" t="s">
        <v>1666</v>
      </c>
      <c r="F1278" t="s">
        <v>1730</v>
      </c>
    </row>
    <row r="1279" spans="1:6" x14ac:dyDescent="0.25">
      <c r="A1279" t="str">
        <f>"5920998519"</f>
        <v>5920998519</v>
      </c>
      <c r="B1279" t="s">
        <v>1731</v>
      </c>
      <c r="C1279" t="s">
        <v>7</v>
      </c>
      <c r="D1279" t="s">
        <v>14</v>
      </c>
      <c r="E1279" t="s">
        <v>1666</v>
      </c>
      <c r="F1279" t="s">
        <v>1732</v>
      </c>
    </row>
    <row r="1280" spans="1:6" x14ac:dyDescent="0.25">
      <c r="A1280" t="str">
        <f>"731801411740"</f>
        <v>731801411740</v>
      </c>
      <c r="B1280" t="s">
        <v>1733</v>
      </c>
      <c r="C1280" t="s">
        <v>7</v>
      </c>
      <c r="D1280" t="s">
        <v>14</v>
      </c>
      <c r="E1280" t="s">
        <v>1666</v>
      </c>
    </row>
    <row r="1281" spans="1:6" x14ac:dyDescent="0.25">
      <c r="A1281" t="str">
        <f>"6382062991"</f>
        <v>6382062991</v>
      </c>
      <c r="B1281" t="s">
        <v>1734</v>
      </c>
      <c r="C1281" t="s">
        <v>7</v>
      </c>
      <c r="D1281" t="s">
        <v>189</v>
      </c>
      <c r="E1281" t="s">
        <v>1666</v>
      </c>
      <c r="F1281" t="s">
        <v>1735</v>
      </c>
    </row>
    <row r="1282" spans="1:6" x14ac:dyDescent="0.25">
      <c r="A1282" t="str">
        <f>"120304213983"</f>
        <v>120304213983</v>
      </c>
      <c r="B1282" t="s">
        <v>1736</v>
      </c>
      <c r="C1282" t="s">
        <v>7</v>
      </c>
      <c r="D1282" t="s">
        <v>14</v>
      </c>
      <c r="E1282" t="s">
        <v>1666</v>
      </c>
    </row>
    <row r="1283" spans="1:6" x14ac:dyDescent="0.25">
      <c r="A1283" t="str">
        <f>"121635305725"</f>
        <v>121635305725</v>
      </c>
      <c r="B1283" t="s">
        <v>1737</v>
      </c>
      <c r="C1283" t="s">
        <v>7</v>
      </c>
      <c r="D1283" t="s">
        <v>14</v>
      </c>
      <c r="E1283" t="s">
        <v>1666</v>
      </c>
    </row>
    <row r="1284" spans="1:6" x14ac:dyDescent="0.25">
      <c r="A1284" t="str">
        <f>"564501028486"</f>
        <v>564501028486</v>
      </c>
      <c r="B1284" t="s">
        <v>1738</v>
      </c>
      <c r="C1284" t="s">
        <v>7</v>
      </c>
      <c r="D1284" t="s">
        <v>12</v>
      </c>
      <c r="E1284" t="s">
        <v>1666</v>
      </c>
    </row>
    <row r="1285" spans="1:6" x14ac:dyDescent="0.25">
      <c r="A1285" t="str">
        <f>"121604927606"</f>
        <v>121604927606</v>
      </c>
      <c r="B1285" t="s">
        <v>1739</v>
      </c>
      <c r="C1285" t="s">
        <v>7</v>
      </c>
      <c r="D1285" t="s">
        <v>14</v>
      </c>
      <c r="E1285" t="s">
        <v>1666</v>
      </c>
    </row>
    <row r="1286" spans="1:6" x14ac:dyDescent="0.25">
      <c r="A1286" t="str">
        <f>"590417518798"</f>
        <v>590417518798</v>
      </c>
      <c r="B1286" t="s">
        <v>1740</v>
      </c>
      <c r="C1286" t="s">
        <v>7</v>
      </c>
      <c r="D1286" t="s">
        <v>14</v>
      </c>
      <c r="E1286" t="s">
        <v>1666</v>
      </c>
    </row>
    <row r="1287" spans="1:6" x14ac:dyDescent="0.25">
      <c r="A1287" t="str">
        <f>"140600521109"</f>
        <v>140600521109</v>
      </c>
      <c r="B1287" t="s">
        <v>1741</v>
      </c>
      <c r="C1287" t="s">
        <v>7</v>
      </c>
      <c r="D1287" t="s">
        <v>14</v>
      </c>
      <c r="E1287" t="s">
        <v>1666</v>
      </c>
    </row>
    <row r="1288" spans="1:6" x14ac:dyDescent="0.25">
      <c r="A1288" t="str">
        <f>"160501737290"</f>
        <v>160501737290</v>
      </c>
      <c r="B1288" t="s">
        <v>1742</v>
      </c>
      <c r="C1288" t="s">
        <v>7</v>
      </c>
      <c r="D1288" t="s">
        <v>14</v>
      </c>
      <c r="E1288" t="s">
        <v>1666</v>
      </c>
    </row>
    <row r="1289" spans="1:6" x14ac:dyDescent="0.25">
      <c r="A1289" t="str">
        <f>"160900043897"</f>
        <v>160900043897</v>
      </c>
      <c r="B1289" t="s">
        <v>1743</v>
      </c>
      <c r="C1289" t="s">
        <v>7</v>
      </c>
      <c r="D1289" t="s">
        <v>14</v>
      </c>
      <c r="E1289" t="s">
        <v>1666</v>
      </c>
    </row>
    <row r="1290" spans="1:6" x14ac:dyDescent="0.25">
      <c r="A1290" t="str">
        <f>"160902516919"</f>
        <v>160902516919</v>
      </c>
      <c r="B1290" t="s">
        <v>1744</v>
      </c>
      <c r="C1290" t="s">
        <v>7</v>
      </c>
      <c r="D1290" t="s">
        <v>14</v>
      </c>
      <c r="E1290" t="s">
        <v>1666</v>
      </c>
    </row>
    <row r="1291" spans="1:6" x14ac:dyDescent="0.25">
      <c r="A1291" t="str">
        <f>"161403034750"</f>
        <v>161403034750</v>
      </c>
      <c r="B1291" t="s">
        <v>1745</v>
      </c>
      <c r="C1291" t="s">
        <v>7</v>
      </c>
      <c r="D1291" t="s">
        <v>14</v>
      </c>
      <c r="E1291" t="s">
        <v>1666</v>
      </c>
    </row>
    <row r="1292" spans="1:6" x14ac:dyDescent="0.25">
      <c r="A1292" t="str">
        <f>"1616014242"</f>
        <v>1616014242</v>
      </c>
      <c r="B1292" t="s">
        <v>1746</v>
      </c>
      <c r="C1292" t="s">
        <v>7</v>
      </c>
      <c r="D1292" t="s">
        <v>12</v>
      </c>
      <c r="E1292" t="s">
        <v>1666</v>
      </c>
      <c r="F1292" t="s">
        <v>1747</v>
      </c>
    </row>
    <row r="1293" spans="1:6" x14ac:dyDescent="0.25">
      <c r="A1293" t="str">
        <f>"1616031400"</f>
        <v>1616031400</v>
      </c>
      <c r="B1293" t="s">
        <v>1748</v>
      </c>
      <c r="C1293" t="s">
        <v>7</v>
      </c>
      <c r="D1293" t="s">
        <v>12</v>
      </c>
      <c r="E1293" t="s">
        <v>1666</v>
      </c>
      <c r="F1293" t="s">
        <v>1749</v>
      </c>
    </row>
    <row r="1294" spans="1:6" x14ac:dyDescent="0.25">
      <c r="A1294" t="str">
        <f>"1616031495"</f>
        <v>1616031495</v>
      </c>
      <c r="B1294" t="s">
        <v>1750</v>
      </c>
      <c r="C1294" t="s">
        <v>7</v>
      </c>
      <c r="D1294" t="s">
        <v>12</v>
      </c>
      <c r="E1294" t="s">
        <v>1666</v>
      </c>
      <c r="F1294" t="s">
        <v>1751</v>
      </c>
    </row>
    <row r="1295" spans="1:6" x14ac:dyDescent="0.25">
      <c r="A1295" t="str">
        <f>"1616033870"</f>
        <v>1616033870</v>
      </c>
      <c r="B1295" t="s">
        <v>1752</v>
      </c>
      <c r="C1295" t="s">
        <v>7</v>
      </c>
      <c r="D1295" t="s">
        <v>14</v>
      </c>
      <c r="E1295" t="s">
        <v>1666</v>
      </c>
      <c r="F1295" t="s">
        <v>1753</v>
      </c>
    </row>
    <row r="1296" spans="1:6" x14ac:dyDescent="0.25">
      <c r="A1296" t="str">
        <f>"161700057580"</f>
        <v>161700057580</v>
      </c>
      <c r="B1296" t="s">
        <v>1754</v>
      </c>
      <c r="C1296" t="s">
        <v>7</v>
      </c>
      <c r="D1296" t="s">
        <v>14</v>
      </c>
      <c r="E1296" t="s">
        <v>1666</v>
      </c>
    </row>
    <row r="1297" spans="1:6" x14ac:dyDescent="0.25">
      <c r="A1297" t="str">
        <f>"1617161017"</f>
        <v>1617161017</v>
      </c>
      <c r="B1297" t="s">
        <v>1755</v>
      </c>
      <c r="C1297" t="s">
        <v>7</v>
      </c>
      <c r="D1297" t="s">
        <v>14</v>
      </c>
      <c r="E1297" t="s">
        <v>1666</v>
      </c>
      <c r="F1297" t="s">
        <v>1756</v>
      </c>
    </row>
    <row r="1298" spans="1:6" x14ac:dyDescent="0.25">
      <c r="A1298" t="str">
        <f>"1621003310"</f>
        <v>1621003310</v>
      </c>
      <c r="B1298" t="s">
        <v>1757</v>
      </c>
      <c r="C1298" t="s">
        <v>7</v>
      </c>
      <c r="D1298" t="s">
        <v>14</v>
      </c>
      <c r="E1298" t="s">
        <v>1666</v>
      </c>
      <c r="F1298" t="s">
        <v>1758</v>
      </c>
    </row>
    <row r="1299" spans="1:6" x14ac:dyDescent="0.25">
      <c r="A1299" t="str">
        <f>"162612464081"</f>
        <v>162612464081</v>
      </c>
      <c r="B1299" t="s">
        <v>1759</v>
      </c>
      <c r="C1299" t="s">
        <v>7</v>
      </c>
      <c r="D1299" t="s">
        <v>14</v>
      </c>
      <c r="E1299" t="s">
        <v>1666</v>
      </c>
    </row>
    <row r="1300" spans="1:6" x14ac:dyDescent="0.25">
      <c r="A1300" t="str">
        <f>"162901311831"</f>
        <v>162901311831</v>
      </c>
      <c r="B1300" t="s">
        <v>1760</v>
      </c>
      <c r="C1300" t="s">
        <v>7</v>
      </c>
      <c r="D1300" t="s">
        <v>14</v>
      </c>
      <c r="E1300" t="s">
        <v>1666</v>
      </c>
    </row>
    <row r="1301" spans="1:6" x14ac:dyDescent="0.25">
      <c r="A1301" t="str">
        <f>"1634009380"</f>
        <v>1634009380</v>
      </c>
      <c r="B1301" t="s">
        <v>1761</v>
      </c>
      <c r="C1301" t="s">
        <v>7</v>
      </c>
      <c r="D1301" t="s">
        <v>33</v>
      </c>
      <c r="E1301" t="s">
        <v>1666</v>
      </c>
      <c r="F1301" t="s">
        <v>1762</v>
      </c>
    </row>
    <row r="1302" spans="1:6" x14ac:dyDescent="0.25">
      <c r="A1302" t="str">
        <f>"163500033970"</f>
        <v>163500033970</v>
      </c>
      <c r="B1302" t="s">
        <v>1763</v>
      </c>
      <c r="C1302" t="s">
        <v>7</v>
      </c>
      <c r="D1302" t="s">
        <v>14</v>
      </c>
      <c r="E1302" t="s">
        <v>1666</v>
      </c>
    </row>
    <row r="1303" spans="1:6" x14ac:dyDescent="0.25">
      <c r="A1303" t="str">
        <f>"163500623391"</f>
        <v>163500623391</v>
      </c>
      <c r="B1303" t="s">
        <v>1764</v>
      </c>
      <c r="C1303" t="s">
        <v>7</v>
      </c>
      <c r="D1303" t="s">
        <v>12</v>
      </c>
      <c r="E1303" t="s">
        <v>1666</v>
      </c>
    </row>
    <row r="1304" spans="1:6" x14ac:dyDescent="0.25">
      <c r="A1304" t="str">
        <f>"163600446033"</f>
        <v>163600446033</v>
      </c>
      <c r="B1304" t="s">
        <v>1765</v>
      </c>
      <c r="C1304" t="s">
        <v>7</v>
      </c>
      <c r="D1304" t="s">
        <v>14</v>
      </c>
      <c r="E1304" t="s">
        <v>1666</v>
      </c>
    </row>
    <row r="1305" spans="1:6" x14ac:dyDescent="0.25">
      <c r="A1305" t="str">
        <f>"163602380204"</f>
        <v>163602380204</v>
      </c>
      <c r="B1305" t="s">
        <v>1766</v>
      </c>
      <c r="C1305" t="s">
        <v>7</v>
      </c>
      <c r="D1305" t="s">
        <v>14</v>
      </c>
      <c r="E1305" t="s">
        <v>1666</v>
      </c>
    </row>
    <row r="1306" spans="1:6" x14ac:dyDescent="0.25">
      <c r="A1306" t="str">
        <f>"1639028805"</f>
        <v>1639028805</v>
      </c>
      <c r="B1306" t="s">
        <v>1767</v>
      </c>
      <c r="C1306" t="s">
        <v>7</v>
      </c>
      <c r="D1306" t="s">
        <v>14</v>
      </c>
      <c r="E1306" t="s">
        <v>1666</v>
      </c>
      <c r="F1306" t="s">
        <v>1768</v>
      </c>
    </row>
    <row r="1307" spans="1:6" x14ac:dyDescent="0.25">
      <c r="A1307" t="str">
        <f>"1639030843"</f>
        <v>1639030843</v>
      </c>
      <c r="B1307" t="s">
        <v>1769</v>
      </c>
      <c r="C1307" t="s">
        <v>7</v>
      </c>
      <c r="D1307" t="s">
        <v>12</v>
      </c>
      <c r="E1307" t="s">
        <v>1666</v>
      </c>
      <c r="F1307" t="s">
        <v>1770</v>
      </c>
    </row>
    <row r="1308" spans="1:6" x14ac:dyDescent="0.25">
      <c r="A1308" t="str">
        <f>"1639045085"</f>
        <v>1639045085</v>
      </c>
      <c r="B1308" t="s">
        <v>1771</v>
      </c>
      <c r="C1308" t="s">
        <v>7</v>
      </c>
      <c r="D1308" t="s">
        <v>14</v>
      </c>
      <c r="E1308" t="s">
        <v>1666</v>
      </c>
      <c r="F1308" t="s">
        <v>1772</v>
      </c>
    </row>
    <row r="1309" spans="1:6" x14ac:dyDescent="0.25">
      <c r="A1309" t="str">
        <f>"1639045991"</f>
        <v>1639045991</v>
      </c>
      <c r="B1309" t="s">
        <v>1773</v>
      </c>
      <c r="C1309" t="s">
        <v>7</v>
      </c>
      <c r="D1309" t="s">
        <v>12</v>
      </c>
      <c r="E1309" t="s">
        <v>1666</v>
      </c>
      <c r="F1309" t="s">
        <v>1774</v>
      </c>
    </row>
    <row r="1310" spans="1:6" x14ac:dyDescent="0.25">
      <c r="A1310" t="str">
        <f>"1639057316"</f>
        <v>1639057316</v>
      </c>
      <c r="B1310" t="s">
        <v>1775</v>
      </c>
      <c r="C1310" t="s">
        <v>7</v>
      </c>
      <c r="D1310" t="s">
        <v>12</v>
      </c>
      <c r="E1310" t="s">
        <v>1666</v>
      </c>
      <c r="F1310" t="s">
        <v>1776</v>
      </c>
    </row>
    <row r="1311" spans="1:6" x14ac:dyDescent="0.25">
      <c r="A1311" t="str">
        <f>"1639057330"</f>
        <v>1639057330</v>
      </c>
      <c r="B1311" t="s">
        <v>1777</v>
      </c>
      <c r="C1311" t="s">
        <v>7</v>
      </c>
      <c r="D1311" t="s">
        <v>12</v>
      </c>
      <c r="E1311" t="s">
        <v>1666</v>
      </c>
      <c r="F1311" t="s">
        <v>1778</v>
      </c>
    </row>
    <row r="1312" spans="1:6" x14ac:dyDescent="0.25">
      <c r="A1312" t="str">
        <f>"164303374691"</f>
        <v>164303374691</v>
      </c>
      <c r="B1312" t="s">
        <v>1779</v>
      </c>
      <c r="C1312" t="s">
        <v>7</v>
      </c>
      <c r="D1312" t="s">
        <v>14</v>
      </c>
      <c r="E1312" t="s">
        <v>1666</v>
      </c>
    </row>
    <row r="1313" spans="1:6" x14ac:dyDescent="0.25">
      <c r="A1313" t="str">
        <f>"862201240038"</f>
        <v>862201240038</v>
      </c>
      <c r="B1313" t="s">
        <v>1780</v>
      </c>
      <c r="C1313" t="s">
        <v>7</v>
      </c>
      <c r="D1313" t="s">
        <v>14</v>
      </c>
      <c r="E1313" t="s">
        <v>1666</v>
      </c>
    </row>
    <row r="1314" spans="1:6" x14ac:dyDescent="0.25">
      <c r="A1314" t="str">
        <f>"160402213240"</f>
        <v>160402213240</v>
      </c>
      <c r="B1314" t="s">
        <v>1781</v>
      </c>
      <c r="C1314" t="s">
        <v>7</v>
      </c>
      <c r="D1314" t="s">
        <v>14</v>
      </c>
      <c r="E1314" t="s">
        <v>1666</v>
      </c>
    </row>
    <row r="1315" spans="1:6" x14ac:dyDescent="0.25">
      <c r="A1315" t="str">
        <f>"160500008217"</f>
        <v>160500008217</v>
      </c>
      <c r="B1315" t="s">
        <v>1782</v>
      </c>
      <c r="C1315" t="s">
        <v>7</v>
      </c>
      <c r="D1315" t="s">
        <v>14</v>
      </c>
      <c r="E1315" t="s">
        <v>1666</v>
      </c>
    </row>
    <row r="1316" spans="1:6" x14ac:dyDescent="0.25">
      <c r="A1316" t="str">
        <f>"160500853992"</f>
        <v>160500853992</v>
      </c>
      <c r="B1316" t="s">
        <v>1783</v>
      </c>
      <c r="C1316" t="s">
        <v>7</v>
      </c>
      <c r="D1316" t="s">
        <v>14</v>
      </c>
      <c r="E1316" t="s">
        <v>1666</v>
      </c>
    </row>
    <row r="1317" spans="1:6" x14ac:dyDescent="0.25">
      <c r="A1317" t="str">
        <f>"160904695149"</f>
        <v>160904695149</v>
      </c>
      <c r="B1317" t="s">
        <v>1784</v>
      </c>
      <c r="C1317" t="s">
        <v>7</v>
      </c>
      <c r="D1317" t="s">
        <v>12</v>
      </c>
      <c r="E1317" t="s">
        <v>1666</v>
      </c>
    </row>
    <row r="1318" spans="1:6" x14ac:dyDescent="0.25">
      <c r="A1318" t="str">
        <f>"1610010241"</f>
        <v>1610010241</v>
      </c>
      <c r="B1318" t="s">
        <v>1785</v>
      </c>
      <c r="C1318" t="s">
        <v>7</v>
      </c>
      <c r="D1318" t="s">
        <v>14</v>
      </c>
      <c r="E1318" t="s">
        <v>1666</v>
      </c>
      <c r="F1318" t="s">
        <v>1786</v>
      </c>
    </row>
    <row r="1319" spans="1:6" x14ac:dyDescent="0.25">
      <c r="A1319" t="str">
        <f>"1611003818"</f>
        <v>1611003818</v>
      </c>
      <c r="B1319" t="s">
        <v>1787</v>
      </c>
      <c r="C1319" t="s">
        <v>7</v>
      </c>
      <c r="D1319" t="s">
        <v>14</v>
      </c>
      <c r="E1319" t="s">
        <v>1666</v>
      </c>
      <c r="F1319" t="s">
        <v>1788</v>
      </c>
    </row>
    <row r="1320" spans="1:6" x14ac:dyDescent="0.25">
      <c r="A1320" t="str">
        <f>"161202258397"</f>
        <v>161202258397</v>
      </c>
      <c r="B1320" t="s">
        <v>1789</v>
      </c>
      <c r="C1320" t="s">
        <v>7</v>
      </c>
      <c r="D1320" t="s">
        <v>14</v>
      </c>
      <c r="E1320" t="s">
        <v>1666</v>
      </c>
    </row>
    <row r="1321" spans="1:6" x14ac:dyDescent="0.25">
      <c r="A1321" t="str">
        <f>"161400017883"</f>
        <v>161400017883</v>
      </c>
      <c r="B1321" t="s">
        <v>1790</v>
      </c>
      <c r="C1321" t="s">
        <v>7</v>
      </c>
      <c r="D1321" t="s">
        <v>14</v>
      </c>
      <c r="E1321" t="s">
        <v>1666</v>
      </c>
    </row>
    <row r="1322" spans="1:6" x14ac:dyDescent="0.25">
      <c r="A1322" t="str">
        <f>"1616011428"</f>
        <v>1616011428</v>
      </c>
      <c r="B1322" t="s">
        <v>1791</v>
      </c>
      <c r="C1322" t="s">
        <v>7</v>
      </c>
      <c r="D1322" t="s">
        <v>12</v>
      </c>
      <c r="E1322" t="s">
        <v>1666</v>
      </c>
      <c r="F1322" t="s">
        <v>1792</v>
      </c>
    </row>
    <row r="1323" spans="1:6" x14ac:dyDescent="0.25">
      <c r="A1323" t="str">
        <f>"162000524834"</f>
        <v>162000524834</v>
      </c>
      <c r="B1323" t="s">
        <v>1793</v>
      </c>
      <c r="C1323" t="s">
        <v>7</v>
      </c>
      <c r="D1323" t="s">
        <v>14</v>
      </c>
      <c r="E1323" t="s">
        <v>1666</v>
      </c>
    </row>
    <row r="1324" spans="1:6" x14ac:dyDescent="0.25">
      <c r="A1324" t="str">
        <f>"162003548086"</f>
        <v>162003548086</v>
      </c>
      <c r="B1324" t="s">
        <v>1794</v>
      </c>
      <c r="C1324" t="s">
        <v>7</v>
      </c>
      <c r="D1324" t="s">
        <v>14</v>
      </c>
      <c r="E1324" t="s">
        <v>1666</v>
      </c>
    </row>
    <row r="1325" spans="1:6" x14ac:dyDescent="0.25">
      <c r="A1325" t="str">
        <f>"162305135014"</f>
        <v>162305135014</v>
      </c>
      <c r="B1325" t="s">
        <v>1795</v>
      </c>
      <c r="C1325" t="s">
        <v>7</v>
      </c>
      <c r="D1325" t="s">
        <v>14</v>
      </c>
      <c r="E1325" t="s">
        <v>1666</v>
      </c>
    </row>
    <row r="1326" spans="1:6" x14ac:dyDescent="0.25">
      <c r="A1326" t="str">
        <f>"1626007212"</f>
        <v>1626007212</v>
      </c>
      <c r="B1326" t="s">
        <v>1796</v>
      </c>
      <c r="C1326" t="s">
        <v>7</v>
      </c>
      <c r="D1326" t="s">
        <v>14</v>
      </c>
      <c r="E1326" t="s">
        <v>1666</v>
      </c>
      <c r="F1326" t="s">
        <v>1797</v>
      </c>
    </row>
    <row r="1327" spans="1:6" x14ac:dyDescent="0.25">
      <c r="A1327" t="str">
        <f>"162612573901"</f>
        <v>162612573901</v>
      </c>
      <c r="B1327" t="s">
        <v>1798</v>
      </c>
      <c r="C1327" t="s">
        <v>7</v>
      </c>
      <c r="D1327" t="s">
        <v>14</v>
      </c>
      <c r="E1327" t="s">
        <v>1666</v>
      </c>
    </row>
    <row r="1328" spans="1:6" x14ac:dyDescent="0.25">
      <c r="A1328" t="str">
        <f>"162612676093"</f>
        <v>162612676093</v>
      </c>
      <c r="B1328" t="s">
        <v>1799</v>
      </c>
      <c r="C1328" t="s">
        <v>7</v>
      </c>
      <c r="D1328" t="s">
        <v>14</v>
      </c>
      <c r="E1328" t="s">
        <v>1666</v>
      </c>
    </row>
    <row r="1329" spans="1:6" x14ac:dyDescent="0.25">
      <c r="A1329" t="str">
        <f>"162701366590"</f>
        <v>162701366590</v>
      </c>
      <c r="B1329" t="s">
        <v>1800</v>
      </c>
      <c r="C1329" t="s">
        <v>7</v>
      </c>
      <c r="D1329" t="s">
        <v>14</v>
      </c>
      <c r="E1329" t="s">
        <v>1666</v>
      </c>
    </row>
    <row r="1330" spans="1:6" x14ac:dyDescent="0.25">
      <c r="A1330" t="str">
        <f>"1628000340"</f>
        <v>1628000340</v>
      </c>
      <c r="B1330" t="s">
        <v>1801</v>
      </c>
      <c r="C1330" t="s">
        <v>7</v>
      </c>
      <c r="D1330" t="s">
        <v>14</v>
      </c>
      <c r="E1330" t="s">
        <v>1666</v>
      </c>
      <c r="F1330" t="s">
        <v>1802</v>
      </c>
    </row>
    <row r="1331" spans="1:6" x14ac:dyDescent="0.25">
      <c r="A1331" t="str">
        <f>"1628009590"</f>
        <v>1628009590</v>
      </c>
      <c r="B1331" t="s">
        <v>1803</v>
      </c>
      <c r="C1331" t="s">
        <v>7</v>
      </c>
      <c r="D1331" t="s">
        <v>14</v>
      </c>
      <c r="E1331" t="s">
        <v>1666</v>
      </c>
      <c r="F1331" t="s">
        <v>1804</v>
      </c>
    </row>
    <row r="1332" spans="1:6" x14ac:dyDescent="0.25">
      <c r="A1332" t="str">
        <f>"162901635096"</f>
        <v>162901635096</v>
      </c>
      <c r="B1332" t="s">
        <v>1805</v>
      </c>
      <c r="C1332" t="s">
        <v>7</v>
      </c>
      <c r="D1332" t="s">
        <v>14</v>
      </c>
      <c r="E1332" t="s">
        <v>1666</v>
      </c>
    </row>
    <row r="1333" spans="1:6" x14ac:dyDescent="0.25">
      <c r="A1333" t="str">
        <f>"163300007363"</f>
        <v>163300007363</v>
      </c>
      <c r="B1333" t="s">
        <v>1806</v>
      </c>
      <c r="C1333" t="s">
        <v>7</v>
      </c>
      <c r="D1333" t="s">
        <v>12</v>
      </c>
      <c r="E1333" t="s">
        <v>1666</v>
      </c>
    </row>
    <row r="1334" spans="1:6" x14ac:dyDescent="0.25">
      <c r="A1334" t="str">
        <f>"163300014586"</f>
        <v>163300014586</v>
      </c>
      <c r="B1334" t="s">
        <v>1807</v>
      </c>
      <c r="C1334" t="s">
        <v>7</v>
      </c>
      <c r="D1334" t="s">
        <v>14</v>
      </c>
      <c r="E1334" t="s">
        <v>1666</v>
      </c>
    </row>
    <row r="1335" spans="1:6" x14ac:dyDescent="0.25">
      <c r="A1335" t="str">
        <f>"1634008643"</f>
        <v>1634008643</v>
      </c>
      <c r="B1335" t="s">
        <v>1808</v>
      </c>
      <c r="C1335" t="s">
        <v>7</v>
      </c>
      <c r="D1335" t="s">
        <v>33</v>
      </c>
      <c r="E1335" t="s">
        <v>1666</v>
      </c>
      <c r="F1335" t="s">
        <v>1809</v>
      </c>
    </row>
    <row r="1336" spans="1:6" x14ac:dyDescent="0.25">
      <c r="A1336" t="str">
        <f>"163401415104"</f>
        <v>163401415104</v>
      </c>
      <c r="B1336" t="s">
        <v>1810</v>
      </c>
      <c r="C1336" t="s">
        <v>7</v>
      </c>
      <c r="D1336" t="s">
        <v>14</v>
      </c>
      <c r="E1336" t="s">
        <v>1666</v>
      </c>
    </row>
    <row r="1337" spans="1:6" x14ac:dyDescent="0.25">
      <c r="A1337" t="str">
        <f>"163501031447"</f>
        <v>163501031447</v>
      </c>
      <c r="B1337" t="s">
        <v>1811</v>
      </c>
      <c r="C1337" t="s">
        <v>7</v>
      </c>
      <c r="D1337" t="s">
        <v>14</v>
      </c>
      <c r="E1337" t="s">
        <v>1666</v>
      </c>
    </row>
    <row r="1338" spans="1:6" x14ac:dyDescent="0.25">
      <c r="A1338" t="str">
        <f>"1639011833"</f>
        <v>1639011833</v>
      </c>
      <c r="B1338" t="s">
        <v>1812</v>
      </c>
      <c r="C1338" t="s">
        <v>7</v>
      </c>
      <c r="D1338" t="s">
        <v>98</v>
      </c>
      <c r="E1338" t="s">
        <v>1666</v>
      </c>
      <c r="F1338" t="s">
        <v>1813</v>
      </c>
    </row>
    <row r="1339" spans="1:6" x14ac:dyDescent="0.25">
      <c r="A1339" t="str">
        <f>"1639043962"</f>
        <v>1639043962</v>
      </c>
      <c r="B1339" t="s">
        <v>1814</v>
      </c>
      <c r="C1339" t="s">
        <v>7</v>
      </c>
      <c r="D1339" t="s">
        <v>33</v>
      </c>
      <c r="E1339" t="s">
        <v>1666</v>
      </c>
      <c r="F1339" t="s">
        <v>1815</v>
      </c>
    </row>
    <row r="1340" spans="1:6" x14ac:dyDescent="0.25">
      <c r="A1340" t="str">
        <f>"1639047117"</f>
        <v>1639047117</v>
      </c>
      <c r="B1340" t="s">
        <v>1816</v>
      </c>
      <c r="C1340" t="s">
        <v>7</v>
      </c>
      <c r="D1340" t="s">
        <v>12</v>
      </c>
      <c r="E1340" t="s">
        <v>1666</v>
      </c>
      <c r="F1340" t="s">
        <v>1817</v>
      </c>
    </row>
    <row r="1341" spans="1:6" x14ac:dyDescent="0.25">
      <c r="A1341" t="str">
        <f>"1639047519"</f>
        <v>1639047519</v>
      </c>
      <c r="B1341" t="s">
        <v>1818</v>
      </c>
      <c r="C1341" t="s">
        <v>7</v>
      </c>
      <c r="D1341" t="s">
        <v>33</v>
      </c>
      <c r="E1341" t="s">
        <v>1666</v>
      </c>
      <c r="F1341" t="s">
        <v>1819</v>
      </c>
    </row>
    <row r="1342" spans="1:6" x14ac:dyDescent="0.25">
      <c r="A1342" t="str">
        <f>"1639049139"</f>
        <v>1639049139</v>
      </c>
      <c r="B1342" t="s">
        <v>1820</v>
      </c>
      <c r="C1342" t="s">
        <v>7</v>
      </c>
      <c r="D1342" t="s">
        <v>14</v>
      </c>
      <c r="E1342" t="s">
        <v>1666</v>
      </c>
      <c r="F1342" t="s">
        <v>1770</v>
      </c>
    </row>
    <row r="1343" spans="1:6" x14ac:dyDescent="0.25">
      <c r="A1343" t="str">
        <f>"1639049668"</f>
        <v>1639049668</v>
      </c>
      <c r="B1343" t="s">
        <v>1821</v>
      </c>
      <c r="C1343" t="s">
        <v>7</v>
      </c>
      <c r="D1343" t="s">
        <v>12</v>
      </c>
      <c r="E1343" t="s">
        <v>1666</v>
      </c>
      <c r="F1343" t="s">
        <v>1770</v>
      </c>
    </row>
    <row r="1344" spans="1:6" x14ac:dyDescent="0.25">
      <c r="A1344" t="str">
        <f>"164001106618"</f>
        <v>164001106618</v>
      </c>
      <c r="B1344" t="s">
        <v>1822</v>
      </c>
      <c r="C1344" t="s">
        <v>7</v>
      </c>
      <c r="D1344" t="s">
        <v>14</v>
      </c>
      <c r="E1344" t="s">
        <v>1666</v>
      </c>
    </row>
    <row r="1345" spans="1:6" x14ac:dyDescent="0.25">
      <c r="A1345" t="str">
        <f>"164301251905"</f>
        <v>164301251905</v>
      </c>
      <c r="B1345" t="s">
        <v>1823</v>
      </c>
      <c r="C1345" t="s">
        <v>7</v>
      </c>
      <c r="D1345" t="s">
        <v>14</v>
      </c>
      <c r="E1345" t="s">
        <v>1666</v>
      </c>
    </row>
    <row r="1346" spans="1:6" x14ac:dyDescent="0.25">
      <c r="A1346" t="str">
        <f>"164400004008"</f>
        <v>164400004008</v>
      </c>
      <c r="B1346" t="s">
        <v>1824</v>
      </c>
      <c r="C1346" t="s">
        <v>7</v>
      </c>
      <c r="D1346" t="s">
        <v>14</v>
      </c>
      <c r="E1346" t="s">
        <v>1666</v>
      </c>
    </row>
    <row r="1347" spans="1:6" x14ac:dyDescent="0.25">
      <c r="A1347" t="str">
        <f>"1644003838"</f>
        <v>1644003838</v>
      </c>
      <c r="B1347" t="s">
        <v>1825</v>
      </c>
      <c r="C1347" t="s">
        <v>7</v>
      </c>
      <c r="D1347" t="s">
        <v>463</v>
      </c>
      <c r="E1347" t="s">
        <v>1666</v>
      </c>
      <c r="F1347" t="s">
        <v>1826</v>
      </c>
    </row>
    <row r="1348" spans="1:6" x14ac:dyDescent="0.25">
      <c r="A1348" t="str">
        <f>"164400607912"</f>
        <v>164400607912</v>
      </c>
      <c r="B1348" t="s">
        <v>1827</v>
      </c>
      <c r="C1348" t="s">
        <v>7</v>
      </c>
      <c r="D1348" t="s">
        <v>14</v>
      </c>
      <c r="E1348" t="s">
        <v>1666</v>
      </c>
    </row>
    <row r="1349" spans="1:6" x14ac:dyDescent="0.25">
      <c r="A1349" t="str">
        <f>"1644025662"</f>
        <v>1644025662</v>
      </c>
      <c r="B1349" t="s">
        <v>1828</v>
      </c>
      <c r="C1349" t="s">
        <v>7</v>
      </c>
      <c r="D1349" t="s">
        <v>33</v>
      </c>
      <c r="E1349" t="s">
        <v>1666</v>
      </c>
      <c r="F1349" t="s">
        <v>1829</v>
      </c>
    </row>
    <row r="1350" spans="1:6" x14ac:dyDescent="0.25">
      <c r="A1350" t="str">
        <f>"1644065545"</f>
        <v>1644065545</v>
      </c>
      <c r="B1350" t="s">
        <v>1830</v>
      </c>
      <c r="C1350" t="s">
        <v>7</v>
      </c>
      <c r="D1350" t="s">
        <v>12</v>
      </c>
      <c r="E1350" t="s">
        <v>1666</v>
      </c>
      <c r="F1350" t="s">
        <v>1831</v>
      </c>
    </row>
    <row r="1351" spans="1:6" x14ac:dyDescent="0.25">
      <c r="A1351" t="str">
        <f>"1644096254"</f>
        <v>1644096254</v>
      </c>
      <c r="B1351" t="s">
        <v>1832</v>
      </c>
      <c r="C1351" t="s">
        <v>7</v>
      </c>
      <c r="D1351" t="s">
        <v>28</v>
      </c>
      <c r="E1351" t="s">
        <v>1666</v>
      </c>
      <c r="F1351" t="s">
        <v>1833</v>
      </c>
    </row>
    <row r="1352" spans="1:6" x14ac:dyDescent="0.25">
      <c r="A1352" t="str">
        <f>"1644097882"</f>
        <v>1644097882</v>
      </c>
      <c r="B1352" t="s">
        <v>1834</v>
      </c>
      <c r="C1352" t="s">
        <v>7</v>
      </c>
      <c r="D1352" t="s">
        <v>14</v>
      </c>
      <c r="E1352" t="s">
        <v>1666</v>
      </c>
      <c r="F1352" t="s">
        <v>1835</v>
      </c>
    </row>
    <row r="1353" spans="1:6" x14ac:dyDescent="0.25">
      <c r="A1353" t="str">
        <f>"1644101031"</f>
        <v>1644101031</v>
      </c>
      <c r="B1353" t="s">
        <v>1836</v>
      </c>
      <c r="C1353" t="s">
        <v>7</v>
      </c>
      <c r="D1353" t="s">
        <v>12</v>
      </c>
      <c r="E1353" t="s">
        <v>1666</v>
      </c>
      <c r="F1353" t="s">
        <v>1837</v>
      </c>
    </row>
    <row r="1354" spans="1:6" x14ac:dyDescent="0.25">
      <c r="A1354" t="str">
        <f>"1644102155"</f>
        <v>1644102155</v>
      </c>
      <c r="B1354" t="s">
        <v>1838</v>
      </c>
      <c r="C1354" t="s">
        <v>7</v>
      </c>
      <c r="D1354" t="s">
        <v>12</v>
      </c>
      <c r="E1354" t="s">
        <v>1666</v>
      </c>
      <c r="F1354" t="s">
        <v>1839</v>
      </c>
    </row>
    <row r="1355" spans="1:6" x14ac:dyDescent="0.25">
      <c r="A1355" t="str">
        <f>"1604007530"</f>
        <v>1604007530</v>
      </c>
      <c r="B1355" t="s">
        <v>1840</v>
      </c>
      <c r="C1355" t="s">
        <v>7</v>
      </c>
      <c r="D1355" t="s">
        <v>33</v>
      </c>
      <c r="E1355" t="s">
        <v>1666</v>
      </c>
      <c r="F1355" t="s">
        <v>1841</v>
      </c>
    </row>
    <row r="1356" spans="1:6" x14ac:dyDescent="0.25">
      <c r="A1356" t="str">
        <f>"160402219273"</f>
        <v>160402219273</v>
      </c>
      <c r="B1356" t="s">
        <v>1842</v>
      </c>
      <c r="C1356" t="s">
        <v>7</v>
      </c>
      <c r="D1356" t="s">
        <v>14</v>
      </c>
      <c r="E1356" t="s">
        <v>1666</v>
      </c>
    </row>
    <row r="1357" spans="1:6" x14ac:dyDescent="0.25">
      <c r="A1357" t="str">
        <f>"1606007165"</f>
        <v>1606007165</v>
      </c>
      <c r="B1357" t="s">
        <v>1843</v>
      </c>
      <c r="C1357" t="s">
        <v>7</v>
      </c>
      <c r="D1357" t="s">
        <v>586</v>
      </c>
      <c r="E1357" t="s">
        <v>1666</v>
      </c>
      <c r="F1357" t="s">
        <v>1844</v>
      </c>
    </row>
    <row r="1358" spans="1:6" x14ac:dyDescent="0.25">
      <c r="A1358" t="str">
        <f>"1608007509"</f>
        <v>1608007509</v>
      </c>
      <c r="B1358" t="s">
        <v>1845</v>
      </c>
      <c r="C1358" t="s">
        <v>7</v>
      </c>
      <c r="D1358" t="s">
        <v>14</v>
      </c>
      <c r="E1358" t="s">
        <v>1666</v>
      </c>
      <c r="F1358" t="s">
        <v>1846</v>
      </c>
    </row>
    <row r="1359" spans="1:6" x14ac:dyDescent="0.25">
      <c r="A1359" t="str">
        <f>"1609004204"</f>
        <v>1609004204</v>
      </c>
      <c r="B1359" t="s">
        <v>1847</v>
      </c>
      <c r="C1359" t="s">
        <v>7</v>
      </c>
      <c r="D1359" t="s">
        <v>14</v>
      </c>
      <c r="E1359" t="s">
        <v>1666</v>
      </c>
      <c r="F1359" t="s">
        <v>1848</v>
      </c>
    </row>
    <row r="1360" spans="1:6" x14ac:dyDescent="0.25">
      <c r="A1360" t="str">
        <f>"160902141392"</f>
        <v>160902141392</v>
      </c>
      <c r="B1360" t="s">
        <v>1849</v>
      </c>
      <c r="C1360" t="s">
        <v>7</v>
      </c>
      <c r="D1360" t="s">
        <v>14</v>
      </c>
      <c r="E1360" t="s">
        <v>1666</v>
      </c>
    </row>
    <row r="1361" spans="1:6" x14ac:dyDescent="0.25">
      <c r="A1361" t="str">
        <f>"161102877876"</f>
        <v>161102877876</v>
      </c>
      <c r="B1361" t="s">
        <v>1850</v>
      </c>
      <c r="C1361" t="s">
        <v>7</v>
      </c>
      <c r="D1361" t="s">
        <v>14</v>
      </c>
      <c r="E1361" t="s">
        <v>1666</v>
      </c>
    </row>
    <row r="1362" spans="1:6" x14ac:dyDescent="0.25">
      <c r="A1362" t="str">
        <f>"161200795460"</f>
        <v>161200795460</v>
      </c>
      <c r="B1362" t="s">
        <v>1851</v>
      </c>
      <c r="C1362" t="s">
        <v>7</v>
      </c>
      <c r="D1362" t="s">
        <v>14</v>
      </c>
      <c r="E1362" t="s">
        <v>1666</v>
      </c>
    </row>
    <row r="1363" spans="1:6" x14ac:dyDescent="0.25">
      <c r="A1363" t="str">
        <f>"1612010222"</f>
        <v>1612010222</v>
      </c>
      <c r="B1363" t="s">
        <v>1852</v>
      </c>
      <c r="C1363" t="s">
        <v>7</v>
      </c>
      <c r="D1363" t="s">
        <v>14</v>
      </c>
      <c r="E1363" t="s">
        <v>1666</v>
      </c>
      <c r="F1363" t="s">
        <v>1853</v>
      </c>
    </row>
    <row r="1364" spans="1:6" x14ac:dyDescent="0.25">
      <c r="A1364" t="str">
        <f>"161201154596"</f>
        <v>161201154596</v>
      </c>
      <c r="B1364" t="s">
        <v>1854</v>
      </c>
      <c r="C1364" t="s">
        <v>7</v>
      </c>
      <c r="D1364" t="s">
        <v>14</v>
      </c>
      <c r="E1364" t="s">
        <v>1666</v>
      </c>
    </row>
    <row r="1365" spans="1:6" x14ac:dyDescent="0.25">
      <c r="A1365" t="str">
        <f>"161601033155"</f>
        <v>161601033155</v>
      </c>
      <c r="B1365" t="s">
        <v>1855</v>
      </c>
      <c r="C1365" t="s">
        <v>7</v>
      </c>
      <c r="D1365" t="s">
        <v>33</v>
      </c>
      <c r="E1365" t="s">
        <v>1666</v>
      </c>
    </row>
    <row r="1366" spans="1:6" x14ac:dyDescent="0.25">
      <c r="A1366" t="str">
        <f>"1616030212"</f>
        <v>1616030212</v>
      </c>
      <c r="B1366" t="s">
        <v>1856</v>
      </c>
      <c r="C1366" t="s">
        <v>7</v>
      </c>
      <c r="D1366" t="s">
        <v>98</v>
      </c>
      <c r="E1366" t="s">
        <v>1666</v>
      </c>
      <c r="F1366" t="s">
        <v>1857</v>
      </c>
    </row>
    <row r="1367" spans="1:6" x14ac:dyDescent="0.25">
      <c r="A1367" t="str">
        <f>"1616032474"</f>
        <v>1616032474</v>
      </c>
      <c r="B1367" t="s">
        <v>1858</v>
      </c>
      <c r="C1367" t="s">
        <v>7</v>
      </c>
      <c r="D1367" t="s">
        <v>14</v>
      </c>
      <c r="E1367" t="s">
        <v>1666</v>
      </c>
      <c r="F1367" t="s">
        <v>1859</v>
      </c>
    </row>
    <row r="1368" spans="1:6" x14ac:dyDescent="0.25">
      <c r="A1368" t="str">
        <f>"161603440075"</f>
        <v>161603440075</v>
      </c>
      <c r="B1368" t="s">
        <v>1860</v>
      </c>
      <c r="C1368" t="s">
        <v>7</v>
      </c>
      <c r="D1368" t="s">
        <v>14</v>
      </c>
      <c r="E1368" t="s">
        <v>1666</v>
      </c>
    </row>
    <row r="1369" spans="1:6" x14ac:dyDescent="0.25">
      <c r="A1369" t="str">
        <f>"162101389726"</f>
        <v>162101389726</v>
      </c>
      <c r="B1369" t="s">
        <v>1861</v>
      </c>
      <c r="C1369" t="s">
        <v>7</v>
      </c>
      <c r="D1369" t="s">
        <v>14</v>
      </c>
      <c r="E1369" t="s">
        <v>1666</v>
      </c>
    </row>
    <row r="1370" spans="1:6" x14ac:dyDescent="0.25">
      <c r="A1370" t="str">
        <f>"162403773368"</f>
        <v>162403773368</v>
      </c>
      <c r="B1370" t="s">
        <v>1862</v>
      </c>
      <c r="C1370" t="s">
        <v>7</v>
      </c>
      <c r="D1370" t="s">
        <v>14</v>
      </c>
      <c r="E1370" t="s">
        <v>1666</v>
      </c>
    </row>
    <row r="1371" spans="1:6" x14ac:dyDescent="0.25">
      <c r="A1371" t="str">
        <f>"1626015284"</f>
        <v>1626015284</v>
      </c>
      <c r="B1371" t="s">
        <v>1863</v>
      </c>
      <c r="C1371" t="s">
        <v>7</v>
      </c>
      <c r="D1371" t="s">
        <v>12</v>
      </c>
      <c r="E1371" t="s">
        <v>1666</v>
      </c>
      <c r="F1371" t="s">
        <v>1864</v>
      </c>
    </row>
    <row r="1372" spans="1:6" x14ac:dyDescent="0.25">
      <c r="A1372" t="str">
        <f>"162613202106"</f>
        <v>162613202106</v>
      </c>
      <c r="B1372" t="s">
        <v>1865</v>
      </c>
      <c r="C1372" t="s">
        <v>7</v>
      </c>
      <c r="D1372" t="s">
        <v>14</v>
      </c>
      <c r="E1372" t="s">
        <v>1666</v>
      </c>
    </row>
    <row r="1373" spans="1:6" x14ac:dyDescent="0.25">
      <c r="A1373" t="str">
        <f>"1628005725"</f>
        <v>1628005725</v>
      </c>
      <c r="B1373" t="s">
        <v>1866</v>
      </c>
      <c r="C1373" t="s">
        <v>7</v>
      </c>
      <c r="D1373" t="s">
        <v>12</v>
      </c>
      <c r="E1373" t="s">
        <v>1666</v>
      </c>
      <c r="F1373" t="s">
        <v>1867</v>
      </c>
    </row>
    <row r="1374" spans="1:6" x14ac:dyDescent="0.25">
      <c r="A1374" t="str">
        <f>"162801095418"</f>
        <v>162801095418</v>
      </c>
      <c r="B1374" t="s">
        <v>1868</v>
      </c>
      <c r="C1374" t="s">
        <v>7</v>
      </c>
      <c r="D1374" t="s">
        <v>12</v>
      </c>
      <c r="E1374" t="s">
        <v>1666</v>
      </c>
    </row>
    <row r="1375" spans="1:6" x14ac:dyDescent="0.25">
      <c r="A1375" t="str">
        <f>"162801409689"</f>
        <v>162801409689</v>
      </c>
      <c r="B1375" t="s">
        <v>1869</v>
      </c>
      <c r="C1375" t="s">
        <v>7</v>
      </c>
      <c r="D1375" t="s">
        <v>14</v>
      </c>
      <c r="E1375" t="s">
        <v>1666</v>
      </c>
    </row>
    <row r="1376" spans="1:6" x14ac:dyDescent="0.25">
      <c r="A1376" t="str">
        <f>"162802926577"</f>
        <v>162802926577</v>
      </c>
      <c r="B1376" t="s">
        <v>1870</v>
      </c>
      <c r="C1376" t="s">
        <v>7</v>
      </c>
      <c r="D1376" t="s">
        <v>14</v>
      </c>
      <c r="E1376" t="s">
        <v>1666</v>
      </c>
    </row>
    <row r="1377" spans="1:6" x14ac:dyDescent="0.25">
      <c r="A1377" t="str">
        <f>"1632014955"</f>
        <v>1632014955</v>
      </c>
      <c r="B1377" t="s">
        <v>1871</v>
      </c>
      <c r="C1377" t="s">
        <v>7</v>
      </c>
      <c r="D1377" t="s">
        <v>14</v>
      </c>
      <c r="E1377" t="s">
        <v>1666</v>
      </c>
      <c r="F1377" t="s">
        <v>1872</v>
      </c>
    </row>
    <row r="1378" spans="1:6" x14ac:dyDescent="0.25">
      <c r="A1378" t="str">
        <f>"1633607429"</f>
        <v>1633607429</v>
      </c>
      <c r="B1378" t="s">
        <v>1873</v>
      </c>
      <c r="C1378" t="s">
        <v>7</v>
      </c>
      <c r="D1378" t="s">
        <v>12</v>
      </c>
      <c r="E1378" t="s">
        <v>1666</v>
      </c>
      <c r="F1378" t="s">
        <v>1874</v>
      </c>
    </row>
    <row r="1379" spans="1:6" x14ac:dyDescent="0.25">
      <c r="A1379" t="str">
        <f>"1635007307"</f>
        <v>1635007307</v>
      </c>
      <c r="B1379" t="s">
        <v>1875</v>
      </c>
      <c r="C1379" t="s">
        <v>7</v>
      </c>
      <c r="D1379" t="s">
        <v>12</v>
      </c>
      <c r="E1379" t="s">
        <v>1666</v>
      </c>
      <c r="F1379" t="s">
        <v>1876</v>
      </c>
    </row>
    <row r="1380" spans="1:6" x14ac:dyDescent="0.25">
      <c r="A1380" t="str">
        <f>"163502266681"</f>
        <v>163502266681</v>
      </c>
      <c r="B1380" t="s">
        <v>1877</v>
      </c>
      <c r="C1380" t="s">
        <v>7</v>
      </c>
      <c r="D1380" t="s">
        <v>12</v>
      </c>
      <c r="E1380" t="s">
        <v>1666</v>
      </c>
    </row>
    <row r="1381" spans="1:6" x14ac:dyDescent="0.25">
      <c r="A1381" t="str">
        <f>"163701411301"</f>
        <v>163701411301</v>
      </c>
      <c r="B1381" t="s">
        <v>1878</v>
      </c>
      <c r="C1381" t="s">
        <v>7</v>
      </c>
      <c r="D1381" t="s">
        <v>14</v>
      </c>
      <c r="E1381" t="s">
        <v>1666</v>
      </c>
    </row>
    <row r="1382" spans="1:6" x14ac:dyDescent="0.25">
      <c r="A1382" t="str">
        <f>"163701549405"</f>
        <v>163701549405</v>
      </c>
      <c r="B1382" t="s">
        <v>1879</v>
      </c>
      <c r="C1382" t="s">
        <v>7</v>
      </c>
      <c r="D1382" t="s">
        <v>14</v>
      </c>
      <c r="E1382" t="s">
        <v>1666</v>
      </c>
    </row>
    <row r="1383" spans="1:6" x14ac:dyDescent="0.25">
      <c r="A1383" t="str">
        <f>"1639046064"</f>
        <v>1639046064</v>
      </c>
      <c r="B1383" t="s">
        <v>1880</v>
      </c>
      <c r="C1383" t="s">
        <v>7</v>
      </c>
      <c r="D1383" t="s">
        <v>12</v>
      </c>
      <c r="E1383" t="s">
        <v>1666</v>
      </c>
      <c r="F1383" t="s">
        <v>1881</v>
      </c>
    </row>
    <row r="1384" spans="1:6" x14ac:dyDescent="0.25">
      <c r="A1384" t="str">
        <f>"1639057637"</f>
        <v>1639057637</v>
      </c>
      <c r="B1384" t="s">
        <v>1882</v>
      </c>
      <c r="C1384" t="s">
        <v>7</v>
      </c>
      <c r="D1384" t="s">
        <v>12</v>
      </c>
      <c r="E1384" t="s">
        <v>1666</v>
      </c>
      <c r="F1384" t="s">
        <v>1883</v>
      </c>
    </row>
    <row r="1385" spans="1:6" x14ac:dyDescent="0.25">
      <c r="A1385" t="str">
        <f>"1639058327"</f>
        <v>1639058327</v>
      </c>
      <c r="B1385" t="s">
        <v>1884</v>
      </c>
      <c r="C1385" t="s">
        <v>7</v>
      </c>
      <c r="D1385" t="s">
        <v>33</v>
      </c>
      <c r="E1385" t="s">
        <v>1666</v>
      </c>
      <c r="F1385" t="s">
        <v>1885</v>
      </c>
    </row>
    <row r="1386" spans="1:6" x14ac:dyDescent="0.25">
      <c r="A1386" t="str">
        <f>"1639060260"</f>
        <v>1639060260</v>
      </c>
      <c r="B1386" t="s">
        <v>1886</v>
      </c>
      <c r="C1386" t="s">
        <v>7</v>
      </c>
      <c r="D1386" t="s">
        <v>12</v>
      </c>
      <c r="E1386" t="s">
        <v>1666</v>
      </c>
      <c r="F1386" t="s">
        <v>1887</v>
      </c>
    </row>
    <row r="1387" spans="1:6" x14ac:dyDescent="0.25">
      <c r="A1387" t="str">
        <f>"1644026465"</f>
        <v>1644026465</v>
      </c>
      <c r="B1387" t="s">
        <v>1580</v>
      </c>
      <c r="C1387" t="s">
        <v>7</v>
      </c>
      <c r="D1387" t="s">
        <v>33</v>
      </c>
      <c r="E1387" t="s">
        <v>1666</v>
      </c>
      <c r="F1387" t="s">
        <v>1888</v>
      </c>
    </row>
    <row r="1388" spans="1:6" x14ac:dyDescent="0.25">
      <c r="A1388" t="str">
        <f>"1644028078"</f>
        <v>1644028078</v>
      </c>
      <c r="B1388" t="s">
        <v>1889</v>
      </c>
      <c r="C1388" t="s">
        <v>7</v>
      </c>
      <c r="D1388" t="s">
        <v>14</v>
      </c>
      <c r="E1388" t="s">
        <v>1666</v>
      </c>
      <c r="F1388" t="s">
        <v>1890</v>
      </c>
    </row>
    <row r="1389" spans="1:6" x14ac:dyDescent="0.25">
      <c r="A1389" t="str">
        <f>"1644040188"</f>
        <v>1644040188</v>
      </c>
      <c r="B1389" t="s">
        <v>1891</v>
      </c>
      <c r="C1389" t="s">
        <v>7</v>
      </c>
      <c r="D1389" t="s">
        <v>33</v>
      </c>
      <c r="E1389" t="s">
        <v>1666</v>
      </c>
      <c r="F1389" t="s">
        <v>1892</v>
      </c>
    </row>
    <row r="1390" spans="1:6" x14ac:dyDescent="0.25">
      <c r="A1390" t="str">
        <f>"1644040195"</f>
        <v>1644040195</v>
      </c>
      <c r="B1390" t="s">
        <v>1893</v>
      </c>
      <c r="C1390" t="s">
        <v>7</v>
      </c>
      <c r="D1390" t="s">
        <v>14</v>
      </c>
      <c r="E1390" t="s">
        <v>1666</v>
      </c>
      <c r="F1390" t="s">
        <v>1894</v>
      </c>
    </row>
    <row r="1391" spans="1:6" x14ac:dyDescent="0.25">
      <c r="A1391" t="str">
        <f>"164405441820"</f>
        <v>164405441820</v>
      </c>
      <c r="B1391" t="s">
        <v>1895</v>
      </c>
      <c r="C1391" t="s">
        <v>7</v>
      </c>
      <c r="D1391" t="s">
        <v>14</v>
      </c>
      <c r="E1391" t="s">
        <v>1666</v>
      </c>
    </row>
    <row r="1392" spans="1:6" x14ac:dyDescent="0.25">
      <c r="A1392" t="str">
        <f>"1644062801"</f>
        <v>1644062801</v>
      </c>
      <c r="B1392" t="s">
        <v>1896</v>
      </c>
      <c r="C1392" t="s">
        <v>7</v>
      </c>
      <c r="D1392" t="s">
        <v>12</v>
      </c>
      <c r="E1392" t="s">
        <v>1666</v>
      </c>
      <c r="F1392" t="s">
        <v>1897</v>
      </c>
    </row>
    <row r="1393" spans="1:6" x14ac:dyDescent="0.25">
      <c r="A1393" t="str">
        <f>"1644042442"</f>
        <v>1644042442</v>
      </c>
      <c r="B1393" t="s">
        <v>1898</v>
      </c>
      <c r="C1393" t="s">
        <v>7</v>
      </c>
      <c r="D1393" t="s">
        <v>12</v>
      </c>
      <c r="E1393" t="s">
        <v>1666</v>
      </c>
      <c r="F1393" t="s">
        <v>1899</v>
      </c>
    </row>
    <row r="1394" spans="1:6" x14ac:dyDescent="0.25">
      <c r="A1394" t="str">
        <f>"1644094271"</f>
        <v>1644094271</v>
      </c>
      <c r="B1394" t="s">
        <v>1900</v>
      </c>
      <c r="C1394" t="s">
        <v>7</v>
      </c>
      <c r="D1394" t="s">
        <v>14</v>
      </c>
      <c r="E1394" t="s">
        <v>1666</v>
      </c>
      <c r="F1394" t="s">
        <v>1901</v>
      </c>
    </row>
    <row r="1395" spans="1:6" x14ac:dyDescent="0.25">
      <c r="A1395" t="str">
        <f>"1644097106"</f>
        <v>1644097106</v>
      </c>
      <c r="B1395" t="s">
        <v>1902</v>
      </c>
      <c r="C1395" t="s">
        <v>7</v>
      </c>
      <c r="D1395" t="s">
        <v>33</v>
      </c>
      <c r="E1395" t="s">
        <v>1666</v>
      </c>
      <c r="F1395" t="s">
        <v>1903</v>
      </c>
    </row>
    <row r="1396" spans="1:6" x14ac:dyDescent="0.25">
      <c r="A1396" t="str">
        <f>"1644107788"</f>
        <v>1644107788</v>
      </c>
      <c r="B1396" t="s">
        <v>1904</v>
      </c>
      <c r="C1396" t="s">
        <v>7</v>
      </c>
      <c r="D1396" t="s">
        <v>14</v>
      </c>
      <c r="E1396" t="s">
        <v>1666</v>
      </c>
      <c r="F1396" t="s">
        <v>1905</v>
      </c>
    </row>
    <row r="1397" spans="1:6" x14ac:dyDescent="0.25">
      <c r="A1397" t="str">
        <f>"1644108693"</f>
        <v>1644108693</v>
      </c>
      <c r="B1397" t="s">
        <v>1906</v>
      </c>
      <c r="C1397" t="s">
        <v>7</v>
      </c>
      <c r="D1397" t="s">
        <v>33</v>
      </c>
      <c r="E1397" t="s">
        <v>1666</v>
      </c>
      <c r="F1397" t="s">
        <v>1903</v>
      </c>
    </row>
    <row r="1398" spans="1:6" x14ac:dyDescent="0.25">
      <c r="A1398" t="str">
        <f>"164412656400"</f>
        <v>164412656400</v>
      </c>
      <c r="B1398" t="s">
        <v>1907</v>
      </c>
      <c r="C1398" t="s">
        <v>7</v>
      </c>
      <c r="D1398" t="s">
        <v>12</v>
      </c>
      <c r="E1398" t="s">
        <v>1666</v>
      </c>
    </row>
    <row r="1399" spans="1:6" x14ac:dyDescent="0.25">
      <c r="A1399" t="str">
        <f>"164412962534"</f>
        <v>164412962534</v>
      </c>
      <c r="B1399" t="s">
        <v>1908</v>
      </c>
      <c r="C1399" t="s">
        <v>7</v>
      </c>
      <c r="D1399" t="s">
        <v>14</v>
      </c>
      <c r="E1399" t="s">
        <v>1666</v>
      </c>
    </row>
    <row r="1400" spans="1:6" x14ac:dyDescent="0.25">
      <c r="A1400" t="str">
        <f>"164444819135"</f>
        <v>164444819135</v>
      </c>
      <c r="B1400" t="s">
        <v>1909</v>
      </c>
      <c r="C1400" t="s">
        <v>7</v>
      </c>
      <c r="D1400" t="s">
        <v>12</v>
      </c>
      <c r="E1400" t="s">
        <v>1666</v>
      </c>
    </row>
    <row r="1401" spans="1:6" x14ac:dyDescent="0.25">
      <c r="A1401" t="str">
        <f>"164492621047"</f>
        <v>164492621047</v>
      </c>
      <c r="B1401" t="s">
        <v>1910</v>
      </c>
      <c r="C1401" t="s">
        <v>7</v>
      </c>
      <c r="D1401" t="s">
        <v>14</v>
      </c>
      <c r="E1401" t="s">
        <v>1666</v>
      </c>
    </row>
    <row r="1402" spans="1:6" x14ac:dyDescent="0.25">
      <c r="A1402" t="str">
        <f>"1645028426"</f>
        <v>1645028426</v>
      </c>
      <c r="B1402" t="s">
        <v>1911</v>
      </c>
      <c r="C1402" t="s">
        <v>7</v>
      </c>
      <c r="D1402" t="s">
        <v>98</v>
      </c>
      <c r="E1402" t="s">
        <v>1666</v>
      </c>
      <c r="F1402" t="s">
        <v>1912</v>
      </c>
    </row>
    <row r="1403" spans="1:6" x14ac:dyDescent="0.25">
      <c r="A1403" t="str">
        <f>"164507986205"</f>
        <v>164507986205</v>
      </c>
      <c r="B1403" t="s">
        <v>1913</v>
      </c>
      <c r="C1403" t="s">
        <v>7</v>
      </c>
      <c r="D1403" t="s">
        <v>8</v>
      </c>
      <c r="E1403" t="s">
        <v>1666</v>
      </c>
    </row>
    <row r="1404" spans="1:6" x14ac:dyDescent="0.25">
      <c r="A1404" t="str">
        <f>"164509228775"</f>
        <v>164509228775</v>
      </c>
      <c r="B1404" t="s">
        <v>1914</v>
      </c>
      <c r="C1404" t="s">
        <v>7</v>
      </c>
      <c r="D1404" t="s">
        <v>14</v>
      </c>
      <c r="E1404" t="s">
        <v>1666</v>
      </c>
    </row>
    <row r="1405" spans="1:6" x14ac:dyDescent="0.25">
      <c r="A1405" t="str">
        <f>"164509319528"</f>
        <v>164509319528</v>
      </c>
      <c r="B1405" t="s">
        <v>1915</v>
      </c>
      <c r="C1405" t="s">
        <v>7</v>
      </c>
      <c r="D1405" t="s">
        <v>14</v>
      </c>
      <c r="E1405" t="s">
        <v>1666</v>
      </c>
    </row>
    <row r="1406" spans="1:6" x14ac:dyDescent="0.25">
      <c r="A1406" t="str">
        <f>"164510669005"</f>
        <v>164510669005</v>
      </c>
      <c r="B1406" t="s">
        <v>1916</v>
      </c>
      <c r="C1406" t="s">
        <v>7</v>
      </c>
      <c r="D1406" t="s">
        <v>14</v>
      </c>
      <c r="E1406" t="s">
        <v>1666</v>
      </c>
    </row>
    <row r="1407" spans="1:6" x14ac:dyDescent="0.25">
      <c r="A1407" t="str">
        <f>"164511896843"</f>
        <v>164511896843</v>
      </c>
      <c r="B1407" t="s">
        <v>1917</v>
      </c>
      <c r="C1407" t="s">
        <v>7</v>
      </c>
      <c r="D1407" t="s">
        <v>14</v>
      </c>
      <c r="E1407" t="s">
        <v>1666</v>
      </c>
    </row>
    <row r="1408" spans="1:6" x14ac:dyDescent="0.25">
      <c r="A1408" t="str">
        <f>"164514247614"</f>
        <v>164514247614</v>
      </c>
      <c r="B1408" t="s">
        <v>1918</v>
      </c>
      <c r="C1408" t="s">
        <v>7</v>
      </c>
      <c r="D1408" t="s">
        <v>14</v>
      </c>
      <c r="E1408" t="s">
        <v>1666</v>
      </c>
    </row>
    <row r="1409" spans="1:6" x14ac:dyDescent="0.25">
      <c r="A1409" t="str">
        <f>"1646040970"</f>
        <v>1646040970</v>
      </c>
      <c r="B1409" t="s">
        <v>1919</v>
      </c>
      <c r="C1409" t="s">
        <v>7</v>
      </c>
      <c r="D1409" t="s">
        <v>14</v>
      </c>
      <c r="E1409" t="s">
        <v>1666</v>
      </c>
      <c r="F1409" t="s">
        <v>1920</v>
      </c>
    </row>
    <row r="1410" spans="1:6" x14ac:dyDescent="0.25">
      <c r="A1410" t="str">
        <f>"164605897602"</f>
        <v>164605897602</v>
      </c>
      <c r="B1410" t="s">
        <v>1921</v>
      </c>
      <c r="C1410" t="s">
        <v>7</v>
      </c>
      <c r="D1410" t="s">
        <v>14</v>
      </c>
      <c r="E1410" t="s">
        <v>1666</v>
      </c>
    </row>
    <row r="1411" spans="1:6" x14ac:dyDescent="0.25">
      <c r="A1411" t="str">
        <f>"164803203197"</f>
        <v>164803203197</v>
      </c>
      <c r="B1411" t="s">
        <v>1922</v>
      </c>
      <c r="C1411" t="s">
        <v>7</v>
      </c>
      <c r="D1411" t="s">
        <v>14</v>
      </c>
      <c r="E1411" t="s">
        <v>1666</v>
      </c>
    </row>
    <row r="1412" spans="1:6" x14ac:dyDescent="0.25">
      <c r="A1412" t="str">
        <f>"1648054022"</f>
        <v>1648054022</v>
      </c>
      <c r="B1412" t="s">
        <v>1923</v>
      </c>
      <c r="C1412" t="s">
        <v>7</v>
      </c>
      <c r="D1412" t="s">
        <v>14</v>
      </c>
      <c r="E1412" t="s">
        <v>1666</v>
      </c>
      <c r="F1412" t="s">
        <v>1924</v>
      </c>
    </row>
    <row r="1413" spans="1:6" x14ac:dyDescent="0.25">
      <c r="A1413" t="str">
        <f>"164809668181"</f>
        <v>164809668181</v>
      </c>
      <c r="B1413" t="s">
        <v>1925</v>
      </c>
      <c r="C1413" t="s">
        <v>7</v>
      </c>
      <c r="D1413" t="s">
        <v>12</v>
      </c>
      <c r="E1413" t="s">
        <v>1666</v>
      </c>
    </row>
    <row r="1414" spans="1:6" x14ac:dyDescent="0.25">
      <c r="A1414" t="str">
        <f>"164810328285"</f>
        <v>164810328285</v>
      </c>
      <c r="B1414" t="s">
        <v>1926</v>
      </c>
      <c r="C1414" t="s">
        <v>7</v>
      </c>
      <c r="D1414" t="s">
        <v>14</v>
      </c>
      <c r="E1414" t="s">
        <v>1666</v>
      </c>
    </row>
    <row r="1415" spans="1:6" x14ac:dyDescent="0.25">
      <c r="A1415" t="str">
        <f>"164900414274"</f>
        <v>164900414274</v>
      </c>
      <c r="B1415" t="s">
        <v>1927</v>
      </c>
      <c r="C1415" t="s">
        <v>7</v>
      </c>
      <c r="D1415" t="s">
        <v>14</v>
      </c>
      <c r="E1415" t="s">
        <v>1666</v>
      </c>
    </row>
    <row r="1416" spans="1:6" x14ac:dyDescent="0.25">
      <c r="A1416" t="str">
        <f>"1649022182"</f>
        <v>1649022182</v>
      </c>
      <c r="B1416" t="s">
        <v>1928</v>
      </c>
      <c r="C1416" t="s">
        <v>7</v>
      </c>
      <c r="D1416" t="s">
        <v>14</v>
      </c>
      <c r="E1416" t="s">
        <v>1666</v>
      </c>
      <c r="F1416" t="s">
        <v>1929</v>
      </c>
    </row>
    <row r="1417" spans="1:6" x14ac:dyDescent="0.25">
      <c r="A1417" t="str">
        <f>"165000250321"</f>
        <v>165000250321</v>
      </c>
      <c r="B1417" t="s">
        <v>1930</v>
      </c>
      <c r="C1417" t="s">
        <v>7</v>
      </c>
      <c r="D1417" t="s">
        <v>12</v>
      </c>
      <c r="E1417" t="s">
        <v>1666</v>
      </c>
    </row>
    <row r="1418" spans="1:6" x14ac:dyDescent="0.25">
      <c r="A1418" t="str">
        <f>"165001915900"</f>
        <v>165001915900</v>
      </c>
      <c r="B1418" t="s">
        <v>1931</v>
      </c>
      <c r="C1418" t="s">
        <v>7</v>
      </c>
      <c r="D1418" t="s">
        <v>14</v>
      </c>
      <c r="E1418" t="s">
        <v>1666</v>
      </c>
    </row>
    <row r="1419" spans="1:6" x14ac:dyDescent="0.25">
      <c r="A1419" t="str">
        <f>"165003124533"</f>
        <v>165003124533</v>
      </c>
      <c r="B1419" t="s">
        <v>1932</v>
      </c>
      <c r="C1419" t="s">
        <v>7</v>
      </c>
      <c r="D1419" t="s">
        <v>14</v>
      </c>
      <c r="E1419" t="s">
        <v>1666</v>
      </c>
    </row>
    <row r="1420" spans="1:6" x14ac:dyDescent="0.25">
      <c r="A1420" t="str">
        <f>"165003262558"</f>
        <v>165003262558</v>
      </c>
      <c r="B1420" t="s">
        <v>1933</v>
      </c>
      <c r="C1420" t="s">
        <v>7</v>
      </c>
      <c r="D1420" t="s">
        <v>12</v>
      </c>
      <c r="E1420" t="s">
        <v>1666</v>
      </c>
    </row>
    <row r="1421" spans="1:6" x14ac:dyDescent="0.25">
      <c r="A1421" t="str">
        <f>"165003572782"</f>
        <v>165003572782</v>
      </c>
      <c r="B1421" t="s">
        <v>1934</v>
      </c>
      <c r="C1421" t="s">
        <v>7</v>
      </c>
      <c r="D1421" t="s">
        <v>14</v>
      </c>
      <c r="E1421" t="s">
        <v>1666</v>
      </c>
    </row>
    <row r="1422" spans="1:6" x14ac:dyDescent="0.25">
      <c r="A1422" t="str">
        <f>"1650061884"</f>
        <v>1650061884</v>
      </c>
      <c r="B1422" t="s">
        <v>1935</v>
      </c>
      <c r="C1422" t="s">
        <v>7</v>
      </c>
      <c r="D1422" t="s">
        <v>12</v>
      </c>
      <c r="E1422" t="s">
        <v>1666</v>
      </c>
      <c r="F1422" t="s">
        <v>1936</v>
      </c>
    </row>
    <row r="1423" spans="1:6" x14ac:dyDescent="0.25">
      <c r="A1423" t="str">
        <f>"1650083574"</f>
        <v>1650083574</v>
      </c>
      <c r="B1423" t="s">
        <v>1937</v>
      </c>
      <c r="C1423" t="s">
        <v>7</v>
      </c>
      <c r="D1423" t="s">
        <v>98</v>
      </c>
      <c r="E1423" t="s">
        <v>1666</v>
      </c>
      <c r="F1423" t="s">
        <v>1938</v>
      </c>
    </row>
    <row r="1424" spans="1:6" x14ac:dyDescent="0.25">
      <c r="A1424" t="str">
        <f>"165018932251"</f>
        <v>165018932251</v>
      </c>
      <c r="B1424" t="s">
        <v>1939</v>
      </c>
      <c r="C1424" t="s">
        <v>7</v>
      </c>
      <c r="D1424" t="s">
        <v>674</v>
      </c>
      <c r="E1424" t="s">
        <v>1666</v>
      </c>
    </row>
    <row r="1425" spans="1:6" x14ac:dyDescent="0.25">
      <c r="A1425" t="str">
        <f>"1650215862"</f>
        <v>1650215862</v>
      </c>
      <c r="B1425" t="s">
        <v>1940</v>
      </c>
      <c r="C1425" t="s">
        <v>7</v>
      </c>
      <c r="D1425" t="s">
        <v>33</v>
      </c>
      <c r="E1425" t="s">
        <v>1666</v>
      </c>
      <c r="F1425" t="s">
        <v>1941</v>
      </c>
    </row>
    <row r="1426" spans="1:6" x14ac:dyDescent="0.25">
      <c r="A1426" t="str">
        <f>"165026902998"</f>
        <v>165026902998</v>
      </c>
      <c r="B1426" t="s">
        <v>1942</v>
      </c>
      <c r="C1426" t="s">
        <v>7</v>
      </c>
      <c r="D1426" t="s">
        <v>14</v>
      </c>
      <c r="E1426" t="s">
        <v>1666</v>
      </c>
    </row>
    <row r="1427" spans="1:6" x14ac:dyDescent="0.25">
      <c r="A1427" t="str">
        <f>"165027706996"</f>
        <v>165027706996</v>
      </c>
      <c r="B1427" t="s">
        <v>1943</v>
      </c>
      <c r="C1427" t="s">
        <v>7</v>
      </c>
      <c r="D1427" t="s">
        <v>14</v>
      </c>
      <c r="E1427" t="s">
        <v>1666</v>
      </c>
    </row>
    <row r="1428" spans="1:6" x14ac:dyDescent="0.25">
      <c r="A1428" t="str">
        <f>"1650340398"</f>
        <v>1650340398</v>
      </c>
      <c r="B1428" t="s">
        <v>1944</v>
      </c>
      <c r="C1428" t="s">
        <v>7</v>
      </c>
      <c r="D1428" t="s">
        <v>14</v>
      </c>
      <c r="E1428" t="s">
        <v>1666</v>
      </c>
      <c r="F1428" t="s">
        <v>1945</v>
      </c>
    </row>
    <row r="1429" spans="1:6" x14ac:dyDescent="0.25">
      <c r="A1429" t="str">
        <f>"165036771310"</f>
        <v>165036771310</v>
      </c>
      <c r="B1429" t="s">
        <v>1946</v>
      </c>
      <c r="C1429" t="s">
        <v>7</v>
      </c>
      <c r="D1429" t="s">
        <v>14</v>
      </c>
      <c r="E1429" t="s">
        <v>1666</v>
      </c>
    </row>
    <row r="1430" spans="1:6" x14ac:dyDescent="0.25">
      <c r="A1430" t="str">
        <f>"165037067386"</f>
        <v>165037067386</v>
      </c>
      <c r="B1430" t="s">
        <v>1947</v>
      </c>
      <c r="C1430" t="s">
        <v>7</v>
      </c>
      <c r="D1430" t="s">
        <v>12</v>
      </c>
      <c r="E1430" t="s">
        <v>1666</v>
      </c>
    </row>
    <row r="1431" spans="1:6" x14ac:dyDescent="0.25">
      <c r="A1431" t="str">
        <f>"1650390293"</f>
        <v>1650390293</v>
      </c>
      <c r="B1431" t="s">
        <v>1948</v>
      </c>
      <c r="C1431" t="s">
        <v>7</v>
      </c>
      <c r="D1431" t="s">
        <v>33</v>
      </c>
      <c r="E1431" t="s">
        <v>1666</v>
      </c>
      <c r="F1431" t="s">
        <v>1949</v>
      </c>
    </row>
    <row r="1432" spans="1:6" x14ac:dyDescent="0.25">
      <c r="A1432" t="str">
        <f>"1650396471"</f>
        <v>1650396471</v>
      </c>
      <c r="B1432" t="s">
        <v>1950</v>
      </c>
      <c r="C1432" t="s">
        <v>7</v>
      </c>
      <c r="D1432" t="s">
        <v>33</v>
      </c>
      <c r="E1432" t="s">
        <v>1666</v>
      </c>
      <c r="F1432" t="s">
        <v>1951</v>
      </c>
    </row>
    <row r="1433" spans="1:6" x14ac:dyDescent="0.25">
      <c r="A1433" t="str">
        <f>"1650396993"</f>
        <v>1650396993</v>
      </c>
      <c r="B1433" t="s">
        <v>1952</v>
      </c>
      <c r="C1433" t="s">
        <v>7</v>
      </c>
      <c r="D1433" t="s">
        <v>12</v>
      </c>
      <c r="E1433" t="s">
        <v>1666</v>
      </c>
      <c r="F1433" t="s">
        <v>1953</v>
      </c>
    </row>
    <row r="1434" spans="1:6" x14ac:dyDescent="0.25">
      <c r="A1434" t="str">
        <f>"1650404475"</f>
        <v>1650404475</v>
      </c>
      <c r="B1434" t="s">
        <v>1954</v>
      </c>
      <c r="C1434" t="s">
        <v>7</v>
      </c>
      <c r="D1434" t="s">
        <v>33</v>
      </c>
      <c r="E1434" t="s">
        <v>1666</v>
      </c>
      <c r="F1434" t="s">
        <v>1955</v>
      </c>
    </row>
    <row r="1435" spans="1:6" x14ac:dyDescent="0.25">
      <c r="A1435" t="str">
        <f>"165040468518"</f>
        <v>165040468518</v>
      </c>
      <c r="B1435" t="s">
        <v>1956</v>
      </c>
      <c r="C1435" t="s">
        <v>7</v>
      </c>
      <c r="D1435" t="s">
        <v>12</v>
      </c>
      <c r="E1435" t="s">
        <v>1666</v>
      </c>
    </row>
    <row r="1436" spans="1:6" x14ac:dyDescent="0.25">
      <c r="A1436" t="str">
        <f>"1650413198"</f>
        <v>1650413198</v>
      </c>
      <c r="B1436" t="s">
        <v>1957</v>
      </c>
      <c r="C1436" t="s">
        <v>7</v>
      </c>
      <c r="D1436" t="s">
        <v>33</v>
      </c>
      <c r="E1436" t="s">
        <v>1666</v>
      </c>
      <c r="F1436" t="s">
        <v>1958</v>
      </c>
    </row>
    <row r="1437" spans="1:6" x14ac:dyDescent="0.25">
      <c r="A1437" t="str">
        <f>"1650417202"</f>
        <v>1650417202</v>
      </c>
      <c r="B1437" t="s">
        <v>1959</v>
      </c>
      <c r="C1437" t="s">
        <v>7</v>
      </c>
      <c r="D1437" t="s">
        <v>12</v>
      </c>
      <c r="E1437" t="s">
        <v>1666</v>
      </c>
      <c r="F1437" t="s">
        <v>1960</v>
      </c>
    </row>
    <row r="1438" spans="1:6" x14ac:dyDescent="0.25">
      <c r="A1438" t="str">
        <f>"1650427578"</f>
        <v>1650427578</v>
      </c>
      <c r="B1438" t="s">
        <v>1961</v>
      </c>
      <c r="C1438" t="s">
        <v>7</v>
      </c>
      <c r="D1438" t="s">
        <v>33</v>
      </c>
      <c r="E1438" t="s">
        <v>1666</v>
      </c>
      <c r="F1438" t="s">
        <v>1962</v>
      </c>
    </row>
    <row r="1439" spans="1:6" x14ac:dyDescent="0.25">
      <c r="A1439" t="str">
        <f>"1650428998"</f>
        <v>1650428998</v>
      </c>
      <c r="B1439" t="s">
        <v>1963</v>
      </c>
      <c r="C1439" t="s">
        <v>7</v>
      </c>
      <c r="D1439" t="s">
        <v>14</v>
      </c>
      <c r="E1439" t="s">
        <v>1666</v>
      </c>
      <c r="F1439" t="s">
        <v>1964</v>
      </c>
    </row>
    <row r="1440" spans="1:6" x14ac:dyDescent="0.25">
      <c r="A1440" t="str">
        <f>"1650433420"</f>
        <v>1650433420</v>
      </c>
      <c r="B1440" t="s">
        <v>1965</v>
      </c>
      <c r="C1440" t="s">
        <v>7</v>
      </c>
      <c r="D1440" t="s">
        <v>33</v>
      </c>
      <c r="E1440" t="s">
        <v>1666</v>
      </c>
      <c r="F1440" t="s">
        <v>1966</v>
      </c>
    </row>
    <row r="1441" spans="1:6" x14ac:dyDescent="0.25">
      <c r="A1441" t="str">
        <f>"1650436741"</f>
        <v>1650436741</v>
      </c>
      <c r="B1441" t="s">
        <v>1967</v>
      </c>
      <c r="C1441" t="s">
        <v>7</v>
      </c>
      <c r="D1441" t="s">
        <v>12</v>
      </c>
      <c r="E1441" t="s">
        <v>1666</v>
      </c>
      <c r="F1441" t="s">
        <v>1968</v>
      </c>
    </row>
    <row r="1442" spans="1:6" x14ac:dyDescent="0.25">
      <c r="A1442" t="str">
        <f>"165044645775"</f>
        <v>165044645775</v>
      </c>
      <c r="B1442" t="s">
        <v>1969</v>
      </c>
      <c r="C1442" t="s">
        <v>7</v>
      </c>
      <c r="D1442" t="s">
        <v>14</v>
      </c>
      <c r="E1442" t="s">
        <v>1666</v>
      </c>
    </row>
    <row r="1443" spans="1:6" x14ac:dyDescent="0.25">
      <c r="A1443" t="str">
        <f>"165045534281"</f>
        <v>165045534281</v>
      </c>
      <c r="B1443" t="s">
        <v>1970</v>
      </c>
      <c r="C1443" t="s">
        <v>7</v>
      </c>
      <c r="D1443" t="s">
        <v>14</v>
      </c>
      <c r="E1443" t="s">
        <v>1666</v>
      </c>
    </row>
    <row r="1444" spans="1:6" x14ac:dyDescent="0.25">
      <c r="A1444" t="str">
        <f>"165048309781"</f>
        <v>165048309781</v>
      </c>
      <c r="B1444" t="s">
        <v>1971</v>
      </c>
      <c r="C1444" t="s">
        <v>7</v>
      </c>
      <c r="D1444" t="s">
        <v>14</v>
      </c>
      <c r="E1444" t="s">
        <v>1666</v>
      </c>
    </row>
    <row r="1445" spans="1:6" x14ac:dyDescent="0.25">
      <c r="A1445" t="str">
        <f>"165048481711"</f>
        <v>165048481711</v>
      </c>
      <c r="B1445" t="s">
        <v>1972</v>
      </c>
      <c r="C1445" t="s">
        <v>7</v>
      </c>
      <c r="D1445" t="s">
        <v>12</v>
      </c>
      <c r="E1445" t="s">
        <v>1666</v>
      </c>
    </row>
    <row r="1446" spans="1:6" x14ac:dyDescent="0.25">
      <c r="A1446" t="str">
        <f>"165062440160"</f>
        <v>165062440160</v>
      </c>
      <c r="B1446" t="s">
        <v>1973</v>
      </c>
      <c r="C1446" t="s">
        <v>7</v>
      </c>
      <c r="D1446" t="s">
        <v>12</v>
      </c>
      <c r="E1446" t="s">
        <v>1666</v>
      </c>
    </row>
    <row r="1447" spans="1:6" x14ac:dyDescent="0.25">
      <c r="A1447" t="str">
        <f>"1651024356"</f>
        <v>1651024356</v>
      </c>
      <c r="B1447" t="s">
        <v>1974</v>
      </c>
      <c r="C1447" t="s">
        <v>7</v>
      </c>
      <c r="D1447" t="s">
        <v>14</v>
      </c>
      <c r="E1447" t="s">
        <v>1666</v>
      </c>
      <c r="F1447" t="s">
        <v>1975</v>
      </c>
    </row>
    <row r="1448" spans="1:6" x14ac:dyDescent="0.25">
      <c r="A1448" t="str">
        <f>"1651094297"</f>
        <v>1651094297</v>
      </c>
      <c r="B1448" t="s">
        <v>1976</v>
      </c>
      <c r="C1448" t="s">
        <v>7</v>
      </c>
      <c r="D1448" t="s">
        <v>33</v>
      </c>
      <c r="E1448" t="s">
        <v>1666</v>
      </c>
      <c r="F1448" t="s">
        <v>1977</v>
      </c>
    </row>
    <row r="1449" spans="1:6" x14ac:dyDescent="0.25">
      <c r="A1449" t="str">
        <f>"1651096745"</f>
        <v>1651096745</v>
      </c>
      <c r="B1449" t="s">
        <v>1978</v>
      </c>
      <c r="C1449" t="s">
        <v>7</v>
      </c>
      <c r="D1449" t="s">
        <v>8</v>
      </c>
      <c r="E1449" t="s">
        <v>1666</v>
      </c>
      <c r="F1449" t="s">
        <v>1979</v>
      </c>
    </row>
    <row r="1450" spans="1:6" x14ac:dyDescent="0.25">
      <c r="A1450" t="str">
        <f>"165116112088"</f>
        <v>165116112088</v>
      </c>
      <c r="B1450" t="s">
        <v>1980</v>
      </c>
      <c r="C1450" t="s">
        <v>7</v>
      </c>
      <c r="D1450" t="s">
        <v>33</v>
      </c>
      <c r="E1450" t="s">
        <v>1666</v>
      </c>
    </row>
    <row r="1451" spans="1:6" x14ac:dyDescent="0.25">
      <c r="A1451" t="str">
        <f>"165126938910"</f>
        <v>165126938910</v>
      </c>
      <c r="B1451" t="s">
        <v>1981</v>
      </c>
      <c r="C1451" t="s">
        <v>7</v>
      </c>
      <c r="D1451" t="s">
        <v>12</v>
      </c>
      <c r="E1451" t="s">
        <v>1666</v>
      </c>
    </row>
    <row r="1452" spans="1:6" x14ac:dyDescent="0.25">
      <c r="A1452" t="str">
        <f>"165200069440"</f>
        <v>165200069440</v>
      </c>
      <c r="B1452" t="s">
        <v>1982</v>
      </c>
      <c r="C1452" t="s">
        <v>7</v>
      </c>
      <c r="D1452" t="s">
        <v>14</v>
      </c>
      <c r="E1452" t="s">
        <v>1666</v>
      </c>
    </row>
    <row r="1453" spans="1:6" x14ac:dyDescent="0.25">
      <c r="A1453" t="str">
        <f>"165200876300"</f>
        <v>165200876300</v>
      </c>
      <c r="B1453" t="s">
        <v>1983</v>
      </c>
      <c r="C1453" t="s">
        <v>7</v>
      </c>
      <c r="D1453" t="s">
        <v>14</v>
      </c>
      <c r="E1453" t="s">
        <v>1666</v>
      </c>
    </row>
    <row r="1454" spans="1:6" x14ac:dyDescent="0.25">
      <c r="A1454" t="str">
        <f>"165207846488"</f>
        <v>165207846488</v>
      </c>
      <c r="B1454" t="s">
        <v>1984</v>
      </c>
      <c r="C1454" t="s">
        <v>7</v>
      </c>
      <c r="D1454" t="s">
        <v>14</v>
      </c>
      <c r="E1454" t="s">
        <v>1666</v>
      </c>
    </row>
    <row r="1455" spans="1:6" x14ac:dyDescent="0.25">
      <c r="A1455" t="str">
        <f>"165502754795"</f>
        <v>165502754795</v>
      </c>
      <c r="B1455" t="s">
        <v>1985</v>
      </c>
      <c r="C1455" t="s">
        <v>7</v>
      </c>
      <c r="D1455" t="s">
        <v>14</v>
      </c>
      <c r="E1455" t="s">
        <v>1666</v>
      </c>
    </row>
    <row r="1456" spans="1:6" x14ac:dyDescent="0.25">
      <c r="A1456" t="str">
        <f>"164412075500"</f>
        <v>164412075500</v>
      </c>
      <c r="B1456" t="s">
        <v>1986</v>
      </c>
      <c r="C1456" t="s">
        <v>7</v>
      </c>
      <c r="D1456" t="s">
        <v>33</v>
      </c>
      <c r="E1456" t="s">
        <v>1666</v>
      </c>
    </row>
    <row r="1457" spans="1:6" x14ac:dyDescent="0.25">
      <c r="A1457" t="str">
        <f>"164501189700"</f>
        <v>164501189700</v>
      </c>
      <c r="B1457" t="s">
        <v>1987</v>
      </c>
      <c r="C1457" t="s">
        <v>7</v>
      </c>
      <c r="D1457" t="s">
        <v>14</v>
      </c>
      <c r="E1457" t="s">
        <v>1666</v>
      </c>
    </row>
    <row r="1458" spans="1:6" x14ac:dyDescent="0.25">
      <c r="A1458" t="str">
        <f>"164501224546"</f>
        <v>164501224546</v>
      </c>
      <c r="B1458" t="s">
        <v>1988</v>
      </c>
      <c r="C1458" t="s">
        <v>7</v>
      </c>
      <c r="D1458" t="s">
        <v>14</v>
      </c>
      <c r="E1458" t="s">
        <v>1666</v>
      </c>
    </row>
    <row r="1459" spans="1:6" x14ac:dyDescent="0.25">
      <c r="A1459" t="str">
        <f>"1645017456"</f>
        <v>1645017456</v>
      </c>
      <c r="B1459" t="s">
        <v>1989</v>
      </c>
      <c r="C1459" t="s">
        <v>7</v>
      </c>
      <c r="D1459" t="s">
        <v>14</v>
      </c>
      <c r="E1459" t="s">
        <v>1666</v>
      </c>
      <c r="F1459" t="s">
        <v>1990</v>
      </c>
    </row>
    <row r="1460" spans="1:6" x14ac:dyDescent="0.25">
      <c r="A1460" t="str">
        <f>"1645034684"</f>
        <v>1645034684</v>
      </c>
      <c r="B1460" t="s">
        <v>1991</v>
      </c>
      <c r="C1460" t="s">
        <v>7</v>
      </c>
      <c r="D1460" t="s">
        <v>14</v>
      </c>
      <c r="E1460" t="s">
        <v>1666</v>
      </c>
      <c r="F1460" t="s">
        <v>1992</v>
      </c>
    </row>
    <row r="1461" spans="1:6" x14ac:dyDescent="0.25">
      <c r="A1461" t="str">
        <f>"164506392505"</f>
        <v>164506392505</v>
      </c>
      <c r="B1461" t="s">
        <v>1993</v>
      </c>
      <c r="C1461" t="s">
        <v>7</v>
      </c>
      <c r="D1461" t="s">
        <v>14</v>
      </c>
      <c r="E1461" t="s">
        <v>1666</v>
      </c>
    </row>
    <row r="1462" spans="1:6" x14ac:dyDescent="0.25">
      <c r="A1462" t="str">
        <f>"164508416350"</f>
        <v>164508416350</v>
      </c>
      <c r="B1462" t="s">
        <v>1994</v>
      </c>
      <c r="C1462" t="s">
        <v>7</v>
      </c>
      <c r="D1462" t="s">
        <v>14</v>
      </c>
      <c r="E1462" t="s">
        <v>1666</v>
      </c>
    </row>
    <row r="1463" spans="1:6" x14ac:dyDescent="0.25">
      <c r="A1463" t="str">
        <f>"164509354674"</f>
        <v>164509354674</v>
      </c>
      <c r="B1463" t="s">
        <v>1995</v>
      </c>
      <c r="C1463" t="s">
        <v>7</v>
      </c>
      <c r="D1463" t="s">
        <v>14</v>
      </c>
      <c r="E1463" t="s">
        <v>1666</v>
      </c>
    </row>
    <row r="1464" spans="1:6" x14ac:dyDescent="0.25">
      <c r="A1464" t="str">
        <f>"164514859261"</f>
        <v>164514859261</v>
      </c>
      <c r="B1464" t="s">
        <v>1996</v>
      </c>
      <c r="C1464" t="s">
        <v>7</v>
      </c>
      <c r="D1464" t="s">
        <v>14</v>
      </c>
      <c r="E1464" t="s">
        <v>1666</v>
      </c>
    </row>
    <row r="1465" spans="1:6" x14ac:dyDescent="0.25">
      <c r="A1465" t="str">
        <f>"164604306279"</f>
        <v>164604306279</v>
      </c>
      <c r="B1465" t="s">
        <v>1997</v>
      </c>
      <c r="C1465" t="s">
        <v>7</v>
      </c>
      <c r="D1465" t="s">
        <v>14</v>
      </c>
      <c r="E1465" t="s">
        <v>1666</v>
      </c>
    </row>
    <row r="1466" spans="1:6" x14ac:dyDescent="0.25">
      <c r="A1466" t="str">
        <f>"1646043297"</f>
        <v>1646043297</v>
      </c>
      <c r="B1466" t="s">
        <v>1998</v>
      </c>
      <c r="C1466" t="s">
        <v>7</v>
      </c>
      <c r="D1466" t="s">
        <v>14</v>
      </c>
      <c r="E1466" t="s">
        <v>1666</v>
      </c>
      <c r="F1466" t="s">
        <v>1999</v>
      </c>
    </row>
    <row r="1467" spans="1:6" x14ac:dyDescent="0.25">
      <c r="A1467" t="str">
        <f>"164607980334"</f>
        <v>164607980334</v>
      </c>
      <c r="B1467" t="s">
        <v>2000</v>
      </c>
      <c r="C1467" t="s">
        <v>7</v>
      </c>
      <c r="D1467" t="s">
        <v>14</v>
      </c>
      <c r="E1467" t="s">
        <v>1666</v>
      </c>
    </row>
    <row r="1468" spans="1:6" x14ac:dyDescent="0.25">
      <c r="A1468" t="str">
        <f>"164704482140"</f>
        <v>164704482140</v>
      </c>
      <c r="B1468" t="s">
        <v>2001</v>
      </c>
      <c r="C1468" t="s">
        <v>7</v>
      </c>
      <c r="D1468" t="s">
        <v>586</v>
      </c>
      <c r="E1468" t="s">
        <v>1666</v>
      </c>
    </row>
    <row r="1469" spans="1:6" x14ac:dyDescent="0.25">
      <c r="A1469" t="str">
        <f>"1648047040"</f>
        <v>1648047040</v>
      </c>
      <c r="B1469" t="s">
        <v>2002</v>
      </c>
      <c r="C1469" t="s">
        <v>7</v>
      </c>
      <c r="D1469" t="s">
        <v>33</v>
      </c>
      <c r="E1469" t="s">
        <v>1666</v>
      </c>
      <c r="F1469" t="s">
        <v>2003</v>
      </c>
    </row>
    <row r="1470" spans="1:6" x14ac:dyDescent="0.25">
      <c r="A1470" t="str">
        <f>"1648049174"</f>
        <v>1648049174</v>
      </c>
      <c r="B1470" t="s">
        <v>2004</v>
      </c>
      <c r="C1470" t="s">
        <v>7</v>
      </c>
      <c r="D1470" t="s">
        <v>146</v>
      </c>
      <c r="E1470" t="s">
        <v>1666</v>
      </c>
      <c r="F1470" t="s">
        <v>2005</v>
      </c>
    </row>
    <row r="1471" spans="1:6" x14ac:dyDescent="0.25">
      <c r="A1471" t="str">
        <f>"1648054583"</f>
        <v>1648054583</v>
      </c>
      <c r="B1471" t="s">
        <v>2006</v>
      </c>
      <c r="C1471" t="s">
        <v>7</v>
      </c>
      <c r="D1471" t="s">
        <v>14</v>
      </c>
      <c r="E1471" t="s">
        <v>1666</v>
      </c>
      <c r="F1471" t="s">
        <v>2007</v>
      </c>
    </row>
    <row r="1472" spans="1:6" x14ac:dyDescent="0.25">
      <c r="A1472" t="str">
        <f>"164806707869"</f>
        <v>164806707869</v>
      </c>
      <c r="B1472" t="s">
        <v>2008</v>
      </c>
      <c r="C1472" t="s">
        <v>7</v>
      </c>
      <c r="D1472" t="s">
        <v>14</v>
      </c>
      <c r="E1472" t="s">
        <v>1666</v>
      </c>
    </row>
    <row r="1473" spans="1:6" x14ac:dyDescent="0.25">
      <c r="A1473" t="str">
        <f>"164812969260"</f>
        <v>164812969260</v>
      </c>
      <c r="B1473" t="s">
        <v>2009</v>
      </c>
      <c r="C1473" t="s">
        <v>7</v>
      </c>
      <c r="D1473" t="s">
        <v>14</v>
      </c>
      <c r="E1473" t="s">
        <v>1666</v>
      </c>
    </row>
    <row r="1474" spans="1:6" x14ac:dyDescent="0.25">
      <c r="A1474" t="str">
        <f>"164900391147"</f>
        <v>164900391147</v>
      </c>
      <c r="B1474" t="s">
        <v>2010</v>
      </c>
      <c r="C1474" t="s">
        <v>7</v>
      </c>
      <c r="D1474" t="s">
        <v>14</v>
      </c>
      <c r="E1474" t="s">
        <v>1666</v>
      </c>
    </row>
    <row r="1475" spans="1:6" x14ac:dyDescent="0.25">
      <c r="A1475" t="str">
        <f>"164900403748"</f>
        <v>164900403748</v>
      </c>
      <c r="B1475" t="s">
        <v>2011</v>
      </c>
      <c r="C1475" t="s">
        <v>7</v>
      </c>
      <c r="D1475" t="s">
        <v>14</v>
      </c>
      <c r="E1475" t="s">
        <v>1666</v>
      </c>
    </row>
    <row r="1476" spans="1:6" x14ac:dyDescent="0.25">
      <c r="A1476" t="str">
        <f>"164902482382"</f>
        <v>164902482382</v>
      </c>
      <c r="B1476" t="s">
        <v>2012</v>
      </c>
      <c r="C1476" t="s">
        <v>7</v>
      </c>
      <c r="D1476" t="s">
        <v>14</v>
      </c>
      <c r="E1476" t="s">
        <v>1666</v>
      </c>
    </row>
    <row r="1477" spans="1:6" x14ac:dyDescent="0.25">
      <c r="A1477" t="str">
        <f>"165000637431"</f>
        <v>165000637431</v>
      </c>
      <c r="B1477" t="s">
        <v>2013</v>
      </c>
      <c r="C1477" t="s">
        <v>7</v>
      </c>
      <c r="D1477" t="s">
        <v>14</v>
      </c>
      <c r="E1477" t="s">
        <v>1666</v>
      </c>
    </row>
    <row r="1478" spans="1:6" x14ac:dyDescent="0.25">
      <c r="A1478" t="str">
        <f>"1650052061"</f>
        <v>1650052061</v>
      </c>
      <c r="B1478" t="s">
        <v>2014</v>
      </c>
      <c r="C1478" t="s">
        <v>7</v>
      </c>
      <c r="D1478" t="s">
        <v>98</v>
      </c>
      <c r="E1478" t="s">
        <v>1666</v>
      </c>
      <c r="F1478" t="s">
        <v>2015</v>
      </c>
    </row>
    <row r="1479" spans="1:6" x14ac:dyDescent="0.25">
      <c r="A1479" t="str">
        <f>"1650070110"</f>
        <v>1650070110</v>
      </c>
      <c r="B1479" t="s">
        <v>2016</v>
      </c>
      <c r="C1479" t="s">
        <v>7</v>
      </c>
      <c r="D1479" t="s">
        <v>146</v>
      </c>
      <c r="E1479" t="s">
        <v>1666</v>
      </c>
      <c r="F1479" t="s">
        <v>2017</v>
      </c>
    </row>
    <row r="1480" spans="1:6" x14ac:dyDescent="0.25">
      <c r="A1480" t="str">
        <f>"1650071346"</f>
        <v>1650071346</v>
      </c>
      <c r="B1480" t="s">
        <v>2018</v>
      </c>
      <c r="C1480" t="s">
        <v>7</v>
      </c>
      <c r="D1480" t="s">
        <v>463</v>
      </c>
      <c r="E1480" t="s">
        <v>1666</v>
      </c>
      <c r="F1480" t="s">
        <v>2019</v>
      </c>
    </row>
    <row r="1481" spans="1:6" x14ac:dyDescent="0.25">
      <c r="A1481" t="str">
        <f>"1650102097"</f>
        <v>1650102097</v>
      </c>
      <c r="B1481" t="s">
        <v>2020</v>
      </c>
      <c r="C1481" t="s">
        <v>7</v>
      </c>
      <c r="D1481" t="s">
        <v>33</v>
      </c>
      <c r="E1481" t="s">
        <v>1666</v>
      </c>
      <c r="F1481" t="s">
        <v>2021</v>
      </c>
    </row>
    <row r="1482" spans="1:6" x14ac:dyDescent="0.25">
      <c r="A1482" t="str">
        <f>"1650131080"</f>
        <v>1650131080</v>
      </c>
      <c r="B1482" t="s">
        <v>2022</v>
      </c>
      <c r="C1482" t="s">
        <v>7</v>
      </c>
      <c r="D1482" t="s">
        <v>12</v>
      </c>
      <c r="E1482" t="s">
        <v>1666</v>
      </c>
      <c r="F1482" t="s">
        <v>2023</v>
      </c>
    </row>
    <row r="1483" spans="1:6" x14ac:dyDescent="0.25">
      <c r="A1483" t="str">
        <f>"1650131524"</f>
        <v>1650131524</v>
      </c>
      <c r="B1483" t="s">
        <v>2024</v>
      </c>
      <c r="C1483" t="s">
        <v>7</v>
      </c>
      <c r="D1483" t="s">
        <v>12</v>
      </c>
      <c r="E1483" t="s">
        <v>1666</v>
      </c>
      <c r="F1483" t="s">
        <v>2025</v>
      </c>
    </row>
    <row r="1484" spans="1:6" x14ac:dyDescent="0.25">
      <c r="A1484" t="str">
        <f>"1650134050"</f>
        <v>1650134050</v>
      </c>
      <c r="B1484" t="s">
        <v>2026</v>
      </c>
      <c r="C1484" t="s">
        <v>7</v>
      </c>
      <c r="D1484" t="s">
        <v>8</v>
      </c>
      <c r="E1484" t="s">
        <v>1666</v>
      </c>
      <c r="F1484" t="s">
        <v>2027</v>
      </c>
    </row>
    <row r="1485" spans="1:6" x14ac:dyDescent="0.25">
      <c r="A1485" t="str">
        <f>"1650148711"</f>
        <v>1650148711</v>
      </c>
      <c r="B1485" t="s">
        <v>2028</v>
      </c>
      <c r="C1485" t="s">
        <v>7</v>
      </c>
      <c r="D1485" t="s">
        <v>33</v>
      </c>
      <c r="E1485" t="s">
        <v>1666</v>
      </c>
      <c r="F1485" t="s">
        <v>2029</v>
      </c>
    </row>
    <row r="1486" spans="1:6" x14ac:dyDescent="0.25">
      <c r="A1486" t="str">
        <f>"1650186481"</f>
        <v>1650186481</v>
      </c>
      <c r="B1486" t="s">
        <v>2030</v>
      </c>
      <c r="C1486" t="s">
        <v>7</v>
      </c>
      <c r="D1486" t="s">
        <v>33</v>
      </c>
      <c r="E1486" t="s">
        <v>1666</v>
      </c>
      <c r="F1486" t="s">
        <v>2031</v>
      </c>
    </row>
    <row r="1487" spans="1:6" x14ac:dyDescent="0.25">
      <c r="A1487" t="str">
        <f>"1650222771"</f>
        <v>1650222771</v>
      </c>
      <c r="B1487" t="s">
        <v>2032</v>
      </c>
      <c r="C1487" t="s">
        <v>7</v>
      </c>
      <c r="D1487" t="s">
        <v>33</v>
      </c>
      <c r="E1487" t="s">
        <v>1666</v>
      </c>
      <c r="F1487" t="s">
        <v>2033</v>
      </c>
    </row>
    <row r="1488" spans="1:6" x14ac:dyDescent="0.25">
      <c r="A1488" t="str">
        <f>"1650280847"</f>
        <v>1650280847</v>
      </c>
      <c r="B1488" t="s">
        <v>2034</v>
      </c>
      <c r="C1488" t="s">
        <v>7</v>
      </c>
      <c r="D1488" t="s">
        <v>12</v>
      </c>
      <c r="E1488" t="s">
        <v>1666</v>
      </c>
      <c r="F1488" t="s">
        <v>2035</v>
      </c>
    </row>
    <row r="1489" spans="1:6" x14ac:dyDescent="0.25">
      <c r="A1489" t="str">
        <f>"1650281537"</f>
        <v>1650281537</v>
      </c>
      <c r="B1489" t="s">
        <v>2036</v>
      </c>
      <c r="C1489" t="s">
        <v>7</v>
      </c>
      <c r="D1489" t="s">
        <v>33</v>
      </c>
      <c r="E1489" t="s">
        <v>1666</v>
      </c>
      <c r="F1489" t="s">
        <v>2037</v>
      </c>
    </row>
    <row r="1490" spans="1:6" x14ac:dyDescent="0.25">
      <c r="A1490" t="str">
        <f>"1650287786"</f>
        <v>1650287786</v>
      </c>
      <c r="B1490" t="s">
        <v>2038</v>
      </c>
      <c r="C1490" t="s">
        <v>7</v>
      </c>
      <c r="D1490" t="s">
        <v>33</v>
      </c>
      <c r="E1490" t="s">
        <v>1666</v>
      </c>
      <c r="F1490" t="s">
        <v>2039</v>
      </c>
    </row>
    <row r="1491" spans="1:6" x14ac:dyDescent="0.25">
      <c r="A1491" t="str">
        <f>"1650295963"</f>
        <v>1650295963</v>
      </c>
      <c r="B1491" t="s">
        <v>2040</v>
      </c>
      <c r="C1491" t="s">
        <v>7</v>
      </c>
      <c r="D1491" t="s">
        <v>33</v>
      </c>
      <c r="E1491" t="s">
        <v>1666</v>
      </c>
      <c r="F1491" t="s">
        <v>2041</v>
      </c>
    </row>
    <row r="1492" spans="1:6" x14ac:dyDescent="0.25">
      <c r="A1492" t="str">
        <f>"1650302466"</f>
        <v>1650302466</v>
      </c>
      <c r="B1492" t="s">
        <v>2042</v>
      </c>
      <c r="C1492" t="s">
        <v>7</v>
      </c>
      <c r="D1492" t="s">
        <v>33</v>
      </c>
      <c r="E1492" t="s">
        <v>1666</v>
      </c>
      <c r="F1492" t="s">
        <v>2043</v>
      </c>
    </row>
    <row r="1493" spans="1:6" x14ac:dyDescent="0.25">
      <c r="A1493" t="str">
        <f>"165030407058"</f>
        <v>165030407058</v>
      </c>
      <c r="B1493" t="s">
        <v>2044</v>
      </c>
      <c r="C1493" t="s">
        <v>7</v>
      </c>
      <c r="D1493" t="s">
        <v>12</v>
      </c>
      <c r="E1493" t="s">
        <v>1666</v>
      </c>
    </row>
    <row r="1494" spans="1:6" x14ac:dyDescent="0.25">
      <c r="A1494" t="str">
        <f>"1650312680"</f>
        <v>1650312680</v>
      </c>
      <c r="B1494" t="s">
        <v>2045</v>
      </c>
      <c r="C1494" t="s">
        <v>7</v>
      </c>
      <c r="D1494" t="s">
        <v>12</v>
      </c>
      <c r="E1494" t="s">
        <v>1666</v>
      </c>
      <c r="F1494" t="s">
        <v>2046</v>
      </c>
    </row>
    <row r="1495" spans="1:6" x14ac:dyDescent="0.25">
      <c r="A1495" t="str">
        <f>"1650318850"</f>
        <v>1650318850</v>
      </c>
      <c r="B1495" t="s">
        <v>2047</v>
      </c>
      <c r="C1495" t="s">
        <v>7</v>
      </c>
      <c r="D1495" t="s">
        <v>33</v>
      </c>
      <c r="E1495" t="s">
        <v>1666</v>
      </c>
      <c r="F1495" t="s">
        <v>2048</v>
      </c>
    </row>
    <row r="1496" spans="1:6" x14ac:dyDescent="0.25">
      <c r="A1496" t="str">
        <f>"165034090370"</f>
        <v>165034090370</v>
      </c>
      <c r="B1496" t="s">
        <v>2049</v>
      </c>
      <c r="C1496" t="s">
        <v>7</v>
      </c>
      <c r="D1496" t="s">
        <v>12</v>
      </c>
      <c r="E1496" t="s">
        <v>1666</v>
      </c>
    </row>
    <row r="1497" spans="1:6" x14ac:dyDescent="0.25">
      <c r="A1497" t="str">
        <f>"1650348453"</f>
        <v>1650348453</v>
      </c>
      <c r="B1497" t="s">
        <v>2050</v>
      </c>
      <c r="C1497" t="s">
        <v>7</v>
      </c>
      <c r="D1497" t="s">
        <v>33</v>
      </c>
      <c r="E1497" t="s">
        <v>1666</v>
      </c>
      <c r="F1497" t="s">
        <v>2051</v>
      </c>
    </row>
    <row r="1498" spans="1:6" x14ac:dyDescent="0.25">
      <c r="A1498" t="str">
        <f>"1650349908"</f>
        <v>1650349908</v>
      </c>
      <c r="B1498" t="s">
        <v>2052</v>
      </c>
      <c r="C1498" t="s">
        <v>7</v>
      </c>
      <c r="D1498" t="s">
        <v>33</v>
      </c>
      <c r="E1498" t="s">
        <v>1666</v>
      </c>
      <c r="F1498" t="s">
        <v>2053</v>
      </c>
    </row>
    <row r="1499" spans="1:6" x14ac:dyDescent="0.25">
      <c r="A1499" t="str">
        <f>"1650356905"</f>
        <v>1650356905</v>
      </c>
      <c r="B1499" t="s">
        <v>2054</v>
      </c>
      <c r="C1499" t="s">
        <v>7</v>
      </c>
      <c r="D1499" t="s">
        <v>33</v>
      </c>
      <c r="E1499" t="s">
        <v>1666</v>
      </c>
      <c r="F1499" t="s">
        <v>2055</v>
      </c>
    </row>
    <row r="1500" spans="1:6" x14ac:dyDescent="0.25">
      <c r="A1500" t="str">
        <f>"1650361581"</f>
        <v>1650361581</v>
      </c>
      <c r="B1500" t="s">
        <v>2056</v>
      </c>
      <c r="C1500" t="s">
        <v>7</v>
      </c>
      <c r="D1500" t="s">
        <v>33</v>
      </c>
      <c r="E1500" t="s">
        <v>1666</v>
      </c>
      <c r="F1500" t="s">
        <v>2057</v>
      </c>
    </row>
    <row r="1501" spans="1:6" x14ac:dyDescent="0.25">
      <c r="A1501" t="str">
        <f>"1650370988"</f>
        <v>1650370988</v>
      </c>
      <c r="B1501" t="s">
        <v>2058</v>
      </c>
      <c r="C1501" t="s">
        <v>7</v>
      </c>
      <c r="D1501" t="s">
        <v>14</v>
      </c>
      <c r="E1501" t="s">
        <v>1666</v>
      </c>
      <c r="F1501" t="s">
        <v>2059</v>
      </c>
    </row>
    <row r="1502" spans="1:6" x14ac:dyDescent="0.25">
      <c r="A1502" t="str">
        <f>"1650412980"</f>
        <v>1650412980</v>
      </c>
      <c r="B1502" t="s">
        <v>2060</v>
      </c>
      <c r="C1502" t="s">
        <v>7</v>
      </c>
      <c r="D1502" t="s">
        <v>12</v>
      </c>
      <c r="E1502" t="s">
        <v>1666</v>
      </c>
      <c r="F1502" t="s">
        <v>2061</v>
      </c>
    </row>
    <row r="1503" spans="1:6" x14ac:dyDescent="0.25">
      <c r="A1503" t="str">
        <f>"1650419584"</f>
        <v>1650419584</v>
      </c>
      <c r="B1503" t="s">
        <v>2062</v>
      </c>
      <c r="C1503" t="s">
        <v>7</v>
      </c>
      <c r="D1503" t="s">
        <v>12</v>
      </c>
      <c r="E1503" t="s">
        <v>1666</v>
      </c>
      <c r="F1503" t="s">
        <v>2063</v>
      </c>
    </row>
    <row r="1504" spans="1:6" x14ac:dyDescent="0.25">
      <c r="A1504" t="str">
        <f>"1650423358"</f>
        <v>1650423358</v>
      </c>
      <c r="B1504" t="s">
        <v>2064</v>
      </c>
      <c r="C1504" t="s">
        <v>7</v>
      </c>
      <c r="D1504" t="s">
        <v>33</v>
      </c>
      <c r="E1504" t="s">
        <v>1666</v>
      </c>
      <c r="F1504" t="s">
        <v>2065</v>
      </c>
    </row>
    <row r="1505" spans="1:6" x14ac:dyDescent="0.25">
      <c r="A1505" t="str">
        <f>"1650429293"</f>
        <v>1650429293</v>
      </c>
      <c r="B1505" t="s">
        <v>2066</v>
      </c>
      <c r="C1505" t="s">
        <v>7</v>
      </c>
      <c r="D1505" t="s">
        <v>12</v>
      </c>
      <c r="E1505" t="s">
        <v>1666</v>
      </c>
      <c r="F1505" t="s">
        <v>2067</v>
      </c>
    </row>
    <row r="1506" spans="1:6" x14ac:dyDescent="0.25">
      <c r="A1506" t="str">
        <f>"165043247242"</f>
        <v>165043247242</v>
      </c>
      <c r="B1506" t="s">
        <v>2068</v>
      </c>
      <c r="C1506" t="s">
        <v>7</v>
      </c>
      <c r="D1506" t="s">
        <v>12</v>
      </c>
      <c r="E1506" t="s">
        <v>1666</v>
      </c>
    </row>
    <row r="1507" spans="1:6" x14ac:dyDescent="0.25">
      <c r="A1507" t="str">
        <f>"1650438080"</f>
        <v>1650438080</v>
      </c>
      <c r="B1507" t="s">
        <v>2069</v>
      </c>
      <c r="C1507" t="s">
        <v>7</v>
      </c>
      <c r="D1507" t="s">
        <v>12</v>
      </c>
      <c r="E1507" t="s">
        <v>1666</v>
      </c>
      <c r="F1507" t="s">
        <v>2070</v>
      </c>
    </row>
    <row r="1508" spans="1:6" x14ac:dyDescent="0.25">
      <c r="A1508" t="str">
        <f>"1650438844"</f>
        <v>1650438844</v>
      </c>
      <c r="B1508" t="s">
        <v>2071</v>
      </c>
      <c r="C1508" t="s">
        <v>7</v>
      </c>
      <c r="D1508" t="s">
        <v>33</v>
      </c>
      <c r="E1508" t="s">
        <v>1666</v>
      </c>
      <c r="F1508" t="s">
        <v>2072</v>
      </c>
    </row>
    <row r="1509" spans="1:6" x14ac:dyDescent="0.25">
      <c r="A1509" t="str">
        <f>"1650440064"</f>
        <v>1650440064</v>
      </c>
      <c r="B1509" t="s">
        <v>2073</v>
      </c>
      <c r="C1509" t="s">
        <v>7</v>
      </c>
      <c r="D1509" t="s">
        <v>14</v>
      </c>
      <c r="E1509" t="s">
        <v>1666</v>
      </c>
      <c r="F1509" t="s">
        <v>2074</v>
      </c>
    </row>
    <row r="1510" spans="1:6" x14ac:dyDescent="0.25">
      <c r="A1510" t="str">
        <f>"165046626425"</f>
        <v>165046626425</v>
      </c>
      <c r="B1510" t="s">
        <v>2075</v>
      </c>
      <c r="C1510" t="s">
        <v>7</v>
      </c>
      <c r="D1510" t="s">
        <v>12</v>
      </c>
      <c r="E1510" t="s">
        <v>1666</v>
      </c>
    </row>
    <row r="1511" spans="1:6" x14ac:dyDescent="0.25">
      <c r="A1511" t="str">
        <f>"165062551382"</f>
        <v>165062551382</v>
      </c>
      <c r="B1511" t="s">
        <v>2076</v>
      </c>
      <c r="C1511" t="s">
        <v>7</v>
      </c>
      <c r="D1511" t="s">
        <v>12</v>
      </c>
      <c r="E1511" t="s">
        <v>1666</v>
      </c>
    </row>
    <row r="1512" spans="1:6" x14ac:dyDescent="0.25">
      <c r="A1512" t="str">
        <f>"165101584338"</f>
        <v>165101584338</v>
      </c>
      <c r="B1512" t="s">
        <v>2077</v>
      </c>
      <c r="C1512" t="s">
        <v>7</v>
      </c>
      <c r="D1512" t="s">
        <v>14</v>
      </c>
      <c r="E1512" t="s">
        <v>1666</v>
      </c>
    </row>
    <row r="1513" spans="1:6" x14ac:dyDescent="0.25">
      <c r="A1513" t="str">
        <f>"1651044095"</f>
        <v>1651044095</v>
      </c>
      <c r="B1513" t="s">
        <v>2078</v>
      </c>
      <c r="C1513" t="s">
        <v>7</v>
      </c>
      <c r="D1513" t="s">
        <v>98</v>
      </c>
      <c r="E1513" t="s">
        <v>1666</v>
      </c>
      <c r="F1513" t="s">
        <v>2079</v>
      </c>
    </row>
    <row r="1514" spans="1:6" x14ac:dyDescent="0.25">
      <c r="A1514" t="str">
        <f>"1651053050"</f>
        <v>1651053050</v>
      </c>
      <c r="B1514" t="s">
        <v>2080</v>
      </c>
      <c r="C1514" t="s">
        <v>7</v>
      </c>
      <c r="D1514" t="s">
        <v>33</v>
      </c>
      <c r="E1514" t="s">
        <v>1666</v>
      </c>
      <c r="F1514" t="s">
        <v>2081</v>
      </c>
    </row>
    <row r="1515" spans="1:6" x14ac:dyDescent="0.25">
      <c r="A1515" t="str">
        <f>"1651061069"</f>
        <v>1651061069</v>
      </c>
      <c r="B1515" t="s">
        <v>2082</v>
      </c>
      <c r="C1515" t="s">
        <v>7</v>
      </c>
      <c r="D1515" t="s">
        <v>12</v>
      </c>
      <c r="E1515" t="s">
        <v>1666</v>
      </c>
      <c r="F1515" t="s">
        <v>2083</v>
      </c>
    </row>
    <row r="1516" spans="1:6" x14ac:dyDescent="0.25">
      <c r="A1516" t="str">
        <f>"1651074357"</f>
        <v>1651074357</v>
      </c>
      <c r="B1516" t="s">
        <v>2084</v>
      </c>
      <c r="C1516" t="s">
        <v>7</v>
      </c>
      <c r="D1516" t="s">
        <v>12</v>
      </c>
      <c r="E1516" t="s">
        <v>1666</v>
      </c>
      <c r="F1516" t="s">
        <v>2085</v>
      </c>
    </row>
    <row r="1517" spans="1:6" x14ac:dyDescent="0.25">
      <c r="A1517" t="str">
        <f>"165113337206"</f>
        <v>165113337206</v>
      </c>
      <c r="B1517" t="s">
        <v>2086</v>
      </c>
      <c r="C1517" t="s">
        <v>7</v>
      </c>
      <c r="D1517" t="s">
        <v>12</v>
      </c>
      <c r="E1517" t="s">
        <v>1666</v>
      </c>
    </row>
    <row r="1518" spans="1:6" x14ac:dyDescent="0.25">
      <c r="A1518" t="str">
        <f>"165118108601"</f>
        <v>165118108601</v>
      </c>
      <c r="B1518" t="s">
        <v>2087</v>
      </c>
      <c r="C1518" t="s">
        <v>7</v>
      </c>
      <c r="D1518" t="s">
        <v>12</v>
      </c>
      <c r="E1518" t="s">
        <v>1666</v>
      </c>
    </row>
    <row r="1519" spans="1:6" x14ac:dyDescent="0.25">
      <c r="A1519" t="str">
        <f>"165122521427"</f>
        <v>165122521427</v>
      </c>
      <c r="B1519" t="s">
        <v>2088</v>
      </c>
      <c r="C1519" t="s">
        <v>7</v>
      </c>
      <c r="D1519" t="s">
        <v>14</v>
      </c>
      <c r="E1519" t="s">
        <v>1666</v>
      </c>
    </row>
    <row r="1520" spans="1:6" x14ac:dyDescent="0.25">
      <c r="A1520" t="str">
        <f>"165204936246"</f>
        <v>165204936246</v>
      </c>
      <c r="B1520" t="s">
        <v>2089</v>
      </c>
      <c r="C1520" t="s">
        <v>7</v>
      </c>
      <c r="D1520" t="s">
        <v>14</v>
      </c>
      <c r="E1520" t="s">
        <v>1666</v>
      </c>
    </row>
    <row r="1521" spans="1:6" x14ac:dyDescent="0.25">
      <c r="A1521" t="str">
        <f>"1653019048"</f>
        <v>1653019048</v>
      </c>
      <c r="B1521" t="s">
        <v>2090</v>
      </c>
      <c r="C1521" t="s">
        <v>7</v>
      </c>
      <c r="D1521" t="s">
        <v>14</v>
      </c>
      <c r="E1521" t="s">
        <v>1666</v>
      </c>
      <c r="F1521" t="s">
        <v>2091</v>
      </c>
    </row>
    <row r="1522" spans="1:6" x14ac:dyDescent="0.25">
      <c r="A1522" t="str">
        <f>"165400828945"</f>
        <v>165400828945</v>
      </c>
      <c r="B1522" t="s">
        <v>2092</v>
      </c>
      <c r="C1522" t="s">
        <v>7</v>
      </c>
      <c r="D1522" t="s">
        <v>12</v>
      </c>
      <c r="E1522" t="s">
        <v>1666</v>
      </c>
    </row>
    <row r="1523" spans="1:6" x14ac:dyDescent="0.25">
      <c r="A1523" t="str">
        <f>"1654036374"</f>
        <v>1654036374</v>
      </c>
      <c r="B1523" t="s">
        <v>2093</v>
      </c>
      <c r="C1523" t="s">
        <v>7</v>
      </c>
      <c r="D1523" t="s">
        <v>146</v>
      </c>
      <c r="E1523" t="s">
        <v>1666</v>
      </c>
      <c r="F1523" t="s">
        <v>2094</v>
      </c>
    </row>
    <row r="1524" spans="1:6" x14ac:dyDescent="0.25">
      <c r="A1524" t="str">
        <f>"1655291602"</f>
        <v>1655291602</v>
      </c>
      <c r="B1524" t="s">
        <v>2095</v>
      </c>
      <c r="C1524" t="s">
        <v>7</v>
      </c>
      <c r="D1524" t="s">
        <v>12</v>
      </c>
      <c r="E1524" t="s">
        <v>1666</v>
      </c>
      <c r="F1524" t="s">
        <v>2096</v>
      </c>
    </row>
    <row r="1525" spans="1:6" x14ac:dyDescent="0.25">
      <c r="A1525" t="str">
        <f>"1655362290"</f>
        <v>1655362290</v>
      </c>
      <c r="B1525" t="s">
        <v>2097</v>
      </c>
      <c r="C1525" t="s">
        <v>7</v>
      </c>
      <c r="D1525" t="s">
        <v>33</v>
      </c>
      <c r="E1525" t="s">
        <v>1666</v>
      </c>
      <c r="F1525" t="s">
        <v>2098</v>
      </c>
    </row>
    <row r="1526" spans="1:6" x14ac:dyDescent="0.25">
      <c r="A1526" t="str">
        <f>"1655373774"</f>
        <v>1655373774</v>
      </c>
      <c r="B1526" t="s">
        <v>2099</v>
      </c>
      <c r="C1526" t="s">
        <v>7</v>
      </c>
      <c r="D1526" t="s">
        <v>12</v>
      </c>
      <c r="E1526" t="s">
        <v>1666</v>
      </c>
      <c r="F1526" t="s">
        <v>2100</v>
      </c>
    </row>
    <row r="1527" spans="1:6" x14ac:dyDescent="0.25">
      <c r="A1527" t="str">
        <f>"1655406349"</f>
        <v>1655406349</v>
      </c>
      <c r="B1527" t="s">
        <v>2101</v>
      </c>
      <c r="C1527" t="s">
        <v>7</v>
      </c>
      <c r="D1527" t="s">
        <v>33</v>
      </c>
      <c r="E1527" t="s">
        <v>1666</v>
      </c>
      <c r="F1527" t="s">
        <v>2102</v>
      </c>
    </row>
    <row r="1528" spans="1:6" x14ac:dyDescent="0.25">
      <c r="A1528" t="str">
        <f>"1655428060"</f>
        <v>1655428060</v>
      </c>
      <c r="B1528" t="s">
        <v>2103</v>
      </c>
      <c r="C1528" t="s">
        <v>7</v>
      </c>
      <c r="D1528" t="s">
        <v>8</v>
      </c>
      <c r="E1528" t="s">
        <v>1666</v>
      </c>
      <c r="F1528" t="s">
        <v>2104</v>
      </c>
    </row>
    <row r="1529" spans="1:6" x14ac:dyDescent="0.25">
      <c r="A1529" t="str">
        <f>"1655428423"</f>
        <v>1655428423</v>
      </c>
      <c r="B1529" t="s">
        <v>2105</v>
      </c>
      <c r="C1529" t="s">
        <v>7</v>
      </c>
      <c r="D1529" t="s">
        <v>98</v>
      </c>
      <c r="E1529" t="s">
        <v>1666</v>
      </c>
      <c r="F1529" t="s">
        <v>2106</v>
      </c>
    </row>
    <row r="1530" spans="1:6" x14ac:dyDescent="0.25">
      <c r="A1530" t="str">
        <f>"7714790325"</f>
        <v>7714790325</v>
      </c>
      <c r="B1530" t="s">
        <v>2107</v>
      </c>
      <c r="C1530" t="s">
        <v>7</v>
      </c>
      <c r="D1530" t="s">
        <v>33</v>
      </c>
      <c r="E1530" t="s">
        <v>1666</v>
      </c>
      <c r="F1530" t="s">
        <v>2108</v>
      </c>
    </row>
    <row r="1531" spans="1:6" x14ac:dyDescent="0.25">
      <c r="A1531" t="str">
        <f>"164503886094"</f>
        <v>164503886094</v>
      </c>
      <c r="B1531" t="s">
        <v>2109</v>
      </c>
      <c r="C1531" t="s">
        <v>7</v>
      </c>
      <c r="D1531" t="s">
        <v>14</v>
      </c>
      <c r="E1531" t="s">
        <v>1666</v>
      </c>
    </row>
    <row r="1532" spans="1:6" x14ac:dyDescent="0.25">
      <c r="A1532" t="str">
        <f>"164503899706"</f>
        <v>164503899706</v>
      </c>
      <c r="B1532" t="s">
        <v>2110</v>
      </c>
      <c r="C1532" t="s">
        <v>7</v>
      </c>
      <c r="D1532" t="s">
        <v>14</v>
      </c>
      <c r="E1532" t="s">
        <v>1666</v>
      </c>
    </row>
    <row r="1533" spans="1:6" x14ac:dyDescent="0.25">
      <c r="A1533" t="str">
        <f>"164507357408"</f>
        <v>164507357408</v>
      </c>
      <c r="B1533" t="s">
        <v>2111</v>
      </c>
      <c r="C1533" t="s">
        <v>7</v>
      </c>
      <c r="D1533" t="s">
        <v>14</v>
      </c>
      <c r="E1533" t="s">
        <v>1666</v>
      </c>
    </row>
    <row r="1534" spans="1:6" x14ac:dyDescent="0.25">
      <c r="A1534" t="str">
        <f>"164510888487"</f>
        <v>164510888487</v>
      </c>
      <c r="B1534" t="s">
        <v>2112</v>
      </c>
      <c r="C1534" t="s">
        <v>7</v>
      </c>
      <c r="D1534" t="s">
        <v>14</v>
      </c>
      <c r="E1534" t="s">
        <v>1666</v>
      </c>
    </row>
    <row r="1535" spans="1:6" x14ac:dyDescent="0.25">
      <c r="A1535" t="str">
        <f>"164601264729"</f>
        <v>164601264729</v>
      </c>
      <c r="B1535" t="s">
        <v>2113</v>
      </c>
      <c r="C1535" t="s">
        <v>7</v>
      </c>
      <c r="D1535" t="s">
        <v>12</v>
      </c>
      <c r="E1535" t="s">
        <v>1666</v>
      </c>
    </row>
    <row r="1536" spans="1:6" x14ac:dyDescent="0.25">
      <c r="A1536" t="str">
        <f>"1646014842"</f>
        <v>1646014842</v>
      </c>
      <c r="B1536" t="s">
        <v>2114</v>
      </c>
      <c r="C1536" t="s">
        <v>7</v>
      </c>
      <c r="D1536" t="s">
        <v>12</v>
      </c>
      <c r="E1536" t="s">
        <v>1666</v>
      </c>
      <c r="F1536" t="s">
        <v>2115</v>
      </c>
    </row>
    <row r="1537" spans="1:6" x14ac:dyDescent="0.25">
      <c r="A1537" t="str">
        <f>"164601755685"</f>
        <v>164601755685</v>
      </c>
      <c r="B1537" t="s">
        <v>2116</v>
      </c>
      <c r="C1537" t="s">
        <v>7</v>
      </c>
      <c r="D1537" t="s">
        <v>14</v>
      </c>
      <c r="E1537" t="s">
        <v>1666</v>
      </c>
    </row>
    <row r="1538" spans="1:6" x14ac:dyDescent="0.25">
      <c r="A1538" t="str">
        <f>"164604209571"</f>
        <v>164604209571</v>
      </c>
      <c r="B1538" t="s">
        <v>2117</v>
      </c>
      <c r="C1538" t="s">
        <v>7</v>
      </c>
      <c r="D1538" t="s">
        <v>14</v>
      </c>
      <c r="E1538" t="s">
        <v>1666</v>
      </c>
    </row>
    <row r="1539" spans="1:6" x14ac:dyDescent="0.25">
      <c r="A1539" t="str">
        <f>"164604616640"</f>
        <v>164604616640</v>
      </c>
      <c r="B1539" t="s">
        <v>2118</v>
      </c>
      <c r="C1539" t="s">
        <v>7</v>
      </c>
      <c r="D1539" t="s">
        <v>14</v>
      </c>
      <c r="E1539" t="s">
        <v>1666</v>
      </c>
    </row>
    <row r="1540" spans="1:6" x14ac:dyDescent="0.25">
      <c r="A1540" t="str">
        <f>"1646048457"</f>
        <v>1646048457</v>
      </c>
      <c r="B1540" t="s">
        <v>2119</v>
      </c>
      <c r="C1540" t="s">
        <v>7</v>
      </c>
      <c r="D1540" t="s">
        <v>33</v>
      </c>
      <c r="E1540" t="s">
        <v>1666</v>
      </c>
      <c r="F1540" t="s">
        <v>2120</v>
      </c>
    </row>
    <row r="1541" spans="1:6" x14ac:dyDescent="0.25">
      <c r="A1541" t="str">
        <f>"164607711765"</f>
        <v>164607711765</v>
      </c>
      <c r="B1541" t="s">
        <v>2121</v>
      </c>
      <c r="C1541" t="s">
        <v>7</v>
      </c>
      <c r="D1541" t="s">
        <v>12</v>
      </c>
      <c r="E1541" t="s">
        <v>1666</v>
      </c>
    </row>
    <row r="1542" spans="1:6" x14ac:dyDescent="0.25">
      <c r="A1542" t="str">
        <f>"164700064880"</f>
        <v>164700064880</v>
      </c>
      <c r="B1542" t="s">
        <v>2122</v>
      </c>
      <c r="C1542" t="s">
        <v>7</v>
      </c>
      <c r="D1542" t="s">
        <v>14</v>
      </c>
      <c r="E1542" t="s">
        <v>1666</v>
      </c>
    </row>
    <row r="1543" spans="1:6" x14ac:dyDescent="0.25">
      <c r="A1543" t="str">
        <f>"1648021764"</f>
        <v>1648021764</v>
      </c>
      <c r="B1543" t="s">
        <v>2123</v>
      </c>
      <c r="C1543" t="s">
        <v>7</v>
      </c>
      <c r="D1543" t="s">
        <v>14</v>
      </c>
      <c r="E1543" t="s">
        <v>1666</v>
      </c>
      <c r="F1543" t="s">
        <v>2124</v>
      </c>
    </row>
    <row r="1544" spans="1:6" x14ac:dyDescent="0.25">
      <c r="A1544" t="str">
        <f>"1648043711"</f>
        <v>1648043711</v>
      </c>
      <c r="B1544" t="s">
        <v>2125</v>
      </c>
      <c r="C1544" t="s">
        <v>7</v>
      </c>
      <c r="D1544" t="s">
        <v>14</v>
      </c>
      <c r="E1544" t="s">
        <v>1666</v>
      </c>
      <c r="F1544" t="s">
        <v>2126</v>
      </c>
    </row>
    <row r="1545" spans="1:6" x14ac:dyDescent="0.25">
      <c r="A1545" t="str">
        <f>"164809399806"</f>
        <v>164809399806</v>
      </c>
      <c r="B1545" t="s">
        <v>2127</v>
      </c>
      <c r="C1545" t="s">
        <v>7</v>
      </c>
      <c r="D1545" t="s">
        <v>12</v>
      </c>
      <c r="E1545" t="s">
        <v>1666</v>
      </c>
    </row>
    <row r="1546" spans="1:6" x14ac:dyDescent="0.25">
      <c r="A1546" t="str">
        <f>"164900093101"</f>
        <v>164900093101</v>
      </c>
      <c r="B1546" t="s">
        <v>2128</v>
      </c>
      <c r="C1546" t="s">
        <v>7</v>
      </c>
      <c r="D1546" t="s">
        <v>14</v>
      </c>
      <c r="E1546" t="s">
        <v>1666</v>
      </c>
    </row>
    <row r="1547" spans="1:6" x14ac:dyDescent="0.25">
      <c r="A1547" t="str">
        <f>"164905204697"</f>
        <v>164905204697</v>
      </c>
      <c r="B1547" t="s">
        <v>2129</v>
      </c>
      <c r="C1547" t="s">
        <v>7</v>
      </c>
      <c r="D1547" t="s">
        <v>14</v>
      </c>
      <c r="E1547" t="s">
        <v>1666</v>
      </c>
    </row>
    <row r="1548" spans="1:6" x14ac:dyDescent="0.25">
      <c r="A1548" t="str">
        <f>"164908489970"</f>
        <v>164908489970</v>
      </c>
      <c r="B1548" t="s">
        <v>2130</v>
      </c>
      <c r="C1548" t="s">
        <v>7</v>
      </c>
      <c r="D1548" t="s">
        <v>14</v>
      </c>
      <c r="E1548" t="s">
        <v>1666</v>
      </c>
    </row>
    <row r="1549" spans="1:6" x14ac:dyDescent="0.25">
      <c r="A1549" t="str">
        <f>"164909521305"</f>
        <v>164909521305</v>
      </c>
      <c r="B1549" t="s">
        <v>2131</v>
      </c>
      <c r="C1549" t="s">
        <v>7</v>
      </c>
      <c r="D1549" t="s">
        <v>14</v>
      </c>
      <c r="E1549" t="s">
        <v>1666</v>
      </c>
    </row>
    <row r="1550" spans="1:6" x14ac:dyDescent="0.25">
      <c r="A1550" t="str">
        <f>"165002140300"</f>
        <v>165002140300</v>
      </c>
      <c r="B1550" t="s">
        <v>2132</v>
      </c>
      <c r="C1550" t="s">
        <v>7</v>
      </c>
      <c r="D1550" t="s">
        <v>14</v>
      </c>
      <c r="E1550" t="s">
        <v>1666</v>
      </c>
    </row>
    <row r="1551" spans="1:6" x14ac:dyDescent="0.25">
      <c r="A1551" t="str">
        <f>"165002201538"</f>
        <v>165002201538</v>
      </c>
      <c r="B1551" t="s">
        <v>2133</v>
      </c>
      <c r="C1551" t="s">
        <v>7</v>
      </c>
      <c r="D1551" t="s">
        <v>12</v>
      </c>
      <c r="E1551" t="s">
        <v>1666</v>
      </c>
    </row>
    <row r="1552" spans="1:6" x14ac:dyDescent="0.25">
      <c r="A1552" t="str">
        <f>"1650024530"</f>
        <v>1650024530</v>
      </c>
      <c r="B1552" t="s">
        <v>2134</v>
      </c>
      <c r="C1552" t="s">
        <v>7</v>
      </c>
      <c r="D1552" t="s">
        <v>14</v>
      </c>
      <c r="E1552" t="s">
        <v>1666</v>
      </c>
      <c r="F1552" t="s">
        <v>2135</v>
      </c>
    </row>
    <row r="1553" spans="1:6" x14ac:dyDescent="0.25">
      <c r="A1553" t="str">
        <f>"165002820224"</f>
        <v>165002820224</v>
      </c>
      <c r="B1553" t="s">
        <v>2136</v>
      </c>
      <c r="C1553" t="s">
        <v>7</v>
      </c>
      <c r="D1553" t="s">
        <v>14</v>
      </c>
      <c r="E1553" t="s">
        <v>1666</v>
      </c>
    </row>
    <row r="1554" spans="1:6" x14ac:dyDescent="0.25">
      <c r="A1554" t="str">
        <f>"165003147643"</f>
        <v>165003147643</v>
      </c>
      <c r="B1554" t="s">
        <v>2137</v>
      </c>
      <c r="C1554" t="s">
        <v>7</v>
      </c>
      <c r="D1554" t="s">
        <v>14</v>
      </c>
      <c r="E1554" t="s">
        <v>1666</v>
      </c>
    </row>
    <row r="1555" spans="1:6" x14ac:dyDescent="0.25">
      <c r="A1555" t="str">
        <f>"1650068858"</f>
        <v>1650068858</v>
      </c>
      <c r="B1555" t="s">
        <v>2138</v>
      </c>
      <c r="C1555" t="s">
        <v>7</v>
      </c>
      <c r="D1555" t="s">
        <v>33</v>
      </c>
      <c r="E1555" t="s">
        <v>1666</v>
      </c>
      <c r="F1555" t="s">
        <v>2139</v>
      </c>
    </row>
    <row r="1556" spans="1:6" x14ac:dyDescent="0.25">
      <c r="A1556" t="str">
        <f>"1650096125"</f>
        <v>1650096125</v>
      </c>
      <c r="B1556" t="s">
        <v>2140</v>
      </c>
      <c r="C1556" t="s">
        <v>7</v>
      </c>
      <c r="D1556" t="s">
        <v>33</v>
      </c>
      <c r="E1556" t="s">
        <v>1666</v>
      </c>
      <c r="F1556" t="s">
        <v>2141</v>
      </c>
    </row>
    <row r="1557" spans="1:6" x14ac:dyDescent="0.25">
      <c r="A1557" t="str">
        <f>"165010851089"</f>
        <v>165010851089</v>
      </c>
      <c r="B1557" t="s">
        <v>2142</v>
      </c>
      <c r="C1557" t="s">
        <v>7</v>
      </c>
      <c r="D1557" t="s">
        <v>12</v>
      </c>
      <c r="E1557" t="s">
        <v>1666</v>
      </c>
    </row>
    <row r="1558" spans="1:6" x14ac:dyDescent="0.25">
      <c r="A1558" t="str">
        <f>"1650116170"</f>
        <v>1650116170</v>
      </c>
      <c r="B1558" t="s">
        <v>2143</v>
      </c>
      <c r="C1558" t="s">
        <v>7</v>
      </c>
      <c r="D1558" t="s">
        <v>12</v>
      </c>
      <c r="E1558" t="s">
        <v>1666</v>
      </c>
      <c r="F1558" t="s">
        <v>2144</v>
      </c>
    </row>
    <row r="1559" spans="1:6" x14ac:dyDescent="0.25">
      <c r="A1559" t="str">
        <f>"1650168122"</f>
        <v>1650168122</v>
      </c>
      <c r="B1559" t="s">
        <v>2145</v>
      </c>
      <c r="C1559" t="s">
        <v>7</v>
      </c>
      <c r="D1559" t="s">
        <v>33</v>
      </c>
      <c r="E1559" t="s">
        <v>1666</v>
      </c>
      <c r="F1559" t="s">
        <v>2146</v>
      </c>
    </row>
    <row r="1560" spans="1:6" x14ac:dyDescent="0.25">
      <c r="A1560" t="str">
        <f>"1650223983"</f>
        <v>1650223983</v>
      </c>
      <c r="B1560" t="s">
        <v>2147</v>
      </c>
      <c r="C1560" t="s">
        <v>7</v>
      </c>
      <c r="D1560" t="s">
        <v>33</v>
      </c>
      <c r="E1560" t="s">
        <v>1666</v>
      </c>
      <c r="F1560" t="s">
        <v>2148</v>
      </c>
    </row>
    <row r="1561" spans="1:6" x14ac:dyDescent="0.25">
      <c r="A1561" t="str">
        <f>"1650247462"</f>
        <v>1650247462</v>
      </c>
      <c r="B1561" t="s">
        <v>2149</v>
      </c>
      <c r="C1561" t="s">
        <v>7</v>
      </c>
      <c r="D1561" t="s">
        <v>12</v>
      </c>
      <c r="E1561" t="s">
        <v>1666</v>
      </c>
      <c r="F1561" t="s">
        <v>2150</v>
      </c>
    </row>
    <row r="1562" spans="1:6" x14ac:dyDescent="0.25">
      <c r="A1562" t="str">
        <f>"1650284094"</f>
        <v>1650284094</v>
      </c>
      <c r="B1562" t="s">
        <v>2151</v>
      </c>
      <c r="C1562" t="s">
        <v>7</v>
      </c>
      <c r="D1562" t="s">
        <v>14</v>
      </c>
      <c r="E1562" t="s">
        <v>1666</v>
      </c>
      <c r="F1562" t="s">
        <v>2152</v>
      </c>
    </row>
    <row r="1563" spans="1:6" x14ac:dyDescent="0.25">
      <c r="A1563" t="str">
        <f>"1650304858"</f>
        <v>1650304858</v>
      </c>
      <c r="B1563" t="s">
        <v>2153</v>
      </c>
      <c r="C1563" t="s">
        <v>7</v>
      </c>
      <c r="D1563" t="s">
        <v>33</v>
      </c>
      <c r="E1563" t="s">
        <v>1666</v>
      </c>
      <c r="F1563" t="s">
        <v>2154</v>
      </c>
    </row>
    <row r="1564" spans="1:6" x14ac:dyDescent="0.25">
      <c r="A1564" t="str">
        <f>"1650307496"</f>
        <v>1650307496</v>
      </c>
      <c r="B1564" t="s">
        <v>2155</v>
      </c>
      <c r="C1564" t="s">
        <v>7</v>
      </c>
      <c r="D1564" t="s">
        <v>12</v>
      </c>
      <c r="E1564" t="s">
        <v>1666</v>
      </c>
      <c r="F1564" t="s">
        <v>2156</v>
      </c>
    </row>
    <row r="1565" spans="1:6" x14ac:dyDescent="0.25">
      <c r="A1565" t="str">
        <f>"1650322310"</f>
        <v>1650322310</v>
      </c>
      <c r="B1565" t="s">
        <v>2157</v>
      </c>
      <c r="C1565" t="s">
        <v>7</v>
      </c>
      <c r="D1565" t="s">
        <v>674</v>
      </c>
      <c r="E1565" t="s">
        <v>1666</v>
      </c>
      <c r="F1565" t="s">
        <v>2158</v>
      </c>
    </row>
    <row r="1566" spans="1:6" x14ac:dyDescent="0.25">
      <c r="A1566" t="str">
        <f>"1650343857"</f>
        <v>1650343857</v>
      </c>
      <c r="B1566" t="s">
        <v>2159</v>
      </c>
      <c r="C1566" t="s">
        <v>7</v>
      </c>
      <c r="D1566" t="s">
        <v>14</v>
      </c>
      <c r="E1566" t="s">
        <v>1666</v>
      </c>
      <c r="F1566" t="s">
        <v>2160</v>
      </c>
    </row>
    <row r="1567" spans="1:6" x14ac:dyDescent="0.25">
      <c r="A1567" t="str">
        <f>"1650350283"</f>
        <v>1650350283</v>
      </c>
      <c r="B1567" t="s">
        <v>2161</v>
      </c>
      <c r="C1567" t="s">
        <v>7</v>
      </c>
      <c r="D1567" t="s">
        <v>12</v>
      </c>
      <c r="E1567" t="s">
        <v>1666</v>
      </c>
      <c r="F1567" t="s">
        <v>2162</v>
      </c>
    </row>
    <row r="1568" spans="1:6" x14ac:dyDescent="0.25">
      <c r="A1568" t="str">
        <f>"1650356302"</f>
        <v>1650356302</v>
      </c>
      <c r="B1568" t="s">
        <v>2163</v>
      </c>
      <c r="C1568" t="s">
        <v>7</v>
      </c>
      <c r="D1568" t="s">
        <v>33</v>
      </c>
      <c r="E1568" t="s">
        <v>1666</v>
      </c>
      <c r="F1568" t="s">
        <v>2164</v>
      </c>
    </row>
    <row r="1569" spans="1:6" x14ac:dyDescent="0.25">
      <c r="A1569" t="str">
        <f>"165035672109"</f>
        <v>165035672109</v>
      </c>
      <c r="B1569" t="s">
        <v>2165</v>
      </c>
      <c r="C1569" t="s">
        <v>7</v>
      </c>
      <c r="D1569" t="s">
        <v>12</v>
      </c>
      <c r="E1569" t="s">
        <v>1666</v>
      </c>
    </row>
    <row r="1570" spans="1:6" x14ac:dyDescent="0.25">
      <c r="A1570" t="str">
        <f>"1650361447"</f>
        <v>1650361447</v>
      </c>
      <c r="B1570" t="s">
        <v>2166</v>
      </c>
      <c r="C1570" t="s">
        <v>7</v>
      </c>
      <c r="D1570" t="s">
        <v>14</v>
      </c>
      <c r="E1570" t="s">
        <v>1666</v>
      </c>
      <c r="F1570" t="s">
        <v>2167</v>
      </c>
    </row>
    <row r="1571" spans="1:6" x14ac:dyDescent="0.25">
      <c r="A1571" t="str">
        <f>"1650367142"</f>
        <v>1650367142</v>
      </c>
      <c r="B1571" t="s">
        <v>2168</v>
      </c>
      <c r="C1571" t="s">
        <v>7</v>
      </c>
      <c r="D1571" t="s">
        <v>12</v>
      </c>
      <c r="E1571" t="s">
        <v>1666</v>
      </c>
      <c r="F1571" t="s">
        <v>2169</v>
      </c>
    </row>
    <row r="1572" spans="1:6" x14ac:dyDescent="0.25">
      <c r="A1572" t="str">
        <f>"1650394668"</f>
        <v>1650394668</v>
      </c>
      <c r="B1572" t="s">
        <v>2170</v>
      </c>
      <c r="C1572" t="s">
        <v>7</v>
      </c>
      <c r="D1572" t="s">
        <v>8</v>
      </c>
      <c r="E1572" t="s">
        <v>1666</v>
      </c>
      <c r="F1572" t="s">
        <v>2171</v>
      </c>
    </row>
    <row r="1573" spans="1:6" x14ac:dyDescent="0.25">
      <c r="A1573" t="str">
        <f>"1650398172"</f>
        <v>1650398172</v>
      </c>
      <c r="B1573" t="s">
        <v>2172</v>
      </c>
      <c r="C1573" t="s">
        <v>7</v>
      </c>
      <c r="D1573" t="s">
        <v>674</v>
      </c>
      <c r="E1573" t="s">
        <v>1666</v>
      </c>
      <c r="F1573" t="s">
        <v>2173</v>
      </c>
    </row>
    <row r="1574" spans="1:6" x14ac:dyDescent="0.25">
      <c r="A1574" t="str">
        <f>"1650398373"</f>
        <v>1650398373</v>
      </c>
      <c r="B1574" t="s">
        <v>2174</v>
      </c>
      <c r="C1574" t="s">
        <v>7</v>
      </c>
      <c r="D1574" t="s">
        <v>12</v>
      </c>
      <c r="E1574" t="s">
        <v>1666</v>
      </c>
      <c r="F1574" t="s">
        <v>2175</v>
      </c>
    </row>
    <row r="1575" spans="1:6" x14ac:dyDescent="0.25">
      <c r="A1575" t="str">
        <f>"1650400720"</f>
        <v>1650400720</v>
      </c>
      <c r="B1575" t="s">
        <v>2176</v>
      </c>
      <c r="C1575" t="s">
        <v>7</v>
      </c>
      <c r="D1575" t="s">
        <v>33</v>
      </c>
      <c r="E1575" t="s">
        <v>1666</v>
      </c>
      <c r="F1575" t="s">
        <v>2177</v>
      </c>
    </row>
    <row r="1576" spans="1:6" x14ac:dyDescent="0.25">
      <c r="A1576" t="str">
        <f>"1650413906"</f>
        <v>1650413906</v>
      </c>
      <c r="B1576" t="s">
        <v>2178</v>
      </c>
      <c r="C1576" t="s">
        <v>7</v>
      </c>
      <c r="D1576" t="s">
        <v>28</v>
      </c>
      <c r="E1576" t="s">
        <v>1666</v>
      </c>
      <c r="F1576" t="s">
        <v>2179</v>
      </c>
    </row>
    <row r="1577" spans="1:6" x14ac:dyDescent="0.25">
      <c r="A1577" t="str">
        <f>"1650416520"</f>
        <v>1650416520</v>
      </c>
      <c r="B1577" t="s">
        <v>2180</v>
      </c>
      <c r="C1577" t="s">
        <v>7</v>
      </c>
      <c r="D1577" t="s">
        <v>33</v>
      </c>
      <c r="E1577" t="s">
        <v>1666</v>
      </c>
      <c r="F1577" t="s">
        <v>2181</v>
      </c>
    </row>
    <row r="1578" spans="1:6" x14ac:dyDescent="0.25">
      <c r="A1578" t="str">
        <f>"1650426750"</f>
        <v>1650426750</v>
      </c>
      <c r="B1578" t="s">
        <v>2182</v>
      </c>
      <c r="C1578" t="s">
        <v>7</v>
      </c>
      <c r="D1578" t="s">
        <v>14</v>
      </c>
      <c r="E1578" t="s">
        <v>1666</v>
      </c>
      <c r="F1578" t="s">
        <v>2183</v>
      </c>
    </row>
    <row r="1579" spans="1:6" x14ac:dyDescent="0.25">
      <c r="A1579" t="str">
        <f>"1650431951"</f>
        <v>1650431951</v>
      </c>
      <c r="B1579" t="s">
        <v>2184</v>
      </c>
      <c r="C1579" t="s">
        <v>7</v>
      </c>
      <c r="D1579" t="s">
        <v>33</v>
      </c>
      <c r="E1579" t="s">
        <v>1666</v>
      </c>
      <c r="F1579" t="s">
        <v>2185</v>
      </c>
    </row>
    <row r="1580" spans="1:6" x14ac:dyDescent="0.25">
      <c r="A1580" t="str">
        <f>"165043505239"</f>
        <v>165043505239</v>
      </c>
      <c r="B1580" t="s">
        <v>2186</v>
      </c>
      <c r="C1580" t="s">
        <v>7</v>
      </c>
      <c r="D1580" t="s">
        <v>33</v>
      </c>
      <c r="E1580" t="s">
        <v>1666</v>
      </c>
    </row>
    <row r="1581" spans="1:6" x14ac:dyDescent="0.25">
      <c r="A1581" t="str">
        <f>"1650436678"</f>
        <v>1650436678</v>
      </c>
      <c r="B1581" t="s">
        <v>2187</v>
      </c>
      <c r="C1581" t="s">
        <v>7</v>
      </c>
      <c r="D1581" t="s">
        <v>12</v>
      </c>
      <c r="E1581" t="s">
        <v>1666</v>
      </c>
      <c r="F1581" t="s">
        <v>2188</v>
      </c>
    </row>
    <row r="1582" spans="1:6" x14ac:dyDescent="0.25">
      <c r="A1582" t="str">
        <f>"165043903409"</f>
        <v>165043903409</v>
      </c>
      <c r="B1582" t="s">
        <v>2189</v>
      </c>
      <c r="C1582" t="s">
        <v>7</v>
      </c>
      <c r="D1582" t="s">
        <v>14</v>
      </c>
      <c r="E1582" t="s">
        <v>1666</v>
      </c>
    </row>
    <row r="1583" spans="1:6" x14ac:dyDescent="0.25">
      <c r="A1583" t="str">
        <f>"165056755317"</f>
        <v>165056755317</v>
      </c>
      <c r="B1583" t="s">
        <v>2190</v>
      </c>
      <c r="C1583" t="s">
        <v>7</v>
      </c>
      <c r="D1583" t="s">
        <v>28</v>
      </c>
      <c r="E1583" t="s">
        <v>1666</v>
      </c>
    </row>
    <row r="1584" spans="1:6" x14ac:dyDescent="0.25">
      <c r="A1584" t="str">
        <f>"165062241616"</f>
        <v>165062241616</v>
      </c>
      <c r="B1584" t="s">
        <v>2191</v>
      </c>
      <c r="C1584" t="s">
        <v>7</v>
      </c>
      <c r="D1584" t="s">
        <v>12</v>
      </c>
      <c r="E1584" t="s">
        <v>1666</v>
      </c>
    </row>
    <row r="1585" spans="1:6" x14ac:dyDescent="0.25">
      <c r="A1585" t="str">
        <f>"1651030600"</f>
        <v>1651030600</v>
      </c>
      <c r="B1585" t="s">
        <v>2192</v>
      </c>
      <c r="C1585" t="s">
        <v>7</v>
      </c>
      <c r="D1585" t="s">
        <v>98</v>
      </c>
      <c r="E1585" t="s">
        <v>1666</v>
      </c>
      <c r="F1585" t="s">
        <v>2193</v>
      </c>
    </row>
    <row r="1586" spans="1:6" x14ac:dyDescent="0.25">
      <c r="A1586" t="str">
        <f>"1651063813"</f>
        <v>1651063813</v>
      </c>
      <c r="B1586" t="s">
        <v>2194</v>
      </c>
      <c r="C1586" t="s">
        <v>7</v>
      </c>
      <c r="D1586" t="s">
        <v>12</v>
      </c>
      <c r="E1586" t="s">
        <v>1666</v>
      </c>
      <c r="F1586" t="s">
        <v>2195</v>
      </c>
    </row>
    <row r="1587" spans="1:6" x14ac:dyDescent="0.25">
      <c r="A1587" t="str">
        <f>"165123011676"</f>
        <v>165123011676</v>
      </c>
      <c r="B1587" t="s">
        <v>2196</v>
      </c>
      <c r="C1587" t="s">
        <v>7</v>
      </c>
      <c r="D1587" t="s">
        <v>460</v>
      </c>
      <c r="E1587" t="s">
        <v>1666</v>
      </c>
    </row>
    <row r="1588" spans="1:6" x14ac:dyDescent="0.25">
      <c r="A1588" t="str">
        <f>"165207706770"</f>
        <v>165207706770</v>
      </c>
      <c r="B1588" t="s">
        <v>2197</v>
      </c>
      <c r="C1588" t="s">
        <v>7</v>
      </c>
      <c r="D1588" t="s">
        <v>14</v>
      </c>
      <c r="E1588" t="s">
        <v>1666</v>
      </c>
    </row>
    <row r="1589" spans="1:6" x14ac:dyDescent="0.25">
      <c r="A1589" t="str">
        <f>"1655272751"</f>
        <v>1655272751</v>
      </c>
      <c r="B1589" t="s">
        <v>2198</v>
      </c>
      <c r="C1589" t="s">
        <v>7</v>
      </c>
      <c r="D1589" t="s">
        <v>12</v>
      </c>
      <c r="E1589" t="s">
        <v>1666</v>
      </c>
      <c r="F1589" t="s">
        <v>2199</v>
      </c>
    </row>
    <row r="1590" spans="1:6" x14ac:dyDescent="0.25">
      <c r="A1590" t="str">
        <f>"1655394020"</f>
        <v>1655394020</v>
      </c>
      <c r="B1590" t="s">
        <v>2200</v>
      </c>
      <c r="C1590" t="s">
        <v>7</v>
      </c>
      <c r="D1590" t="s">
        <v>674</v>
      </c>
      <c r="E1590" t="s">
        <v>1666</v>
      </c>
      <c r="F1590" t="s">
        <v>2201</v>
      </c>
    </row>
    <row r="1591" spans="1:6" x14ac:dyDescent="0.25">
      <c r="A1591" t="str">
        <f>"1655462840"</f>
        <v>1655462840</v>
      </c>
      <c r="B1591" t="s">
        <v>2202</v>
      </c>
      <c r="C1591" t="s">
        <v>7</v>
      </c>
      <c r="D1591" t="s">
        <v>33</v>
      </c>
      <c r="E1591" t="s">
        <v>1666</v>
      </c>
      <c r="F1591" t="s">
        <v>2203</v>
      </c>
    </row>
    <row r="1592" spans="1:6" x14ac:dyDescent="0.25">
      <c r="A1592" t="str">
        <f>"1655474966"</f>
        <v>1655474966</v>
      </c>
      <c r="B1592" t="s">
        <v>2204</v>
      </c>
      <c r="C1592" t="s">
        <v>7</v>
      </c>
      <c r="D1592" t="s">
        <v>33</v>
      </c>
      <c r="E1592" t="s">
        <v>1666</v>
      </c>
      <c r="F1592" t="s">
        <v>2205</v>
      </c>
    </row>
    <row r="1593" spans="1:6" x14ac:dyDescent="0.25">
      <c r="A1593" t="str">
        <f>"1655176007"</f>
        <v>1655176007</v>
      </c>
      <c r="B1593" t="s">
        <v>2206</v>
      </c>
      <c r="C1593" t="s">
        <v>7</v>
      </c>
      <c r="D1593" t="s">
        <v>14</v>
      </c>
      <c r="E1593" t="s">
        <v>1666</v>
      </c>
      <c r="F1593" t="s">
        <v>2207</v>
      </c>
    </row>
    <row r="1594" spans="1:6" x14ac:dyDescent="0.25">
      <c r="A1594" t="str">
        <f>"1655362317"</f>
        <v>1655362317</v>
      </c>
      <c r="B1594" t="s">
        <v>2208</v>
      </c>
      <c r="C1594" t="s">
        <v>7</v>
      </c>
      <c r="D1594" t="s">
        <v>33</v>
      </c>
      <c r="E1594" t="s">
        <v>1666</v>
      </c>
      <c r="F1594" t="s">
        <v>2209</v>
      </c>
    </row>
    <row r="1595" spans="1:6" x14ac:dyDescent="0.25">
      <c r="A1595" t="str">
        <f>"1655377722"</f>
        <v>1655377722</v>
      </c>
      <c r="B1595" t="s">
        <v>2210</v>
      </c>
      <c r="C1595" t="s">
        <v>7</v>
      </c>
      <c r="D1595" t="s">
        <v>14</v>
      </c>
      <c r="E1595" t="s">
        <v>1666</v>
      </c>
      <c r="F1595" t="s">
        <v>2211</v>
      </c>
    </row>
    <row r="1596" spans="1:6" x14ac:dyDescent="0.25">
      <c r="A1596" t="str">
        <f>"1655378074"</f>
        <v>1655378074</v>
      </c>
      <c r="B1596" t="s">
        <v>2212</v>
      </c>
      <c r="C1596" t="s">
        <v>7</v>
      </c>
      <c r="D1596" t="s">
        <v>33</v>
      </c>
      <c r="E1596" t="s">
        <v>1666</v>
      </c>
      <c r="F1596" t="s">
        <v>2213</v>
      </c>
    </row>
    <row r="1597" spans="1:6" x14ac:dyDescent="0.25">
      <c r="A1597" t="str">
        <f>"1655453500"</f>
        <v>1655453500</v>
      </c>
      <c r="B1597" t="s">
        <v>2214</v>
      </c>
      <c r="C1597" t="s">
        <v>7</v>
      </c>
      <c r="D1597" t="s">
        <v>146</v>
      </c>
      <c r="E1597" t="s">
        <v>1666</v>
      </c>
      <c r="F1597" t="s">
        <v>2215</v>
      </c>
    </row>
    <row r="1598" spans="1:6" x14ac:dyDescent="0.25">
      <c r="A1598" t="str">
        <f>"1655500670"</f>
        <v>1655500670</v>
      </c>
      <c r="B1598" t="s">
        <v>2216</v>
      </c>
      <c r="C1598" t="s">
        <v>7</v>
      </c>
      <c r="D1598" t="s">
        <v>33</v>
      </c>
      <c r="E1598" t="s">
        <v>1666</v>
      </c>
      <c r="F1598" t="s">
        <v>2217</v>
      </c>
    </row>
    <row r="1599" spans="1:6" x14ac:dyDescent="0.25">
      <c r="A1599" t="str">
        <f>"1656023236"</f>
        <v>1656023236</v>
      </c>
      <c r="B1599" t="s">
        <v>2218</v>
      </c>
      <c r="C1599" t="s">
        <v>7</v>
      </c>
      <c r="D1599" t="s">
        <v>33</v>
      </c>
      <c r="E1599" t="s">
        <v>1666</v>
      </c>
      <c r="F1599" t="s">
        <v>2219</v>
      </c>
    </row>
    <row r="1600" spans="1:6" x14ac:dyDescent="0.25">
      <c r="A1600" t="str">
        <f>"1656024448"</f>
        <v>1656024448</v>
      </c>
      <c r="B1600" t="s">
        <v>2220</v>
      </c>
      <c r="C1600" t="s">
        <v>7</v>
      </c>
      <c r="D1600" t="s">
        <v>12</v>
      </c>
      <c r="E1600" t="s">
        <v>1666</v>
      </c>
      <c r="F1600" t="s">
        <v>2221</v>
      </c>
    </row>
    <row r="1601" spans="1:6" x14ac:dyDescent="0.25">
      <c r="A1601" t="str">
        <f>"1656116184"</f>
        <v>1656116184</v>
      </c>
      <c r="B1601" t="s">
        <v>2222</v>
      </c>
      <c r="C1601" t="s">
        <v>7</v>
      </c>
      <c r="D1601" t="s">
        <v>33</v>
      </c>
      <c r="E1601" t="s">
        <v>1666</v>
      </c>
      <c r="F1601" t="s">
        <v>2223</v>
      </c>
    </row>
    <row r="1602" spans="1:6" x14ac:dyDescent="0.25">
      <c r="A1602" t="str">
        <f>"165700434204"</f>
        <v>165700434204</v>
      </c>
      <c r="B1602" t="s">
        <v>2224</v>
      </c>
      <c r="C1602" t="s">
        <v>7</v>
      </c>
      <c r="D1602" t="s">
        <v>14</v>
      </c>
      <c r="E1602" t="s">
        <v>1666</v>
      </c>
    </row>
    <row r="1603" spans="1:6" x14ac:dyDescent="0.25">
      <c r="A1603" t="str">
        <f>"165700696506"</f>
        <v>165700696506</v>
      </c>
      <c r="B1603" t="s">
        <v>2225</v>
      </c>
      <c r="C1603" t="s">
        <v>7</v>
      </c>
      <c r="D1603" t="s">
        <v>12</v>
      </c>
      <c r="E1603" t="s">
        <v>1666</v>
      </c>
    </row>
    <row r="1604" spans="1:6" x14ac:dyDescent="0.25">
      <c r="A1604" t="str">
        <f>"165700730796"</f>
        <v>165700730796</v>
      </c>
      <c r="B1604" t="s">
        <v>2226</v>
      </c>
      <c r="C1604" t="s">
        <v>7</v>
      </c>
      <c r="D1604" t="s">
        <v>14</v>
      </c>
      <c r="E1604" t="s">
        <v>1666</v>
      </c>
    </row>
    <row r="1605" spans="1:6" x14ac:dyDescent="0.25">
      <c r="A1605" t="str">
        <f>"1657036414"</f>
        <v>1657036414</v>
      </c>
      <c r="B1605" t="s">
        <v>2227</v>
      </c>
      <c r="C1605" t="s">
        <v>7</v>
      </c>
      <c r="D1605" t="s">
        <v>14</v>
      </c>
      <c r="E1605" t="s">
        <v>1666</v>
      </c>
      <c r="F1605" t="s">
        <v>2228</v>
      </c>
    </row>
    <row r="1606" spans="1:6" x14ac:dyDescent="0.25">
      <c r="A1606" t="str">
        <f>"1657036630"</f>
        <v>1657036630</v>
      </c>
      <c r="B1606" t="s">
        <v>2229</v>
      </c>
      <c r="C1606" t="s">
        <v>7</v>
      </c>
      <c r="D1606" t="s">
        <v>14</v>
      </c>
      <c r="E1606" t="s">
        <v>1666</v>
      </c>
      <c r="F1606" t="s">
        <v>2230</v>
      </c>
    </row>
    <row r="1607" spans="1:6" x14ac:dyDescent="0.25">
      <c r="A1607" t="str">
        <f>"165713266853"</f>
        <v>165713266853</v>
      </c>
      <c r="B1607" t="s">
        <v>2231</v>
      </c>
      <c r="C1607" t="s">
        <v>7</v>
      </c>
      <c r="D1607" t="s">
        <v>14</v>
      </c>
      <c r="E1607" t="s">
        <v>1666</v>
      </c>
    </row>
    <row r="1608" spans="1:6" x14ac:dyDescent="0.25">
      <c r="A1608" t="str">
        <f>"165713691671"</f>
        <v>165713691671</v>
      </c>
      <c r="B1608" t="s">
        <v>2232</v>
      </c>
      <c r="C1608" t="s">
        <v>7</v>
      </c>
      <c r="D1608" t="s">
        <v>14</v>
      </c>
      <c r="E1608" t="s">
        <v>1666</v>
      </c>
    </row>
    <row r="1609" spans="1:6" x14ac:dyDescent="0.25">
      <c r="A1609" t="str">
        <f>"165716300904"</f>
        <v>165716300904</v>
      </c>
      <c r="B1609" t="s">
        <v>2233</v>
      </c>
      <c r="C1609" t="s">
        <v>7</v>
      </c>
      <c r="D1609" t="s">
        <v>460</v>
      </c>
      <c r="E1609" t="s">
        <v>1666</v>
      </c>
    </row>
    <row r="1610" spans="1:6" x14ac:dyDescent="0.25">
      <c r="A1610" t="str">
        <f>"165717230015"</f>
        <v>165717230015</v>
      </c>
      <c r="B1610" t="s">
        <v>2234</v>
      </c>
      <c r="C1610" t="s">
        <v>7</v>
      </c>
      <c r="D1610" t="s">
        <v>33</v>
      </c>
      <c r="E1610" t="s">
        <v>1666</v>
      </c>
    </row>
    <row r="1611" spans="1:6" x14ac:dyDescent="0.25">
      <c r="A1611" t="str">
        <f>"1657222717"</f>
        <v>1657222717</v>
      </c>
      <c r="B1611" t="s">
        <v>2235</v>
      </c>
      <c r="C1611" t="s">
        <v>7</v>
      </c>
      <c r="D1611" t="s">
        <v>14</v>
      </c>
      <c r="E1611" t="s">
        <v>1666</v>
      </c>
      <c r="F1611" t="s">
        <v>2236</v>
      </c>
    </row>
    <row r="1612" spans="1:6" x14ac:dyDescent="0.25">
      <c r="A1612" t="str">
        <f>"1657232793"</f>
        <v>1657232793</v>
      </c>
      <c r="B1612" t="s">
        <v>2237</v>
      </c>
      <c r="C1612" t="s">
        <v>7</v>
      </c>
      <c r="D1612" t="s">
        <v>12</v>
      </c>
      <c r="E1612" t="s">
        <v>1666</v>
      </c>
      <c r="F1612" t="s">
        <v>2238</v>
      </c>
    </row>
    <row r="1613" spans="1:6" x14ac:dyDescent="0.25">
      <c r="A1613" t="str">
        <f>"1657238393"</f>
        <v>1657238393</v>
      </c>
      <c r="B1613" t="s">
        <v>2239</v>
      </c>
      <c r="C1613" t="s">
        <v>7</v>
      </c>
      <c r="D1613" t="s">
        <v>14</v>
      </c>
      <c r="E1613" t="s">
        <v>1666</v>
      </c>
      <c r="F1613" t="s">
        <v>2240</v>
      </c>
    </row>
    <row r="1614" spans="1:6" x14ac:dyDescent="0.25">
      <c r="A1614" t="str">
        <f>"1657251940"</f>
        <v>1657251940</v>
      </c>
      <c r="B1614" t="s">
        <v>2241</v>
      </c>
      <c r="C1614" t="s">
        <v>7</v>
      </c>
      <c r="D1614" t="s">
        <v>33</v>
      </c>
      <c r="E1614" t="s">
        <v>1666</v>
      </c>
      <c r="F1614" t="s">
        <v>2242</v>
      </c>
    </row>
    <row r="1615" spans="1:6" x14ac:dyDescent="0.25">
      <c r="A1615" t="str">
        <f>"165804994514"</f>
        <v>165804994514</v>
      </c>
      <c r="B1615" t="s">
        <v>2243</v>
      </c>
      <c r="C1615" t="s">
        <v>7</v>
      </c>
      <c r="D1615" t="s">
        <v>12</v>
      </c>
      <c r="E1615" t="s">
        <v>1666</v>
      </c>
    </row>
    <row r="1616" spans="1:6" x14ac:dyDescent="0.25">
      <c r="A1616" t="str">
        <f>"1658138017"</f>
        <v>1658138017</v>
      </c>
      <c r="B1616" t="s">
        <v>2244</v>
      </c>
      <c r="C1616" t="s">
        <v>7</v>
      </c>
      <c r="D1616" t="s">
        <v>33</v>
      </c>
      <c r="E1616" t="s">
        <v>1666</v>
      </c>
      <c r="F1616" t="s">
        <v>2245</v>
      </c>
    </row>
    <row r="1617" spans="1:6" x14ac:dyDescent="0.25">
      <c r="A1617" t="str">
        <f>"1658218632"</f>
        <v>1658218632</v>
      </c>
      <c r="B1617" t="s">
        <v>2246</v>
      </c>
      <c r="C1617" t="s">
        <v>7</v>
      </c>
      <c r="D1617" t="s">
        <v>12</v>
      </c>
      <c r="E1617" t="s">
        <v>1666</v>
      </c>
      <c r="F1617" t="s">
        <v>2247</v>
      </c>
    </row>
    <row r="1618" spans="1:6" x14ac:dyDescent="0.25">
      <c r="A1618" t="str">
        <f>"1658252111"</f>
        <v>1658252111</v>
      </c>
      <c r="B1618" t="s">
        <v>2248</v>
      </c>
      <c r="C1618" t="s">
        <v>7</v>
      </c>
      <c r="D1618" t="s">
        <v>12</v>
      </c>
      <c r="E1618" t="s">
        <v>1666</v>
      </c>
      <c r="F1618" t="s">
        <v>2249</v>
      </c>
    </row>
    <row r="1619" spans="1:6" x14ac:dyDescent="0.25">
      <c r="A1619" t="str">
        <f>"165900121872"</f>
        <v>165900121872</v>
      </c>
      <c r="B1619" t="s">
        <v>2250</v>
      </c>
      <c r="C1619" t="s">
        <v>7</v>
      </c>
      <c r="D1619" t="s">
        <v>14</v>
      </c>
      <c r="E1619" t="s">
        <v>1666</v>
      </c>
    </row>
    <row r="1620" spans="1:6" x14ac:dyDescent="0.25">
      <c r="A1620" t="str">
        <f>"1659149420"</f>
        <v>1659149420</v>
      </c>
      <c r="B1620" t="s">
        <v>2251</v>
      </c>
      <c r="C1620" t="s">
        <v>7</v>
      </c>
      <c r="D1620" t="s">
        <v>14</v>
      </c>
      <c r="E1620" t="s">
        <v>1666</v>
      </c>
      <c r="F1620" t="s">
        <v>2252</v>
      </c>
    </row>
    <row r="1621" spans="1:6" x14ac:dyDescent="0.25">
      <c r="A1621" t="str">
        <f>"165917179510"</f>
        <v>165917179510</v>
      </c>
      <c r="B1621" t="s">
        <v>2253</v>
      </c>
      <c r="C1621" t="s">
        <v>7</v>
      </c>
      <c r="D1621" t="s">
        <v>586</v>
      </c>
      <c r="E1621" t="s">
        <v>1666</v>
      </c>
    </row>
    <row r="1622" spans="1:6" x14ac:dyDescent="0.25">
      <c r="A1622" t="str">
        <f>"1659180357"</f>
        <v>1659180357</v>
      </c>
      <c r="B1622" t="s">
        <v>2254</v>
      </c>
      <c r="C1622" t="s">
        <v>7</v>
      </c>
      <c r="D1622" t="s">
        <v>98</v>
      </c>
      <c r="E1622" t="s">
        <v>1666</v>
      </c>
      <c r="F1622" t="s">
        <v>2255</v>
      </c>
    </row>
    <row r="1623" spans="1:6" x14ac:dyDescent="0.25">
      <c r="A1623" t="str">
        <f>"1660145445"</f>
        <v>1660145445</v>
      </c>
      <c r="B1623" t="s">
        <v>2256</v>
      </c>
      <c r="C1623" t="s">
        <v>7</v>
      </c>
      <c r="D1623" t="s">
        <v>12</v>
      </c>
      <c r="E1623" t="s">
        <v>1666</v>
      </c>
      <c r="F1623" t="s">
        <v>2257</v>
      </c>
    </row>
    <row r="1624" spans="1:6" x14ac:dyDescent="0.25">
      <c r="A1624" t="str">
        <f>"1660157105"</f>
        <v>1660157105</v>
      </c>
      <c r="B1624" t="s">
        <v>2258</v>
      </c>
      <c r="C1624" t="s">
        <v>7</v>
      </c>
      <c r="D1624" t="s">
        <v>33</v>
      </c>
      <c r="E1624" t="s">
        <v>1666</v>
      </c>
      <c r="F1624" t="s">
        <v>2259</v>
      </c>
    </row>
    <row r="1625" spans="1:6" x14ac:dyDescent="0.25">
      <c r="A1625" t="str">
        <f>"166016317608"</f>
        <v>166016317608</v>
      </c>
      <c r="B1625" t="s">
        <v>2260</v>
      </c>
      <c r="C1625" t="s">
        <v>7</v>
      </c>
      <c r="D1625" t="s">
        <v>12</v>
      </c>
      <c r="E1625" t="s">
        <v>1666</v>
      </c>
    </row>
    <row r="1626" spans="1:6" x14ac:dyDescent="0.25">
      <c r="A1626" t="str">
        <f>"1660181500"</f>
        <v>1660181500</v>
      </c>
      <c r="B1626" t="s">
        <v>2261</v>
      </c>
      <c r="C1626" t="s">
        <v>7</v>
      </c>
      <c r="D1626" t="s">
        <v>14</v>
      </c>
      <c r="E1626" t="s">
        <v>1666</v>
      </c>
      <c r="F1626" t="s">
        <v>2262</v>
      </c>
    </row>
    <row r="1627" spans="1:6" x14ac:dyDescent="0.25">
      <c r="A1627" t="str">
        <f>"166020719444"</f>
        <v>166020719444</v>
      </c>
      <c r="B1627" t="s">
        <v>2263</v>
      </c>
      <c r="C1627" t="s">
        <v>7</v>
      </c>
      <c r="D1627" t="s">
        <v>14</v>
      </c>
      <c r="E1627" t="s">
        <v>1666</v>
      </c>
    </row>
    <row r="1628" spans="1:6" x14ac:dyDescent="0.25">
      <c r="A1628" t="str">
        <f>"1660332340"</f>
        <v>1660332340</v>
      </c>
      <c r="B1628" t="s">
        <v>2264</v>
      </c>
      <c r="C1628" t="s">
        <v>7</v>
      </c>
      <c r="D1628" t="s">
        <v>14</v>
      </c>
      <c r="E1628" t="s">
        <v>1666</v>
      </c>
      <c r="F1628" t="s">
        <v>2265</v>
      </c>
    </row>
    <row r="1629" spans="1:6" x14ac:dyDescent="0.25">
      <c r="A1629" t="str">
        <f>"1660339225"</f>
        <v>1660339225</v>
      </c>
      <c r="B1629" t="s">
        <v>2266</v>
      </c>
      <c r="C1629" t="s">
        <v>7</v>
      </c>
      <c r="D1629" t="s">
        <v>189</v>
      </c>
      <c r="E1629" t="s">
        <v>1666</v>
      </c>
      <c r="F1629" t="s">
        <v>2267</v>
      </c>
    </row>
    <row r="1630" spans="1:6" x14ac:dyDescent="0.25">
      <c r="A1630" t="str">
        <f>"1660353276"</f>
        <v>1660353276</v>
      </c>
      <c r="B1630" t="s">
        <v>2268</v>
      </c>
      <c r="C1630" t="s">
        <v>7</v>
      </c>
      <c r="D1630" t="s">
        <v>14</v>
      </c>
      <c r="E1630" t="s">
        <v>1666</v>
      </c>
      <c r="F1630" t="s">
        <v>2269</v>
      </c>
    </row>
    <row r="1631" spans="1:6" x14ac:dyDescent="0.25">
      <c r="A1631" t="str">
        <f>"1661053878"</f>
        <v>1661053878</v>
      </c>
      <c r="B1631" t="s">
        <v>2270</v>
      </c>
      <c r="C1631" t="s">
        <v>7</v>
      </c>
      <c r="D1631" t="s">
        <v>12</v>
      </c>
      <c r="E1631" t="s">
        <v>1666</v>
      </c>
      <c r="F1631" t="s">
        <v>2271</v>
      </c>
    </row>
    <row r="1632" spans="1:6" x14ac:dyDescent="0.25">
      <c r="A1632" t="str">
        <f>"1683006381"</f>
        <v>1683006381</v>
      </c>
      <c r="B1632" t="s">
        <v>2272</v>
      </c>
      <c r="C1632" t="s">
        <v>7</v>
      </c>
      <c r="D1632" t="s">
        <v>33</v>
      </c>
      <c r="E1632" t="s">
        <v>1666</v>
      </c>
      <c r="F1632" t="s">
        <v>2273</v>
      </c>
    </row>
    <row r="1633" spans="1:6" x14ac:dyDescent="0.25">
      <c r="A1633" t="str">
        <f>"1686008309"</f>
        <v>1686008309</v>
      </c>
      <c r="B1633" t="s">
        <v>2274</v>
      </c>
      <c r="C1633" t="s">
        <v>7</v>
      </c>
      <c r="D1633" t="s">
        <v>14</v>
      </c>
      <c r="E1633" t="s">
        <v>1666</v>
      </c>
      <c r="F1633" t="s">
        <v>2275</v>
      </c>
    </row>
    <row r="1634" spans="1:6" x14ac:dyDescent="0.25">
      <c r="A1634" t="str">
        <f>"1686036715"</f>
        <v>1686036715</v>
      </c>
      <c r="B1634" t="s">
        <v>2276</v>
      </c>
      <c r="C1634" t="s">
        <v>7</v>
      </c>
      <c r="D1634" t="s">
        <v>12</v>
      </c>
      <c r="E1634" t="s">
        <v>1666</v>
      </c>
      <c r="F1634" t="s">
        <v>2277</v>
      </c>
    </row>
    <row r="1635" spans="1:6" x14ac:dyDescent="0.25">
      <c r="A1635" t="str">
        <f>"1686041200"</f>
        <v>1686041200</v>
      </c>
      <c r="B1635" t="s">
        <v>2278</v>
      </c>
      <c r="C1635" t="s">
        <v>7</v>
      </c>
      <c r="D1635" t="s">
        <v>12</v>
      </c>
      <c r="E1635" t="s">
        <v>1666</v>
      </c>
      <c r="F1635" t="s">
        <v>2279</v>
      </c>
    </row>
    <row r="1636" spans="1:6" x14ac:dyDescent="0.25">
      <c r="A1636" t="str">
        <f>"1655474973"</f>
        <v>1655474973</v>
      </c>
      <c r="B1636" t="s">
        <v>2280</v>
      </c>
      <c r="C1636" t="s">
        <v>7</v>
      </c>
      <c r="D1636" t="s">
        <v>33</v>
      </c>
      <c r="E1636" t="s">
        <v>1666</v>
      </c>
      <c r="F1636" t="s">
        <v>2205</v>
      </c>
    </row>
    <row r="1637" spans="1:6" x14ac:dyDescent="0.25">
      <c r="A1637" t="str">
        <f>"165610159874"</f>
        <v>165610159874</v>
      </c>
      <c r="B1637" t="s">
        <v>2281</v>
      </c>
      <c r="C1637" t="s">
        <v>7</v>
      </c>
      <c r="D1637" t="s">
        <v>14</v>
      </c>
      <c r="E1637" t="s">
        <v>1666</v>
      </c>
    </row>
    <row r="1638" spans="1:6" x14ac:dyDescent="0.25">
      <c r="A1638" t="str">
        <f>"1656107292"</f>
        <v>1656107292</v>
      </c>
      <c r="B1638" t="s">
        <v>2282</v>
      </c>
      <c r="C1638" t="s">
        <v>7</v>
      </c>
      <c r="D1638" t="s">
        <v>33</v>
      </c>
      <c r="E1638" t="s">
        <v>1666</v>
      </c>
      <c r="F1638" t="s">
        <v>2283</v>
      </c>
    </row>
    <row r="1639" spans="1:6" x14ac:dyDescent="0.25">
      <c r="A1639" t="str">
        <f>"165700674774"</f>
        <v>165700674774</v>
      </c>
      <c r="B1639" t="s">
        <v>2284</v>
      </c>
      <c r="C1639" t="s">
        <v>7</v>
      </c>
      <c r="D1639" t="s">
        <v>14</v>
      </c>
      <c r="E1639" t="s">
        <v>1666</v>
      </c>
    </row>
    <row r="1640" spans="1:6" x14ac:dyDescent="0.25">
      <c r="A1640" t="str">
        <f>"165701421173"</f>
        <v>165701421173</v>
      </c>
      <c r="B1640" t="s">
        <v>2285</v>
      </c>
      <c r="C1640" t="s">
        <v>7</v>
      </c>
      <c r="D1640" t="s">
        <v>14</v>
      </c>
      <c r="E1640" t="s">
        <v>1666</v>
      </c>
    </row>
    <row r="1641" spans="1:6" x14ac:dyDescent="0.25">
      <c r="A1641" t="str">
        <f>"1657033188"</f>
        <v>1657033188</v>
      </c>
      <c r="B1641" t="s">
        <v>2286</v>
      </c>
      <c r="C1641" t="s">
        <v>7</v>
      </c>
      <c r="D1641" t="s">
        <v>33</v>
      </c>
      <c r="E1641" t="s">
        <v>1666</v>
      </c>
      <c r="F1641" t="s">
        <v>2287</v>
      </c>
    </row>
    <row r="1642" spans="1:6" x14ac:dyDescent="0.25">
      <c r="A1642" t="str">
        <f>"165707088296"</f>
        <v>165707088296</v>
      </c>
      <c r="B1642" t="s">
        <v>2288</v>
      </c>
      <c r="C1642" t="s">
        <v>7</v>
      </c>
      <c r="D1642" t="s">
        <v>14</v>
      </c>
      <c r="E1642" t="s">
        <v>1666</v>
      </c>
    </row>
    <row r="1643" spans="1:6" x14ac:dyDescent="0.25">
      <c r="A1643" t="str">
        <f>"165710313463"</f>
        <v>165710313463</v>
      </c>
      <c r="B1643" t="s">
        <v>2289</v>
      </c>
      <c r="C1643" t="s">
        <v>7</v>
      </c>
      <c r="D1643" t="s">
        <v>14</v>
      </c>
      <c r="E1643" t="s">
        <v>1666</v>
      </c>
    </row>
    <row r="1644" spans="1:6" x14ac:dyDescent="0.25">
      <c r="A1644" t="str">
        <f>"165711916070"</f>
        <v>165711916070</v>
      </c>
      <c r="B1644" t="s">
        <v>2290</v>
      </c>
      <c r="C1644" t="s">
        <v>7</v>
      </c>
      <c r="D1644" t="s">
        <v>14</v>
      </c>
      <c r="E1644" t="s">
        <v>1666</v>
      </c>
    </row>
    <row r="1645" spans="1:6" x14ac:dyDescent="0.25">
      <c r="A1645" t="str">
        <f>"165712156400"</f>
        <v>165712156400</v>
      </c>
      <c r="B1645" t="s">
        <v>2291</v>
      </c>
      <c r="C1645" t="s">
        <v>7</v>
      </c>
      <c r="D1645" t="s">
        <v>14</v>
      </c>
      <c r="E1645" t="s">
        <v>1666</v>
      </c>
    </row>
    <row r="1646" spans="1:6" x14ac:dyDescent="0.25">
      <c r="A1646" t="str">
        <f>"165714866250"</f>
        <v>165714866250</v>
      </c>
      <c r="B1646" t="s">
        <v>2292</v>
      </c>
      <c r="C1646" t="s">
        <v>7</v>
      </c>
      <c r="D1646" t="s">
        <v>14</v>
      </c>
      <c r="E1646" t="s">
        <v>1666</v>
      </c>
    </row>
    <row r="1647" spans="1:6" x14ac:dyDescent="0.25">
      <c r="A1647" t="str">
        <f>"165715702819"</f>
        <v>165715702819</v>
      </c>
      <c r="B1647" t="s">
        <v>2293</v>
      </c>
      <c r="C1647" t="s">
        <v>7</v>
      </c>
      <c r="D1647" t="s">
        <v>14</v>
      </c>
      <c r="E1647" t="s">
        <v>1666</v>
      </c>
    </row>
    <row r="1648" spans="1:6" x14ac:dyDescent="0.25">
      <c r="A1648" t="str">
        <f>"1657237600"</f>
        <v>1657237600</v>
      </c>
      <c r="B1648" t="s">
        <v>2294</v>
      </c>
      <c r="C1648" t="s">
        <v>7</v>
      </c>
      <c r="D1648" t="s">
        <v>33</v>
      </c>
      <c r="E1648" t="s">
        <v>1666</v>
      </c>
      <c r="F1648" t="s">
        <v>2295</v>
      </c>
    </row>
    <row r="1649" spans="1:6" x14ac:dyDescent="0.25">
      <c r="A1649" t="str">
        <f>"1657266714"</f>
        <v>1657266714</v>
      </c>
      <c r="B1649" t="s">
        <v>2296</v>
      </c>
      <c r="C1649" t="s">
        <v>7</v>
      </c>
      <c r="D1649" t="s">
        <v>8</v>
      </c>
      <c r="E1649" t="s">
        <v>1666</v>
      </c>
      <c r="F1649" t="s">
        <v>2297</v>
      </c>
    </row>
    <row r="1650" spans="1:6" x14ac:dyDescent="0.25">
      <c r="A1650" t="str">
        <f>"165802360047"</f>
        <v>165802360047</v>
      </c>
      <c r="B1650" t="s">
        <v>2298</v>
      </c>
      <c r="C1650" t="s">
        <v>7</v>
      </c>
      <c r="D1650" t="s">
        <v>12</v>
      </c>
      <c r="E1650" t="s">
        <v>1666</v>
      </c>
    </row>
    <row r="1651" spans="1:6" x14ac:dyDescent="0.25">
      <c r="A1651" t="str">
        <f>"1658110220"</f>
        <v>1658110220</v>
      </c>
      <c r="B1651" t="s">
        <v>2299</v>
      </c>
      <c r="C1651" t="s">
        <v>7</v>
      </c>
      <c r="D1651" t="s">
        <v>98</v>
      </c>
      <c r="E1651" t="s">
        <v>1666</v>
      </c>
      <c r="F1651" t="s">
        <v>2300</v>
      </c>
    </row>
    <row r="1652" spans="1:6" x14ac:dyDescent="0.25">
      <c r="A1652" t="str">
        <f>"1658125258"</f>
        <v>1658125258</v>
      </c>
      <c r="B1652" t="s">
        <v>2301</v>
      </c>
      <c r="C1652" t="s">
        <v>7</v>
      </c>
      <c r="D1652" t="s">
        <v>12</v>
      </c>
      <c r="E1652" t="s">
        <v>1666</v>
      </c>
      <c r="F1652" t="s">
        <v>2302</v>
      </c>
    </row>
    <row r="1653" spans="1:6" x14ac:dyDescent="0.25">
      <c r="A1653" t="str">
        <f>"165812526809"</f>
        <v>165812526809</v>
      </c>
      <c r="B1653" t="s">
        <v>2303</v>
      </c>
      <c r="C1653" t="s">
        <v>7</v>
      </c>
      <c r="D1653" t="s">
        <v>14</v>
      </c>
      <c r="E1653" t="s">
        <v>1666</v>
      </c>
    </row>
    <row r="1654" spans="1:6" x14ac:dyDescent="0.25">
      <c r="A1654" t="str">
        <f>"165814009620"</f>
        <v>165814009620</v>
      </c>
      <c r="B1654" t="s">
        <v>2304</v>
      </c>
      <c r="C1654" t="s">
        <v>7</v>
      </c>
      <c r="D1654" t="s">
        <v>12</v>
      </c>
      <c r="E1654" t="s">
        <v>1666</v>
      </c>
    </row>
    <row r="1655" spans="1:6" x14ac:dyDescent="0.25">
      <c r="A1655" t="str">
        <f>"1658191765"</f>
        <v>1658191765</v>
      </c>
      <c r="B1655" t="s">
        <v>2305</v>
      </c>
      <c r="C1655" t="s">
        <v>7</v>
      </c>
      <c r="D1655" t="s">
        <v>8</v>
      </c>
      <c r="E1655" t="s">
        <v>1666</v>
      </c>
      <c r="F1655" t="s">
        <v>2306</v>
      </c>
    </row>
    <row r="1656" spans="1:6" x14ac:dyDescent="0.25">
      <c r="A1656" t="str">
        <f>"1658233119"</f>
        <v>1658233119</v>
      </c>
      <c r="B1656" t="s">
        <v>2307</v>
      </c>
      <c r="C1656" t="s">
        <v>7</v>
      </c>
      <c r="D1656" t="s">
        <v>33</v>
      </c>
      <c r="E1656" t="s">
        <v>1666</v>
      </c>
      <c r="F1656" t="s">
        <v>2308</v>
      </c>
    </row>
    <row r="1657" spans="1:6" x14ac:dyDescent="0.25">
      <c r="A1657" t="str">
        <f>"1658246527"</f>
        <v>1658246527</v>
      </c>
      <c r="B1657" t="s">
        <v>2309</v>
      </c>
      <c r="C1657" t="s">
        <v>7</v>
      </c>
      <c r="D1657" t="s">
        <v>12</v>
      </c>
      <c r="E1657" t="s">
        <v>1666</v>
      </c>
      <c r="F1657" t="s">
        <v>2310</v>
      </c>
    </row>
    <row r="1658" spans="1:6" x14ac:dyDescent="0.25">
      <c r="A1658" t="str">
        <f>"1658248010"</f>
        <v>1658248010</v>
      </c>
      <c r="B1658" t="s">
        <v>2311</v>
      </c>
      <c r="C1658" t="s">
        <v>7</v>
      </c>
      <c r="D1658" t="s">
        <v>33</v>
      </c>
      <c r="E1658" t="s">
        <v>1666</v>
      </c>
      <c r="F1658" t="s">
        <v>2312</v>
      </c>
    </row>
    <row r="1659" spans="1:6" x14ac:dyDescent="0.25">
      <c r="A1659" t="str">
        <f>"1658248098"</f>
        <v>1658248098</v>
      </c>
      <c r="B1659" t="s">
        <v>2313</v>
      </c>
      <c r="C1659" t="s">
        <v>7</v>
      </c>
      <c r="D1659" t="s">
        <v>12</v>
      </c>
      <c r="E1659" t="s">
        <v>1666</v>
      </c>
      <c r="F1659" t="s">
        <v>2314</v>
      </c>
    </row>
    <row r="1660" spans="1:6" x14ac:dyDescent="0.25">
      <c r="A1660" t="str">
        <f>"1659123214"</f>
        <v>1659123214</v>
      </c>
      <c r="B1660" t="s">
        <v>2315</v>
      </c>
      <c r="C1660" t="s">
        <v>7</v>
      </c>
      <c r="D1660" t="s">
        <v>12</v>
      </c>
      <c r="E1660" t="s">
        <v>1666</v>
      </c>
      <c r="F1660" t="s">
        <v>2316</v>
      </c>
    </row>
    <row r="1661" spans="1:6" x14ac:dyDescent="0.25">
      <c r="A1661" t="str">
        <f>"165915966400"</f>
        <v>165915966400</v>
      </c>
      <c r="B1661" t="s">
        <v>2317</v>
      </c>
      <c r="C1661" t="s">
        <v>7</v>
      </c>
      <c r="D1661" t="s">
        <v>28</v>
      </c>
      <c r="E1661" t="s">
        <v>1666</v>
      </c>
    </row>
    <row r="1662" spans="1:6" x14ac:dyDescent="0.25">
      <c r="A1662" t="str">
        <f>"1659159771"</f>
        <v>1659159771</v>
      </c>
      <c r="B1662" t="s">
        <v>2318</v>
      </c>
      <c r="C1662" t="s">
        <v>7</v>
      </c>
      <c r="D1662" t="s">
        <v>14</v>
      </c>
      <c r="E1662" t="s">
        <v>1666</v>
      </c>
      <c r="F1662" t="s">
        <v>2319</v>
      </c>
    </row>
    <row r="1663" spans="1:6" x14ac:dyDescent="0.25">
      <c r="A1663" t="str">
        <f>"165916653978"</f>
        <v>165916653978</v>
      </c>
      <c r="B1663" t="s">
        <v>2320</v>
      </c>
      <c r="C1663" t="s">
        <v>7</v>
      </c>
      <c r="D1663" t="s">
        <v>33</v>
      </c>
      <c r="E1663" t="s">
        <v>1666</v>
      </c>
    </row>
    <row r="1664" spans="1:6" x14ac:dyDescent="0.25">
      <c r="A1664" t="str">
        <f>"1659218963"</f>
        <v>1659218963</v>
      </c>
      <c r="B1664" t="s">
        <v>2321</v>
      </c>
      <c r="C1664" t="s">
        <v>7</v>
      </c>
      <c r="D1664" t="s">
        <v>12</v>
      </c>
      <c r="E1664" t="s">
        <v>1666</v>
      </c>
      <c r="F1664" t="s">
        <v>2322</v>
      </c>
    </row>
    <row r="1665" spans="1:6" x14ac:dyDescent="0.25">
      <c r="A1665" t="str">
        <f>"165922225032"</f>
        <v>165922225032</v>
      </c>
      <c r="B1665" t="s">
        <v>2323</v>
      </c>
      <c r="C1665" t="s">
        <v>7</v>
      </c>
      <c r="D1665" t="s">
        <v>14</v>
      </c>
      <c r="E1665" t="s">
        <v>1666</v>
      </c>
    </row>
    <row r="1666" spans="1:6" x14ac:dyDescent="0.25">
      <c r="A1666" t="str">
        <f>"165923491220"</f>
        <v>165923491220</v>
      </c>
      <c r="B1666" t="s">
        <v>2324</v>
      </c>
      <c r="C1666" t="s">
        <v>7</v>
      </c>
      <c r="D1666" t="s">
        <v>33</v>
      </c>
      <c r="E1666" t="s">
        <v>1666</v>
      </c>
    </row>
    <row r="1667" spans="1:6" x14ac:dyDescent="0.25">
      <c r="A1667" t="str">
        <f>"1660067356"</f>
        <v>1660067356</v>
      </c>
      <c r="B1667" t="s">
        <v>2325</v>
      </c>
      <c r="C1667" t="s">
        <v>7</v>
      </c>
      <c r="D1667" t="s">
        <v>12</v>
      </c>
      <c r="E1667" t="s">
        <v>1666</v>
      </c>
      <c r="F1667" t="s">
        <v>2326</v>
      </c>
    </row>
    <row r="1668" spans="1:6" x14ac:dyDescent="0.25">
      <c r="A1668" t="str">
        <f>"166014963275"</f>
        <v>166014963275</v>
      </c>
      <c r="B1668" t="s">
        <v>2327</v>
      </c>
      <c r="C1668" t="s">
        <v>7</v>
      </c>
      <c r="D1668" t="s">
        <v>14</v>
      </c>
      <c r="E1668" t="s">
        <v>1666</v>
      </c>
    </row>
    <row r="1669" spans="1:6" x14ac:dyDescent="0.25">
      <c r="A1669" t="str">
        <f>"166015929125"</f>
        <v>166015929125</v>
      </c>
      <c r="B1669" t="s">
        <v>2328</v>
      </c>
      <c r="C1669" t="s">
        <v>7</v>
      </c>
      <c r="D1669" t="s">
        <v>460</v>
      </c>
      <c r="E1669" t="s">
        <v>1666</v>
      </c>
    </row>
    <row r="1670" spans="1:6" x14ac:dyDescent="0.25">
      <c r="A1670" t="str">
        <f>"166019546194"</f>
        <v>166019546194</v>
      </c>
      <c r="B1670" t="s">
        <v>2329</v>
      </c>
      <c r="C1670" t="s">
        <v>7</v>
      </c>
      <c r="D1670" t="s">
        <v>14</v>
      </c>
      <c r="E1670" t="s">
        <v>1666</v>
      </c>
    </row>
    <row r="1671" spans="1:6" x14ac:dyDescent="0.25">
      <c r="A1671" t="str">
        <f>"166019609260"</f>
        <v>166019609260</v>
      </c>
      <c r="B1671" t="s">
        <v>2330</v>
      </c>
      <c r="C1671" t="s">
        <v>7</v>
      </c>
      <c r="D1671" t="s">
        <v>12</v>
      </c>
      <c r="E1671" t="s">
        <v>1666</v>
      </c>
    </row>
    <row r="1672" spans="1:6" x14ac:dyDescent="0.25">
      <c r="A1672" t="str">
        <f>"166019787930"</f>
        <v>166019787930</v>
      </c>
      <c r="B1672" t="s">
        <v>2331</v>
      </c>
      <c r="C1672" t="s">
        <v>7</v>
      </c>
      <c r="D1672" t="s">
        <v>14</v>
      </c>
      <c r="E1672" t="s">
        <v>1666</v>
      </c>
    </row>
    <row r="1673" spans="1:6" x14ac:dyDescent="0.25">
      <c r="A1673" t="str">
        <f>"166023665211"</f>
        <v>166023665211</v>
      </c>
      <c r="B1673" t="s">
        <v>2332</v>
      </c>
      <c r="C1673" t="s">
        <v>7</v>
      </c>
      <c r="D1673" t="s">
        <v>14</v>
      </c>
      <c r="E1673" t="s">
        <v>1666</v>
      </c>
    </row>
    <row r="1674" spans="1:6" x14ac:dyDescent="0.25">
      <c r="A1674" t="str">
        <f>"1660288588"</f>
        <v>1660288588</v>
      </c>
      <c r="B1674" t="s">
        <v>2333</v>
      </c>
      <c r="C1674" t="s">
        <v>7</v>
      </c>
      <c r="D1674" t="s">
        <v>189</v>
      </c>
      <c r="E1674" t="s">
        <v>1666</v>
      </c>
      <c r="F1674" t="s">
        <v>2334</v>
      </c>
    </row>
    <row r="1675" spans="1:6" x14ac:dyDescent="0.25">
      <c r="A1675" t="str">
        <f>"1661047426"</f>
        <v>1661047426</v>
      </c>
      <c r="B1675" t="s">
        <v>2335</v>
      </c>
      <c r="C1675" t="s">
        <v>7</v>
      </c>
      <c r="D1675" t="s">
        <v>33</v>
      </c>
      <c r="E1675" t="s">
        <v>1666</v>
      </c>
      <c r="F1675" t="s">
        <v>2336</v>
      </c>
    </row>
    <row r="1676" spans="1:6" x14ac:dyDescent="0.25">
      <c r="A1676" t="str">
        <f>"1661050651"</f>
        <v>1661050651</v>
      </c>
      <c r="B1676" t="s">
        <v>2337</v>
      </c>
      <c r="C1676" t="s">
        <v>7</v>
      </c>
      <c r="D1676" t="s">
        <v>14</v>
      </c>
      <c r="E1676" t="s">
        <v>1666</v>
      </c>
      <c r="F1676" t="s">
        <v>2338</v>
      </c>
    </row>
    <row r="1677" spans="1:6" x14ac:dyDescent="0.25">
      <c r="A1677" t="str">
        <f>"1661065440"</f>
        <v>1661065440</v>
      </c>
      <c r="B1677" t="s">
        <v>2339</v>
      </c>
      <c r="C1677" t="s">
        <v>7</v>
      </c>
      <c r="D1677" t="s">
        <v>12</v>
      </c>
      <c r="E1677" t="s">
        <v>1666</v>
      </c>
      <c r="F1677" t="s">
        <v>2340</v>
      </c>
    </row>
    <row r="1678" spans="1:6" x14ac:dyDescent="0.25">
      <c r="A1678" t="str">
        <f>"166109384124"</f>
        <v>166109384124</v>
      </c>
      <c r="B1678" t="s">
        <v>2341</v>
      </c>
      <c r="C1678" t="s">
        <v>7</v>
      </c>
      <c r="D1678" t="s">
        <v>28</v>
      </c>
      <c r="E1678" t="s">
        <v>1666</v>
      </c>
    </row>
    <row r="1679" spans="1:6" x14ac:dyDescent="0.25">
      <c r="A1679" t="str">
        <f>"1673002268"</f>
        <v>1673002268</v>
      </c>
      <c r="B1679" t="s">
        <v>2342</v>
      </c>
      <c r="C1679" t="s">
        <v>7</v>
      </c>
      <c r="D1679" t="s">
        <v>12</v>
      </c>
      <c r="E1679" t="s">
        <v>1666</v>
      </c>
      <c r="F1679" t="s">
        <v>2343</v>
      </c>
    </row>
    <row r="1680" spans="1:6" x14ac:dyDescent="0.25">
      <c r="A1680" t="str">
        <f>"1673003198"</f>
        <v>1673003198</v>
      </c>
      <c r="B1680" t="s">
        <v>2344</v>
      </c>
      <c r="C1680" t="s">
        <v>7</v>
      </c>
      <c r="D1680" t="s">
        <v>14</v>
      </c>
      <c r="E1680" t="s">
        <v>1666</v>
      </c>
      <c r="F1680" t="s">
        <v>2345</v>
      </c>
    </row>
    <row r="1681" spans="1:6" x14ac:dyDescent="0.25">
      <c r="A1681" t="str">
        <f>"1673003906"</f>
        <v>1673003906</v>
      </c>
      <c r="B1681" t="s">
        <v>2346</v>
      </c>
      <c r="C1681" t="s">
        <v>7</v>
      </c>
      <c r="D1681" t="s">
        <v>189</v>
      </c>
      <c r="E1681" t="s">
        <v>1666</v>
      </c>
      <c r="F1681" t="s">
        <v>2347</v>
      </c>
    </row>
    <row r="1682" spans="1:6" x14ac:dyDescent="0.25">
      <c r="A1682" t="str">
        <f>"1684010648"</f>
        <v>1684010648</v>
      </c>
      <c r="B1682" t="s">
        <v>2348</v>
      </c>
      <c r="C1682" t="s">
        <v>7</v>
      </c>
      <c r="D1682" t="s">
        <v>12</v>
      </c>
      <c r="E1682" t="s">
        <v>1666</v>
      </c>
      <c r="F1682" t="s">
        <v>2349</v>
      </c>
    </row>
    <row r="1683" spans="1:6" x14ac:dyDescent="0.25">
      <c r="A1683" t="str">
        <f>"1684020815"</f>
        <v>1684020815</v>
      </c>
      <c r="B1683" t="s">
        <v>2350</v>
      </c>
      <c r="C1683" t="s">
        <v>7</v>
      </c>
      <c r="D1683" t="s">
        <v>12</v>
      </c>
      <c r="E1683" t="s">
        <v>1666</v>
      </c>
      <c r="F1683" t="s">
        <v>2351</v>
      </c>
    </row>
    <row r="1684" spans="1:6" x14ac:dyDescent="0.25">
      <c r="A1684" t="str">
        <f>"1686041320"</f>
        <v>1686041320</v>
      </c>
      <c r="B1684" t="s">
        <v>2352</v>
      </c>
      <c r="C1684" t="s">
        <v>7</v>
      </c>
      <c r="D1684" t="s">
        <v>12</v>
      </c>
      <c r="E1684" t="s">
        <v>1666</v>
      </c>
      <c r="F1684" t="s">
        <v>2353</v>
      </c>
    </row>
    <row r="1685" spans="1:6" x14ac:dyDescent="0.25">
      <c r="A1685" t="str">
        <f>"1689000851"</f>
        <v>1689000851</v>
      </c>
      <c r="B1685" t="s">
        <v>2354</v>
      </c>
      <c r="C1685" t="s">
        <v>7</v>
      </c>
      <c r="D1685" t="s">
        <v>33</v>
      </c>
      <c r="E1685" t="s">
        <v>1666</v>
      </c>
      <c r="F1685" t="s">
        <v>2355</v>
      </c>
    </row>
    <row r="1686" spans="1:6" x14ac:dyDescent="0.25">
      <c r="A1686" t="str">
        <f>"519057783835"</f>
        <v>519057783835</v>
      </c>
      <c r="B1686" t="s">
        <v>2356</v>
      </c>
      <c r="C1686" t="s">
        <v>7</v>
      </c>
      <c r="D1686" t="s">
        <v>14</v>
      </c>
      <c r="E1686" t="s">
        <v>1666</v>
      </c>
    </row>
    <row r="1687" spans="1:6" x14ac:dyDescent="0.25">
      <c r="A1687" t="str">
        <f>"1656040305"</f>
        <v>1656040305</v>
      </c>
      <c r="B1687" t="s">
        <v>2357</v>
      </c>
      <c r="C1687" t="s">
        <v>7</v>
      </c>
      <c r="D1687" t="s">
        <v>674</v>
      </c>
      <c r="E1687" t="s">
        <v>1666</v>
      </c>
      <c r="F1687" t="s">
        <v>2358</v>
      </c>
    </row>
    <row r="1688" spans="1:6" x14ac:dyDescent="0.25">
      <c r="A1688" t="str">
        <f>"1656048939"</f>
        <v>1656048939</v>
      </c>
      <c r="B1688" t="s">
        <v>2359</v>
      </c>
      <c r="C1688" t="s">
        <v>7</v>
      </c>
      <c r="D1688" t="s">
        <v>12</v>
      </c>
      <c r="E1688" t="s">
        <v>1666</v>
      </c>
      <c r="F1688" t="s">
        <v>2360</v>
      </c>
    </row>
    <row r="1689" spans="1:6" x14ac:dyDescent="0.25">
      <c r="A1689" t="str">
        <f>"1656094540"</f>
        <v>1656094540</v>
      </c>
      <c r="B1689" t="s">
        <v>2361</v>
      </c>
      <c r="C1689" t="s">
        <v>7</v>
      </c>
      <c r="D1689" t="s">
        <v>33</v>
      </c>
      <c r="E1689" t="s">
        <v>1666</v>
      </c>
      <c r="F1689" t="s">
        <v>2362</v>
      </c>
    </row>
    <row r="1690" spans="1:6" x14ac:dyDescent="0.25">
      <c r="A1690" t="str">
        <f>"165707029861"</f>
        <v>165707029861</v>
      </c>
      <c r="B1690" t="s">
        <v>2363</v>
      </c>
      <c r="C1690" t="s">
        <v>7</v>
      </c>
      <c r="D1690" t="s">
        <v>14</v>
      </c>
      <c r="E1690" t="s">
        <v>1666</v>
      </c>
    </row>
    <row r="1691" spans="1:6" x14ac:dyDescent="0.25">
      <c r="A1691" t="str">
        <f>"1657125784"</f>
        <v>1657125784</v>
      </c>
      <c r="B1691" t="s">
        <v>2364</v>
      </c>
      <c r="C1691" t="s">
        <v>7</v>
      </c>
      <c r="D1691" t="s">
        <v>14</v>
      </c>
      <c r="E1691" t="s">
        <v>1666</v>
      </c>
      <c r="F1691" t="s">
        <v>2365</v>
      </c>
    </row>
    <row r="1692" spans="1:6" x14ac:dyDescent="0.25">
      <c r="A1692" t="str">
        <f>"1657229871"</f>
        <v>1657229871</v>
      </c>
      <c r="B1692" t="s">
        <v>2366</v>
      </c>
      <c r="C1692" t="s">
        <v>7</v>
      </c>
      <c r="D1692" t="s">
        <v>12</v>
      </c>
      <c r="E1692" t="s">
        <v>1666</v>
      </c>
      <c r="F1692" t="s">
        <v>2367</v>
      </c>
    </row>
    <row r="1693" spans="1:6" x14ac:dyDescent="0.25">
      <c r="A1693" t="str">
        <f>"1657232017"</f>
        <v>1657232017</v>
      </c>
      <c r="B1693" t="s">
        <v>2368</v>
      </c>
      <c r="C1693" t="s">
        <v>7</v>
      </c>
      <c r="D1693" t="s">
        <v>189</v>
      </c>
      <c r="E1693" t="s">
        <v>1666</v>
      </c>
      <c r="F1693" t="s">
        <v>2369</v>
      </c>
    </row>
    <row r="1694" spans="1:6" x14ac:dyDescent="0.25">
      <c r="A1694" t="str">
        <f>"1657234543"</f>
        <v>1657234543</v>
      </c>
      <c r="B1694" t="s">
        <v>2370</v>
      </c>
      <c r="C1694" t="s">
        <v>7</v>
      </c>
      <c r="D1694" t="s">
        <v>33</v>
      </c>
      <c r="E1694" t="s">
        <v>1666</v>
      </c>
      <c r="F1694" t="s">
        <v>2371</v>
      </c>
    </row>
    <row r="1695" spans="1:6" x14ac:dyDescent="0.25">
      <c r="A1695" t="str">
        <f>"1657236928"</f>
        <v>1657236928</v>
      </c>
      <c r="B1695" t="s">
        <v>2372</v>
      </c>
      <c r="C1695" t="s">
        <v>7</v>
      </c>
      <c r="D1695" t="s">
        <v>33</v>
      </c>
      <c r="E1695" t="s">
        <v>1666</v>
      </c>
      <c r="F1695" t="s">
        <v>2373</v>
      </c>
    </row>
    <row r="1696" spans="1:6" x14ac:dyDescent="0.25">
      <c r="A1696" t="str">
        <f>"1658062880"</f>
        <v>1658062880</v>
      </c>
      <c r="B1696" t="s">
        <v>2374</v>
      </c>
      <c r="C1696" t="s">
        <v>7</v>
      </c>
      <c r="D1696" t="s">
        <v>33</v>
      </c>
      <c r="E1696" t="s">
        <v>1666</v>
      </c>
      <c r="F1696" t="s">
        <v>2375</v>
      </c>
    </row>
    <row r="1697" spans="1:6" x14ac:dyDescent="0.25">
      <c r="A1697" t="str">
        <f>"1658126170"</f>
        <v>1658126170</v>
      </c>
      <c r="B1697" t="s">
        <v>2376</v>
      </c>
      <c r="C1697" t="s">
        <v>7</v>
      </c>
      <c r="D1697" t="s">
        <v>98</v>
      </c>
      <c r="E1697" t="s">
        <v>1666</v>
      </c>
      <c r="F1697" t="s">
        <v>2377</v>
      </c>
    </row>
    <row r="1698" spans="1:6" x14ac:dyDescent="0.25">
      <c r="A1698" t="str">
        <f>"1658183316"</f>
        <v>1658183316</v>
      </c>
      <c r="B1698" t="s">
        <v>2378</v>
      </c>
      <c r="C1698" t="s">
        <v>7</v>
      </c>
      <c r="D1698" t="s">
        <v>33</v>
      </c>
      <c r="E1698" t="s">
        <v>1666</v>
      </c>
      <c r="F1698" t="s">
        <v>2379</v>
      </c>
    </row>
    <row r="1699" spans="1:6" x14ac:dyDescent="0.25">
      <c r="A1699" t="str">
        <f>"1658184045"</f>
        <v>1658184045</v>
      </c>
      <c r="B1699" t="s">
        <v>2380</v>
      </c>
      <c r="C1699" t="s">
        <v>7</v>
      </c>
      <c r="D1699" t="s">
        <v>14</v>
      </c>
      <c r="E1699" t="s">
        <v>1666</v>
      </c>
      <c r="F1699" t="s">
        <v>2381</v>
      </c>
    </row>
    <row r="1700" spans="1:6" x14ac:dyDescent="0.25">
      <c r="A1700" t="str">
        <f>"1658218840"</f>
        <v>1658218840</v>
      </c>
      <c r="B1700" t="s">
        <v>2382</v>
      </c>
      <c r="C1700" t="s">
        <v>7</v>
      </c>
      <c r="D1700" t="s">
        <v>12</v>
      </c>
      <c r="E1700" t="s">
        <v>1666</v>
      </c>
      <c r="F1700" t="s">
        <v>2383</v>
      </c>
    </row>
    <row r="1701" spans="1:6" x14ac:dyDescent="0.25">
      <c r="A1701" t="str">
        <f>"1659149678"</f>
        <v>1659149678</v>
      </c>
      <c r="B1701" t="s">
        <v>2384</v>
      </c>
      <c r="C1701" t="s">
        <v>7</v>
      </c>
      <c r="D1701" t="s">
        <v>14</v>
      </c>
      <c r="E1701" t="s">
        <v>1666</v>
      </c>
      <c r="F1701" t="s">
        <v>2319</v>
      </c>
    </row>
    <row r="1702" spans="1:6" x14ac:dyDescent="0.25">
      <c r="A1702" t="str">
        <f>"1659169882"</f>
        <v>1659169882</v>
      </c>
      <c r="B1702" t="s">
        <v>2385</v>
      </c>
      <c r="C1702" t="s">
        <v>7</v>
      </c>
      <c r="D1702" t="s">
        <v>33</v>
      </c>
      <c r="E1702" t="s">
        <v>1666</v>
      </c>
      <c r="F1702" t="s">
        <v>2386</v>
      </c>
    </row>
    <row r="1703" spans="1:6" x14ac:dyDescent="0.25">
      <c r="A1703" t="str">
        <f>"165917934234"</f>
        <v>165917934234</v>
      </c>
      <c r="B1703" t="s">
        <v>2387</v>
      </c>
      <c r="C1703" t="s">
        <v>7</v>
      </c>
      <c r="D1703" t="s">
        <v>14</v>
      </c>
      <c r="E1703" t="s">
        <v>1666</v>
      </c>
    </row>
    <row r="1704" spans="1:6" x14ac:dyDescent="0.25">
      <c r="A1704" t="str">
        <f>"1659197939"</f>
        <v>1659197939</v>
      </c>
      <c r="B1704" t="s">
        <v>2388</v>
      </c>
      <c r="C1704" t="s">
        <v>7</v>
      </c>
      <c r="D1704" t="s">
        <v>33</v>
      </c>
      <c r="E1704" t="s">
        <v>1666</v>
      </c>
      <c r="F1704" t="s">
        <v>2389</v>
      </c>
    </row>
    <row r="1705" spans="1:6" x14ac:dyDescent="0.25">
      <c r="A1705" t="str">
        <f>"165920494329"</f>
        <v>165920494329</v>
      </c>
      <c r="B1705" t="s">
        <v>2390</v>
      </c>
      <c r="C1705" t="s">
        <v>7</v>
      </c>
      <c r="D1705" t="s">
        <v>12</v>
      </c>
      <c r="E1705" t="s">
        <v>1666</v>
      </c>
    </row>
    <row r="1706" spans="1:6" x14ac:dyDescent="0.25">
      <c r="A1706" t="str">
        <f>"1659207055"</f>
        <v>1659207055</v>
      </c>
      <c r="B1706" t="s">
        <v>2391</v>
      </c>
      <c r="C1706" t="s">
        <v>7</v>
      </c>
      <c r="D1706" t="s">
        <v>14</v>
      </c>
      <c r="E1706" t="s">
        <v>1666</v>
      </c>
      <c r="F1706" t="s">
        <v>2392</v>
      </c>
    </row>
    <row r="1707" spans="1:6" x14ac:dyDescent="0.25">
      <c r="A1707" t="str">
        <f>"165922890007"</f>
        <v>165922890007</v>
      </c>
      <c r="B1707" t="s">
        <v>2393</v>
      </c>
      <c r="C1707" t="s">
        <v>7</v>
      </c>
      <c r="D1707" t="s">
        <v>12</v>
      </c>
      <c r="E1707" t="s">
        <v>1666</v>
      </c>
    </row>
    <row r="1708" spans="1:6" x14ac:dyDescent="0.25">
      <c r="A1708" t="str">
        <f>"165925774182"</f>
        <v>165925774182</v>
      </c>
      <c r="B1708" t="s">
        <v>2394</v>
      </c>
      <c r="C1708" t="s">
        <v>7</v>
      </c>
      <c r="D1708" t="s">
        <v>12</v>
      </c>
      <c r="E1708" t="s">
        <v>1666</v>
      </c>
    </row>
    <row r="1709" spans="1:6" x14ac:dyDescent="0.25">
      <c r="A1709" t="str">
        <f>"166000340094"</f>
        <v>166000340094</v>
      </c>
      <c r="B1709" t="s">
        <v>2395</v>
      </c>
      <c r="C1709" t="s">
        <v>7</v>
      </c>
      <c r="D1709" t="s">
        <v>12</v>
      </c>
      <c r="E1709" t="s">
        <v>1666</v>
      </c>
    </row>
    <row r="1710" spans="1:6" x14ac:dyDescent="0.25">
      <c r="A1710" t="str">
        <f>"166006416208"</f>
        <v>166006416208</v>
      </c>
      <c r="B1710" t="s">
        <v>2396</v>
      </c>
      <c r="C1710" t="s">
        <v>7</v>
      </c>
      <c r="D1710" t="s">
        <v>14</v>
      </c>
      <c r="E1710" t="s">
        <v>1666</v>
      </c>
    </row>
    <row r="1711" spans="1:6" x14ac:dyDescent="0.25">
      <c r="A1711" t="str">
        <f>"1660065165"</f>
        <v>1660065165</v>
      </c>
      <c r="B1711" t="s">
        <v>2397</v>
      </c>
      <c r="C1711" t="s">
        <v>7</v>
      </c>
      <c r="D1711" t="s">
        <v>12</v>
      </c>
      <c r="E1711" t="s">
        <v>1666</v>
      </c>
      <c r="F1711" t="s">
        <v>2398</v>
      </c>
    </row>
    <row r="1712" spans="1:6" x14ac:dyDescent="0.25">
      <c r="A1712" t="str">
        <f>"1660077562"</f>
        <v>1660077562</v>
      </c>
      <c r="B1712" t="s">
        <v>2399</v>
      </c>
      <c r="C1712" t="s">
        <v>7</v>
      </c>
      <c r="D1712" t="s">
        <v>98</v>
      </c>
      <c r="E1712" t="s">
        <v>1666</v>
      </c>
      <c r="F1712" t="s">
        <v>2400</v>
      </c>
    </row>
    <row r="1713" spans="1:6" x14ac:dyDescent="0.25">
      <c r="A1713" t="str">
        <f>"1660100363"</f>
        <v>1660100363</v>
      </c>
      <c r="B1713" t="s">
        <v>2401</v>
      </c>
      <c r="C1713" t="s">
        <v>7</v>
      </c>
      <c r="D1713" t="s">
        <v>12</v>
      </c>
      <c r="E1713" t="s">
        <v>1666</v>
      </c>
      <c r="F1713" t="s">
        <v>2402</v>
      </c>
    </row>
    <row r="1714" spans="1:6" x14ac:dyDescent="0.25">
      <c r="A1714" t="str">
        <f>"1660277988"</f>
        <v>1660277988</v>
      </c>
      <c r="B1714" t="s">
        <v>2403</v>
      </c>
      <c r="C1714" t="s">
        <v>7</v>
      </c>
      <c r="D1714" t="s">
        <v>12</v>
      </c>
      <c r="E1714" t="s">
        <v>1666</v>
      </c>
      <c r="F1714" t="s">
        <v>2404</v>
      </c>
    </row>
    <row r="1715" spans="1:6" x14ac:dyDescent="0.25">
      <c r="A1715" t="str">
        <f>"1660315295"</f>
        <v>1660315295</v>
      </c>
      <c r="B1715" t="s">
        <v>2405</v>
      </c>
      <c r="C1715" t="s">
        <v>7</v>
      </c>
      <c r="D1715" t="s">
        <v>33</v>
      </c>
      <c r="E1715" t="s">
        <v>1666</v>
      </c>
      <c r="F1715" t="s">
        <v>2406</v>
      </c>
    </row>
    <row r="1716" spans="1:6" x14ac:dyDescent="0.25">
      <c r="A1716" t="str">
        <f>"1661063636"</f>
        <v>1661063636</v>
      </c>
      <c r="B1716" t="s">
        <v>2407</v>
      </c>
      <c r="C1716" t="s">
        <v>7</v>
      </c>
      <c r="D1716" t="s">
        <v>33</v>
      </c>
      <c r="E1716" t="s">
        <v>1666</v>
      </c>
      <c r="F1716" t="s">
        <v>2408</v>
      </c>
    </row>
    <row r="1717" spans="1:6" x14ac:dyDescent="0.25">
      <c r="A1717" t="str">
        <f>"1683001344"</f>
        <v>1683001344</v>
      </c>
      <c r="B1717" t="s">
        <v>2409</v>
      </c>
      <c r="C1717" t="s">
        <v>7</v>
      </c>
      <c r="D1717" t="s">
        <v>33</v>
      </c>
      <c r="E1717" t="s">
        <v>1666</v>
      </c>
      <c r="F1717" t="s">
        <v>2410</v>
      </c>
    </row>
    <row r="1718" spans="1:6" x14ac:dyDescent="0.25">
      <c r="A1718" t="str">
        <f>"1683002210"</f>
        <v>1683002210</v>
      </c>
      <c r="B1718" t="s">
        <v>2411</v>
      </c>
      <c r="C1718" t="s">
        <v>7</v>
      </c>
      <c r="D1718" t="s">
        <v>12</v>
      </c>
      <c r="E1718" t="s">
        <v>1666</v>
      </c>
      <c r="F1718" t="s">
        <v>2412</v>
      </c>
    </row>
    <row r="1719" spans="1:6" x14ac:dyDescent="0.25">
      <c r="A1719" t="str">
        <f>"1683007843"</f>
        <v>1683007843</v>
      </c>
      <c r="B1719" t="s">
        <v>2413</v>
      </c>
      <c r="C1719" t="s">
        <v>7</v>
      </c>
      <c r="D1719" t="s">
        <v>14</v>
      </c>
      <c r="E1719" t="s">
        <v>1666</v>
      </c>
      <c r="F1719" t="s">
        <v>2414</v>
      </c>
    </row>
    <row r="1720" spans="1:6" x14ac:dyDescent="0.25">
      <c r="A1720" t="str">
        <f>"1683010934"</f>
        <v>1683010934</v>
      </c>
      <c r="B1720" t="s">
        <v>2415</v>
      </c>
      <c r="C1720" t="s">
        <v>7</v>
      </c>
      <c r="D1720" t="s">
        <v>12</v>
      </c>
      <c r="E1720" t="s">
        <v>1666</v>
      </c>
      <c r="F1720" t="s">
        <v>2416</v>
      </c>
    </row>
    <row r="1721" spans="1:6" x14ac:dyDescent="0.25">
      <c r="A1721" t="str">
        <f>"1686027887"</f>
        <v>1686027887</v>
      </c>
      <c r="B1721" t="s">
        <v>2417</v>
      </c>
      <c r="C1721" t="s">
        <v>7</v>
      </c>
      <c r="D1721" t="s">
        <v>12</v>
      </c>
      <c r="E1721" t="s">
        <v>1666</v>
      </c>
      <c r="F1721" t="s">
        <v>2418</v>
      </c>
    </row>
    <row r="1722" spans="1:6" x14ac:dyDescent="0.25">
      <c r="A1722" t="str">
        <f>"1686037412"</f>
        <v>1686037412</v>
      </c>
      <c r="B1722" t="s">
        <v>2419</v>
      </c>
      <c r="C1722" t="s">
        <v>7</v>
      </c>
      <c r="D1722" t="s">
        <v>14</v>
      </c>
      <c r="E1722" t="s">
        <v>1666</v>
      </c>
      <c r="F1722" t="s">
        <v>2420</v>
      </c>
    </row>
    <row r="1723" spans="1:6" x14ac:dyDescent="0.25">
      <c r="A1723" t="str">
        <f>"1686037701"</f>
        <v>1686037701</v>
      </c>
      <c r="B1723" t="s">
        <v>2421</v>
      </c>
      <c r="C1723" t="s">
        <v>7</v>
      </c>
      <c r="D1723" t="s">
        <v>12</v>
      </c>
      <c r="E1723" t="s">
        <v>1666</v>
      </c>
      <c r="F1723" t="s">
        <v>2422</v>
      </c>
    </row>
    <row r="1724" spans="1:6" x14ac:dyDescent="0.25">
      <c r="A1724" t="str">
        <f>"1686043840"</f>
        <v>1686043840</v>
      </c>
      <c r="B1724" t="s">
        <v>2423</v>
      </c>
      <c r="C1724" t="s">
        <v>7</v>
      </c>
      <c r="D1724" t="s">
        <v>189</v>
      </c>
      <c r="E1724" t="s">
        <v>1666</v>
      </c>
      <c r="F1724" t="s">
        <v>2424</v>
      </c>
    </row>
    <row r="1725" spans="1:6" x14ac:dyDescent="0.25">
      <c r="A1725" t="str">
        <f>"1686044522"</f>
        <v>1686044522</v>
      </c>
      <c r="B1725" t="s">
        <v>2425</v>
      </c>
      <c r="C1725" t="s">
        <v>7</v>
      </c>
      <c r="D1725" t="s">
        <v>12</v>
      </c>
      <c r="E1725" t="s">
        <v>1666</v>
      </c>
      <c r="F1725" t="s">
        <v>2426</v>
      </c>
    </row>
    <row r="1726" spans="1:6" x14ac:dyDescent="0.25">
      <c r="A1726" t="str">
        <f>"1686045893"</f>
        <v>1686045893</v>
      </c>
      <c r="B1726" t="s">
        <v>2427</v>
      </c>
      <c r="C1726" t="s">
        <v>7</v>
      </c>
      <c r="D1726" t="s">
        <v>8</v>
      </c>
      <c r="E1726" t="s">
        <v>1666</v>
      </c>
      <c r="F1726" t="s">
        <v>2428</v>
      </c>
    </row>
    <row r="1727" spans="1:6" x14ac:dyDescent="0.25">
      <c r="A1727" t="str">
        <f>"171300495995"</f>
        <v>171300495995</v>
      </c>
      <c r="B1727" t="s">
        <v>2429</v>
      </c>
      <c r="C1727" t="s">
        <v>7</v>
      </c>
      <c r="D1727" t="s">
        <v>14</v>
      </c>
      <c r="E1727" t="s">
        <v>2430</v>
      </c>
    </row>
    <row r="1728" spans="1:6" x14ac:dyDescent="0.25">
      <c r="A1728" t="str">
        <f>"171500869831"</f>
        <v>171500869831</v>
      </c>
      <c r="B1728" t="s">
        <v>2431</v>
      </c>
      <c r="C1728" t="s">
        <v>7</v>
      </c>
      <c r="D1728" t="s">
        <v>14</v>
      </c>
      <c r="E1728" t="s">
        <v>2430</v>
      </c>
    </row>
    <row r="1729" spans="1:6" x14ac:dyDescent="0.25">
      <c r="A1729" t="str">
        <f>"171800262124"</f>
        <v>171800262124</v>
      </c>
      <c r="B1729" t="s">
        <v>2432</v>
      </c>
      <c r="C1729" t="s">
        <v>7</v>
      </c>
      <c r="D1729" t="s">
        <v>14</v>
      </c>
      <c r="E1729" t="s">
        <v>2430</v>
      </c>
    </row>
    <row r="1730" spans="1:6" x14ac:dyDescent="0.25">
      <c r="A1730" t="str">
        <f>"170547082477"</f>
        <v>170547082477</v>
      </c>
      <c r="B1730" t="s">
        <v>2433</v>
      </c>
      <c r="C1730" t="s">
        <v>7</v>
      </c>
      <c r="D1730" t="s">
        <v>14</v>
      </c>
      <c r="E1730" t="s">
        <v>2430</v>
      </c>
    </row>
    <row r="1731" spans="1:6" x14ac:dyDescent="0.25">
      <c r="A1731" t="str">
        <f>"171400023749"</f>
        <v>171400023749</v>
      </c>
      <c r="B1731" t="s">
        <v>2434</v>
      </c>
      <c r="C1731" t="s">
        <v>7</v>
      </c>
      <c r="D1731" t="s">
        <v>14</v>
      </c>
      <c r="E1731" t="s">
        <v>2430</v>
      </c>
    </row>
    <row r="1732" spans="1:6" x14ac:dyDescent="0.25">
      <c r="A1732" t="str">
        <f>"171401853750"</f>
        <v>171401853750</v>
      </c>
      <c r="B1732" t="s">
        <v>2435</v>
      </c>
      <c r="C1732" t="s">
        <v>7</v>
      </c>
      <c r="D1732" t="s">
        <v>14</v>
      </c>
      <c r="E1732" t="s">
        <v>2430</v>
      </c>
    </row>
    <row r="1733" spans="1:6" x14ac:dyDescent="0.25">
      <c r="A1733" t="str">
        <f>"1700008342"</f>
        <v>1700008342</v>
      </c>
      <c r="B1733" t="s">
        <v>2436</v>
      </c>
      <c r="C1733" t="s">
        <v>7</v>
      </c>
      <c r="D1733" t="s">
        <v>33</v>
      </c>
      <c r="E1733" t="s">
        <v>2430</v>
      </c>
      <c r="F1733" t="s">
        <v>2437</v>
      </c>
    </row>
    <row r="1734" spans="1:6" x14ac:dyDescent="0.25">
      <c r="A1734" t="str">
        <f>"1700010510"</f>
        <v>1700010510</v>
      </c>
      <c r="B1734" t="s">
        <v>2438</v>
      </c>
      <c r="C1734" t="s">
        <v>7</v>
      </c>
      <c r="D1734" t="s">
        <v>12</v>
      </c>
      <c r="E1734" t="s">
        <v>2430</v>
      </c>
      <c r="F1734" t="s">
        <v>2439</v>
      </c>
    </row>
    <row r="1735" spans="1:6" x14ac:dyDescent="0.25">
      <c r="A1735" t="str">
        <f>"170108113818"</f>
        <v>170108113818</v>
      </c>
      <c r="B1735" t="s">
        <v>2440</v>
      </c>
      <c r="C1735" t="s">
        <v>7</v>
      </c>
      <c r="D1735" t="s">
        <v>14</v>
      </c>
      <c r="E1735" t="s">
        <v>2430</v>
      </c>
    </row>
    <row r="1736" spans="1:6" x14ac:dyDescent="0.25">
      <c r="A1736" t="str">
        <f>"170109904690"</f>
        <v>170109904690</v>
      </c>
      <c r="B1736" t="s">
        <v>2441</v>
      </c>
      <c r="C1736" t="s">
        <v>7</v>
      </c>
      <c r="D1736" t="s">
        <v>14</v>
      </c>
      <c r="E1736" t="s">
        <v>2430</v>
      </c>
    </row>
    <row r="1737" spans="1:6" x14ac:dyDescent="0.25">
      <c r="A1737" t="str">
        <f>"170100856378"</f>
        <v>170100856378</v>
      </c>
      <c r="B1737" t="s">
        <v>2442</v>
      </c>
      <c r="C1737" t="s">
        <v>7</v>
      </c>
      <c r="D1737" t="s">
        <v>33</v>
      </c>
      <c r="E1737" t="s">
        <v>2430</v>
      </c>
    </row>
    <row r="1738" spans="1:6" x14ac:dyDescent="0.25">
      <c r="A1738" t="str">
        <f>"170104214942"</f>
        <v>170104214942</v>
      </c>
      <c r="B1738" t="s">
        <v>2443</v>
      </c>
      <c r="C1738" t="s">
        <v>7</v>
      </c>
      <c r="D1738" t="s">
        <v>14</v>
      </c>
      <c r="E1738" t="s">
        <v>2430</v>
      </c>
    </row>
    <row r="1739" spans="1:6" x14ac:dyDescent="0.25">
      <c r="A1739" t="str">
        <f>"170108521704"</f>
        <v>170108521704</v>
      </c>
      <c r="B1739" t="s">
        <v>2444</v>
      </c>
      <c r="C1739" t="s">
        <v>7</v>
      </c>
      <c r="D1739" t="s">
        <v>12</v>
      </c>
      <c r="E1739" t="s">
        <v>2430</v>
      </c>
    </row>
    <row r="1740" spans="1:6" x14ac:dyDescent="0.25">
      <c r="A1740" t="str">
        <f>"170500535040"</f>
        <v>170500535040</v>
      </c>
      <c r="B1740" t="s">
        <v>2445</v>
      </c>
      <c r="C1740" t="s">
        <v>7</v>
      </c>
      <c r="D1740" t="s">
        <v>14</v>
      </c>
      <c r="E1740" t="s">
        <v>2430</v>
      </c>
    </row>
    <row r="1741" spans="1:6" x14ac:dyDescent="0.25">
      <c r="A1741" t="str">
        <f>"170700549227"</f>
        <v>170700549227</v>
      </c>
      <c r="B1741" t="s">
        <v>2446</v>
      </c>
      <c r="C1741" t="s">
        <v>7</v>
      </c>
      <c r="D1741" t="s">
        <v>14</v>
      </c>
      <c r="E1741" t="s">
        <v>2430</v>
      </c>
    </row>
    <row r="1742" spans="1:6" x14ac:dyDescent="0.25">
      <c r="A1742" t="str">
        <f>"170100817386"</f>
        <v>170100817386</v>
      </c>
      <c r="B1742" t="s">
        <v>2447</v>
      </c>
      <c r="C1742" t="s">
        <v>7</v>
      </c>
      <c r="D1742" t="s">
        <v>14</v>
      </c>
      <c r="E1742" t="s">
        <v>2430</v>
      </c>
    </row>
    <row r="1743" spans="1:6" x14ac:dyDescent="0.25">
      <c r="A1743" t="str">
        <f>"1800012141"</f>
        <v>1800012141</v>
      </c>
      <c r="B1743" t="s">
        <v>871</v>
      </c>
      <c r="C1743" t="s">
        <v>7</v>
      </c>
      <c r="D1743" t="s">
        <v>14</v>
      </c>
      <c r="E1743" t="s">
        <v>2448</v>
      </c>
      <c r="F1743" t="s">
        <v>2449</v>
      </c>
    </row>
    <row r="1744" spans="1:6" x14ac:dyDescent="0.25">
      <c r="A1744" t="str">
        <f>"1800025870"</f>
        <v>1800025870</v>
      </c>
      <c r="B1744" t="s">
        <v>2450</v>
      </c>
      <c r="C1744" t="s">
        <v>7</v>
      </c>
      <c r="D1744" t="s">
        <v>14</v>
      </c>
      <c r="E1744" t="s">
        <v>2448</v>
      </c>
      <c r="F1744" t="s">
        <v>2451</v>
      </c>
    </row>
    <row r="1745" spans="1:6" x14ac:dyDescent="0.25">
      <c r="A1745" t="str">
        <f>"1800031112"</f>
        <v>1800031112</v>
      </c>
      <c r="B1745" t="s">
        <v>2452</v>
      </c>
      <c r="C1745" t="s">
        <v>7</v>
      </c>
      <c r="D1745" t="s">
        <v>12</v>
      </c>
      <c r="E1745" t="s">
        <v>2448</v>
      </c>
      <c r="F1745" t="s">
        <v>2453</v>
      </c>
    </row>
    <row r="1746" spans="1:6" x14ac:dyDescent="0.25">
      <c r="A1746" t="str">
        <f>"180200044601"</f>
        <v>180200044601</v>
      </c>
      <c r="B1746" t="s">
        <v>2454</v>
      </c>
      <c r="C1746" t="s">
        <v>7</v>
      </c>
      <c r="D1746" t="s">
        <v>14</v>
      </c>
      <c r="E1746" t="s">
        <v>2448</v>
      </c>
    </row>
    <row r="1747" spans="1:6" x14ac:dyDescent="0.25">
      <c r="A1747" t="str">
        <f>"180802126805"</f>
        <v>180802126805</v>
      </c>
      <c r="B1747" t="s">
        <v>2455</v>
      </c>
      <c r="C1747" t="s">
        <v>7</v>
      </c>
      <c r="D1747" t="s">
        <v>14</v>
      </c>
      <c r="E1747" t="s">
        <v>2448</v>
      </c>
    </row>
    <row r="1748" spans="1:6" x14ac:dyDescent="0.25">
      <c r="A1748" t="str">
        <f>"181201827090"</f>
        <v>181201827090</v>
      </c>
      <c r="B1748" t="s">
        <v>2456</v>
      </c>
      <c r="C1748" t="s">
        <v>7</v>
      </c>
      <c r="D1748" t="s">
        <v>14</v>
      </c>
      <c r="E1748" t="s">
        <v>2448</v>
      </c>
    </row>
    <row r="1749" spans="1:6" x14ac:dyDescent="0.25">
      <c r="A1749" t="str">
        <f>"181301755882"</f>
        <v>181301755882</v>
      </c>
      <c r="B1749" t="s">
        <v>2457</v>
      </c>
      <c r="C1749" t="s">
        <v>7</v>
      </c>
      <c r="D1749" t="s">
        <v>14</v>
      </c>
      <c r="E1749" t="s">
        <v>2448</v>
      </c>
    </row>
    <row r="1750" spans="1:6" x14ac:dyDescent="0.25">
      <c r="A1750" t="str">
        <f>"181800022841"</f>
        <v>181800022841</v>
      </c>
      <c r="B1750" t="s">
        <v>2458</v>
      </c>
      <c r="C1750" t="s">
        <v>7</v>
      </c>
      <c r="D1750" t="s">
        <v>14</v>
      </c>
      <c r="E1750" t="s">
        <v>2448</v>
      </c>
    </row>
    <row r="1751" spans="1:6" x14ac:dyDescent="0.25">
      <c r="A1751" t="str">
        <f>"181800065073"</f>
        <v>181800065073</v>
      </c>
      <c r="B1751" t="s">
        <v>2459</v>
      </c>
      <c r="C1751" t="s">
        <v>7</v>
      </c>
      <c r="D1751" t="s">
        <v>12</v>
      </c>
      <c r="E1751" t="s">
        <v>2448</v>
      </c>
    </row>
    <row r="1752" spans="1:6" x14ac:dyDescent="0.25">
      <c r="A1752" t="str">
        <f>"182000790941"</f>
        <v>182000790941</v>
      </c>
      <c r="B1752" t="s">
        <v>2460</v>
      </c>
      <c r="C1752" t="s">
        <v>7</v>
      </c>
      <c r="D1752" t="s">
        <v>14</v>
      </c>
      <c r="E1752" t="s">
        <v>2448</v>
      </c>
    </row>
    <row r="1753" spans="1:6" x14ac:dyDescent="0.25">
      <c r="A1753" t="str">
        <f>"182001233781"</f>
        <v>182001233781</v>
      </c>
      <c r="B1753" t="s">
        <v>2461</v>
      </c>
      <c r="C1753" t="s">
        <v>7</v>
      </c>
      <c r="D1753" t="s">
        <v>12</v>
      </c>
      <c r="E1753" t="s">
        <v>2448</v>
      </c>
    </row>
    <row r="1754" spans="1:6" x14ac:dyDescent="0.25">
      <c r="A1754" t="str">
        <f>"182202234513"</f>
        <v>182202234513</v>
      </c>
      <c r="B1754" t="s">
        <v>2462</v>
      </c>
      <c r="C1754" t="s">
        <v>7</v>
      </c>
      <c r="D1754" t="s">
        <v>14</v>
      </c>
      <c r="E1754" t="s">
        <v>2448</v>
      </c>
    </row>
    <row r="1755" spans="1:6" x14ac:dyDescent="0.25">
      <c r="A1755" t="str">
        <f>"182401139222"</f>
        <v>182401139222</v>
      </c>
      <c r="B1755" t="s">
        <v>2463</v>
      </c>
      <c r="C1755" t="s">
        <v>7</v>
      </c>
      <c r="D1755" t="s">
        <v>14</v>
      </c>
      <c r="E1755" t="s">
        <v>2448</v>
      </c>
    </row>
    <row r="1756" spans="1:6" x14ac:dyDescent="0.25">
      <c r="A1756" t="str">
        <f>"182700737703"</f>
        <v>182700737703</v>
      </c>
      <c r="B1756" t="s">
        <v>2464</v>
      </c>
      <c r="C1756" t="s">
        <v>7</v>
      </c>
      <c r="D1756" t="s">
        <v>14</v>
      </c>
      <c r="E1756" t="s">
        <v>2448</v>
      </c>
    </row>
    <row r="1757" spans="1:6" x14ac:dyDescent="0.25">
      <c r="A1757" t="str">
        <f>"182709134040"</f>
        <v>182709134040</v>
      </c>
      <c r="B1757" t="s">
        <v>2465</v>
      </c>
      <c r="C1757" t="s">
        <v>7</v>
      </c>
      <c r="D1757" t="s">
        <v>12</v>
      </c>
      <c r="E1757" t="s">
        <v>2448</v>
      </c>
    </row>
    <row r="1758" spans="1:6" x14ac:dyDescent="0.25">
      <c r="A1758" t="str">
        <f>"182800061306"</f>
        <v>182800061306</v>
      </c>
      <c r="B1758" t="s">
        <v>2466</v>
      </c>
      <c r="C1758" t="s">
        <v>7</v>
      </c>
      <c r="D1758" t="s">
        <v>14</v>
      </c>
      <c r="E1758" t="s">
        <v>2448</v>
      </c>
    </row>
    <row r="1759" spans="1:6" x14ac:dyDescent="0.25">
      <c r="A1759" t="str">
        <f>"182800283429"</f>
        <v>182800283429</v>
      </c>
      <c r="B1759" t="s">
        <v>2467</v>
      </c>
      <c r="C1759" t="s">
        <v>7</v>
      </c>
      <c r="D1759" t="s">
        <v>14</v>
      </c>
      <c r="E1759" t="s">
        <v>2448</v>
      </c>
    </row>
    <row r="1760" spans="1:6" x14ac:dyDescent="0.25">
      <c r="A1760" t="str">
        <f>"182806767200"</f>
        <v>182806767200</v>
      </c>
      <c r="B1760" t="s">
        <v>2468</v>
      </c>
      <c r="C1760" t="s">
        <v>7</v>
      </c>
      <c r="D1760" t="s">
        <v>12</v>
      </c>
      <c r="E1760" t="s">
        <v>2448</v>
      </c>
    </row>
    <row r="1761" spans="1:6" x14ac:dyDescent="0.25">
      <c r="A1761" t="str">
        <f>"182905496583"</f>
        <v>182905496583</v>
      </c>
      <c r="B1761" t="s">
        <v>2469</v>
      </c>
      <c r="C1761" t="s">
        <v>7</v>
      </c>
      <c r="D1761" t="s">
        <v>14</v>
      </c>
      <c r="E1761" t="s">
        <v>2448</v>
      </c>
    </row>
    <row r="1762" spans="1:6" x14ac:dyDescent="0.25">
      <c r="A1762" t="str">
        <f>"182907535975"</f>
        <v>182907535975</v>
      </c>
      <c r="B1762" t="s">
        <v>2470</v>
      </c>
      <c r="C1762" t="s">
        <v>7</v>
      </c>
      <c r="D1762" t="s">
        <v>14</v>
      </c>
      <c r="E1762" t="s">
        <v>2448</v>
      </c>
    </row>
    <row r="1763" spans="1:6" x14ac:dyDescent="0.25">
      <c r="A1763" t="str">
        <f>"183060546530"</f>
        <v>183060546530</v>
      </c>
      <c r="B1763" t="s">
        <v>2471</v>
      </c>
      <c r="C1763" t="s">
        <v>7</v>
      </c>
      <c r="D1763" t="s">
        <v>14</v>
      </c>
      <c r="E1763" t="s">
        <v>2448</v>
      </c>
    </row>
    <row r="1764" spans="1:6" x14ac:dyDescent="0.25">
      <c r="A1764" t="str">
        <f>"183060988200"</f>
        <v>183060988200</v>
      </c>
      <c r="B1764" t="s">
        <v>2472</v>
      </c>
      <c r="C1764" t="s">
        <v>7</v>
      </c>
      <c r="D1764" t="s">
        <v>14</v>
      </c>
      <c r="E1764" t="s">
        <v>2448</v>
      </c>
    </row>
    <row r="1765" spans="1:6" x14ac:dyDescent="0.25">
      <c r="A1765" t="str">
        <f>"1831092235"</f>
        <v>1831092235</v>
      </c>
      <c r="B1765" t="s">
        <v>2473</v>
      </c>
      <c r="C1765" t="s">
        <v>7</v>
      </c>
      <c r="D1765" t="s">
        <v>14</v>
      </c>
      <c r="E1765" t="s">
        <v>2448</v>
      </c>
      <c r="F1765" t="s">
        <v>2474</v>
      </c>
    </row>
    <row r="1766" spans="1:6" x14ac:dyDescent="0.25">
      <c r="A1766" t="str">
        <f>"183109801424"</f>
        <v>183109801424</v>
      </c>
      <c r="B1766" t="s">
        <v>2475</v>
      </c>
      <c r="C1766" t="s">
        <v>7</v>
      </c>
      <c r="D1766" t="s">
        <v>12</v>
      </c>
      <c r="E1766" t="s">
        <v>2448</v>
      </c>
    </row>
    <row r="1767" spans="1:6" x14ac:dyDescent="0.25">
      <c r="A1767" t="str">
        <f>"1831100158"</f>
        <v>1831100158</v>
      </c>
      <c r="B1767" t="s">
        <v>2476</v>
      </c>
      <c r="C1767" t="s">
        <v>7</v>
      </c>
      <c r="D1767" t="s">
        <v>8</v>
      </c>
      <c r="E1767" t="s">
        <v>2448</v>
      </c>
      <c r="F1767" t="s">
        <v>2477</v>
      </c>
    </row>
    <row r="1768" spans="1:6" x14ac:dyDescent="0.25">
      <c r="A1768" t="str">
        <f>"1831112192"</f>
        <v>1831112192</v>
      </c>
      <c r="B1768" t="s">
        <v>2478</v>
      </c>
      <c r="C1768" t="s">
        <v>7</v>
      </c>
      <c r="D1768" t="s">
        <v>14</v>
      </c>
      <c r="E1768" t="s">
        <v>2448</v>
      </c>
      <c r="F1768" t="s">
        <v>2479</v>
      </c>
    </row>
    <row r="1769" spans="1:6" x14ac:dyDescent="0.25">
      <c r="A1769" t="str">
        <f>"1831114859"</f>
        <v>1831114859</v>
      </c>
      <c r="B1769" t="s">
        <v>2480</v>
      </c>
      <c r="C1769" t="s">
        <v>7</v>
      </c>
      <c r="D1769" t="s">
        <v>14</v>
      </c>
      <c r="E1769" t="s">
        <v>2448</v>
      </c>
      <c r="F1769" t="s">
        <v>2481</v>
      </c>
    </row>
    <row r="1770" spans="1:6" x14ac:dyDescent="0.25">
      <c r="A1770" t="str">
        <f>"1831131660"</f>
        <v>1831131660</v>
      </c>
      <c r="B1770" t="s">
        <v>2482</v>
      </c>
      <c r="C1770" t="s">
        <v>7</v>
      </c>
      <c r="D1770" t="s">
        <v>14</v>
      </c>
      <c r="E1770" t="s">
        <v>2448</v>
      </c>
      <c r="F1770" t="s">
        <v>2481</v>
      </c>
    </row>
    <row r="1771" spans="1:6" x14ac:dyDescent="0.25">
      <c r="A1771" t="str">
        <f>"183114128194"</f>
        <v>183114128194</v>
      </c>
      <c r="B1771" t="s">
        <v>2483</v>
      </c>
      <c r="C1771" t="s">
        <v>7</v>
      </c>
      <c r="D1771" t="s">
        <v>33</v>
      </c>
      <c r="E1771" t="s">
        <v>2448</v>
      </c>
    </row>
    <row r="1772" spans="1:6" x14ac:dyDescent="0.25">
      <c r="A1772" t="str">
        <f>"1831158253"</f>
        <v>1831158253</v>
      </c>
      <c r="B1772" t="s">
        <v>2484</v>
      </c>
      <c r="C1772" t="s">
        <v>7</v>
      </c>
      <c r="D1772" t="s">
        <v>14</v>
      </c>
      <c r="E1772" t="s">
        <v>2448</v>
      </c>
      <c r="F1772" t="s">
        <v>2485</v>
      </c>
    </row>
    <row r="1773" spans="1:6" x14ac:dyDescent="0.25">
      <c r="A1773" t="str">
        <f>"1831164024"</f>
        <v>1831164024</v>
      </c>
      <c r="B1773" t="s">
        <v>2486</v>
      </c>
      <c r="C1773" t="s">
        <v>7</v>
      </c>
      <c r="D1773" t="s">
        <v>33</v>
      </c>
      <c r="E1773" t="s">
        <v>2448</v>
      </c>
      <c r="F1773" t="s">
        <v>2487</v>
      </c>
    </row>
    <row r="1774" spans="1:6" x14ac:dyDescent="0.25">
      <c r="A1774" t="str">
        <f>"1831181037"</f>
        <v>1831181037</v>
      </c>
      <c r="B1774" t="s">
        <v>2488</v>
      </c>
      <c r="C1774" t="s">
        <v>7</v>
      </c>
      <c r="D1774" t="s">
        <v>33</v>
      </c>
      <c r="E1774" t="s">
        <v>2448</v>
      </c>
      <c r="F1774" t="s">
        <v>2489</v>
      </c>
    </row>
    <row r="1775" spans="1:6" x14ac:dyDescent="0.25">
      <c r="A1775" t="str">
        <f>"1831207662"</f>
        <v>1831207662</v>
      </c>
      <c r="B1775" t="s">
        <v>2490</v>
      </c>
      <c r="C1775" t="s">
        <v>7</v>
      </c>
      <c r="D1775" t="s">
        <v>33</v>
      </c>
      <c r="E1775" t="s">
        <v>2448</v>
      </c>
      <c r="F1775" t="s">
        <v>2491</v>
      </c>
    </row>
    <row r="1776" spans="1:6" x14ac:dyDescent="0.25">
      <c r="A1776" t="str">
        <f>"183201472436"</f>
        <v>183201472436</v>
      </c>
      <c r="B1776" t="s">
        <v>2492</v>
      </c>
      <c r="C1776" t="s">
        <v>7</v>
      </c>
      <c r="D1776" t="s">
        <v>14</v>
      </c>
      <c r="E1776" t="s">
        <v>2448</v>
      </c>
    </row>
    <row r="1777" spans="1:6" x14ac:dyDescent="0.25">
      <c r="A1777" t="str">
        <f>"183201731169"</f>
        <v>183201731169</v>
      </c>
      <c r="B1777" t="s">
        <v>2493</v>
      </c>
      <c r="C1777" t="s">
        <v>7</v>
      </c>
      <c r="D1777" t="s">
        <v>14</v>
      </c>
      <c r="E1777" t="s">
        <v>2448</v>
      </c>
    </row>
    <row r="1778" spans="1:6" x14ac:dyDescent="0.25">
      <c r="A1778" t="str">
        <f>"183207975235"</f>
        <v>183207975235</v>
      </c>
      <c r="B1778" t="s">
        <v>2494</v>
      </c>
      <c r="C1778" t="s">
        <v>7</v>
      </c>
      <c r="D1778" t="s">
        <v>12</v>
      </c>
      <c r="E1778" t="s">
        <v>2448</v>
      </c>
    </row>
    <row r="1779" spans="1:6" x14ac:dyDescent="0.25">
      <c r="A1779" t="str">
        <f>"183209520709"</f>
        <v>183209520709</v>
      </c>
      <c r="B1779" t="s">
        <v>2495</v>
      </c>
      <c r="C1779" t="s">
        <v>7</v>
      </c>
      <c r="D1779" t="s">
        <v>14</v>
      </c>
      <c r="E1779" t="s">
        <v>2448</v>
      </c>
    </row>
    <row r="1780" spans="1:6" x14ac:dyDescent="0.25">
      <c r="A1780" t="str">
        <f>"1832132272"</f>
        <v>1832132272</v>
      </c>
      <c r="B1780" t="s">
        <v>2496</v>
      </c>
      <c r="C1780" t="s">
        <v>7</v>
      </c>
      <c r="D1780" t="s">
        <v>33</v>
      </c>
      <c r="E1780" t="s">
        <v>2448</v>
      </c>
      <c r="F1780" t="s">
        <v>2497</v>
      </c>
    </row>
    <row r="1781" spans="1:6" x14ac:dyDescent="0.25">
      <c r="A1781" t="str">
        <f>"1832137680"</f>
        <v>1832137680</v>
      </c>
      <c r="B1781" t="s">
        <v>2498</v>
      </c>
      <c r="C1781" t="s">
        <v>7</v>
      </c>
      <c r="D1781" t="s">
        <v>14</v>
      </c>
      <c r="E1781" t="s">
        <v>2448</v>
      </c>
      <c r="F1781" t="s">
        <v>2499</v>
      </c>
    </row>
    <row r="1782" spans="1:6" x14ac:dyDescent="0.25">
      <c r="A1782" t="str">
        <f>"183300383177"</f>
        <v>183300383177</v>
      </c>
      <c r="B1782" t="s">
        <v>2500</v>
      </c>
      <c r="C1782" t="s">
        <v>7</v>
      </c>
      <c r="D1782" t="s">
        <v>12</v>
      </c>
      <c r="E1782" t="s">
        <v>2448</v>
      </c>
    </row>
    <row r="1783" spans="1:6" x14ac:dyDescent="0.25">
      <c r="A1783" t="str">
        <f>"183300973377"</f>
        <v>183300973377</v>
      </c>
      <c r="B1783" t="s">
        <v>2501</v>
      </c>
      <c r="C1783" t="s">
        <v>7</v>
      </c>
      <c r="D1783" t="s">
        <v>12</v>
      </c>
      <c r="E1783" t="s">
        <v>2448</v>
      </c>
    </row>
    <row r="1784" spans="1:6" x14ac:dyDescent="0.25">
      <c r="A1784" t="str">
        <f>"183305652257"</f>
        <v>183305652257</v>
      </c>
      <c r="B1784" t="s">
        <v>2502</v>
      </c>
      <c r="C1784" t="s">
        <v>7</v>
      </c>
      <c r="D1784" t="s">
        <v>12</v>
      </c>
      <c r="E1784" t="s">
        <v>2448</v>
      </c>
    </row>
    <row r="1785" spans="1:6" x14ac:dyDescent="0.25">
      <c r="A1785" t="str">
        <f>"183310040210"</f>
        <v>183310040210</v>
      </c>
      <c r="B1785" t="s">
        <v>2503</v>
      </c>
      <c r="C1785" t="s">
        <v>7</v>
      </c>
      <c r="D1785" t="s">
        <v>14</v>
      </c>
      <c r="E1785" t="s">
        <v>2448</v>
      </c>
    </row>
    <row r="1786" spans="1:6" x14ac:dyDescent="0.25">
      <c r="A1786" t="str">
        <f>"183313594016"</f>
        <v>183313594016</v>
      </c>
      <c r="B1786" t="s">
        <v>2504</v>
      </c>
      <c r="C1786" t="s">
        <v>7</v>
      </c>
      <c r="D1786" t="s">
        <v>14</v>
      </c>
      <c r="E1786" t="s">
        <v>2448</v>
      </c>
    </row>
    <row r="1787" spans="1:6" x14ac:dyDescent="0.25">
      <c r="A1787" t="str">
        <f>"183401213887"</f>
        <v>183401213887</v>
      </c>
      <c r="B1787" t="s">
        <v>2505</v>
      </c>
      <c r="C1787" t="s">
        <v>7</v>
      </c>
      <c r="D1787" t="s">
        <v>14</v>
      </c>
      <c r="E1787" t="s">
        <v>2448</v>
      </c>
    </row>
    <row r="1788" spans="1:6" x14ac:dyDescent="0.25">
      <c r="A1788" t="str">
        <f>"183470913583"</f>
        <v>183470913583</v>
      </c>
      <c r="B1788" t="s">
        <v>2506</v>
      </c>
      <c r="C1788" t="s">
        <v>7</v>
      </c>
      <c r="D1788" t="s">
        <v>14</v>
      </c>
      <c r="E1788" t="s">
        <v>2448</v>
      </c>
    </row>
    <row r="1789" spans="1:6" x14ac:dyDescent="0.25">
      <c r="A1789" t="str">
        <f>"525009685890"</f>
        <v>525009685890</v>
      </c>
      <c r="B1789" t="s">
        <v>2507</v>
      </c>
      <c r="C1789" t="s">
        <v>7</v>
      </c>
      <c r="D1789" t="s">
        <v>14</v>
      </c>
      <c r="E1789" t="s">
        <v>2448</v>
      </c>
    </row>
    <row r="1790" spans="1:6" x14ac:dyDescent="0.25">
      <c r="A1790" t="str">
        <f>"180300840484"</f>
        <v>180300840484</v>
      </c>
      <c r="B1790" t="s">
        <v>2508</v>
      </c>
      <c r="C1790" t="s">
        <v>7</v>
      </c>
      <c r="D1790" t="s">
        <v>12</v>
      </c>
      <c r="E1790" t="s">
        <v>2448</v>
      </c>
    </row>
    <row r="1791" spans="1:6" x14ac:dyDescent="0.25">
      <c r="A1791" t="str">
        <f>"1804000718"</f>
        <v>1804000718</v>
      </c>
      <c r="B1791" t="s">
        <v>2509</v>
      </c>
      <c r="C1791" t="s">
        <v>7</v>
      </c>
      <c r="D1791" t="s">
        <v>14</v>
      </c>
      <c r="E1791" t="s">
        <v>2448</v>
      </c>
      <c r="F1791" t="s">
        <v>2510</v>
      </c>
    </row>
    <row r="1792" spans="1:6" x14ac:dyDescent="0.25">
      <c r="A1792" t="str">
        <f>"1805000069"</f>
        <v>1805000069</v>
      </c>
      <c r="B1792" t="s">
        <v>2511</v>
      </c>
      <c r="C1792" t="s">
        <v>7</v>
      </c>
      <c r="D1792" t="s">
        <v>14</v>
      </c>
      <c r="E1792" t="s">
        <v>2448</v>
      </c>
      <c r="F1792" t="s">
        <v>2512</v>
      </c>
    </row>
    <row r="1793" spans="1:6" x14ac:dyDescent="0.25">
      <c r="A1793" t="str">
        <f>"180500088173"</f>
        <v>180500088173</v>
      </c>
      <c r="B1793" t="s">
        <v>2513</v>
      </c>
      <c r="C1793" t="s">
        <v>7</v>
      </c>
      <c r="D1793" t="s">
        <v>14</v>
      </c>
      <c r="E1793" t="s">
        <v>2448</v>
      </c>
    </row>
    <row r="1794" spans="1:6" x14ac:dyDescent="0.25">
      <c r="A1794" t="str">
        <f>"180803049582"</f>
        <v>180803049582</v>
      </c>
      <c r="B1794" t="s">
        <v>2514</v>
      </c>
      <c r="C1794" t="s">
        <v>7</v>
      </c>
      <c r="D1794" t="s">
        <v>12</v>
      </c>
      <c r="E1794" t="s">
        <v>2448</v>
      </c>
    </row>
    <row r="1795" spans="1:6" x14ac:dyDescent="0.25">
      <c r="A1795" t="str">
        <f>"180803368155"</f>
        <v>180803368155</v>
      </c>
      <c r="B1795" t="s">
        <v>2515</v>
      </c>
      <c r="C1795" t="s">
        <v>7</v>
      </c>
      <c r="D1795" t="s">
        <v>14</v>
      </c>
      <c r="E1795" t="s">
        <v>2448</v>
      </c>
    </row>
    <row r="1796" spans="1:6" x14ac:dyDescent="0.25">
      <c r="A1796" t="str">
        <f>"180902138699"</f>
        <v>180902138699</v>
      </c>
      <c r="B1796" t="s">
        <v>2516</v>
      </c>
      <c r="C1796" t="s">
        <v>7</v>
      </c>
      <c r="D1796" t="s">
        <v>14</v>
      </c>
      <c r="E1796" t="s">
        <v>2448</v>
      </c>
    </row>
    <row r="1797" spans="1:6" x14ac:dyDescent="0.25">
      <c r="A1797" t="str">
        <f>"180903108305"</f>
        <v>180903108305</v>
      </c>
      <c r="B1797" t="s">
        <v>2517</v>
      </c>
      <c r="C1797" t="s">
        <v>7</v>
      </c>
      <c r="D1797" t="s">
        <v>14</v>
      </c>
      <c r="E1797" t="s">
        <v>2448</v>
      </c>
    </row>
    <row r="1798" spans="1:6" x14ac:dyDescent="0.25">
      <c r="A1798" t="str">
        <f>"181302462857"</f>
        <v>181302462857</v>
      </c>
      <c r="B1798" t="s">
        <v>2518</v>
      </c>
      <c r="C1798" t="s">
        <v>7</v>
      </c>
      <c r="D1798" t="s">
        <v>14</v>
      </c>
      <c r="E1798" t="s">
        <v>2448</v>
      </c>
    </row>
    <row r="1799" spans="1:6" x14ac:dyDescent="0.25">
      <c r="A1799" t="str">
        <f>"181802522134"</f>
        <v>181802522134</v>
      </c>
      <c r="B1799" t="s">
        <v>2519</v>
      </c>
      <c r="C1799" t="s">
        <v>7</v>
      </c>
      <c r="D1799" t="s">
        <v>14</v>
      </c>
      <c r="E1799" t="s">
        <v>2448</v>
      </c>
    </row>
    <row r="1800" spans="1:6" x14ac:dyDescent="0.25">
      <c r="A1800" t="str">
        <f>"181900001108"</f>
        <v>181900001108</v>
      </c>
      <c r="B1800" t="s">
        <v>2520</v>
      </c>
      <c r="C1800" t="s">
        <v>7</v>
      </c>
      <c r="D1800" t="s">
        <v>14</v>
      </c>
      <c r="E1800" t="s">
        <v>2448</v>
      </c>
    </row>
    <row r="1801" spans="1:6" x14ac:dyDescent="0.25">
      <c r="A1801" t="str">
        <f>"181900678690"</f>
        <v>181900678690</v>
      </c>
      <c r="B1801" t="s">
        <v>2521</v>
      </c>
      <c r="C1801" t="s">
        <v>7</v>
      </c>
      <c r="D1801" t="s">
        <v>12</v>
      </c>
      <c r="E1801" t="s">
        <v>2448</v>
      </c>
    </row>
    <row r="1802" spans="1:6" x14ac:dyDescent="0.25">
      <c r="A1802" t="str">
        <f>"181900819694"</f>
        <v>181900819694</v>
      </c>
      <c r="B1802" t="s">
        <v>2522</v>
      </c>
      <c r="C1802" t="s">
        <v>7</v>
      </c>
      <c r="D1802" t="s">
        <v>14</v>
      </c>
      <c r="E1802" t="s">
        <v>2448</v>
      </c>
    </row>
    <row r="1803" spans="1:6" x14ac:dyDescent="0.25">
      <c r="A1803" t="str">
        <f>"1821012537"</f>
        <v>1821012537</v>
      </c>
      <c r="B1803" t="s">
        <v>2523</v>
      </c>
      <c r="C1803" t="s">
        <v>7</v>
      </c>
      <c r="D1803" t="s">
        <v>14</v>
      </c>
      <c r="E1803" t="s">
        <v>2448</v>
      </c>
      <c r="F1803" t="s">
        <v>2524</v>
      </c>
    </row>
    <row r="1804" spans="1:6" x14ac:dyDescent="0.25">
      <c r="A1804" t="str">
        <f>"182201608903"</f>
        <v>182201608903</v>
      </c>
      <c r="B1804" t="s">
        <v>2525</v>
      </c>
      <c r="C1804" t="s">
        <v>7</v>
      </c>
      <c r="D1804" t="s">
        <v>14</v>
      </c>
      <c r="E1804" t="s">
        <v>2448</v>
      </c>
    </row>
    <row r="1805" spans="1:6" x14ac:dyDescent="0.25">
      <c r="A1805" t="str">
        <f>"1823000270"</f>
        <v>1823000270</v>
      </c>
      <c r="B1805" t="s">
        <v>2526</v>
      </c>
      <c r="C1805" t="s">
        <v>7</v>
      </c>
      <c r="D1805" t="s">
        <v>14</v>
      </c>
      <c r="E1805" t="s">
        <v>2448</v>
      </c>
      <c r="F1805" t="s">
        <v>2527</v>
      </c>
    </row>
    <row r="1806" spans="1:6" x14ac:dyDescent="0.25">
      <c r="A1806" t="str">
        <f>"182400000122"</f>
        <v>182400000122</v>
      </c>
      <c r="B1806" t="s">
        <v>2528</v>
      </c>
      <c r="C1806" t="s">
        <v>7</v>
      </c>
      <c r="D1806" t="s">
        <v>14</v>
      </c>
      <c r="E1806" t="s">
        <v>2448</v>
      </c>
    </row>
    <row r="1807" spans="1:6" x14ac:dyDescent="0.25">
      <c r="A1807" t="str">
        <f>"182401038111"</f>
        <v>182401038111</v>
      </c>
      <c r="B1807" t="s">
        <v>2529</v>
      </c>
      <c r="C1807" t="s">
        <v>7</v>
      </c>
      <c r="D1807" t="s">
        <v>14</v>
      </c>
      <c r="E1807" t="s">
        <v>2448</v>
      </c>
    </row>
    <row r="1808" spans="1:6" x14ac:dyDescent="0.25">
      <c r="A1808" t="str">
        <f>"182401314178"</f>
        <v>182401314178</v>
      </c>
      <c r="B1808" t="s">
        <v>2530</v>
      </c>
      <c r="C1808" t="s">
        <v>7</v>
      </c>
      <c r="D1808" t="s">
        <v>12</v>
      </c>
      <c r="E1808" t="s">
        <v>2448</v>
      </c>
    </row>
    <row r="1809" spans="1:6" x14ac:dyDescent="0.25">
      <c r="A1809" t="str">
        <f>"182704476330"</f>
        <v>182704476330</v>
      </c>
      <c r="B1809" t="s">
        <v>2531</v>
      </c>
      <c r="C1809" t="s">
        <v>7</v>
      </c>
      <c r="D1809" t="s">
        <v>14</v>
      </c>
      <c r="E1809" t="s">
        <v>2448</v>
      </c>
    </row>
    <row r="1810" spans="1:6" x14ac:dyDescent="0.25">
      <c r="A1810" t="str">
        <f>"182799151496"</f>
        <v>182799151496</v>
      </c>
      <c r="B1810" t="s">
        <v>2532</v>
      </c>
      <c r="C1810" t="s">
        <v>7</v>
      </c>
      <c r="D1810" t="s">
        <v>14</v>
      </c>
      <c r="E1810" t="s">
        <v>2448</v>
      </c>
    </row>
    <row r="1811" spans="1:6" x14ac:dyDescent="0.25">
      <c r="A1811" t="str">
        <f>"1828030912"</f>
        <v>1828030912</v>
      </c>
      <c r="B1811" t="s">
        <v>2533</v>
      </c>
      <c r="C1811" t="s">
        <v>7</v>
      </c>
      <c r="D1811" t="s">
        <v>12</v>
      </c>
      <c r="E1811" t="s">
        <v>2448</v>
      </c>
      <c r="F1811" t="s">
        <v>2534</v>
      </c>
    </row>
    <row r="1812" spans="1:6" x14ac:dyDescent="0.25">
      <c r="A1812" t="str">
        <f>"182804698375"</f>
        <v>182804698375</v>
      </c>
      <c r="B1812" t="s">
        <v>2535</v>
      </c>
      <c r="C1812" t="s">
        <v>7</v>
      </c>
      <c r="D1812" t="s">
        <v>14</v>
      </c>
      <c r="E1812" t="s">
        <v>2448</v>
      </c>
    </row>
    <row r="1813" spans="1:6" x14ac:dyDescent="0.25">
      <c r="A1813" t="str">
        <f>"182809270431"</f>
        <v>182809270431</v>
      </c>
      <c r="B1813" t="s">
        <v>2536</v>
      </c>
      <c r="C1813" t="s">
        <v>7</v>
      </c>
      <c r="D1813" t="s">
        <v>14</v>
      </c>
      <c r="E1813" t="s">
        <v>2448</v>
      </c>
    </row>
    <row r="1814" spans="1:6" x14ac:dyDescent="0.25">
      <c r="A1814" t="str">
        <f>"182810224172"</f>
        <v>182810224172</v>
      </c>
      <c r="B1814" t="s">
        <v>2537</v>
      </c>
      <c r="C1814" t="s">
        <v>7</v>
      </c>
      <c r="D1814" t="s">
        <v>12</v>
      </c>
      <c r="E1814" t="s">
        <v>2448</v>
      </c>
    </row>
    <row r="1815" spans="1:6" x14ac:dyDescent="0.25">
      <c r="A1815" t="str">
        <f>"182811468460"</f>
        <v>182811468460</v>
      </c>
      <c r="B1815" t="s">
        <v>2538</v>
      </c>
      <c r="C1815" t="s">
        <v>7</v>
      </c>
      <c r="D1815" t="s">
        <v>14</v>
      </c>
      <c r="E1815" t="s">
        <v>2448</v>
      </c>
    </row>
    <row r="1816" spans="1:6" x14ac:dyDescent="0.25">
      <c r="A1816" t="str">
        <f>"182903776313"</f>
        <v>182903776313</v>
      </c>
      <c r="B1816" t="s">
        <v>2539</v>
      </c>
      <c r="C1816" t="s">
        <v>7</v>
      </c>
      <c r="D1816" t="s">
        <v>14</v>
      </c>
      <c r="E1816" t="s">
        <v>2448</v>
      </c>
    </row>
    <row r="1817" spans="1:6" x14ac:dyDescent="0.25">
      <c r="A1817" t="str">
        <f>"182904678460"</f>
        <v>182904678460</v>
      </c>
      <c r="B1817" t="s">
        <v>2540</v>
      </c>
      <c r="C1817" t="s">
        <v>7</v>
      </c>
      <c r="D1817" t="s">
        <v>14</v>
      </c>
      <c r="E1817" t="s">
        <v>2448</v>
      </c>
    </row>
    <row r="1818" spans="1:6" x14ac:dyDescent="0.25">
      <c r="A1818" t="str">
        <f>"182906611454"</f>
        <v>182906611454</v>
      </c>
      <c r="B1818" t="s">
        <v>2541</v>
      </c>
      <c r="C1818" t="s">
        <v>7</v>
      </c>
      <c r="D1818" t="s">
        <v>14</v>
      </c>
      <c r="E1818" t="s">
        <v>2448</v>
      </c>
    </row>
    <row r="1819" spans="1:6" x14ac:dyDescent="0.25">
      <c r="A1819" t="str">
        <f>"182908876400"</f>
        <v>182908876400</v>
      </c>
      <c r="B1819" t="s">
        <v>2542</v>
      </c>
      <c r="C1819" t="s">
        <v>7</v>
      </c>
      <c r="D1819" t="s">
        <v>12</v>
      </c>
      <c r="E1819" t="s">
        <v>2448</v>
      </c>
    </row>
    <row r="1820" spans="1:6" x14ac:dyDescent="0.25">
      <c r="A1820" t="str">
        <f>"183002314403"</f>
        <v>183002314403</v>
      </c>
      <c r="B1820" t="s">
        <v>2543</v>
      </c>
      <c r="C1820" t="s">
        <v>7</v>
      </c>
      <c r="D1820" t="s">
        <v>14</v>
      </c>
      <c r="E1820" t="s">
        <v>2448</v>
      </c>
    </row>
    <row r="1821" spans="1:6" x14ac:dyDescent="0.25">
      <c r="A1821" t="str">
        <f>"183061424694"</f>
        <v>183061424694</v>
      </c>
      <c r="B1821" t="s">
        <v>2544</v>
      </c>
      <c r="C1821" t="s">
        <v>7</v>
      </c>
      <c r="D1821" t="s">
        <v>14</v>
      </c>
      <c r="E1821" t="s">
        <v>2448</v>
      </c>
    </row>
    <row r="1822" spans="1:6" x14ac:dyDescent="0.25">
      <c r="A1822" t="str">
        <f>"183100112363"</f>
        <v>183100112363</v>
      </c>
      <c r="B1822" t="s">
        <v>2545</v>
      </c>
      <c r="C1822" t="s">
        <v>7</v>
      </c>
      <c r="D1822" t="s">
        <v>12</v>
      </c>
      <c r="E1822" t="s">
        <v>2448</v>
      </c>
    </row>
    <row r="1823" spans="1:6" x14ac:dyDescent="0.25">
      <c r="A1823" t="str">
        <f>"183100190668"</f>
        <v>183100190668</v>
      </c>
      <c r="B1823" t="s">
        <v>2546</v>
      </c>
      <c r="C1823" t="s">
        <v>7</v>
      </c>
      <c r="D1823" t="s">
        <v>14</v>
      </c>
      <c r="E1823" t="s">
        <v>2448</v>
      </c>
    </row>
    <row r="1824" spans="1:6" x14ac:dyDescent="0.25">
      <c r="A1824" t="str">
        <f>"1831086231"</f>
        <v>1831086231</v>
      </c>
      <c r="B1824" t="s">
        <v>2547</v>
      </c>
      <c r="C1824" t="s">
        <v>7</v>
      </c>
      <c r="D1824" t="s">
        <v>14</v>
      </c>
      <c r="E1824" t="s">
        <v>2448</v>
      </c>
      <c r="F1824" t="s">
        <v>2548</v>
      </c>
    </row>
    <row r="1825" spans="1:6" x14ac:dyDescent="0.25">
      <c r="A1825" t="str">
        <f>"183109987747"</f>
        <v>183109987747</v>
      </c>
      <c r="B1825" t="s">
        <v>2549</v>
      </c>
      <c r="C1825" t="s">
        <v>7</v>
      </c>
      <c r="D1825" t="s">
        <v>14</v>
      </c>
      <c r="E1825" t="s">
        <v>2448</v>
      </c>
    </row>
    <row r="1826" spans="1:6" x14ac:dyDescent="0.25">
      <c r="A1826" t="str">
        <f>"1831110290"</f>
        <v>1831110290</v>
      </c>
      <c r="B1826" t="s">
        <v>2550</v>
      </c>
      <c r="C1826" t="s">
        <v>7</v>
      </c>
      <c r="D1826" t="s">
        <v>33</v>
      </c>
      <c r="E1826" t="s">
        <v>2448</v>
      </c>
      <c r="F1826" t="s">
        <v>2551</v>
      </c>
    </row>
    <row r="1827" spans="1:6" x14ac:dyDescent="0.25">
      <c r="A1827" t="str">
        <f>"1831120524"</f>
        <v>1831120524</v>
      </c>
      <c r="B1827" t="s">
        <v>2552</v>
      </c>
      <c r="C1827" t="s">
        <v>7</v>
      </c>
      <c r="D1827" t="s">
        <v>12</v>
      </c>
      <c r="E1827" t="s">
        <v>2448</v>
      </c>
      <c r="F1827" t="s">
        <v>2553</v>
      </c>
    </row>
    <row r="1828" spans="1:6" x14ac:dyDescent="0.25">
      <c r="A1828" t="str">
        <f>"183113238099"</f>
        <v>183113238099</v>
      </c>
      <c r="B1828" t="s">
        <v>2554</v>
      </c>
      <c r="C1828" t="s">
        <v>7</v>
      </c>
      <c r="D1828" t="s">
        <v>12</v>
      </c>
      <c r="E1828" t="s">
        <v>2448</v>
      </c>
    </row>
    <row r="1829" spans="1:6" x14ac:dyDescent="0.25">
      <c r="A1829" t="str">
        <f>"1831164017"</f>
        <v>1831164017</v>
      </c>
      <c r="B1829" t="s">
        <v>2555</v>
      </c>
      <c r="C1829" t="s">
        <v>7</v>
      </c>
      <c r="D1829" t="s">
        <v>12</v>
      </c>
      <c r="E1829" t="s">
        <v>2448</v>
      </c>
      <c r="F1829" t="s">
        <v>2487</v>
      </c>
    </row>
    <row r="1830" spans="1:6" x14ac:dyDescent="0.25">
      <c r="A1830" t="str">
        <f>"183201613687"</f>
        <v>183201613687</v>
      </c>
      <c r="B1830" t="s">
        <v>2556</v>
      </c>
      <c r="C1830" t="s">
        <v>7</v>
      </c>
      <c r="D1830" t="s">
        <v>14</v>
      </c>
      <c r="E1830" t="s">
        <v>2448</v>
      </c>
    </row>
    <row r="1831" spans="1:6" x14ac:dyDescent="0.25">
      <c r="A1831" t="str">
        <f>"1832028112"</f>
        <v>1832028112</v>
      </c>
      <c r="B1831" t="s">
        <v>2557</v>
      </c>
      <c r="C1831" t="s">
        <v>7</v>
      </c>
      <c r="D1831" t="s">
        <v>189</v>
      </c>
      <c r="E1831" t="s">
        <v>2448</v>
      </c>
      <c r="F1831" t="s">
        <v>2558</v>
      </c>
    </row>
    <row r="1832" spans="1:6" x14ac:dyDescent="0.25">
      <c r="A1832" t="str">
        <f>"1832044851"</f>
        <v>1832044851</v>
      </c>
      <c r="B1832" t="s">
        <v>2559</v>
      </c>
      <c r="C1832" t="s">
        <v>7</v>
      </c>
      <c r="D1832" t="s">
        <v>33</v>
      </c>
      <c r="E1832" t="s">
        <v>2448</v>
      </c>
      <c r="F1832" t="s">
        <v>2560</v>
      </c>
    </row>
    <row r="1833" spans="1:6" x14ac:dyDescent="0.25">
      <c r="A1833" t="str">
        <f>"1832127995"</f>
        <v>1832127995</v>
      </c>
      <c r="B1833" t="s">
        <v>2561</v>
      </c>
      <c r="C1833" t="s">
        <v>7</v>
      </c>
      <c r="D1833" t="s">
        <v>33</v>
      </c>
      <c r="E1833" t="s">
        <v>2448</v>
      </c>
      <c r="F1833" t="s">
        <v>2562</v>
      </c>
    </row>
    <row r="1834" spans="1:6" x14ac:dyDescent="0.25">
      <c r="A1834" t="str">
        <f>"1832132410"</f>
        <v>1832132410</v>
      </c>
      <c r="B1834" t="s">
        <v>2563</v>
      </c>
      <c r="C1834" t="s">
        <v>7</v>
      </c>
      <c r="D1834" t="s">
        <v>8</v>
      </c>
      <c r="E1834" t="s">
        <v>2448</v>
      </c>
      <c r="F1834" t="s">
        <v>2564</v>
      </c>
    </row>
    <row r="1835" spans="1:6" x14ac:dyDescent="0.25">
      <c r="A1835" t="str">
        <f>"1832139694"</f>
        <v>1832139694</v>
      </c>
      <c r="B1835" t="s">
        <v>2565</v>
      </c>
      <c r="C1835" t="s">
        <v>7</v>
      </c>
      <c r="D1835" t="s">
        <v>674</v>
      </c>
      <c r="E1835" t="s">
        <v>2448</v>
      </c>
      <c r="F1835" t="s">
        <v>2566</v>
      </c>
    </row>
    <row r="1836" spans="1:6" x14ac:dyDescent="0.25">
      <c r="A1836" t="str">
        <f>"1832163707"</f>
        <v>1832163707</v>
      </c>
      <c r="B1836" t="s">
        <v>2567</v>
      </c>
      <c r="C1836" t="s">
        <v>7</v>
      </c>
      <c r="D1836" t="s">
        <v>12</v>
      </c>
      <c r="E1836" t="s">
        <v>2448</v>
      </c>
      <c r="F1836" t="s">
        <v>2568</v>
      </c>
    </row>
    <row r="1837" spans="1:6" x14ac:dyDescent="0.25">
      <c r="A1837" t="str">
        <f>"183304198104"</f>
        <v>183304198104</v>
      </c>
      <c r="B1837" t="s">
        <v>2569</v>
      </c>
      <c r="C1837" t="s">
        <v>7</v>
      </c>
      <c r="D1837" t="s">
        <v>14</v>
      </c>
      <c r="E1837" t="s">
        <v>2448</v>
      </c>
    </row>
    <row r="1838" spans="1:6" x14ac:dyDescent="0.25">
      <c r="A1838" t="str">
        <f>"183309416701"</f>
        <v>183309416701</v>
      </c>
      <c r="B1838" t="s">
        <v>2570</v>
      </c>
      <c r="C1838" t="s">
        <v>7</v>
      </c>
      <c r="D1838" t="s">
        <v>12</v>
      </c>
      <c r="E1838" t="s">
        <v>2448</v>
      </c>
    </row>
    <row r="1839" spans="1:6" x14ac:dyDescent="0.25">
      <c r="A1839" t="str">
        <f>"183312243625"</f>
        <v>183312243625</v>
      </c>
      <c r="B1839" t="s">
        <v>2571</v>
      </c>
      <c r="C1839" t="s">
        <v>7</v>
      </c>
      <c r="D1839" t="s">
        <v>14</v>
      </c>
      <c r="E1839" t="s">
        <v>2448</v>
      </c>
    </row>
    <row r="1840" spans="1:6" x14ac:dyDescent="0.25">
      <c r="A1840" t="str">
        <f>"682963936491"</f>
        <v>682963936491</v>
      </c>
      <c r="B1840" t="s">
        <v>2572</v>
      </c>
      <c r="C1840" t="s">
        <v>7</v>
      </c>
      <c r="D1840" t="s">
        <v>12</v>
      </c>
      <c r="E1840" t="s">
        <v>2448</v>
      </c>
    </row>
    <row r="1841" spans="1:6" x14ac:dyDescent="0.25">
      <c r="A1841" t="str">
        <f>"183501610905"</f>
        <v>183501610905</v>
      </c>
      <c r="B1841" t="s">
        <v>2573</v>
      </c>
      <c r="C1841" t="s">
        <v>7</v>
      </c>
      <c r="D1841" t="s">
        <v>12</v>
      </c>
      <c r="E1841" t="s">
        <v>2448</v>
      </c>
    </row>
    <row r="1842" spans="1:6" x14ac:dyDescent="0.25">
      <c r="A1842" t="str">
        <f>"183509416547"</f>
        <v>183509416547</v>
      </c>
      <c r="B1842" t="s">
        <v>2574</v>
      </c>
      <c r="C1842" t="s">
        <v>7</v>
      </c>
      <c r="D1842" t="s">
        <v>14</v>
      </c>
      <c r="E1842" t="s">
        <v>2448</v>
      </c>
    </row>
    <row r="1843" spans="1:6" x14ac:dyDescent="0.25">
      <c r="A1843" t="str">
        <f>"1837006137"</f>
        <v>1837006137</v>
      </c>
      <c r="B1843" t="s">
        <v>2575</v>
      </c>
      <c r="C1843" t="s">
        <v>7</v>
      </c>
      <c r="D1843" t="s">
        <v>14</v>
      </c>
      <c r="E1843" t="s">
        <v>2448</v>
      </c>
      <c r="F1843" t="s">
        <v>2576</v>
      </c>
    </row>
    <row r="1844" spans="1:6" x14ac:dyDescent="0.25">
      <c r="A1844" t="str">
        <f>"1837007356"</f>
        <v>1837007356</v>
      </c>
      <c r="B1844" t="s">
        <v>2577</v>
      </c>
      <c r="C1844" t="s">
        <v>7</v>
      </c>
      <c r="D1844" t="s">
        <v>14</v>
      </c>
      <c r="E1844" t="s">
        <v>2448</v>
      </c>
      <c r="F1844" t="s">
        <v>2578</v>
      </c>
    </row>
    <row r="1845" spans="1:6" x14ac:dyDescent="0.25">
      <c r="A1845" t="str">
        <f>"1837021488"</f>
        <v>1837021488</v>
      </c>
      <c r="B1845" t="s">
        <v>2579</v>
      </c>
      <c r="C1845" t="s">
        <v>7</v>
      </c>
      <c r="D1845" t="s">
        <v>14</v>
      </c>
      <c r="E1845" t="s">
        <v>2448</v>
      </c>
      <c r="F1845" t="s">
        <v>2580</v>
      </c>
    </row>
    <row r="1846" spans="1:6" x14ac:dyDescent="0.25">
      <c r="A1846" t="str">
        <f>"1840019055"</f>
        <v>1840019055</v>
      </c>
      <c r="B1846" t="s">
        <v>2581</v>
      </c>
      <c r="C1846" t="s">
        <v>7</v>
      </c>
      <c r="D1846" t="s">
        <v>12</v>
      </c>
      <c r="E1846" t="s">
        <v>2448</v>
      </c>
      <c r="F1846" t="s">
        <v>2582</v>
      </c>
    </row>
    <row r="1847" spans="1:6" x14ac:dyDescent="0.25">
      <c r="A1847" t="str">
        <f>"1840040473"</f>
        <v>1840040473</v>
      </c>
      <c r="B1847" t="s">
        <v>2583</v>
      </c>
      <c r="C1847" t="s">
        <v>7</v>
      </c>
      <c r="D1847" t="s">
        <v>98</v>
      </c>
      <c r="E1847" t="s">
        <v>2448</v>
      </c>
      <c r="F1847" t="s">
        <v>2584</v>
      </c>
    </row>
    <row r="1848" spans="1:6" x14ac:dyDescent="0.25">
      <c r="A1848" t="str">
        <f>"1840079449"</f>
        <v>1840079449</v>
      </c>
      <c r="B1848" t="s">
        <v>2585</v>
      </c>
      <c r="C1848" t="s">
        <v>7</v>
      </c>
      <c r="D1848" t="s">
        <v>14</v>
      </c>
      <c r="E1848" t="s">
        <v>2448</v>
      </c>
      <c r="F1848" t="s">
        <v>2586</v>
      </c>
    </row>
    <row r="1849" spans="1:6" x14ac:dyDescent="0.25">
      <c r="A1849" t="str">
        <f>"1840083710"</f>
        <v>1840083710</v>
      </c>
      <c r="B1849" t="s">
        <v>2587</v>
      </c>
      <c r="C1849" t="s">
        <v>7</v>
      </c>
      <c r="D1849" t="s">
        <v>33</v>
      </c>
      <c r="E1849" t="s">
        <v>2448</v>
      </c>
      <c r="F1849" t="s">
        <v>2588</v>
      </c>
    </row>
    <row r="1850" spans="1:6" x14ac:dyDescent="0.25">
      <c r="A1850" t="str">
        <f>"1840107209"</f>
        <v>1840107209</v>
      </c>
      <c r="B1850" t="s">
        <v>2589</v>
      </c>
      <c r="C1850" t="s">
        <v>7</v>
      </c>
      <c r="D1850" t="s">
        <v>33</v>
      </c>
      <c r="E1850" t="s">
        <v>2448</v>
      </c>
      <c r="F1850" t="s">
        <v>2590</v>
      </c>
    </row>
    <row r="1851" spans="1:6" x14ac:dyDescent="0.25">
      <c r="A1851" t="str">
        <f>"1840111300"</f>
        <v>1840111300</v>
      </c>
      <c r="B1851" t="s">
        <v>2591</v>
      </c>
      <c r="C1851" t="s">
        <v>7</v>
      </c>
      <c r="D1851" t="s">
        <v>12</v>
      </c>
      <c r="E1851" t="s">
        <v>2448</v>
      </c>
      <c r="F1851" t="s">
        <v>2592</v>
      </c>
    </row>
    <row r="1852" spans="1:6" x14ac:dyDescent="0.25">
      <c r="A1852" t="str">
        <f>"1841035684"</f>
        <v>1841035684</v>
      </c>
      <c r="B1852" t="s">
        <v>2593</v>
      </c>
      <c r="C1852" t="s">
        <v>7</v>
      </c>
      <c r="D1852" t="s">
        <v>14</v>
      </c>
      <c r="E1852" t="s">
        <v>2448</v>
      </c>
      <c r="F1852" t="s">
        <v>2594</v>
      </c>
    </row>
    <row r="1853" spans="1:6" x14ac:dyDescent="0.25">
      <c r="A1853" t="str">
        <f>"1841097553"</f>
        <v>1841097553</v>
      </c>
      <c r="B1853" t="s">
        <v>2595</v>
      </c>
      <c r="C1853" t="s">
        <v>7</v>
      </c>
      <c r="D1853" t="s">
        <v>14</v>
      </c>
      <c r="E1853" t="s">
        <v>2448</v>
      </c>
      <c r="F1853" t="s">
        <v>2596</v>
      </c>
    </row>
    <row r="1854" spans="1:6" x14ac:dyDescent="0.25">
      <c r="A1854" t="str">
        <f>"430100122531"</f>
        <v>430100122531</v>
      </c>
      <c r="B1854" t="s">
        <v>2597</v>
      </c>
      <c r="C1854" t="s">
        <v>7</v>
      </c>
      <c r="D1854" t="s">
        <v>14</v>
      </c>
      <c r="E1854" t="s">
        <v>2448</v>
      </c>
    </row>
    <row r="1855" spans="1:6" x14ac:dyDescent="0.25">
      <c r="A1855" t="str">
        <f>"245718819244"</f>
        <v>245718819244</v>
      </c>
      <c r="B1855" t="s">
        <v>2598</v>
      </c>
      <c r="C1855" t="s">
        <v>7</v>
      </c>
      <c r="D1855" t="s">
        <v>12</v>
      </c>
      <c r="E1855" t="s">
        <v>2448</v>
      </c>
    </row>
    <row r="1856" spans="1:6" x14ac:dyDescent="0.25">
      <c r="A1856" t="str">
        <f>"1800004662"</f>
        <v>1800004662</v>
      </c>
      <c r="B1856" t="s">
        <v>2599</v>
      </c>
      <c r="C1856" t="s">
        <v>7</v>
      </c>
      <c r="D1856" t="s">
        <v>14</v>
      </c>
      <c r="E1856" t="s">
        <v>2448</v>
      </c>
      <c r="F1856" t="s">
        <v>2600</v>
      </c>
    </row>
    <row r="1857" spans="1:6" x14ac:dyDescent="0.25">
      <c r="A1857" t="str">
        <f>"1800019531"</f>
        <v>1800019531</v>
      </c>
      <c r="B1857" t="s">
        <v>2601</v>
      </c>
      <c r="C1857" t="s">
        <v>7</v>
      </c>
      <c r="D1857" t="s">
        <v>98</v>
      </c>
      <c r="E1857" t="s">
        <v>2448</v>
      </c>
      <c r="F1857" t="s">
        <v>2602</v>
      </c>
    </row>
    <row r="1858" spans="1:6" x14ac:dyDescent="0.25">
      <c r="A1858" t="str">
        <f>"1800021700"</f>
        <v>1800021700</v>
      </c>
      <c r="B1858" t="s">
        <v>2603</v>
      </c>
      <c r="C1858" t="s">
        <v>7</v>
      </c>
      <c r="D1858" t="s">
        <v>12</v>
      </c>
      <c r="E1858" t="s">
        <v>2448</v>
      </c>
      <c r="F1858" t="s">
        <v>2604</v>
      </c>
    </row>
    <row r="1859" spans="1:6" x14ac:dyDescent="0.25">
      <c r="A1859" t="str">
        <f>"1800023351"</f>
        <v>1800023351</v>
      </c>
      <c r="B1859" t="s">
        <v>2605</v>
      </c>
      <c r="C1859" t="s">
        <v>7</v>
      </c>
      <c r="D1859" t="s">
        <v>14</v>
      </c>
      <c r="E1859" t="s">
        <v>2448</v>
      </c>
      <c r="F1859" t="s">
        <v>2606</v>
      </c>
    </row>
    <row r="1860" spans="1:6" x14ac:dyDescent="0.25">
      <c r="A1860" t="str">
        <f>"1800029258"</f>
        <v>1800029258</v>
      </c>
      <c r="B1860" t="s">
        <v>2607</v>
      </c>
      <c r="C1860" t="s">
        <v>7</v>
      </c>
      <c r="D1860" t="s">
        <v>674</v>
      </c>
      <c r="E1860" t="s">
        <v>2448</v>
      </c>
      <c r="F1860" t="s">
        <v>2608</v>
      </c>
    </row>
    <row r="1861" spans="1:6" x14ac:dyDescent="0.25">
      <c r="A1861" t="str">
        <f>"1805005067"</f>
        <v>1805005067</v>
      </c>
      <c r="B1861" t="s">
        <v>2609</v>
      </c>
      <c r="C1861" t="s">
        <v>7</v>
      </c>
      <c r="D1861" t="s">
        <v>14</v>
      </c>
      <c r="E1861" t="s">
        <v>2448</v>
      </c>
      <c r="F1861" t="s">
        <v>2610</v>
      </c>
    </row>
    <row r="1862" spans="1:6" x14ac:dyDescent="0.25">
      <c r="A1862" t="str">
        <f>"180500953051"</f>
        <v>180500953051</v>
      </c>
      <c r="B1862" t="s">
        <v>2611</v>
      </c>
      <c r="C1862" t="s">
        <v>7</v>
      </c>
      <c r="D1862" t="s">
        <v>14</v>
      </c>
      <c r="E1862" t="s">
        <v>2448</v>
      </c>
    </row>
    <row r="1863" spans="1:6" x14ac:dyDescent="0.25">
      <c r="A1863" t="str">
        <f>"180804392714"</f>
        <v>180804392714</v>
      </c>
      <c r="B1863" t="s">
        <v>2612</v>
      </c>
      <c r="C1863" t="s">
        <v>7</v>
      </c>
      <c r="D1863" t="s">
        <v>14</v>
      </c>
      <c r="E1863" t="s">
        <v>2448</v>
      </c>
    </row>
    <row r="1864" spans="1:6" x14ac:dyDescent="0.25">
      <c r="A1864" t="str">
        <f>"1808207488"</f>
        <v>1808207488</v>
      </c>
      <c r="B1864" t="s">
        <v>2613</v>
      </c>
      <c r="C1864" t="s">
        <v>7</v>
      </c>
      <c r="D1864" t="s">
        <v>12</v>
      </c>
      <c r="E1864" t="s">
        <v>2448</v>
      </c>
      <c r="F1864" t="s">
        <v>2614</v>
      </c>
    </row>
    <row r="1865" spans="1:6" x14ac:dyDescent="0.25">
      <c r="A1865" t="str">
        <f>"180900006915"</f>
        <v>180900006915</v>
      </c>
      <c r="B1865" t="s">
        <v>2615</v>
      </c>
      <c r="C1865" t="s">
        <v>7</v>
      </c>
      <c r="D1865" t="s">
        <v>14</v>
      </c>
      <c r="E1865" t="s">
        <v>2448</v>
      </c>
    </row>
    <row r="1866" spans="1:6" x14ac:dyDescent="0.25">
      <c r="A1866" t="str">
        <f>"181301043081"</f>
        <v>181301043081</v>
      </c>
      <c r="B1866" t="s">
        <v>2616</v>
      </c>
      <c r="C1866" t="s">
        <v>7</v>
      </c>
      <c r="D1866" t="s">
        <v>14</v>
      </c>
      <c r="E1866" t="s">
        <v>2448</v>
      </c>
    </row>
    <row r="1867" spans="1:6" x14ac:dyDescent="0.25">
      <c r="A1867" t="str">
        <f>"181600009554"</f>
        <v>181600009554</v>
      </c>
      <c r="B1867" t="s">
        <v>2617</v>
      </c>
      <c r="C1867" t="s">
        <v>7</v>
      </c>
      <c r="D1867" t="s">
        <v>14</v>
      </c>
      <c r="E1867" t="s">
        <v>2448</v>
      </c>
    </row>
    <row r="1868" spans="1:6" x14ac:dyDescent="0.25">
      <c r="A1868" t="str">
        <f>"181600360385"</f>
        <v>181600360385</v>
      </c>
      <c r="B1868" t="s">
        <v>2618</v>
      </c>
      <c r="C1868" t="s">
        <v>7</v>
      </c>
      <c r="D1868" t="s">
        <v>14</v>
      </c>
      <c r="E1868" t="s">
        <v>2448</v>
      </c>
    </row>
    <row r="1869" spans="1:6" x14ac:dyDescent="0.25">
      <c r="A1869" t="str">
        <f>"181601965859"</f>
        <v>181601965859</v>
      </c>
      <c r="B1869" t="s">
        <v>2619</v>
      </c>
      <c r="C1869" t="s">
        <v>7</v>
      </c>
      <c r="D1869" t="s">
        <v>14</v>
      </c>
      <c r="E1869" t="s">
        <v>2448</v>
      </c>
    </row>
    <row r="1870" spans="1:6" x14ac:dyDescent="0.25">
      <c r="A1870" t="str">
        <f>"1817000730"</f>
        <v>1817000730</v>
      </c>
      <c r="B1870" t="s">
        <v>2620</v>
      </c>
      <c r="C1870" t="s">
        <v>7</v>
      </c>
      <c r="D1870" t="s">
        <v>14</v>
      </c>
      <c r="E1870" t="s">
        <v>2448</v>
      </c>
      <c r="F1870" t="s">
        <v>2621</v>
      </c>
    </row>
    <row r="1871" spans="1:6" x14ac:dyDescent="0.25">
      <c r="A1871" t="str">
        <f>"1821015577"</f>
        <v>1821015577</v>
      </c>
      <c r="B1871" t="s">
        <v>2622</v>
      </c>
      <c r="C1871" t="s">
        <v>7</v>
      </c>
      <c r="D1871" t="s">
        <v>14</v>
      </c>
      <c r="E1871" t="s">
        <v>2448</v>
      </c>
      <c r="F1871" t="s">
        <v>2623</v>
      </c>
    </row>
    <row r="1872" spans="1:6" x14ac:dyDescent="0.25">
      <c r="A1872" t="str">
        <f>"182101936562"</f>
        <v>182101936562</v>
      </c>
      <c r="B1872" t="s">
        <v>2624</v>
      </c>
      <c r="C1872" t="s">
        <v>7</v>
      </c>
      <c r="D1872" t="s">
        <v>14</v>
      </c>
      <c r="E1872" t="s">
        <v>2448</v>
      </c>
    </row>
    <row r="1873" spans="1:6" x14ac:dyDescent="0.25">
      <c r="A1873" t="str">
        <f>"182104539531"</f>
        <v>182104539531</v>
      </c>
      <c r="B1873" t="s">
        <v>2625</v>
      </c>
      <c r="C1873" t="s">
        <v>7</v>
      </c>
      <c r="D1873" t="s">
        <v>14</v>
      </c>
      <c r="E1873" t="s">
        <v>2448</v>
      </c>
    </row>
    <row r="1874" spans="1:6" x14ac:dyDescent="0.25">
      <c r="A1874" t="str">
        <f>"1821901832"</f>
        <v>1821901832</v>
      </c>
      <c r="B1874" t="s">
        <v>2626</v>
      </c>
      <c r="C1874" t="s">
        <v>7</v>
      </c>
      <c r="D1874" t="s">
        <v>14</v>
      </c>
      <c r="E1874" t="s">
        <v>2448</v>
      </c>
      <c r="F1874" t="s">
        <v>2627</v>
      </c>
    </row>
    <row r="1875" spans="1:6" x14ac:dyDescent="0.25">
      <c r="A1875" t="str">
        <f>"1822005099"</f>
        <v>1822005099</v>
      </c>
      <c r="B1875" t="s">
        <v>2628</v>
      </c>
      <c r="C1875" t="s">
        <v>7</v>
      </c>
      <c r="D1875" t="s">
        <v>14</v>
      </c>
      <c r="E1875" t="s">
        <v>2448</v>
      </c>
      <c r="F1875" t="s">
        <v>2629</v>
      </c>
    </row>
    <row r="1876" spans="1:6" x14ac:dyDescent="0.25">
      <c r="A1876" t="str">
        <f>"1823002630"</f>
        <v>1823002630</v>
      </c>
      <c r="B1876" t="s">
        <v>2630</v>
      </c>
      <c r="C1876" t="s">
        <v>7</v>
      </c>
      <c r="D1876" t="s">
        <v>14</v>
      </c>
      <c r="E1876" t="s">
        <v>2448</v>
      </c>
      <c r="F1876" t="s">
        <v>2631</v>
      </c>
    </row>
    <row r="1877" spans="1:6" x14ac:dyDescent="0.25">
      <c r="A1877" t="str">
        <f>"182700037268"</f>
        <v>182700037268</v>
      </c>
      <c r="B1877" t="s">
        <v>2632</v>
      </c>
      <c r="C1877" t="s">
        <v>7</v>
      </c>
      <c r="D1877" t="s">
        <v>14</v>
      </c>
      <c r="E1877" t="s">
        <v>2448</v>
      </c>
    </row>
    <row r="1878" spans="1:6" x14ac:dyDescent="0.25">
      <c r="A1878" t="str">
        <f>"182700737485"</f>
        <v>182700737485</v>
      </c>
      <c r="B1878" t="s">
        <v>2633</v>
      </c>
      <c r="C1878" t="s">
        <v>7</v>
      </c>
      <c r="D1878" t="s">
        <v>14</v>
      </c>
      <c r="E1878" t="s">
        <v>2448</v>
      </c>
    </row>
    <row r="1879" spans="1:6" x14ac:dyDescent="0.25">
      <c r="A1879" t="str">
        <f>"1827008142"</f>
        <v>1827008142</v>
      </c>
      <c r="B1879" t="s">
        <v>2634</v>
      </c>
      <c r="C1879" t="s">
        <v>7</v>
      </c>
      <c r="D1879" t="s">
        <v>14</v>
      </c>
      <c r="E1879" t="s">
        <v>2448</v>
      </c>
      <c r="F1879" t="s">
        <v>2635</v>
      </c>
    </row>
    <row r="1880" spans="1:6" x14ac:dyDescent="0.25">
      <c r="A1880" t="str">
        <f>"182704228866"</f>
        <v>182704228866</v>
      </c>
      <c r="B1880" t="s">
        <v>2636</v>
      </c>
      <c r="C1880" t="s">
        <v>7</v>
      </c>
      <c r="D1880" t="s">
        <v>14</v>
      </c>
      <c r="E1880" t="s">
        <v>2448</v>
      </c>
    </row>
    <row r="1881" spans="1:6" x14ac:dyDescent="0.25">
      <c r="A1881" t="str">
        <f>"182707851998"</f>
        <v>182707851998</v>
      </c>
      <c r="B1881" t="s">
        <v>2637</v>
      </c>
      <c r="C1881" t="s">
        <v>7</v>
      </c>
      <c r="D1881" t="s">
        <v>14</v>
      </c>
      <c r="E1881" t="s">
        <v>2448</v>
      </c>
    </row>
    <row r="1882" spans="1:6" x14ac:dyDescent="0.25">
      <c r="A1882" t="str">
        <f>"182801520111"</f>
        <v>182801520111</v>
      </c>
      <c r="B1882" t="s">
        <v>2638</v>
      </c>
      <c r="C1882" t="s">
        <v>7</v>
      </c>
      <c r="D1882" t="s">
        <v>14</v>
      </c>
      <c r="E1882" t="s">
        <v>2448</v>
      </c>
    </row>
    <row r="1883" spans="1:6" x14ac:dyDescent="0.25">
      <c r="A1883" t="str">
        <f>"182810205155"</f>
        <v>182810205155</v>
      </c>
      <c r="B1883" t="s">
        <v>2639</v>
      </c>
      <c r="C1883" t="s">
        <v>7</v>
      </c>
      <c r="D1883" t="s">
        <v>14</v>
      </c>
      <c r="E1883" t="s">
        <v>2448</v>
      </c>
    </row>
    <row r="1884" spans="1:6" x14ac:dyDescent="0.25">
      <c r="A1884" t="str">
        <f>"182810402308"</f>
        <v>182810402308</v>
      </c>
      <c r="B1884" t="s">
        <v>2640</v>
      </c>
      <c r="C1884" t="s">
        <v>7</v>
      </c>
      <c r="D1884" t="s">
        <v>14</v>
      </c>
      <c r="E1884" t="s">
        <v>2448</v>
      </c>
    </row>
    <row r="1885" spans="1:6" x14ac:dyDescent="0.25">
      <c r="A1885" t="str">
        <f>"182812617362"</f>
        <v>182812617362</v>
      </c>
      <c r="B1885" t="s">
        <v>2641</v>
      </c>
      <c r="C1885" t="s">
        <v>7</v>
      </c>
      <c r="D1885" t="s">
        <v>12</v>
      </c>
      <c r="E1885" t="s">
        <v>2448</v>
      </c>
    </row>
    <row r="1886" spans="1:6" x14ac:dyDescent="0.25">
      <c r="A1886" t="str">
        <f>"182900482428"</f>
        <v>182900482428</v>
      </c>
      <c r="B1886" t="s">
        <v>2642</v>
      </c>
      <c r="C1886" t="s">
        <v>7</v>
      </c>
      <c r="D1886" t="s">
        <v>14</v>
      </c>
      <c r="E1886" t="s">
        <v>2448</v>
      </c>
    </row>
    <row r="1887" spans="1:6" x14ac:dyDescent="0.25">
      <c r="A1887" t="str">
        <f>"182905638608"</f>
        <v>182905638608</v>
      </c>
      <c r="B1887" t="s">
        <v>2643</v>
      </c>
      <c r="C1887" t="s">
        <v>7</v>
      </c>
      <c r="D1887" t="s">
        <v>14</v>
      </c>
      <c r="E1887" t="s">
        <v>2448</v>
      </c>
    </row>
    <row r="1888" spans="1:6" x14ac:dyDescent="0.25">
      <c r="A1888" t="str">
        <f>"182908773066"</f>
        <v>182908773066</v>
      </c>
      <c r="B1888" t="s">
        <v>2644</v>
      </c>
      <c r="C1888" t="s">
        <v>7</v>
      </c>
      <c r="D1888" t="s">
        <v>14</v>
      </c>
      <c r="E1888" t="s">
        <v>2448</v>
      </c>
    </row>
    <row r="1889" spans="1:6" x14ac:dyDescent="0.25">
      <c r="A1889" t="str">
        <f>"183000493436"</f>
        <v>183000493436</v>
      </c>
      <c r="B1889" t="s">
        <v>2645</v>
      </c>
      <c r="C1889" t="s">
        <v>7</v>
      </c>
      <c r="D1889" t="s">
        <v>14</v>
      </c>
      <c r="E1889" t="s">
        <v>2448</v>
      </c>
    </row>
    <row r="1890" spans="1:6" x14ac:dyDescent="0.25">
      <c r="A1890" t="str">
        <f>"183000982388"</f>
        <v>183000982388</v>
      </c>
      <c r="B1890" t="s">
        <v>2646</v>
      </c>
      <c r="C1890" t="s">
        <v>7</v>
      </c>
      <c r="D1890" t="s">
        <v>12</v>
      </c>
      <c r="E1890" t="s">
        <v>2448</v>
      </c>
    </row>
    <row r="1891" spans="1:6" x14ac:dyDescent="0.25">
      <c r="A1891" t="str">
        <f>"183101586165"</f>
        <v>183101586165</v>
      </c>
      <c r="B1891" t="s">
        <v>2647</v>
      </c>
      <c r="C1891" t="s">
        <v>7</v>
      </c>
      <c r="D1891" t="s">
        <v>12</v>
      </c>
      <c r="E1891" t="s">
        <v>2448</v>
      </c>
    </row>
    <row r="1892" spans="1:6" x14ac:dyDescent="0.25">
      <c r="A1892" t="str">
        <f>"183202958444"</f>
        <v>183202958444</v>
      </c>
      <c r="B1892" t="s">
        <v>2648</v>
      </c>
      <c r="C1892" t="s">
        <v>7</v>
      </c>
      <c r="D1892" t="s">
        <v>14</v>
      </c>
      <c r="E1892" t="s">
        <v>2448</v>
      </c>
    </row>
    <row r="1893" spans="1:6" x14ac:dyDescent="0.25">
      <c r="A1893" t="str">
        <f>"1832053366"</f>
        <v>1832053366</v>
      </c>
      <c r="B1893" t="s">
        <v>2649</v>
      </c>
      <c r="C1893" t="s">
        <v>7</v>
      </c>
      <c r="D1893" t="s">
        <v>14</v>
      </c>
      <c r="E1893" t="s">
        <v>2448</v>
      </c>
      <c r="F1893" t="s">
        <v>2650</v>
      </c>
    </row>
    <row r="1894" spans="1:6" x14ac:dyDescent="0.25">
      <c r="A1894" t="str">
        <f>"1832126286"</f>
        <v>1832126286</v>
      </c>
      <c r="B1894" t="s">
        <v>2651</v>
      </c>
      <c r="C1894" t="s">
        <v>7</v>
      </c>
      <c r="D1894" t="s">
        <v>12</v>
      </c>
      <c r="E1894" t="s">
        <v>2448</v>
      </c>
      <c r="F1894" t="s">
        <v>2652</v>
      </c>
    </row>
    <row r="1895" spans="1:6" x14ac:dyDescent="0.25">
      <c r="A1895" t="str">
        <f>"1832167243"</f>
        <v>1832167243</v>
      </c>
      <c r="B1895" t="s">
        <v>2653</v>
      </c>
      <c r="C1895" t="s">
        <v>7</v>
      </c>
      <c r="D1895" t="s">
        <v>12</v>
      </c>
      <c r="E1895" t="s">
        <v>2448</v>
      </c>
      <c r="F1895" t="s">
        <v>2654</v>
      </c>
    </row>
    <row r="1896" spans="1:6" x14ac:dyDescent="0.25">
      <c r="A1896" t="str">
        <f>"1833042448"</f>
        <v>1833042448</v>
      </c>
      <c r="B1896" t="s">
        <v>2655</v>
      </c>
      <c r="C1896" t="s">
        <v>7</v>
      </c>
      <c r="D1896" t="s">
        <v>12</v>
      </c>
      <c r="E1896" t="s">
        <v>2448</v>
      </c>
      <c r="F1896" t="s">
        <v>2656</v>
      </c>
    </row>
    <row r="1897" spans="1:6" x14ac:dyDescent="0.25">
      <c r="A1897" t="str">
        <f>"183307981176"</f>
        <v>183307981176</v>
      </c>
      <c r="B1897" t="s">
        <v>2657</v>
      </c>
      <c r="C1897" t="s">
        <v>7</v>
      </c>
      <c r="D1897" t="s">
        <v>33</v>
      </c>
      <c r="E1897" t="s">
        <v>2448</v>
      </c>
    </row>
    <row r="1898" spans="1:6" x14ac:dyDescent="0.25">
      <c r="A1898" t="str">
        <f>"183311185804"</f>
        <v>183311185804</v>
      </c>
      <c r="B1898" t="s">
        <v>2658</v>
      </c>
      <c r="C1898" t="s">
        <v>7</v>
      </c>
      <c r="D1898" t="s">
        <v>14</v>
      </c>
      <c r="E1898" t="s">
        <v>2448</v>
      </c>
    </row>
    <row r="1899" spans="1:6" x14ac:dyDescent="0.25">
      <c r="A1899" t="str">
        <f>"183400355705"</f>
        <v>183400355705</v>
      </c>
      <c r="B1899" t="s">
        <v>2659</v>
      </c>
      <c r="C1899" t="s">
        <v>7</v>
      </c>
      <c r="D1899" t="s">
        <v>14</v>
      </c>
      <c r="E1899" t="s">
        <v>2448</v>
      </c>
    </row>
    <row r="1900" spans="1:6" x14ac:dyDescent="0.25">
      <c r="A1900" t="str">
        <f>"183466896818"</f>
        <v>183466896818</v>
      </c>
      <c r="B1900" t="s">
        <v>2660</v>
      </c>
      <c r="C1900" t="s">
        <v>7</v>
      </c>
      <c r="D1900" t="s">
        <v>14</v>
      </c>
      <c r="E1900" t="s">
        <v>2448</v>
      </c>
    </row>
    <row r="1901" spans="1:6" x14ac:dyDescent="0.25">
      <c r="A1901" t="str">
        <f>"183467962284"</f>
        <v>183467962284</v>
      </c>
      <c r="B1901" t="s">
        <v>2661</v>
      </c>
      <c r="C1901" t="s">
        <v>7</v>
      </c>
      <c r="D1901" t="s">
        <v>14</v>
      </c>
      <c r="E1901" t="s">
        <v>2448</v>
      </c>
    </row>
    <row r="1902" spans="1:6" x14ac:dyDescent="0.25">
      <c r="A1902" t="str">
        <f>"183470202050"</f>
        <v>183470202050</v>
      </c>
      <c r="B1902" t="s">
        <v>2662</v>
      </c>
      <c r="C1902" t="s">
        <v>7</v>
      </c>
      <c r="D1902" t="s">
        <v>12</v>
      </c>
      <c r="E1902" t="s">
        <v>2448</v>
      </c>
    </row>
    <row r="1903" spans="1:6" x14ac:dyDescent="0.25">
      <c r="A1903" t="str">
        <f>"183472907708"</f>
        <v>183472907708</v>
      </c>
      <c r="B1903" t="s">
        <v>2663</v>
      </c>
      <c r="C1903" t="s">
        <v>7</v>
      </c>
      <c r="D1903" t="s">
        <v>12</v>
      </c>
      <c r="E1903" t="s">
        <v>2448</v>
      </c>
    </row>
    <row r="1904" spans="1:6" x14ac:dyDescent="0.25">
      <c r="A1904" t="str">
        <f>"183500516201"</f>
        <v>183500516201</v>
      </c>
      <c r="B1904" t="s">
        <v>2664</v>
      </c>
      <c r="C1904" t="s">
        <v>7</v>
      </c>
      <c r="D1904" t="s">
        <v>14</v>
      </c>
      <c r="E1904" t="s">
        <v>2448</v>
      </c>
    </row>
    <row r="1905" spans="1:6" x14ac:dyDescent="0.25">
      <c r="A1905" t="str">
        <f>"183501988239"</f>
        <v>183501988239</v>
      </c>
      <c r="B1905" t="s">
        <v>2665</v>
      </c>
      <c r="C1905" t="s">
        <v>7</v>
      </c>
      <c r="D1905" t="s">
        <v>14</v>
      </c>
      <c r="E1905" t="s">
        <v>2448</v>
      </c>
    </row>
    <row r="1906" spans="1:6" x14ac:dyDescent="0.25">
      <c r="A1906" t="str">
        <f>"1835035118"</f>
        <v>1835035118</v>
      </c>
      <c r="B1906" t="s">
        <v>2666</v>
      </c>
      <c r="C1906" t="s">
        <v>7</v>
      </c>
      <c r="D1906" t="s">
        <v>12</v>
      </c>
      <c r="E1906" t="s">
        <v>2448</v>
      </c>
      <c r="F1906" t="s">
        <v>2667</v>
      </c>
    </row>
    <row r="1907" spans="1:6" x14ac:dyDescent="0.25">
      <c r="A1907" t="str">
        <f>"183504965092"</f>
        <v>183504965092</v>
      </c>
      <c r="B1907" t="s">
        <v>2668</v>
      </c>
      <c r="C1907" t="s">
        <v>7</v>
      </c>
      <c r="D1907" t="s">
        <v>12</v>
      </c>
      <c r="E1907" t="s">
        <v>2448</v>
      </c>
    </row>
    <row r="1908" spans="1:6" x14ac:dyDescent="0.25">
      <c r="A1908" t="str">
        <f>"1835063884"</f>
        <v>1835063884</v>
      </c>
      <c r="B1908" t="s">
        <v>2669</v>
      </c>
      <c r="C1908" t="s">
        <v>7</v>
      </c>
      <c r="D1908" t="s">
        <v>14</v>
      </c>
      <c r="E1908" t="s">
        <v>2448</v>
      </c>
      <c r="F1908" t="s">
        <v>2670</v>
      </c>
    </row>
    <row r="1909" spans="1:6" x14ac:dyDescent="0.25">
      <c r="A1909" t="str">
        <f>"183506426931"</f>
        <v>183506426931</v>
      </c>
      <c r="B1909" t="s">
        <v>2671</v>
      </c>
      <c r="C1909" t="s">
        <v>7</v>
      </c>
      <c r="D1909" t="s">
        <v>14</v>
      </c>
      <c r="E1909" t="s">
        <v>2448</v>
      </c>
    </row>
    <row r="1910" spans="1:6" x14ac:dyDescent="0.25">
      <c r="A1910" t="str">
        <f>"026000318301"</f>
        <v>026000318301</v>
      </c>
      <c r="B1910" t="s">
        <v>2672</v>
      </c>
      <c r="C1910" t="s">
        <v>7</v>
      </c>
      <c r="D1910" t="s">
        <v>14</v>
      </c>
      <c r="E1910" t="s">
        <v>2448</v>
      </c>
    </row>
    <row r="1911" spans="1:6" x14ac:dyDescent="0.25">
      <c r="A1911" t="str">
        <f>"026413876805"</f>
        <v>026413876805</v>
      </c>
      <c r="B1911" t="s">
        <v>2673</v>
      </c>
      <c r="C1911" t="s">
        <v>7</v>
      </c>
      <c r="D1911" t="s">
        <v>14</v>
      </c>
      <c r="E1911" t="s">
        <v>2448</v>
      </c>
    </row>
    <row r="1912" spans="1:6" x14ac:dyDescent="0.25">
      <c r="A1912" t="str">
        <f>"183403790738"</f>
        <v>183403790738</v>
      </c>
      <c r="B1912" t="s">
        <v>2674</v>
      </c>
      <c r="C1912" t="s">
        <v>7</v>
      </c>
      <c r="D1912" t="s">
        <v>14</v>
      </c>
      <c r="E1912" t="s">
        <v>2448</v>
      </c>
    </row>
    <row r="1913" spans="1:6" x14ac:dyDescent="0.25">
      <c r="A1913" t="str">
        <f>"1834051100"</f>
        <v>1834051100</v>
      </c>
      <c r="B1913" t="s">
        <v>2675</v>
      </c>
      <c r="C1913" t="s">
        <v>7</v>
      </c>
      <c r="D1913" t="s">
        <v>14</v>
      </c>
      <c r="E1913" t="s">
        <v>2448</v>
      </c>
      <c r="F1913" t="s">
        <v>2676</v>
      </c>
    </row>
    <row r="1914" spans="1:6" x14ac:dyDescent="0.25">
      <c r="A1914" t="str">
        <f>"183467543163"</f>
        <v>183467543163</v>
      </c>
      <c r="B1914" t="s">
        <v>2677</v>
      </c>
      <c r="C1914" t="s">
        <v>7</v>
      </c>
      <c r="D1914" t="s">
        <v>14</v>
      </c>
      <c r="E1914" t="s">
        <v>2448</v>
      </c>
    </row>
    <row r="1915" spans="1:6" x14ac:dyDescent="0.25">
      <c r="A1915" t="str">
        <f>"183468897302"</f>
        <v>183468897302</v>
      </c>
      <c r="B1915" t="s">
        <v>2678</v>
      </c>
      <c r="C1915" t="s">
        <v>7</v>
      </c>
      <c r="D1915" t="s">
        <v>12</v>
      </c>
      <c r="E1915" t="s">
        <v>2448</v>
      </c>
    </row>
    <row r="1916" spans="1:6" x14ac:dyDescent="0.25">
      <c r="A1916" t="str">
        <f>"183469475582"</f>
        <v>183469475582</v>
      </c>
      <c r="B1916" t="s">
        <v>2679</v>
      </c>
      <c r="C1916" t="s">
        <v>7</v>
      </c>
      <c r="D1916" t="s">
        <v>12</v>
      </c>
      <c r="E1916" t="s">
        <v>2448</v>
      </c>
    </row>
    <row r="1917" spans="1:6" x14ac:dyDescent="0.25">
      <c r="A1917" t="str">
        <f>"1835012696"</f>
        <v>1835012696</v>
      </c>
      <c r="B1917" t="s">
        <v>2680</v>
      </c>
      <c r="C1917" t="s">
        <v>7</v>
      </c>
      <c r="D1917" t="s">
        <v>12</v>
      </c>
      <c r="E1917" t="s">
        <v>2448</v>
      </c>
      <c r="F1917" t="s">
        <v>2681</v>
      </c>
    </row>
    <row r="1918" spans="1:6" x14ac:dyDescent="0.25">
      <c r="A1918" t="str">
        <f>"183509150833"</f>
        <v>183509150833</v>
      </c>
      <c r="B1918" t="s">
        <v>2682</v>
      </c>
      <c r="C1918" t="s">
        <v>7</v>
      </c>
      <c r="D1918" t="s">
        <v>14</v>
      </c>
      <c r="E1918" t="s">
        <v>2448</v>
      </c>
    </row>
    <row r="1919" spans="1:6" x14ac:dyDescent="0.25">
      <c r="A1919" t="str">
        <f>"1838013987"</f>
        <v>1838013987</v>
      </c>
      <c r="B1919" t="s">
        <v>2683</v>
      </c>
      <c r="C1919" t="s">
        <v>7</v>
      </c>
      <c r="D1919" t="s">
        <v>33</v>
      </c>
      <c r="E1919" t="s">
        <v>2448</v>
      </c>
      <c r="F1919" t="s">
        <v>2684</v>
      </c>
    </row>
    <row r="1920" spans="1:6" x14ac:dyDescent="0.25">
      <c r="A1920" t="str">
        <f>"1838018625"</f>
        <v>1838018625</v>
      </c>
      <c r="B1920" t="s">
        <v>2685</v>
      </c>
      <c r="C1920" t="s">
        <v>7</v>
      </c>
      <c r="D1920" t="s">
        <v>33</v>
      </c>
      <c r="E1920" t="s">
        <v>2448</v>
      </c>
      <c r="F1920" t="s">
        <v>2686</v>
      </c>
    </row>
    <row r="1921" spans="1:6" x14ac:dyDescent="0.25">
      <c r="A1921" t="str">
        <f>"1840002485"</f>
        <v>1840002485</v>
      </c>
      <c r="B1921" t="s">
        <v>2687</v>
      </c>
      <c r="C1921" t="s">
        <v>7</v>
      </c>
      <c r="D1921" t="s">
        <v>14</v>
      </c>
      <c r="E1921" t="s">
        <v>2448</v>
      </c>
      <c r="F1921" t="s">
        <v>2688</v>
      </c>
    </row>
    <row r="1922" spans="1:6" x14ac:dyDescent="0.25">
      <c r="A1922" t="str">
        <f>"1840024009"</f>
        <v>1840024009</v>
      </c>
      <c r="B1922" t="s">
        <v>2689</v>
      </c>
      <c r="C1922" t="s">
        <v>7</v>
      </c>
      <c r="D1922" t="s">
        <v>14</v>
      </c>
      <c r="E1922" t="s">
        <v>2448</v>
      </c>
      <c r="F1922" t="s">
        <v>2690</v>
      </c>
    </row>
    <row r="1923" spans="1:6" x14ac:dyDescent="0.25">
      <c r="A1923" t="str">
        <f>"1840029769"</f>
        <v>1840029769</v>
      </c>
      <c r="B1923" t="s">
        <v>2691</v>
      </c>
      <c r="C1923" t="s">
        <v>7</v>
      </c>
      <c r="D1923" t="s">
        <v>14</v>
      </c>
      <c r="E1923" t="s">
        <v>2448</v>
      </c>
      <c r="F1923" t="s">
        <v>2692</v>
      </c>
    </row>
    <row r="1924" spans="1:6" x14ac:dyDescent="0.25">
      <c r="A1924" t="str">
        <f>"1840050182"</f>
        <v>1840050182</v>
      </c>
      <c r="B1924" t="s">
        <v>2693</v>
      </c>
      <c r="C1924" t="s">
        <v>7</v>
      </c>
      <c r="D1924" t="s">
        <v>12</v>
      </c>
      <c r="E1924" t="s">
        <v>2448</v>
      </c>
      <c r="F1924" t="s">
        <v>2694</v>
      </c>
    </row>
    <row r="1925" spans="1:6" x14ac:dyDescent="0.25">
      <c r="A1925" t="str">
        <f>"1840076776"</f>
        <v>1840076776</v>
      </c>
      <c r="B1925" t="s">
        <v>2695</v>
      </c>
      <c r="C1925" t="s">
        <v>7</v>
      </c>
      <c r="D1925" t="s">
        <v>14</v>
      </c>
      <c r="E1925" t="s">
        <v>2448</v>
      </c>
      <c r="F1925" t="s">
        <v>2696</v>
      </c>
    </row>
    <row r="1926" spans="1:6" x14ac:dyDescent="0.25">
      <c r="A1926" t="str">
        <f>"1840086654"</f>
        <v>1840086654</v>
      </c>
      <c r="B1926" t="s">
        <v>2697</v>
      </c>
      <c r="C1926" t="s">
        <v>7</v>
      </c>
      <c r="D1926" t="s">
        <v>14</v>
      </c>
      <c r="E1926" t="s">
        <v>2448</v>
      </c>
      <c r="F1926" t="s">
        <v>2698</v>
      </c>
    </row>
    <row r="1927" spans="1:6" x14ac:dyDescent="0.25">
      <c r="A1927" t="str">
        <f>"1840116330"</f>
        <v>1840116330</v>
      </c>
      <c r="B1927" t="s">
        <v>2699</v>
      </c>
      <c r="C1927" t="s">
        <v>7</v>
      </c>
      <c r="D1927" t="s">
        <v>33</v>
      </c>
      <c r="E1927" t="s">
        <v>2448</v>
      </c>
      <c r="F1927" t="s">
        <v>2700</v>
      </c>
    </row>
    <row r="1928" spans="1:6" x14ac:dyDescent="0.25">
      <c r="A1928" t="str">
        <f>"1841050594"</f>
        <v>1841050594</v>
      </c>
      <c r="B1928" t="s">
        <v>1382</v>
      </c>
      <c r="C1928" t="s">
        <v>7</v>
      </c>
      <c r="D1928" t="s">
        <v>12</v>
      </c>
      <c r="E1928" t="s">
        <v>2448</v>
      </c>
      <c r="F1928" t="s">
        <v>2701</v>
      </c>
    </row>
    <row r="1929" spans="1:6" x14ac:dyDescent="0.25">
      <c r="A1929" t="str">
        <f>"434533710509"</f>
        <v>434533710509</v>
      </c>
      <c r="B1929" t="s">
        <v>2702</v>
      </c>
      <c r="C1929" t="s">
        <v>7</v>
      </c>
      <c r="D1929" t="s">
        <v>12</v>
      </c>
      <c r="E1929" t="s">
        <v>2448</v>
      </c>
    </row>
    <row r="1930" spans="1:6" x14ac:dyDescent="0.25">
      <c r="A1930" t="str">
        <f>"434601279450"</f>
        <v>434601279450</v>
      </c>
      <c r="B1930" t="s">
        <v>2703</v>
      </c>
      <c r="C1930" t="s">
        <v>7</v>
      </c>
      <c r="D1930" t="s">
        <v>12</v>
      </c>
      <c r="E1930" t="s">
        <v>2448</v>
      </c>
    </row>
    <row r="1931" spans="1:6" x14ac:dyDescent="0.25">
      <c r="A1931" t="str">
        <f>"701740610915"</f>
        <v>701740610915</v>
      </c>
      <c r="B1931" t="s">
        <v>2704</v>
      </c>
      <c r="C1931" t="s">
        <v>7</v>
      </c>
      <c r="D1931" t="s">
        <v>12</v>
      </c>
      <c r="E1931" t="s">
        <v>2448</v>
      </c>
    </row>
    <row r="1932" spans="1:6" x14ac:dyDescent="0.25">
      <c r="A1932" t="str">
        <f>"342200056671"</f>
        <v>342200056671</v>
      </c>
      <c r="B1932" t="s">
        <v>2705</v>
      </c>
      <c r="C1932" t="s">
        <v>7</v>
      </c>
      <c r="D1932" t="s">
        <v>14</v>
      </c>
      <c r="E1932" t="s">
        <v>2448</v>
      </c>
    </row>
    <row r="1933" spans="1:6" x14ac:dyDescent="0.25">
      <c r="A1933" t="str">
        <f>"524921275267"</f>
        <v>524921275267</v>
      </c>
      <c r="B1933" t="s">
        <v>2706</v>
      </c>
      <c r="C1933" t="s">
        <v>7</v>
      </c>
      <c r="D1933" t="s">
        <v>12</v>
      </c>
      <c r="E1933" t="s">
        <v>2448</v>
      </c>
    </row>
    <row r="1934" spans="1:6" x14ac:dyDescent="0.25">
      <c r="A1934" t="str">
        <f>"166014171008"</f>
        <v>166014171008</v>
      </c>
      <c r="B1934" t="s">
        <v>2707</v>
      </c>
      <c r="C1934" t="s">
        <v>7</v>
      </c>
      <c r="D1934" t="s">
        <v>33</v>
      </c>
      <c r="E1934" t="s">
        <v>2448</v>
      </c>
    </row>
    <row r="1935" spans="1:6" x14ac:dyDescent="0.25">
      <c r="A1935" t="str">
        <f>"180200011236"</f>
        <v>180200011236</v>
      </c>
      <c r="B1935" t="s">
        <v>2708</v>
      </c>
      <c r="C1935" t="s">
        <v>7</v>
      </c>
      <c r="D1935" t="s">
        <v>14</v>
      </c>
      <c r="E1935" t="s">
        <v>2448</v>
      </c>
    </row>
    <row r="1936" spans="1:6" x14ac:dyDescent="0.25">
      <c r="A1936" t="str">
        <f>"180500268553"</f>
        <v>180500268553</v>
      </c>
      <c r="B1936" t="s">
        <v>2709</v>
      </c>
      <c r="C1936" t="s">
        <v>7</v>
      </c>
      <c r="D1936" t="s">
        <v>14</v>
      </c>
      <c r="E1936" t="s">
        <v>2448</v>
      </c>
    </row>
    <row r="1937" spans="1:6" x14ac:dyDescent="0.25">
      <c r="A1937" t="str">
        <f>"181501375278"</f>
        <v>181501375278</v>
      </c>
      <c r="B1937" t="s">
        <v>2710</v>
      </c>
      <c r="C1937" t="s">
        <v>7</v>
      </c>
      <c r="D1937" t="s">
        <v>14</v>
      </c>
      <c r="E1937" t="s">
        <v>2448</v>
      </c>
    </row>
    <row r="1938" spans="1:6" x14ac:dyDescent="0.25">
      <c r="A1938" t="str">
        <f>"1815906261"</f>
        <v>1815906261</v>
      </c>
      <c r="B1938" t="s">
        <v>2711</v>
      </c>
      <c r="C1938" t="s">
        <v>7</v>
      </c>
      <c r="D1938" t="s">
        <v>14</v>
      </c>
      <c r="E1938" t="s">
        <v>2448</v>
      </c>
      <c r="F1938" t="s">
        <v>2712</v>
      </c>
    </row>
    <row r="1939" spans="1:6" x14ac:dyDescent="0.25">
      <c r="A1939" t="str">
        <f>"183508008471"</f>
        <v>183508008471</v>
      </c>
      <c r="B1939" t="s">
        <v>2713</v>
      </c>
      <c r="C1939" t="s">
        <v>7</v>
      </c>
      <c r="D1939" t="s">
        <v>14</v>
      </c>
      <c r="E1939" t="s">
        <v>2448</v>
      </c>
    </row>
    <row r="1940" spans="1:6" x14ac:dyDescent="0.25">
      <c r="A1940" t="str">
        <f>"183509879489"</f>
        <v>183509879489</v>
      </c>
      <c r="B1940" t="s">
        <v>2714</v>
      </c>
      <c r="C1940" t="s">
        <v>7</v>
      </c>
      <c r="D1940" t="s">
        <v>14</v>
      </c>
      <c r="E1940" t="s">
        <v>2448</v>
      </c>
    </row>
    <row r="1941" spans="1:6" x14ac:dyDescent="0.25">
      <c r="A1941" t="str">
        <f>"183513156429"</f>
        <v>183513156429</v>
      </c>
      <c r="B1941" t="s">
        <v>2715</v>
      </c>
      <c r="C1941" t="s">
        <v>7</v>
      </c>
      <c r="D1941" t="s">
        <v>12</v>
      </c>
      <c r="E1941" t="s">
        <v>2448</v>
      </c>
    </row>
    <row r="1942" spans="1:6" x14ac:dyDescent="0.25">
      <c r="A1942" t="str">
        <f>"183701100620"</f>
        <v>183701100620</v>
      </c>
      <c r="B1942" t="s">
        <v>2716</v>
      </c>
      <c r="C1942" t="s">
        <v>7</v>
      </c>
      <c r="D1942" t="s">
        <v>14</v>
      </c>
      <c r="E1942" t="s">
        <v>2448</v>
      </c>
    </row>
    <row r="1943" spans="1:6" x14ac:dyDescent="0.25">
      <c r="A1943" t="str">
        <f>"1837020692"</f>
        <v>1837020692</v>
      </c>
      <c r="B1943" t="s">
        <v>2717</v>
      </c>
      <c r="C1943" t="s">
        <v>7</v>
      </c>
      <c r="D1943" t="s">
        <v>14</v>
      </c>
      <c r="E1943" t="s">
        <v>2448</v>
      </c>
      <c r="F1943" t="s">
        <v>2718</v>
      </c>
    </row>
    <row r="1944" spans="1:6" x14ac:dyDescent="0.25">
      <c r="A1944" t="str">
        <f>"1841040437"</f>
        <v>1841040437</v>
      </c>
      <c r="B1944" t="s">
        <v>2719</v>
      </c>
      <c r="C1944" t="s">
        <v>7</v>
      </c>
      <c r="D1944" t="s">
        <v>33</v>
      </c>
      <c r="E1944" t="s">
        <v>2448</v>
      </c>
      <c r="F1944" t="s">
        <v>2720</v>
      </c>
    </row>
    <row r="1945" spans="1:6" x14ac:dyDescent="0.25">
      <c r="A1945" t="str">
        <f>"1841094680"</f>
        <v>1841094680</v>
      </c>
      <c r="B1945" t="s">
        <v>2721</v>
      </c>
      <c r="C1945" t="s">
        <v>7</v>
      </c>
      <c r="D1945" t="s">
        <v>586</v>
      </c>
      <c r="E1945" t="s">
        <v>2448</v>
      </c>
      <c r="F1945" t="s">
        <v>2722</v>
      </c>
    </row>
    <row r="1946" spans="1:6" x14ac:dyDescent="0.25">
      <c r="A1946" t="str">
        <f>"025301896760"</f>
        <v>025301896760</v>
      </c>
      <c r="B1946" t="s">
        <v>2723</v>
      </c>
      <c r="C1946" t="s">
        <v>7</v>
      </c>
      <c r="D1946" t="s">
        <v>14</v>
      </c>
      <c r="E1946" t="s">
        <v>2448</v>
      </c>
    </row>
    <row r="1947" spans="1:6" x14ac:dyDescent="0.25">
      <c r="A1947" t="str">
        <f>"026401919500"</f>
        <v>026401919500</v>
      </c>
      <c r="B1947" t="s">
        <v>2724</v>
      </c>
      <c r="C1947" t="s">
        <v>7</v>
      </c>
      <c r="D1947" t="s">
        <v>14</v>
      </c>
      <c r="E1947" t="s">
        <v>2448</v>
      </c>
    </row>
    <row r="1948" spans="1:6" x14ac:dyDescent="0.25">
      <c r="A1948" t="str">
        <f>"026411318587"</f>
        <v>026411318587</v>
      </c>
      <c r="B1948" t="s">
        <v>2725</v>
      </c>
      <c r="C1948" t="s">
        <v>7</v>
      </c>
      <c r="D1948" t="s">
        <v>14</v>
      </c>
      <c r="E1948" t="s">
        <v>2448</v>
      </c>
    </row>
    <row r="1949" spans="1:6" x14ac:dyDescent="0.25">
      <c r="A1949" t="str">
        <f>"540320400208"</f>
        <v>540320400208</v>
      </c>
      <c r="B1949" t="s">
        <v>2726</v>
      </c>
      <c r="C1949" t="s">
        <v>7</v>
      </c>
      <c r="D1949" t="s">
        <v>14</v>
      </c>
      <c r="E1949" t="s">
        <v>2448</v>
      </c>
    </row>
    <row r="1950" spans="1:6" x14ac:dyDescent="0.25">
      <c r="A1950" t="str">
        <f>"540442266461"</f>
        <v>540442266461</v>
      </c>
      <c r="B1950" t="s">
        <v>2727</v>
      </c>
      <c r="C1950" t="s">
        <v>7</v>
      </c>
      <c r="D1950" t="s">
        <v>14</v>
      </c>
      <c r="E1950" t="s">
        <v>2448</v>
      </c>
    </row>
    <row r="1951" spans="1:6" x14ac:dyDescent="0.25">
      <c r="A1951" t="str">
        <f>"772987732567"</f>
        <v>772987732567</v>
      </c>
      <c r="B1951" t="s">
        <v>2728</v>
      </c>
      <c r="C1951" t="s">
        <v>7</v>
      </c>
      <c r="D1951" t="s">
        <v>14</v>
      </c>
      <c r="E1951" t="s">
        <v>2448</v>
      </c>
    </row>
    <row r="1952" spans="1:6" x14ac:dyDescent="0.25">
      <c r="A1952" t="str">
        <f>"182700280304"</f>
        <v>182700280304</v>
      </c>
      <c r="B1952" t="s">
        <v>2729</v>
      </c>
      <c r="C1952" t="s">
        <v>7</v>
      </c>
      <c r="D1952" t="s">
        <v>14</v>
      </c>
      <c r="E1952" t="s">
        <v>2448</v>
      </c>
    </row>
    <row r="1953" spans="1:6" x14ac:dyDescent="0.25">
      <c r="A1953" t="str">
        <f>"182704172518"</f>
        <v>182704172518</v>
      </c>
      <c r="B1953" t="s">
        <v>2730</v>
      </c>
      <c r="C1953" t="s">
        <v>7</v>
      </c>
      <c r="D1953" t="s">
        <v>14</v>
      </c>
      <c r="E1953" t="s">
        <v>2448</v>
      </c>
    </row>
    <row r="1954" spans="1:6" x14ac:dyDescent="0.25">
      <c r="A1954" t="str">
        <f>"182809813938"</f>
        <v>182809813938</v>
      </c>
      <c r="B1954" t="s">
        <v>2731</v>
      </c>
      <c r="C1954" t="s">
        <v>7</v>
      </c>
      <c r="D1954" t="s">
        <v>14</v>
      </c>
      <c r="E1954" t="s">
        <v>2448</v>
      </c>
    </row>
    <row r="1955" spans="1:6" x14ac:dyDescent="0.25">
      <c r="A1955" t="str">
        <f>"183100036698"</f>
        <v>183100036698</v>
      </c>
      <c r="B1955" t="s">
        <v>2732</v>
      </c>
      <c r="C1955" t="s">
        <v>7</v>
      </c>
      <c r="D1955" t="s">
        <v>14</v>
      </c>
      <c r="E1955" t="s">
        <v>2448</v>
      </c>
    </row>
    <row r="1956" spans="1:6" x14ac:dyDescent="0.25">
      <c r="A1956" t="str">
        <f>"1831088285"</f>
        <v>1831088285</v>
      </c>
      <c r="B1956" t="s">
        <v>2733</v>
      </c>
      <c r="C1956" t="s">
        <v>7</v>
      </c>
      <c r="D1956" t="s">
        <v>14</v>
      </c>
      <c r="E1956" t="s">
        <v>2448</v>
      </c>
      <c r="F1956" t="s">
        <v>2734</v>
      </c>
    </row>
    <row r="1957" spans="1:6" x14ac:dyDescent="0.25">
      <c r="A1957" t="str">
        <f>"1832141647"</f>
        <v>1832141647</v>
      </c>
      <c r="B1957" t="s">
        <v>2735</v>
      </c>
      <c r="C1957" t="s">
        <v>7</v>
      </c>
      <c r="D1957" t="s">
        <v>33</v>
      </c>
      <c r="E1957" t="s">
        <v>2448</v>
      </c>
      <c r="F1957" t="s">
        <v>2736</v>
      </c>
    </row>
    <row r="1958" spans="1:6" x14ac:dyDescent="0.25">
      <c r="A1958" t="str">
        <f>"183400905243"</f>
        <v>183400905243</v>
      </c>
      <c r="B1958" t="s">
        <v>2737</v>
      </c>
      <c r="C1958" t="s">
        <v>7</v>
      </c>
      <c r="D1958" t="s">
        <v>12</v>
      </c>
      <c r="E1958" t="s">
        <v>2448</v>
      </c>
    </row>
    <row r="1959" spans="1:6" x14ac:dyDescent="0.25">
      <c r="A1959" t="str">
        <f>"1834050000"</f>
        <v>1834050000</v>
      </c>
      <c r="B1959" t="s">
        <v>2738</v>
      </c>
      <c r="C1959" t="s">
        <v>7</v>
      </c>
      <c r="D1959" t="s">
        <v>12</v>
      </c>
      <c r="E1959" t="s">
        <v>2448</v>
      </c>
      <c r="F1959" t="s">
        <v>2739</v>
      </c>
    </row>
    <row r="1960" spans="1:6" x14ac:dyDescent="0.25">
      <c r="A1960" t="str">
        <f>"183501132663"</f>
        <v>183501132663</v>
      </c>
      <c r="B1960" t="s">
        <v>2740</v>
      </c>
      <c r="C1960" t="s">
        <v>7</v>
      </c>
      <c r="D1960" t="s">
        <v>12</v>
      </c>
      <c r="E1960" t="s">
        <v>2448</v>
      </c>
    </row>
    <row r="1961" spans="1:6" x14ac:dyDescent="0.25">
      <c r="A1961" t="str">
        <f>"1837018728"</f>
        <v>1837018728</v>
      </c>
      <c r="B1961" t="s">
        <v>2741</v>
      </c>
      <c r="C1961" t="s">
        <v>7</v>
      </c>
      <c r="D1961" t="s">
        <v>14</v>
      </c>
      <c r="E1961" t="s">
        <v>2448</v>
      </c>
      <c r="F1961" t="s">
        <v>2742</v>
      </c>
    </row>
    <row r="1962" spans="1:6" x14ac:dyDescent="0.25">
      <c r="A1962" t="str">
        <f>"1838025407"</f>
        <v>1838025407</v>
      </c>
      <c r="B1962" t="s">
        <v>2743</v>
      </c>
      <c r="C1962" t="s">
        <v>7</v>
      </c>
      <c r="D1962" t="s">
        <v>12</v>
      </c>
      <c r="E1962" t="s">
        <v>2448</v>
      </c>
      <c r="F1962" t="s">
        <v>2744</v>
      </c>
    </row>
    <row r="1963" spans="1:6" x14ac:dyDescent="0.25">
      <c r="A1963" t="str">
        <f>"1841093573"</f>
        <v>1841093573</v>
      </c>
      <c r="B1963" t="s">
        <v>2745</v>
      </c>
      <c r="C1963" t="s">
        <v>7</v>
      </c>
      <c r="D1963" t="s">
        <v>33</v>
      </c>
      <c r="E1963" t="s">
        <v>2448</v>
      </c>
      <c r="F1963" t="s">
        <v>2746</v>
      </c>
    </row>
    <row r="1964" spans="1:6" x14ac:dyDescent="0.25">
      <c r="A1964" t="str">
        <f>"346101460464"</f>
        <v>346101460464</v>
      </c>
      <c r="B1964" t="s">
        <v>2747</v>
      </c>
      <c r="C1964" t="s">
        <v>7</v>
      </c>
      <c r="D1964" t="s">
        <v>14</v>
      </c>
      <c r="E1964" t="s">
        <v>2448</v>
      </c>
    </row>
    <row r="1965" spans="1:6" x14ac:dyDescent="0.25">
      <c r="A1965" t="str">
        <f>"550206523338"</f>
        <v>550206523338</v>
      </c>
      <c r="B1965" t="s">
        <v>2748</v>
      </c>
      <c r="C1965" t="s">
        <v>7</v>
      </c>
      <c r="D1965" t="s">
        <v>14</v>
      </c>
      <c r="E1965" t="s">
        <v>2448</v>
      </c>
    </row>
    <row r="1966" spans="1:6" x14ac:dyDescent="0.25">
      <c r="A1966" t="str">
        <f>"226700300143"</f>
        <v>226700300143</v>
      </c>
      <c r="B1966" t="s">
        <v>2749</v>
      </c>
      <c r="C1966" t="s">
        <v>7</v>
      </c>
      <c r="D1966" t="s">
        <v>14</v>
      </c>
      <c r="E1966" t="s">
        <v>2448</v>
      </c>
    </row>
    <row r="1967" spans="1:6" x14ac:dyDescent="0.25">
      <c r="A1967" t="str">
        <f>"550711082983"</f>
        <v>550711082983</v>
      </c>
      <c r="B1967" t="s">
        <v>2750</v>
      </c>
      <c r="C1967" t="s">
        <v>7</v>
      </c>
      <c r="D1967" t="s">
        <v>14</v>
      </c>
      <c r="E1967" t="s">
        <v>2448</v>
      </c>
    </row>
    <row r="1968" spans="1:6" x14ac:dyDescent="0.25">
      <c r="A1968" t="str">
        <f>"550724833404"</f>
        <v>550724833404</v>
      </c>
      <c r="B1968" t="s">
        <v>2751</v>
      </c>
      <c r="C1968" t="s">
        <v>7</v>
      </c>
      <c r="D1968" t="s">
        <v>14</v>
      </c>
      <c r="E1968" t="s">
        <v>2448</v>
      </c>
    </row>
    <row r="1969" spans="1:5" x14ac:dyDescent="0.25">
      <c r="A1969" t="str">
        <f>"381002723937"</f>
        <v>381002723937</v>
      </c>
      <c r="B1969" t="s">
        <v>2752</v>
      </c>
      <c r="C1969" t="s">
        <v>7</v>
      </c>
      <c r="D1969" t="s">
        <v>12</v>
      </c>
      <c r="E1969" t="s">
        <v>2448</v>
      </c>
    </row>
    <row r="1970" spans="1:5" x14ac:dyDescent="0.25">
      <c r="A1970" t="str">
        <f>"380802482703"</f>
        <v>380802482703</v>
      </c>
      <c r="B1970" t="s">
        <v>2753</v>
      </c>
      <c r="C1970" t="s">
        <v>7</v>
      </c>
      <c r="D1970" t="s">
        <v>12</v>
      </c>
      <c r="E1970" t="s">
        <v>2448</v>
      </c>
    </row>
    <row r="1971" spans="1:5" x14ac:dyDescent="0.25">
      <c r="A1971" t="str">
        <f>"663304156698"</f>
        <v>663304156698</v>
      </c>
      <c r="B1971" t="s">
        <v>2754</v>
      </c>
      <c r="C1971" t="s">
        <v>7</v>
      </c>
      <c r="D1971" t="s">
        <v>14</v>
      </c>
      <c r="E1971" t="s">
        <v>2448</v>
      </c>
    </row>
    <row r="1972" spans="1:5" x14ac:dyDescent="0.25">
      <c r="A1972" t="str">
        <f>"592002916121"</f>
        <v>592002916121</v>
      </c>
      <c r="B1972" t="s">
        <v>2755</v>
      </c>
      <c r="C1972" t="s">
        <v>7</v>
      </c>
      <c r="D1972" t="s">
        <v>14</v>
      </c>
      <c r="E1972" t="s">
        <v>2448</v>
      </c>
    </row>
    <row r="1973" spans="1:5" x14ac:dyDescent="0.25">
      <c r="A1973" t="str">
        <f>"592000080699"</f>
        <v>592000080699</v>
      </c>
      <c r="B1973" t="s">
        <v>2756</v>
      </c>
      <c r="C1973" t="s">
        <v>7</v>
      </c>
      <c r="D1973" t="s">
        <v>14</v>
      </c>
      <c r="E1973" t="s">
        <v>2448</v>
      </c>
    </row>
    <row r="1974" spans="1:5" x14ac:dyDescent="0.25">
      <c r="A1974" t="str">
        <f>"672205593003"</f>
        <v>672205593003</v>
      </c>
      <c r="B1974" t="s">
        <v>2757</v>
      </c>
      <c r="C1974" t="s">
        <v>7</v>
      </c>
      <c r="D1974" t="s">
        <v>14</v>
      </c>
      <c r="E1974" t="s">
        <v>2448</v>
      </c>
    </row>
    <row r="1975" spans="1:5" x14ac:dyDescent="0.25">
      <c r="A1975" t="str">
        <f>"160111290994"</f>
        <v>160111290994</v>
      </c>
      <c r="B1975" t="s">
        <v>2758</v>
      </c>
      <c r="C1975" t="s">
        <v>7</v>
      </c>
      <c r="D1975" t="s">
        <v>14</v>
      </c>
      <c r="E1975" t="s">
        <v>2448</v>
      </c>
    </row>
    <row r="1976" spans="1:5" x14ac:dyDescent="0.25">
      <c r="A1976" t="str">
        <f>"667355824100"</f>
        <v>667355824100</v>
      </c>
      <c r="B1976" t="s">
        <v>2759</v>
      </c>
      <c r="C1976" t="s">
        <v>7</v>
      </c>
      <c r="D1976" t="s">
        <v>12</v>
      </c>
      <c r="E1976" t="s">
        <v>2448</v>
      </c>
    </row>
    <row r="1977" spans="1:5" x14ac:dyDescent="0.25">
      <c r="A1977" t="str">
        <f>"164600781940"</f>
        <v>164600781940</v>
      </c>
      <c r="B1977" t="s">
        <v>2760</v>
      </c>
      <c r="C1977" t="s">
        <v>7</v>
      </c>
      <c r="D1977" t="s">
        <v>12</v>
      </c>
      <c r="E1977" t="s">
        <v>2448</v>
      </c>
    </row>
    <row r="1978" spans="1:5" x14ac:dyDescent="0.25">
      <c r="A1978" t="str">
        <f>"165033518775"</f>
        <v>165033518775</v>
      </c>
      <c r="B1978" t="s">
        <v>2761</v>
      </c>
      <c r="C1978" t="s">
        <v>7</v>
      </c>
      <c r="D1978" t="s">
        <v>12</v>
      </c>
      <c r="E1978" t="s">
        <v>2448</v>
      </c>
    </row>
    <row r="1979" spans="1:5" x14ac:dyDescent="0.25">
      <c r="A1979" t="str">
        <f>"431400826072"</f>
        <v>431400826072</v>
      </c>
      <c r="B1979" t="s">
        <v>2762</v>
      </c>
      <c r="C1979" t="s">
        <v>7</v>
      </c>
      <c r="D1979" t="s">
        <v>14</v>
      </c>
      <c r="E1979" t="s">
        <v>2448</v>
      </c>
    </row>
    <row r="1980" spans="1:5" x14ac:dyDescent="0.25">
      <c r="A1980" t="str">
        <f>"165002138220"</f>
        <v>165002138220</v>
      </c>
      <c r="B1980" t="s">
        <v>2763</v>
      </c>
      <c r="C1980" t="s">
        <v>7</v>
      </c>
      <c r="D1980" t="s">
        <v>12</v>
      </c>
      <c r="E1980" t="s">
        <v>2448</v>
      </c>
    </row>
    <row r="1981" spans="1:5" x14ac:dyDescent="0.25">
      <c r="A1981" t="str">
        <f>"165020898819"</f>
        <v>165020898819</v>
      </c>
      <c r="B1981" t="s">
        <v>2764</v>
      </c>
      <c r="C1981" t="s">
        <v>7</v>
      </c>
      <c r="D1981" t="s">
        <v>12</v>
      </c>
      <c r="E1981" t="s">
        <v>2448</v>
      </c>
    </row>
    <row r="1982" spans="1:5" x14ac:dyDescent="0.25">
      <c r="A1982" t="str">
        <f>"673207153200"</f>
        <v>673207153200</v>
      </c>
      <c r="B1982" t="s">
        <v>2765</v>
      </c>
      <c r="C1982" t="s">
        <v>7</v>
      </c>
      <c r="D1982" t="s">
        <v>12</v>
      </c>
      <c r="E1982" t="s">
        <v>2448</v>
      </c>
    </row>
    <row r="1983" spans="1:5" x14ac:dyDescent="0.25">
      <c r="A1983" t="str">
        <f>"420103367212"</f>
        <v>420103367212</v>
      </c>
      <c r="B1983" t="s">
        <v>2766</v>
      </c>
      <c r="C1983" t="s">
        <v>7</v>
      </c>
      <c r="D1983" t="s">
        <v>12</v>
      </c>
      <c r="E1983" t="s">
        <v>2448</v>
      </c>
    </row>
    <row r="1984" spans="1:5" x14ac:dyDescent="0.25">
      <c r="A1984" t="str">
        <f>"510105829797"</f>
        <v>510105829797</v>
      </c>
      <c r="B1984" t="s">
        <v>2767</v>
      </c>
      <c r="C1984" t="s">
        <v>7</v>
      </c>
      <c r="D1984" t="s">
        <v>14</v>
      </c>
      <c r="E1984" t="s">
        <v>2448</v>
      </c>
    </row>
    <row r="1985" spans="1:6" x14ac:dyDescent="0.25">
      <c r="A1985" t="str">
        <f>"165909150204"</f>
        <v>165909150204</v>
      </c>
      <c r="B1985" t="s">
        <v>2768</v>
      </c>
      <c r="C1985" t="s">
        <v>7</v>
      </c>
      <c r="D1985" t="s">
        <v>12</v>
      </c>
      <c r="E1985" t="s">
        <v>2448</v>
      </c>
    </row>
    <row r="1986" spans="1:6" x14ac:dyDescent="0.25">
      <c r="A1986" t="str">
        <f>"245504368668"</f>
        <v>245504368668</v>
      </c>
      <c r="B1986" t="s">
        <v>2769</v>
      </c>
      <c r="C1986" t="s">
        <v>7</v>
      </c>
      <c r="D1986" t="s">
        <v>14</v>
      </c>
      <c r="E1986" t="s">
        <v>2770</v>
      </c>
    </row>
    <row r="1987" spans="1:6" x14ac:dyDescent="0.25">
      <c r="A1987" t="str">
        <f>"245506079380"</f>
        <v>245506079380</v>
      </c>
      <c r="B1987" t="s">
        <v>2771</v>
      </c>
      <c r="C1987" t="s">
        <v>7</v>
      </c>
      <c r="D1987" t="s">
        <v>14</v>
      </c>
      <c r="E1987" t="s">
        <v>2770</v>
      </c>
    </row>
    <row r="1988" spans="1:6" x14ac:dyDescent="0.25">
      <c r="A1988" t="str">
        <f>"245500461507"</f>
        <v>245500461507</v>
      </c>
      <c r="B1988" t="s">
        <v>2772</v>
      </c>
      <c r="C1988" t="s">
        <v>7</v>
      </c>
      <c r="D1988" t="s">
        <v>14</v>
      </c>
      <c r="E1988" t="s">
        <v>2770</v>
      </c>
    </row>
    <row r="1989" spans="1:6" x14ac:dyDescent="0.25">
      <c r="A1989" t="str">
        <f>"246006460503"</f>
        <v>246006460503</v>
      </c>
      <c r="B1989" t="s">
        <v>2773</v>
      </c>
      <c r="C1989" t="s">
        <v>7</v>
      </c>
      <c r="D1989" t="s">
        <v>14</v>
      </c>
      <c r="E1989" t="s">
        <v>2770</v>
      </c>
    </row>
    <row r="1990" spans="1:6" x14ac:dyDescent="0.25">
      <c r="A1990" t="str">
        <f>"1900003359"</f>
        <v>1900003359</v>
      </c>
      <c r="B1990" t="s">
        <v>2774</v>
      </c>
      <c r="C1990" t="s">
        <v>7</v>
      </c>
      <c r="D1990" t="s">
        <v>33</v>
      </c>
      <c r="E1990" t="s">
        <v>2770</v>
      </c>
      <c r="F1990" t="s">
        <v>2775</v>
      </c>
    </row>
    <row r="1991" spans="1:6" x14ac:dyDescent="0.25">
      <c r="A1991" t="str">
        <f>"1900009978"</f>
        <v>1900009978</v>
      </c>
      <c r="B1991" t="s">
        <v>2776</v>
      </c>
      <c r="C1991" t="s">
        <v>7</v>
      </c>
      <c r="D1991" t="s">
        <v>14</v>
      </c>
      <c r="E1991" t="s">
        <v>2770</v>
      </c>
      <c r="F1991" t="s">
        <v>2777</v>
      </c>
    </row>
    <row r="1992" spans="1:6" x14ac:dyDescent="0.25">
      <c r="A1992" t="str">
        <f>"190100237300"</f>
        <v>190100237300</v>
      </c>
      <c r="B1992" t="s">
        <v>2778</v>
      </c>
      <c r="C1992" t="s">
        <v>7</v>
      </c>
      <c r="D1992" t="s">
        <v>12</v>
      </c>
      <c r="E1992" t="s">
        <v>2770</v>
      </c>
    </row>
    <row r="1993" spans="1:6" x14ac:dyDescent="0.25">
      <c r="A1993" t="str">
        <f>"190101871815"</f>
        <v>190101871815</v>
      </c>
      <c r="B1993" t="s">
        <v>2779</v>
      </c>
      <c r="C1993" t="s">
        <v>7</v>
      </c>
      <c r="D1993" t="s">
        <v>14</v>
      </c>
      <c r="E1993" t="s">
        <v>2770</v>
      </c>
    </row>
    <row r="1994" spans="1:6" x14ac:dyDescent="0.25">
      <c r="A1994" t="str">
        <f>"1901106438"</f>
        <v>1901106438</v>
      </c>
      <c r="B1994" t="s">
        <v>2780</v>
      </c>
      <c r="C1994" t="s">
        <v>7</v>
      </c>
      <c r="D1994" t="s">
        <v>14</v>
      </c>
      <c r="E1994" t="s">
        <v>2770</v>
      </c>
      <c r="F1994" t="s">
        <v>2781</v>
      </c>
    </row>
    <row r="1995" spans="1:6" x14ac:dyDescent="0.25">
      <c r="A1995" t="str">
        <f>"1901116002"</f>
        <v>1901116002</v>
      </c>
      <c r="B1995" t="s">
        <v>2782</v>
      </c>
      <c r="C1995" t="s">
        <v>7</v>
      </c>
      <c r="D1995" t="s">
        <v>12</v>
      </c>
      <c r="E1995" t="s">
        <v>2770</v>
      </c>
      <c r="F1995" t="s">
        <v>2783</v>
      </c>
    </row>
    <row r="1996" spans="1:6" x14ac:dyDescent="0.25">
      <c r="A1996" t="str">
        <f>"1901118360"</f>
        <v>1901118360</v>
      </c>
      <c r="B1996" t="s">
        <v>2784</v>
      </c>
      <c r="C1996" t="s">
        <v>7</v>
      </c>
      <c r="D1996" t="s">
        <v>12</v>
      </c>
      <c r="E1996" t="s">
        <v>2770</v>
      </c>
      <c r="F1996" t="s">
        <v>2785</v>
      </c>
    </row>
    <row r="1997" spans="1:6" x14ac:dyDescent="0.25">
      <c r="A1997" t="str">
        <f>"190113046609"</f>
        <v>190113046609</v>
      </c>
      <c r="B1997" t="s">
        <v>2786</v>
      </c>
      <c r="C1997" t="s">
        <v>7</v>
      </c>
      <c r="D1997" t="s">
        <v>98</v>
      </c>
      <c r="E1997" t="s">
        <v>2770</v>
      </c>
    </row>
    <row r="1998" spans="1:6" x14ac:dyDescent="0.25">
      <c r="A1998" t="str">
        <f>"190113896243"</f>
        <v>190113896243</v>
      </c>
      <c r="B1998" t="s">
        <v>2787</v>
      </c>
      <c r="C1998" t="s">
        <v>7</v>
      </c>
      <c r="D1998" t="s">
        <v>14</v>
      </c>
      <c r="E1998" t="s">
        <v>2770</v>
      </c>
    </row>
    <row r="1999" spans="1:6" x14ac:dyDescent="0.25">
      <c r="A1999" t="str">
        <f>"190116472193"</f>
        <v>190116472193</v>
      </c>
      <c r="B1999" t="s">
        <v>2788</v>
      </c>
      <c r="C1999" t="s">
        <v>7</v>
      </c>
      <c r="D1999" t="s">
        <v>12</v>
      </c>
      <c r="E1999" t="s">
        <v>2770</v>
      </c>
    </row>
    <row r="2000" spans="1:6" x14ac:dyDescent="0.25">
      <c r="A2000" t="str">
        <f>"190122233570"</f>
        <v>190122233570</v>
      </c>
      <c r="B2000" t="s">
        <v>2789</v>
      </c>
      <c r="C2000" t="s">
        <v>7</v>
      </c>
      <c r="D2000" t="s">
        <v>14</v>
      </c>
      <c r="E2000" t="s">
        <v>2770</v>
      </c>
    </row>
    <row r="2001" spans="1:6" x14ac:dyDescent="0.25">
      <c r="A2001" t="str">
        <f>"190158008385"</f>
        <v>190158008385</v>
      </c>
      <c r="B2001" t="s">
        <v>2790</v>
      </c>
      <c r="C2001" t="s">
        <v>7</v>
      </c>
      <c r="D2001" t="s">
        <v>14</v>
      </c>
      <c r="E2001" t="s">
        <v>2770</v>
      </c>
    </row>
    <row r="2002" spans="1:6" x14ac:dyDescent="0.25">
      <c r="A2002" t="str">
        <f>"190302336864"</f>
        <v>190302336864</v>
      </c>
      <c r="B2002" t="s">
        <v>2791</v>
      </c>
      <c r="C2002" t="s">
        <v>7</v>
      </c>
      <c r="D2002" t="s">
        <v>14</v>
      </c>
      <c r="E2002" t="s">
        <v>2770</v>
      </c>
    </row>
    <row r="2003" spans="1:6" x14ac:dyDescent="0.25">
      <c r="A2003" t="str">
        <f>"190303382302"</f>
        <v>190303382302</v>
      </c>
      <c r="B2003" t="s">
        <v>2792</v>
      </c>
      <c r="C2003" t="s">
        <v>7</v>
      </c>
      <c r="D2003" t="s">
        <v>12</v>
      </c>
      <c r="E2003" t="s">
        <v>2770</v>
      </c>
    </row>
    <row r="2004" spans="1:6" x14ac:dyDescent="0.25">
      <c r="A2004" t="str">
        <f>"190400526895"</f>
        <v>190400526895</v>
      </c>
      <c r="B2004" t="s">
        <v>2793</v>
      </c>
      <c r="C2004" t="s">
        <v>7</v>
      </c>
      <c r="D2004" t="s">
        <v>14</v>
      </c>
      <c r="E2004" t="s">
        <v>2770</v>
      </c>
    </row>
    <row r="2005" spans="1:6" x14ac:dyDescent="0.25">
      <c r="A2005" t="str">
        <f>"190902874857"</f>
        <v>190902874857</v>
      </c>
      <c r="B2005" t="s">
        <v>2794</v>
      </c>
      <c r="C2005" t="s">
        <v>7</v>
      </c>
      <c r="D2005" t="s">
        <v>14</v>
      </c>
      <c r="E2005" t="s">
        <v>2770</v>
      </c>
    </row>
    <row r="2006" spans="1:6" x14ac:dyDescent="0.25">
      <c r="A2006" t="str">
        <f>"423073759159"</f>
        <v>423073759159</v>
      </c>
      <c r="B2006" t="s">
        <v>2795</v>
      </c>
      <c r="C2006" t="s">
        <v>7</v>
      </c>
      <c r="D2006" t="s">
        <v>14</v>
      </c>
      <c r="E2006" t="s">
        <v>2770</v>
      </c>
    </row>
    <row r="2007" spans="1:6" x14ac:dyDescent="0.25">
      <c r="A2007" t="str">
        <f>"1900000333"</f>
        <v>1900000333</v>
      </c>
      <c r="B2007" t="s">
        <v>2796</v>
      </c>
      <c r="C2007" t="s">
        <v>7</v>
      </c>
      <c r="D2007" t="s">
        <v>14</v>
      </c>
      <c r="E2007" t="s">
        <v>2770</v>
      </c>
      <c r="F2007" t="s">
        <v>2797</v>
      </c>
    </row>
    <row r="2008" spans="1:6" x14ac:dyDescent="0.25">
      <c r="A2008" t="str">
        <f>"1900008036"</f>
        <v>1900008036</v>
      </c>
      <c r="B2008" t="s">
        <v>2798</v>
      </c>
      <c r="C2008" t="s">
        <v>7</v>
      </c>
      <c r="D2008" t="s">
        <v>14</v>
      </c>
      <c r="E2008" t="s">
        <v>2770</v>
      </c>
      <c r="F2008" t="s">
        <v>2799</v>
      </c>
    </row>
    <row r="2009" spans="1:6" x14ac:dyDescent="0.25">
      <c r="A2009" t="str">
        <f>"190100331101"</f>
        <v>190100331101</v>
      </c>
      <c r="B2009" t="s">
        <v>2800</v>
      </c>
      <c r="C2009" t="s">
        <v>7</v>
      </c>
      <c r="D2009" t="s">
        <v>12</v>
      </c>
      <c r="E2009" t="s">
        <v>2770</v>
      </c>
    </row>
    <row r="2010" spans="1:6" x14ac:dyDescent="0.25">
      <c r="A2010" t="str">
        <f>"190100362886"</f>
        <v>190100362886</v>
      </c>
      <c r="B2010" t="s">
        <v>2801</v>
      </c>
      <c r="C2010" t="s">
        <v>7</v>
      </c>
      <c r="D2010" t="s">
        <v>14</v>
      </c>
      <c r="E2010" t="s">
        <v>2770</v>
      </c>
    </row>
    <row r="2011" spans="1:6" x14ac:dyDescent="0.25">
      <c r="A2011" t="str">
        <f>"190100414005"</f>
        <v>190100414005</v>
      </c>
      <c r="B2011" t="s">
        <v>2802</v>
      </c>
      <c r="C2011" t="s">
        <v>7</v>
      </c>
      <c r="D2011" t="s">
        <v>12</v>
      </c>
      <c r="E2011" t="s">
        <v>2770</v>
      </c>
    </row>
    <row r="2012" spans="1:6" x14ac:dyDescent="0.25">
      <c r="A2012" t="str">
        <f>"190100511344"</f>
        <v>190100511344</v>
      </c>
      <c r="B2012" t="s">
        <v>2803</v>
      </c>
      <c r="C2012" t="s">
        <v>7</v>
      </c>
      <c r="D2012" t="s">
        <v>14</v>
      </c>
      <c r="E2012" t="s">
        <v>2770</v>
      </c>
    </row>
    <row r="2013" spans="1:6" x14ac:dyDescent="0.25">
      <c r="A2013" t="str">
        <f>"190102510138"</f>
        <v>190102510138</v>
      </c>
      <c r="B2013" t="s">
        <v>2804</v>
      </c>
      <c r="C2013" t="s">
        <v>7</v>
      </c>
      <c r="D2013" t="s">
        <v>14</v>
      </c>
      <c r="E2013" t="s">
        <v>2770</v>
      </c>
    </row>
    <row r="2014" spans="1:6" x14ac:dyDescent="0.25">
      <c r="A2014" t="str">
        <f>"1901059153"</f>
        <v>1901059153</v>
      </c>
      <c r="B2014" t="s">
        <v>2805</v>
      </c>
      <c r="C2014" t="s">
        <v>7</v>
      </c>
      <c r="D2014" t="s">
        <v>12</v>
      </c>
      <c r="E2014" t="s">
        <v>2770</v>
      </c>
      <c r="F2014" t="s">
        <v>2806</v>
      </c>
    </row>
    <row r="2015" spans="1:6" x14ac:dyDescent="0.25">
      <c r="A2015" t="str">
        <f>"190106490443"</f>
        <v>190106490443</v>
      </c>
      <c r="B2015" t="s">
        <v>2807</v>
      </c>
      <c r="C2015" t="s">
        <v>7</v>
      </c>
      <c r="D2015" t="s">
        <v>14</v>
      </c>
      <c r="E2015" t="s">
        <v>2770</v>
      </c>
    </row>
    <row r="2016" spans="1:6" x14ac:dyDescent="0.25">
      <c r="A2016" t="str">
        <f>"190107746480"</f>
        <v>190107746480</v>
      </c>
      <c r="B2016" t="s">
        <v>2808</v>
      </c>
      <c r="C2016" t="s">
        <v>7</v>
      </c>
      <c r="D2016" t="s">
        <v>14</v>
      </c>
      <c r="E2016" t="s">
        <v>2770</v>
      </c>
    </row>
    <row r="2017" spans="1:6" x14ac:dyDescent="0.25">
      <c r="A2017" t="str">
        <f>"1901078364"</f>
        <v>1901078364</v>
      </c>
      <c r="B2017" t="s">
        <v>2809</v>
      </c>
      <c r="C2017" t="s">
        <v>7</v>
      </c>
      <c r="D2017" t="s">
        <v>146</v>
      </c>
      <c r="E2017" t="s">
        <v>2770</v>
      </c>
      <c r="F2017" t="s">
        <v>2810</v>
      </c>
    </row>
    <row r="2018" spans="1:6" x14ac:dyDescent="0.25">
      <c r="A2018" t="str">
        <f>"1901087104"</f>
        <v>1901087104</v>
      </c>
      <c r="B2018" t="s">
        <v>1957</v>
      </c>
      <c r="C2018" t="s">
        <v>7</v>
      </c>
      <c r="D2018" t="s">
        <v>14</v>
      </c>
      <c r="E2018" t="s">
        <v>2770</v>
      </c>
      <c r="F2018" t="s">
        <v>2811</v>
      </c>
    </row>
    <row r="2019" spans="1:6" x14ac:dyDescent="0.25">
      <c r="A2019" t="str">
        <f>"190111605139"</f>
        <v>190111605139</v>
      </c>
      <c r="B2019" t="s">
        <v>2812</v>
      </c>
      <c r="C2019" t="s">
        <v>7</v>
      </c>
      <c r="D2019" t="s">
        <v>14</v>
      </c>
      <c r="E2019" t="s">
        <v>2770</v>
      </c>
    </row>
    <row r="2020" spans="1:6" x14ac:dyDescent="0.25">
      <c r="A2020" t="str">
        <f>"190113599723"</f>
        <v>190113599723</v>
      </c>
      <c r="B2020" t="s">
        <v>2813</v>
      </c>
      <c r="C2020" t="s">
        <v>7</v>
      </c>
      <c r="D2020" t="s">
        <v>14</v>
      </c>
      <c r="E2020" t="s">
        <v>2770</v>
      </c>
    </row>
    <row r="2021" spans="1:6" x14ac:dyDescent="0.25">
      <c r="A2021" t="str">
        <f>"1901142436"</f>
        <v>1901142436</v>
      </c>
      <c r="B2021" t="s">
        <v>2814</v>
      </c>
      <c r="C2021" t="s">
        <v>7</v>
      </c>
      <c r="D2021" t="s">
        <v>14</v>
      </c>
      <c r="E2021" t="s">
        <v>2770</v>
      </c>
      <c r="F2021" t="s">
        <v>2815</v>
      </c>
    </row>
    <row r="2022" spans="1:6" x14ac:dyDescent="0.25">
      <c r="A2022" t="str">
        <f>"190116418100"</f>
        <v>190116418100</v>
      </c>
      <c r="B2022" t="s">
        <v>2816</v>
      </c>
      <c r="C2022" t="s">
        <v>7</v>
      </c>
      <c r="D2022" t="s">
        <v>14</v>
      </c>
      <c r="E2022" t="s">
        <v>2770</v>
      </c>
    </row>
    <row r="2023" spans="1:6" x14ac:dyDescent="0.25">
      <c r="A2023" t="str">
        <f>"190119606617"</f>
        <v>190119606617</v>
      </c>
      <c r="B2023" t="s">
        <v>2817</v>
      </c>
      <c r="C2023" t="s">
        <v>7</v>
      </c>
      <c r="D2023" t="s">
        <v>14</v>
      </c>
      <c r="E2023" t="s">
        <v>2770</v>
      </c>
    </row>
    <row r="2024" spans="1:6" x14ac:dyDescent="0.25">
      <c r="A2024" t="str">
        <f>"190200011401"</f>
        <v>190200011401</v>
      </c>
      <c r="B2024" t="s">
        <v>2818</v>
      </c>
      <c r="C2024" t="s">
        <v>7</v>
      </c>
      <c r="D2024" t="s">
        <v>14</v>
      </c>
      <c r="E2024" t="s">
        <v>2770</v>
      </c>
    </row>
    <row r="2025" spans="1:6" x14ac:dyDescent="0.25">
      <c r="A2025" t="str">
        <f>"190201788913"</f>
        <v>190201788913</v>
      </c>
      <c r="B2025" t="s">
        <v>2819</v>
      </c>
      <c r="C2025" t="s">
        <v>7</v>
      </c>
      <c r="D2025" t="s">
        <v>33</v>
      </c>
      <c r="E2025" t="s">
        <v>2770</v>
      </c>
    </row>
    <row r="2026" spans="1:6" x14ac:dyDescent="0.25">
      <c r="A2026" t="str">
        <f>"190300135390"</f>
        <v>190300135390</v>
      </c>
      <c r="B2026" t="s">
        <v>2820</v>
      </c>
      <c r="C2026" t="s">
        <v>7</v>
      </c>
      <c r="D2026" t="s">
        <v>14</v>
      </c>
      <c r="E2026" t="s">
        <v>2770</v>
      </c>
    </row>
    <row r="2027" spans="1:6" x14ac:dyDescent="0.25">
      <c r="A2027" t="str">
        <f>"190300188018"</f>
        <v>190300188018</v>
      </c>
      <c r="B2027" t="s">
        <v>2821</v>
      </c>
      <c r="C2027" t="s">
        <v>7</v>
      </c>
      <c r="D2027" t="s">
        <v>14</v>
      </c>
      <c r="E2027" t="s">
        <v>2770</v>
      </c>
    </row>
    <row r="2028" spans="1:6" x14ac:dyDescent="0.25">
      <c r="A2028" t="str">
        <f>"190300646395"</f>
        <v>190300646395</v>
      </c>
      <c r="B2028" t="s">
        <v>2822</v>
      </c>
      <c r="C2028" t="s">
        <v>7</v>
      </c>
      <c r="D2028" t="s">
        <v>12</v>
      </c>
      <c r="E2028" t="s">
        <v>2770</v>
      </c>
    </row>
    <row r="2029" spans="1:6" x14ac:dyDescent="0.25">
      <c r="A2029" t="str">
        <f>"190800113758"</f>
        <v>190800113758</v>
      </c>
      <c r="B2029" t="s">
        <v>2823</v>
      </c>
      <c r="C2029" t="s">
        <v>7</v>
      </c>
      <c r="D2029" t="s">
        <v>14</v>
      </c>
      <c r="E2029" t="s">
        <v>2770</v>
      </c>
    </row>
    <row r="2030" spans="1:6" x14ac:dyDescent="0.25">
      <c r="A2030" t="str">
        <f>"2466182670"</f>
        <v>2466182670</v>
      </c>
      <c r="B2030" t="s">
        <v>2824</v>
      </c>
      <c r="C2030" t="s">
        <v>7</v>
      </c>
      <c r="D2030" t="s">
        <v>12</v>
      </c>
      <c r="E2030" t="s">
        <v>2770</v>
      </c>
      <c r="F2030" t="s">
        <v>2825</v>
      </c>
    </row>
    <row r="2031" spans="1:6" x14ac:dyDescent="0.25">
      <c r="A2031" t="str">
        <f>"1900009590"</f>
        <v>1900009590</v>
      </c>
      <c r="B2031" t="s">
        <v>2826</v>
      </c>
      <c r="C2031" t="s">
        <v>7</v>
      </c>
      <c r="D2031" t="s">
        <v>12</v>
      </c>
      <c r="E2031" t="s">
        <v>2770</v>
      </c>
      <c r="F2031" t="s">
        <v>2827</v>
      </c>
    </row>
    <row r="2032" spans="1:6" x14ac:dyDescent="0.25">
      <c r="A2032" t="str">
        <f>"190109026350"</f>
        <v>190109026350</v>
      </c>
      <c r="B2032" t="s">
        <v>2828</v>
      </c>
      <c r="C2032" t="s">
        <v>7</v>
      </c>
      <c r="D2032" t="s">
        <v>12</v>
      </c>
      <c r="E2032" t="s">
        <v>2770</v>
      </c>
    </row>
    <row r="2033" spans="1:6" x14ac:dyDescent="0.25">
      <c r="A2033" t="str">
        <f>"190111772500"</f>
        <v>190111772500</v>
      </c>
      <c r="B2033" t="s">
        <v>2829</v>
      </c>
      <c r="C2033" t="s">
        <v>7</v>
      </c>
      <c r="D2033" t="s">
        <v>12</v>
      </c>
      <c r="E2033" t="s">
        <v>2770</v>
      </c>
    </row>
    <row r="2034" spans="1:6" x14ac:dyDescent="0.25">
      <c r="A2034" t="str">
        <f>"1901119652"</f>
        <v>1901119652</v>
      </c>
      <c r="B2034" t="s">
        <v>2830</v>
      </c>
      <c r="C2034" t="s">
        <v>7</v>
      </c>
      <c r="D2034" t="s">
        <v>14</v>
      </c>
      <c r="E2034" t="s">
        <v>2770</v>
      </c>
      <c r="F2034" t="s">
        <v>2831</v>
      </c>
    </row>
    <row r="2035" spans="1:6" x14ac:dyDescent="0.25">
      <c r="A2035" t="str">
        <f>"1901128738"</f>
        <v>1901128738</v>
      </c>
      <c r="B2035" t="s">
        <v>2832</v>
      </c>
      <c r="C2035" t="s">
        <v>7</v>
      </c>
      <c r="D2035" t="s">
        <v>12</v>
      </c>
      <c r="E2035" t="s">
        <v>2770</v>
      </c>
      <c r="F2035" t="s">
        <v>2833</v>
      </c>
    </row>
    <row r="2036" spans="1:6" x14ac:dyDescent="0.25">
      <c r="A2036" t="str">
        <f>"1901133833"</f>
        <v>1901133833</v>
      </c>
      <c r="B2036" t="s">
        <v>2834</v>
      </c>
      <c r="C2036" t="s">
        <v>7</v>
      </c>
      <c r="D2036" t="s">
        <v>33</v>
      </c>
      <c r="E2036" t="s">
        <v>2770</v>
      </c>
      <c r="F2036" t="s">
        <v>2835</v>
      </c>
    </row>
    <row r="2037" spans="1:6" x14ac:dyDescent="0.25">
      <c r="A2037" t="str">
        <f>"1901139458"</f>
        <v>1901139458</v>
      </c>
      <c r="B2037" t="s">
        <v>2836</v>
      </c>
      <c r="C2037" t="s">
        <v>7</v>
      </c>
      <c r="D2037" t="s">
        <v>12</v>
      </c>
      <c r="E2037" t="s">
        <v>2770</v>
      </c>
      <c r="F2037" t="s">
        <v>2837</v>
      </c>
    </row>
    <row r="2038" spans="1:6" x14ac:dyDescent="0.25">
      <c r="A2038" t="str">
        <f>"190116099687"</f>
        <v>190116099687</v>
      </c>
      <c r="B2038" t="s">
        <v>2838</v>
      </c>
      <c r="C2038" t="s">
        <v>7</v>
      </c>
      <c r="D2038" t="s">
        <v>14</v>
      </c>
      <c r="E2038" t="s">
        <v>2770</v>
      </c>
    </row>
    <row r="2039" spans="1:6" x14ac:dyDescent="0.25">
      <c r="A2039" t="str">
        <f>"190116503003"</f>
        <v>190116503003</v>
      </c>
      <c r="B2039" t="s">
        <v>2839</v>
      </c>
      <c r="C2039" t="s">
        <v>7</v>
      </c>
      <c r="D2039" t="s">
        <v>14</v>
      </c>
      <c r="E2039" t="s">
        <v>2770</v>
      </c>
    </row>
    <row r="2040" spans="1:6" x14ac:dyDescent="0.25">
      <c r="A2040" t="str">
        <f>"190117119791"</f>
        <v>190117119791</v>
      </c>
      <c r="B2040" t="s">
        <v>2840</v>
      </c>
      <c r="C2040" t="s">
        <v>7</v>
      </c>
      <c r="D2040" t="s">
        <v>14</v>
      </c>
      <c r="E2040" t="s">
        <v>2770</v>
      </c>
    </row>
    <row r="2041" spans="1:6" x14ac:dyDescent="0.25">
      <c r="A2041" t="str">
        <f>"190203490713"</f>
        <v>190203490713</v>
      </c>
      <c r="B2041" t="s">
        <v>2841</v>
      </c>
      <c r="C2041" t="s">
        <v>7</v>
      </c>
      <c r="D2041" t="s">
        <v>14</v>
      </c>
      <c r="E2041" t="s">
        <v>2770</v>
      </c>
    </row>
    <row r="2042" spans="1:6" x14ac:dyDescent="0.25">
      <c r="A2042" t="str">
        <f>"190300320668"</f>
        <v>190300320668</v>
      </c>
      <c r="B2042" t="s">
        <v>2842</v>
      </c>
      <c r="C2042" t="s">
        <v>7</v>
      </c>
      <c r="D2042" t="s">
        <v>14</v>
      </c>
      <c r="E2042" t="s">
        <v>2770</v>
      </c>
    </row>
    <row r="2043" spans="1:6" x14ac:dyDescent="0.25">
      <c r="A2043" t="str">
        <f>"190302947528"</f>
        <v>190302947528</v>
      </c>
      <c r="B2043" t="s">
        <v>2843</v>
      </c>
      <c r="C2043" t="s">
        <v>7</v>
      </c>
      <c r="D2043" t="s">
        <v>14</v>
      </c>
      <c r="E2043" t="s">
        <v>2770</v>
      </c>
    </row>
    <row r="2044" spans="1:6" x14ac:dyDescent="0.25">
      <c r="A2044" t="str">
        <f>"190303445168"</f>
        <v>190303445168</v>
      </c>
      <c r="B2044" t="s">
        <v>2844</v>
      </c>
      <c r="C2044" t="s">
        <v>7</v>
      </c>
      <c r="D2044" t="s">
        <v>12</v>
      </c>
      <c r="E2044" t="s">
        <v>2770</v>
      </c>
    </row>
    <row r="2045" spans="1:6" x14ac:dyDescent="0.25">
      <c r="A2045" t="str">
        <f>"190402024080"</f>
        <v>190402024080</v>
      </c>
      <c r="B2045" t="s">
        <v>2845</v>
      </c>
      <c r="C2045" t="s">
        <v>7</v>
      </c>
      <c r="D2045" t="s">
        <v>12</v>
      </c>
      <c r="E2045" t="s">
        <v>2770</v>
      </c>
    </row>
    <row r="2046" spans="1:6" x14ac:dyDescent="0.25">
      <c r="A2046" t="str">
        <f>"190600209501"</f>
        <v>190600209501</v>
      </c>
      <c r="B2046" t="s">
        <v>2846</v>
      </c>
      <c r="C2046" t="s">
        <v>7</v>
      </c>
      <c r="D2046" t="s">
        <v>14</v>
      </c>
      <c r="E2046" t="s">
        <v>2770</v>
      </c>
    </row>
    <row r="2047" spans="1:6" x14ac:dyDescent="0.25">
      <c r="A2047" t="str">
        <f>"1911002325"</f>
        <v>1911002325</v>
      </c>
      <c r="B2047" t="s">
        <v>2847</v>
      </c>
      <c r="C2047" t="s">
        <v>7</v>
      </c>
      <c r="D2047" t="s">
        <v>14</v>
      </c>
      <c r="E2047" t="s">
        <v>2770</v>
      </c>
      <c r="F2047" t="s">
        <v>2848</v>
      </c>
    </row>
    <row r="2048" spans="1:6" x14ac:dyDescent="0.25">
      <c r="A2048" t="str">
        <f>"191102979500"</f>
        <v>191102979500</v>
      </c>
      <c r="B2048" t="s">
        <v>2849</v>
      </c>
      <c r="C2048" t="s">
        <v>7</v>
      </c>
      <c r="D2048" t="s">
        <v>12</v>
      </c>
      <c r="E2048" t="s">
        <v>2770</v>
      </c>
    </row>
    <row r="2049" spans="1:6" x14ac:dyDescent="0.25">
      <c r="A2049" t="str">
        <f>"190112321588"</f>
        <v>190112321588</v>
      </c>
      <c r="B2049" t="s">
        <v>2850</v>
      </c>
      <c r="C2049" t="s">
        <v>7</v>
      </c>
      <c r="D2049" t="s">
        <v>14</v>
      </c>
      <c r="E2049" t="s">
        <v>2770</v>
      </c>
    </row>
    <row r="2050" spans="1:6" x14ac:dyDescent="0.25">
      <c r="A2050" t="str">
        <f>"190332295823"</f>
        <v>190332295823</v>
      </c>
      <c r="B2050" t="s">
        <v>2851</v>
      </c>
      <c r="C2050" t="s">
        <v>7</v>
      </c>
      <c r="D2050" t="s">
        <v>14</v>
      </c>
      <c r="E2050" t="s">
        <v>2770</v>
      </c>
    </row>
    <row r="2051" spans="1:6" x14ac:dyDescent="0.25">
      <c r="A2051" t="str">
        <f>"241401186764"</f>
        <v>241401186764</v>
      </c>
      <c r="B2051" t="s">
        <v>2852</v>
      </c>
      <c r="C2051" t="s">
        <v>7</v>
      </c>
      <c r="D2051" t="s">
        <v>14</v>
      </c>
      <c r="E2051" t="s">
        <v>2770</v>
      </c>
    </row>
    <row r="2052" spans="1:6" x14ac:dyDescent="0.25">
      <c r="A2052" t="str">
        <f>"2455015156"</f>
        <v>2455015156</v>
      </c>
      <c r="B2052" t="s">
        <v>2853</v>
      </c>
      <c r="C2052" t="s">
        <v>7</v>
      </c>
      <c r="D2052" t="s">
        <v>14</v>
      </c>
      <c r="E2052" t="s">
        <v>2770</v>
      </c>
      <c r="F2052" t="s">
        <v>2854</v>
      </c>
    </row>
    <row r="2053" spans="1:6" x14ac:dyDescent="0.25">
      <c r="A2053" t="str">
        <f>"890302918205"</f>
        <v>890302918205</v>
      </c>
      <c r="B2053" t="s">
        <v>2855</v>
      </c>
      <c r="C2053" t="s">
        <v>7</v>
      </c>
      <c r="D2053" t="s">
        <v>14</v>
      </c>
      <c r="E2053" t="s">
        <v>2770</v>
      </c>
    </row>
    <row r="2054" spans="1:6" x14ac:dyDescent="0.25">
      <c r="A2054" t="str">
        <f>"244600100799"</f>
        <v>244600100799</v>
      </c>
      <c r="B2054" t="s">
        <v>2856</v>
      </c>
      <c r="C2054" t="s">
        <v>7</v>
      </c>
      <c r="D2054" t="s">
        <v>14</v>
      </c>
      <c r="E2054" t="s">
        <v>2770</v>
      </c>
    </row>
    <row r="2055" spans="1:6" x14ac:dyDescent="0.25">
      <c r="A2055" t="str">
        <f>"170107587879"</f>
        <v>170107587879</v>
      </c>
      <c r="B2055" t="s">
        <v>2857</v>
      </c>
      <c r="C2055" t="s">
        <v>7</v>
      </c>
      <c r="D2055" t="s">
        <v>14</v>
      </c>
      <c r="E2055" t="s">
        <v>2770</v>
      </c>
    </row>
    <row r="2056" spans="1:6" x14ac:dyDescent="0.25">
      <c r="A2056" t="str">
        <f>"241300078642"</f>
        <v>241300078642</v>
      </c>
      <c r="B2056" t="s">
        <v>2858</v>
      </c>
      <c r="C2056" t="s">
        <v>7</v>
      </c>
      <c r="D2056" t="s">
        <v>14</v>
      </c>
      <c r="E2056" t="s">
        <v>2770</v>
      </c>
    </row>
    <row r="2057" spans="1:6" x14ac:dyDescent="0.25">
      <c r="A2057" t="str">
        <f>"241401006933"</f>
        <v>241401006933</v>
      </c>
      <c r="B2057" t="s">
        <v>2859</v>
      </c>
      <c r="C2057" t="s">
        <v>7</v>
      </c>
      <c r="D2057" t="s">
        <v>14</v>
      </c>
      <c r="E2057" t="s">
        <v>2770</v>
      </c>
    </row>
    <row r="2058" spans="1:6" x14ac:dyDescent="0.25">
      <c r="A2058" t="str">
        <f>"241401072975"</f>
        <v>241401072975</v>
      </c>
      <c r="B2058" t="s">
        <v>2860</v>
      </c>
      <c r="C2058" t="s">
        <v>7</v>
      </c>
      <c r="D2058" t="s">
        <v>14</v>
      </c>
      <c r="E2058" t="s">
        <v>2770</v>
      </c>
    </row>
    <row r="2059" spans="1:6" x14ac:dyDescent="0.25">
      <c r="A2059" t="str">
        <f>"170105147270"</f>
        <v>170105147270</v>
      </c>
      <c r="B2059" t="s">
        <v>2861</v>
      </c>
      <c r="C2059" t="s">
        <v>7</v>
      </c>
      <c r="D2059" t="s">
        <v>14</v>
      </c>
      <c r="E2059" t="s">
        <v>2770</v>
      </c>
    </row>
    <row r="2060" spans="1:6" x14ac:dyDescent="0.25">
      <c r="A2060" t="str">
        <f>"242201089557"</f>
        <v>242201089557</v>
      </c>
      <c r="B2060" t="s">
        <v>2862</v>
      </c>
      <c r="C2060" t="s">
        <v>7</v>
      </c>
      <c r="D2060" t="s">
        <v>14</v>
      </c>
      <c r="E2060" t="s">
        <v>2770</v>
      </c>
    </row>
    <row r="2061" spans="1:6" x14ac:dyDescent="0.25">
      <c r="A2061" t="str">
        <f>"244202816431"</f>
        <v>244202816431</v>
      </c>
      <c r="B2061" t="s">
        <v>2863</v>
      </c>
      <c r="C2061" t="s">
        <v>7</v>
      </c>
      <c r="D2061" t="s">
        <v>14</v>
      </c>
      <c r="E2061" t="s">
        <v>2770</v>
      </c>
    </row>
    <row r="2062" spans="1:6" x14ac:dyDescent="0.25">
      <c r="A2062" t="str">
        <f>"170500105182"</f>
        <v>170500105182</v>
      </c>
      <c r="B2062" t="s">
        <v>2864</v>
      </c>
      <c r="C2062" t="s">
        <v>7</v>
      </c>
      <c r="D2062" t="s">
        <v>14</v>
      </c>
      <c r="E2062" t="s">
        <v>2770</v>
      </c>
    </row>
    <row r="2063" spans="1:6" x14ac:dyDescent="0.25">
      <c r="A2063" t="str">
        <f>"500126817193"</f>
        <v>500126817193</v>
      </c>
      <c r="B2063" t="s">
        <v>2865</v>
      </c>
      <c r="C2063" t="s">
        <v>7</v>
      </c>
      <c r="D2063" t="s">
        <v>14</v>
      </c>
      <c r="E2063" t="s">
        <v>2866</v>
      </c>
    </row>
    <row r="2064" spans="1:6" x14ac:dyDescent="0.25">
      <c r="A2064" t="str">
        <f>"200514498870"</f>
        <v>200514498870</v>
      </c>
      <c r="B2064" t="s">
        <v>2867</v>
      </c>
      <c r="C2064" t="s">
        <v>7</v>
      </c>
      <c r="D2064" t="s">
        <v>14</v>
      </c>
      <c r="E2064" t="s">
        <v>2866</v>
      </c>
    </row>
    <row r="2065" spans="1:6" x14ac:dyDescent="0.25">
      <c r="A2065" t="str">
        <f>"2007006492"</f>
        <v>2007006492</v>
      </c>
      <c r="B2065" t="s">
        <v>2868</v>
      </c>
      <c r="C2065" t="s">
        <v>7</v>
      </c>
      <c r="D2065" t="s">
        <v>14</v>
      </c>
      <c r="E2065" t="s">
        <v>2866</v>
      </c>
      <c r="F2065" t="s">
        <v>2869</v>
      </c>
    </row>
    <row r="2066" spans="1:6" x14ac:dyDescent="0.25">
      <c r="A2066" t="str">
        <f>"200720423559"</f>
        <v>200720423559</v>
      </c>
      <c r="B2066" t="s">
        <v>2870</v>
      </c>
      <c r="C2066" t="s">
        <v>7</v>
      </c>
      <c r="D2066" t="s">
        <v>8</v>
      </c>
      <c r="E2066" t="s">
        <v>2866</v>
      </c>
    </row>
    <row r="2067" spans="1:6" x14ac:dyDescent="0.25">
      <c r="A2067" t="str">
        <f>"2014035871"</f>
        <v>2014035871</v>
      </c>
      <c r="B2067" t="s">
        <v>2871</v>
      </c>
      <c r="C2067" t="s">
        <v>7</v>
      </c>
      <c r="D2067" t="s">
        <v>33</v>
      </c>
      <c r="E2067" t="s">
        <v>2866</v>
      </c>
      <c r="F2067" t="s">
        <v>2872</v>
      </c>
    </row>
    <row r="2068" spans="1:6" x14ac:dyDescent="0.25">
      <c r="A2068" t="str">
        <f>"246601529947"</f>
        <v>246601529947</v>
      </c>
      <c r="B2068" t="s">
        <v>2873</v>
      </c>
      <c r="C2068" t="s">
        <v>7</v>
      </c>
      <c r="D2068" t="s">
        <v>12</v>
      </c>
      <c r="E2068" t="s">
        <v>2866</v>
      </c>
    </row>
    <row r="2069" spans="1:6" x14ac:dyDescent="0.25">
      <c r="A2069" t="str">
        <f>"2000000332"</f>
        <v>2000000332</v>
      </c>
      <c r="B2069" t="s">
        <v>2874</v>
      </c>
      <c r="C2069" t="s">
        <v>7</v>
      </c>
      <c r="D2069" t="s">
        <v>28</v>
      </c>
      <c r="E2069" t="s">
        <v>2866</v>
      </c>
      <c r="F2069" t="s">
        <v>2875</v>
      </c>
    </row>
    <row r="2070" spans="1:6" x14ac:dyDescent="0.25">
      <c r="A2070" t="str">
        <f>"2011005501"</f>
        <v>2011005501</v>
      </c>
      <c r="B2070" t="s">
        <v>2876</v>
      </c>
      <c r="C2070" t="s">
        <v>7</v>
      </c>
      <c r="D2070" t="s">
        <v>189</v>
      </c>
      <c r="E2070" t="s">
        <v>2866</v>
      </c>
      <c r="F2070" t="s">
        <v>2877</v>
      </c>
    </row>
    <row r="2071" spans="1:6" x14ac:dyDescent="0.25">
      <c r="A2071" t="str">
        <f>"540230820487"</f>
        <v>540230820487</v>
      </c>
      <c r="B2071" t="s">
        <v>2878</v>
      </c>
      <c r="C2071" t="s">
        <v>7</v>
      </c>
      <c r="D2071" t="s">
        <v>12</v>
      </c>
      <c r="E2071" t="s">
        <v>2866</v>
      </c>
    </row>
    <row r="2072" spans="1:6" x14ac:dyDescent="0.25">
      <c r="A2072" t="str">
        <f>"2029002220"</f>
        <v>2029002220</v>
      </c>
      <c r="B2072" t="s">
        <v>2879</v>
      </c>
      <c r="C2072" t="s">
        <v>7</v>
      </c>
      <c r="D2072" t="s">
        <v>12</v>
      </c>
      <c r="E2072" t="s">
        <v>2866</v>
      </c>
      <c r="F2072" t="s">
        <v>2880</v>
      </c>
    </row>
    <row r="2073" spans="1:6" x14ac:dyDescent="0.25">
      <c r="A2073" t="str">
        <f>"540223659036"</f>
        <v>540223659036</v>
      </c>
      <c r="B2073" t="s">
        <v>2881</v>
      </c>
      <c r="C2073" t="s">
        <v>7</v>
      </c>
      <c r="D2073" t="s">
        <v>12</v>
      </c>
      <c r="E2073" t="s">
        <v>2866</v>
      </c>
    </row>
    <row r="2074" spans="1:6" x14ac:dyDescent="0.25">
      <c r="A2074" t="str">
        <f>"201579860881"</f>
        <v>201579860881</v>
      </c>
      <c r="B2074" t="s">
        <v>2882</v>
      </c>
      <c r="C2074" t="s">
        <v>7</v>
      </c>
      <c r="D2074" t="s">
        <v>12</v>
      </c>
      <c r="E2074" t="s">
        <v>2866</v>
      </c>
    </row>
    <row r="2075" spans="1:6" x14ac:dyDescent="0.25">
      <c r="A2075" t="str">
        <f>"2016003963"</f>
        <v>2016003963</v>
      </c>
      <c r="B2075" t="s">
        <v>2883</v>
      </c>
      <c r="C2075" t="s">
        <v>7</v>
      </c>
      <c r="D2075" t="s">
        <v>14</v>
      </c>
      <c r="E2075" t="s">
        <v>2866</v>
      </c>
      <c r="F2075" t="s">
        <v>2884</v>
      </c>
    </row>
    <row r="2076" spans="1:6" x14ac:dyDescent="0.25">
      <c r="A2076" t="str">
        <f>"540605799067"</f>
        <v>540605799067</v>
      </c>
      <c r="B2076" t="s">
        <v>2885</v>
      </c>
      <c r="C2076" t="s">
        <v>7</v>
      </c>
      <c r="D2076" t="s">
        <v>12</v>
      </c>
      <c r="E2076" t="s">
        <v>2866</v>
      </c>
    </row>
    <row r="2077" spans="1:6" x14ac:dyDescent="0.25">
      <c r="A2077" t="str">
        <f>"3528130317"</f>
        <v>3528130317</v>
      </c>
      <c r="B2077" t="s">
        <v>2886</v>
      </c>
      <c r="C2077" t="s">
        <v>7</v>
      </c>
      <c r="D2077" t="s">
        <v>28</v>
      </c>
      <c r="E2077" t="s">
        <v>2866</v>
      </c>
      <c r="F2077" t="s">
        <v>2887</v>
      </c>
    </row>
    <row r="2078" spans="1:6" x14ac:dyDescent="0.25">
      <c r="A2078" t="str">
        <f>"710401996391"</f>
        <v>710401996391</v>
      </c>
      <c r="B2078" t="s">
        <v>2888</v>
      </c>
      <c r="C2078" t="s">
        <v>7</v>
      </c>
      <c r="D2078" t="s">
        <v>12</v>
      </c>
      <c r="E2078" t="s">
        <v>2866</v>
      </c>
    </row>
    <row r="2079" spans="1:6" x14ac:dyDescent="0.25">
      <c r="A2079" t="str">
        <f>"060102844971"</f>
        <v>060102844971</v>
      </c>
      <c r="B2079" t="s">
        <v>2889</v>
      </c>
      <c r="C2079" t="s">
        <v>7</v>
      </c>
      <c r="D2079" t="s">
        <v>14</v>
      </c>
      <c r="E2079" t="s">
        <v>2866</v>
      </c>
    </row>
    <row r="2080" spans="1:6" x14ac:dyDescent="0.25">
      <c r="A2080" t="str">
        <f>"2623027371"</f>
        <v>2623027371</v>
      </c>
      <c r="B2080" t="s">
        <v>2890</v>
      </c>
      <c r="C2080" t="s">
        <v>7</v>
      </c>
      <c r="D2080" t="s">
        <v>33</v>
      </c>
      <c r="E2080" t="s">
        <v>2866</v>
      </c>
      <c r="F2080" t="s">
        <v>2891</v>
      </c>
    </row>
    <row r="2081" spans="1:6" x14ac:dyDescent="0.25">
      <c r="A2081" t="str">
        <f>"7805614856"</f>
        <v>7805614856</v>
      </c>
      <c r="B2081" t="s">
        <v>2892</v>
      </c>
      <c r="C2081" t="s">
        <v>7</v>
      </c>
      <c r="D2081" t="s">
        <v>189</v>
      </c>
      <c r="E2081" t="s">
        <v>2866</v>
      </c>
      <c r="F2081" t="s">
        <v>2893</v>
      </c>
    </row>
    <row r="2082" spans="1:6" x14ac:dyDescent="0.25">
      <c r="A2082" t="str">
        <f>"740800457295"</f>
        <v>740800457295</v>
      </c>
      <c r="B2082" t="s">
        <v>2894</v>
      </c>
      <c r="C2082" t="s">
        <v>7</v>
      </c>
      <c r="D2082" t="s">
        <v>14</v>
      </c>
      <c r="E2082" t="s">
        <v>2866</v>
      </c>
    </row>
    <row r="2083" spans="1:6" x14ac:dyDescent="0.25">
      <c r="A2083" t="str">
        <f>"632511530600"</f>
        <v>632511530600</v>
      </c>
      <c r="B2083" t="s">
        <v>2895</v>
      </c>
      <c r="C2083" t="s">
        <v>7</v>
      </c>
      <c r="D2083" t="s">
        <v>14</v>
      </c>
      <c r="E2083" t="s">
        <v>2866</v>
      </c>
    </row>
    <row r="2084" spans="1:6" x14ac:dyDescent="0.25">
      <c r="A2084" t="str">
        <f>"6452066600"</f>
        <v>6452066600</v>
      </c>
      <c r="B2084" t="s">
        <v>2896</v>
      </c>
      <c r="C2084" t="s">
        <v>7</v>
      </c>
      <c r="D2084" t="s">
        <v>14</v>
      </c>
      <c r="E2084" t="s">
        <v>2866</v>
      </c>
      <c r="F2084" t="s">
        <v>2897</v>
      </c>
    </row>
    <row r="2085" spans="1:6" x14ac:dyDescent="0.25">
      <c r="A2085" t="str">
        <f>"121520073605"</f>
        <v>121520073605</v>
      </c>
      <c r="B2085" t="s">
        <v>2898</v>
      </c>
      <c r="C2085" t="s">
        <v>7</v>
      </c>
      <c r="D2085" t="s">
        <v>14</v>
      </c>
      <c r="E2085" t="s">
        <v>2866</v>
      </c>
    </row>
    <row r="2086" spans="1:6" x14ac:dyDescent="0.25">
      <c r="A2086" t="str">
        <f>"272549109931"</f>
        <v>272549109931</v>
      </c>
      <c r="B2086" t="s">
        <v>2899</v>
      </c>
      <c r="C2086" t="s">
        <v>7</v>
      </c>
      <c r="D2086" t="s">
        <v>189</v>
      </c>
      <c r="E2086" t="s">
        <v>2866</v>
      </c>
    </row>
    <row r="2087" spans="1:6" x14ac:dyDescent="0.25">
      <c r="A2087" t="str">
        <f>"232524707250"</f>
        <v>232524707250</v>
      </c>
      <c r="B2087" t="s">
        <v>2900</v>
      </c>
      <c r="C2087" t="s">
        <v>7</v>
      </c>
      <c r="D2087" t="s">
        <v>14</v>
      </c>
      <c r="E2087" t="s">
        <v>2866</v>
      </c>
    </row>
    <row r="2088" spans="1:6" x14ac:dyDescent="0.25">
      <c r="A2088" t="str">
        <f>"131656360089"</f>
        <v>131656360089</v>
      </c>
      <c r="B2088" t="s">
        <v>2901</v>
      </c>
      <c r="C2088" t="s">
        <v>7</v>
      </c>
      <c r="D2088" t="s">
        <v>14</v>
      </c>
      <c r="E2088" t="s">
        <v>2866</v>
      </c>
    </row>
    <row r="2089" spans="1:6" x14ac:dyDescent="0.25">
      <c r="A2089" t="str">
        <f>"591100085152"</f>
        <v>591100085152</v>
      </c>
      <c r="B2089" t="s">
        <v>2902</v>
      </c>
      <c r="C2089" t="s">
        <v>7</v>
      </c>
      <c r="D2089" t="s">
        <v>14</v>
      </c>
      <c r="E2089" t="s">
        <v>2866</v>
      </c>
    </row>
    <row r="2090" spans="1:6" x14ac:dyDescent="0.25">
      <c r="A2090" t="str">
        <f>"165032838109"</f>
        <v>165032838109</v>
      </c>
      <c r="B2090" t="s">
        <v>2903</v>
      </c>
      <c r="C2090" t="s">
        <v>7</v>
      </c>
      <c r="D2090" t="s">
        <v>12</v>
      </c>
      <c r="E2090" t="s">
        <v>2866</v>
      </c>
    </row>
    <row r="2091" spans="1:6" x14ac:dyDescent="0.25">
      <c r="A2091" t="str">
        <f>"7708767590"</f>
        <v>7708767590</v>
      </c>
      <c r="B2091" t="s">
        <v>2904</v>
      </c>
      <c r="C2091" t="s">
        <v>7</v>
      </c>
      <c r="D2091" t="s">
        <v>8</v>
      </c>
      <c r="E2091" t="s">
        <v>2866</v>
      </c>
      <c r="F2091" t="s">
        <v>2905</v>
      </c>
    </row>
    <row r="2092" spans="1:6" x14ac:dyDescent="0.25">
      <c r="A2092" t="str">
        <f>"2100017675"</f>
        <v>2100017675</v>
      </c>
      <c r="B2092" t="s">
        <v>2906</v>
      </c>
      <c r="C2092" t="s">
        <v>7</v>
      </c>
      <c r="D2092" t="s">
        <v>12</v>
      </c>
      <c r="E2092" t="s">
        <v>2907</v>
      </c>
      <c r="F2092" t="s">
        <v>2908</v>
      </c>
    </row>
    <row r="2093" spans="1:6" x14ac:dyDescent="0.25">
      <c r="A2093" t="str">
        <f>"010200107460"</f>
        <v>010200107460</v>
      </c>
      <c r="B2093" t="s">
        <v>2909</v>
      </c>
      <c r="C2093" t="s">
        <v>7</v>
      </c>
      <c r="D2093" t="s">
        <v>14</v>
      </c>
      <c r="E2093" t="s">
        <v>2907</v>
      </c>
    </row>
    <row r="2094" spans="1:6" x14ac:dyDescent="0.25">
      <c r="A2094" t="str">
        <f>"210502057066"</f>
        <v>210502057066</v>
      </c>
      <c r="B2094" t="s">
        <v>2910</v>
      </c>
      <c r="C2094" t="s">
        <v>7</v>
      </c>
      <c r="D2094" t="s">
        <v>14</v>
      </c>
      <c r="E2094" t="s">
        <v>2907</v>
      </c>
    </row>
    <row r="2095" spans="1:6" x14ac:dyDescent="0.25">
      <c r="A2095" t="str">
        <f>"210601747688"</f>
        <v>210601747688</v>
      </c>
      <c r="B2095" t="s">
        <v>2911</v>
      </c>
      <c r="C2095" t="s">
        <v>7</v>
      </c>
      <c r="D2095" t="s">
        <v>14</v>
      </c>
      <c r="E2095" t="s">
        <v>2907</v>
      </c>
    </row>
    <row r="2096" spans="1:6" x14ac:dyDescent="0.25">
      <c r="A2096" t="str">
        <f>"210801595810"</f>
        <v>210801595810</v>
      </c>
      <c r="B2096" t="s">
        <v>2912</v>
      </c>
      <c r="C2096" t="s">
        <v>7</v>
      </c>
      <c r="D2096" t="s">
        <v>14</v>
      </c>
      <c r="E2096" t="s">
        <v>2907</v>
      </c>
    </row>
    <row r="2097" spans="1:6" x14ac:dyDescent="0.25">
      <c r="A2097" t="str">
        <f>"2114003714"</f>
        <v>2114003714</v>
      </c>
      <c r="B2097" t="s">
        <v>2913</v>
      </c>
      <c r="C2097" t="s">
        <v>7</v>
      </c>
      <c r="D2097" t="s">
        <v>33</v>
      </c>
      <c r="E2097" t="s">
        <v>2907</v>
      </c>
      <c r="F2097" t="s">
        <v>2914</v>
      </c>
    </row>
    <row r="2098" spans="1:6" x14ac:dyDescent="0.25">
      <c r="A2098" t="str">
        <f>"211400687409"</f>
        <v>211400687409</v>
      </c>
      <c r="B2098" t="s">
        <v>2915</v>
      </c>
      <c r="C2098" t="s">
        <v>7</v>
      </c>
      <c r="D2098" t="s">
        <v>14</v>
      </c>
      <c r="E2098" t="s">
        <v>2907</v>
      </c>
    </row>
    <row r="2099" spans="1:6" x14ac:dyDescent="0.25">
      <c r="A2099" t="str">
        <f>"211610041604"</f>
        <v>211610041604</v>
      </c>
      <c r="B2099" t="s">
        <v>2916</v>
      </c>
      <c r="C2099" t="s">
        <v>7</v>
      </c>
      <c r="D2099" t="s">
        <v>12</v>
      </c>
      <c r="E2099" t="s">
        <v>2907</v>
      </c>
    </row>
    <row r="2100" spans="1:6" x14ac:dyDescent="0.25">
      <c r="A2100" t="str">
        <f>"2116492644"</f>
        <v>2116492644</v>
      </c>
      <c r="B2100" t="s">
        <v>1717</v>
      </c>
      <c r="C2100" t="s">
        <v>7</v>
      </c>
      <c r="D2100" t="s">
        <v>33</v>
      </c>
      <c r="E2100" t="s">
        <v>2907</v>
      </c>
      <c r="F2100" t="s">
        <v>2917</v>
      </c>
    </row>
    <row r="2101" spans="1:6" x14ac:dyDescent="0.25">
      <c r="A2101" t="str">
        <f>"211700814993"</f>
        <v>211700814993</v>
      </c>
      <c r="B2101" t="s">
        <v>2918</v>
      </c>
      <c r="C2101" t="s">
        <v>7</v>
      </c>
      <c r="D2101" t="s">
        <v>14</v>
      </c>
      <c r="E2101" t="s">
        <v>2907</v>
      </c>
    </row>
    <row r="2102" spans="1:6" x14ac:dyDescent="0.25">
      <c r="A2102" t="str">
        <f>"2119006356"</f>
        <v>2119006356</v>
      </c>
      <c r="B2102" t="s">
        <v>2919</v>
      </c>
      <c r="C2102" t="s">
        <v>7</v>
      </c>
      <c r="D2102" t="s">
        <v>14</v>
      </c>
      <c r="E2102" t="s">
        <v>2907</v>
      </c>
      <c r="F2102" t="s">
        <v>2920</v>
      </c>
    </row>
    <row r="2103" spans="1:6" x14ac:dyDescent="0.25">
      <c r="A2103" t="str">
        <f>"2119006564"</f>
        <v>2119006564</v>
      </c>
      <c r="B2103" t="s">
        <v>2921</v>
      </c>
      <c r="C2103" t="s">
        <v>7</v>
      </c>
      <c r="D2103" t="s">
        <v>14</v>
      </c>
      <c r="E2103" t="s">
        <v>2907</v>
      </c>
      <c r="F2103" t="s">
        <v>2922</v>
      </c>
    </row>
    <row r="2104" spans="1:6" x14ac:dyDescent="0.25">
      <c r="A2104" t="str">
        <f>"212306101890"</f>
        <v>212306101890</v>
      </c>
      <c r="B2104" t="s">
        <v>2923</v>
      </c>
      <c r="C2104" t="s">
        <v>7</v>
      </c>
      <c r="D2104" t="s">
        <v>14</v>
      </c>
      <c r="E2104" t="s">
        <v>2907</v>
      </c>
    </row>
    <row r="2105" spans="1:6" x14ac:dyDescent="0.25">
      <c r="A2105" t="str">
        <f>"212401525554"</f>
        <v>212401525554</v>
      </c>
      <c r="B2105" t="s">
        <v>2924</v>
      </c>
      <c r="C2105" t="s">
        <v>7</v>
      </c>
      <c r="D2105" t="s">
        <v>14</v>
      </c>
      <c r="E2105" t="s">
        <v>2907</v>
      </c>
    </row>
    <row r="2106" spans="1:6" x14ac:dyDescent="0.25">
      <c r="A2106" t="str">
        <f>"2124047936"</f>
        <v>2124047936</v>
      </c>
      <c r="B2106" t="s">
        <v>2925</v>
      </c>
      <c r="C2106" t="s">
        <v>7</v>
      </c>
      <c r="D2106" t="s">
        <v>12</v>
      </c>
      <c r="E2106" t="s">
        <v>2907</v>
      </c>
      <c r="F2106" t="s">
        <v>2926</v>
      </c>
    </row>
    <row r="2107" spans="1:6" x14ac:dyDescent="0.25">
      <c r="A2107" t="str">
        <f>"212703213209"</f>
        <v>212703213209</v>
      </c>
      <c r="B2107" t="s">
        <v>2927</v>
      </c>
      <c r="C2107" t="s">
        <v>7</v>
      </c>
      <c r="D2107" t="s">
        <v>14</v>
      </c>
      <c r="E2107" t="s">
        <v>2907</v>
      </c>
    </row>
    <row r="2108" spans="1:6" x14ac:dyDescent="0.25">
      <c r="A2108" t="str">
        <f>"212706845326"</f>
        <v>212706845326</v>
      </c>
      <c r="B2108" t="s">
        <v>2928</v>
      </c>
      <c r="C2108" t="s">
        <v>7</v>
      </c>
      <c r="D2108" t="s">
        <v>14</v>
      </c>
      <c r="E2108" t="s">
        <v>2907</v>
      </c>
    </row>
    <row r="2109" spans="1:6" x14ac:dyDescent="0.25">
      <c r="A2109" t="str">
        <f>"212711120879"</f>
        <v>212711120879</v>
      </c>
      <c r="B2109" t="s">
        <v>2929</v>
      </c>
      <c r="C2109" t="s">
        <v>7</v>
      </c>
      <c r="D2109" t="s">
        <v>14</v>
      </c>
      <c r="E2109" t="s">
        <v>2907</v>
      </c>
    </row>
    <row r="2110" spans="1:6" x14ac:dyDescent="0.25">
      <c r="A2110" t="str">
        <f>"212717066378"</f>
        <v>212717066378</v>
      </c>
      <c r="B2110" t="s">
        <v>2930</v>
      </c>
      <c r="C2110" t="s">
        <v>7</v>
      </c>
      <c r="D2110" t="s">
        <v>14</v>
      </c>
      <c r="E2110" t="s">
        <v>2907</v>
      </c>
    </row>
    <row r="2111" spans="1:6" x14ac:dyDescent="0.25">
      <c r="A2111" t="str">
        <f>"2128037311"</f>
        <v>2128037311</v>
      </c>
      <c r="B2111" t="s">
        <v>2931</v>
      </c>
      <c r="C2111" t="s">
        <v>7</v>
      </c>
      <c r="D2111" t="s">
        <v>12</v>
      </c>
      <c r="E2111" t="s">
        <v>2907</v>
      </c>
      <c r="F2111" t="s">
        <v>2932</v>
      </c>
    </row>
    <row r="2112" spans="1:6" x14ac:dyDescent="0.25">
      <c r="A2112" t="str">
        <f>"212900490561"</f>
        <v>212900490561</v>
      </c>
      <c r="B2112" t="s">
        <v>2933</v>
      </c>
      <c r="C2112" t="s">
        <v>7</v>
      </c>
      <c r="D2112" t="s">
        <v>14</v>
      </c>
      <c r="E2112" t="s">
        <v>2907</v>
      </c>
    </row>
    <row r="2113" spans="1:6" x14ac:dyDescent="0.25">
      <c r="A2113" t="str">
        <f>"2129009613"</f>
        <v>2129009613</v>
      </c>
      <c r="B2113" t="s">
        <v>2934</v>
      </c>
      <c r="C2113" t="s">
        <v>7</v>
      </c>
      <c r="D2113" t="s">
        <v>14</v>
      </c>
      <c r="E2113" t="s">
        <v>2907</v>
      </c>
      <c r="F2113" t="s">
        <v>2935</v>
      </c>
    </row>
    <row r="2114" spans="1:6" x14ac:dyDescent="0.25">
      <c r="A2114" t="str">
        <f>"212909932006"</f>
        <v>212909932006</v>
      </c>
      <c r="B2114" t="s">
        <v>2936</v>
      </c>
      <c r="C2114" t="s">
        <v>7</v>
      </c>
      <c r="D2114" t="s">
        <v>14</v>
      </c>
      <c r="E2114" t="s">
        <v>2907</v>
      </c>
    </row>
    <row r="2115" spans="1:6" x14ac:dyDescent="0.25">
      <c r="A2115" t="str">
        <f>"212913579383"</f>
        <v>212913579383</v>
      </c>
      <c r="B2115" t="s">
        <v>2937</v>
      </c>
      <c r="C2115" t="s">
        <v>7</v>
      </c>
      <c r="D2115" t="s">
        <v>12</v>
      </c>
      <c r="E2115" t="s">
        <v>2907</v>
      </c>
    </row>
    <row r="2116" spans="1:6" x14ac:dyDescent="0.25">
      <c r="A2116" t="str">
        <f>"213005677805"</f>
        <v>213005677805</v>
      </c>
      <c r="B2116" t="s">
        <v>2938</v>
      </c>
      <c r="C2116" t="s">
        <v>7</v>
      </c>
      <c r="D2116" t="s">
        <v>14</v>
      </c>
      <c r="E2116" t="s">
        <v>2907</v>
      </c>
    </row>
    <row r="2117" spans="1:6" x14ac:dyDescent="0.25">
      <c r="A2117" t="str">
        <f>"213006176311"</f>
        <v>213006176311</v>
      </c>
      <c r="B2117" t="s">
        <v>2939</v>
      </c>
      <c r="C2117" t="s">
        <v>7</v>
      </c>
      <c r="D2117" t="s">
        <v>14</v>
      </c>
      <c r="E2117" t="s">
        <v>2907</v>
      </c>
    </row>
    <row r="2118" spans="1:6" x14ac:dyDescent="0.25">
      <c r="A2118" t="str">
        <f>"2130067137"</f>
        <v>2130067137</v>
      </c>
      <c r="B2118" t="s">
        <v>2940</v>
      </c>
      <c r="C2118" t="s">
        <v>7</v>
      </c>
      <c r="D2118" t="s">
        <v>12</v>
      </c>
      <c r="E2118" t="s">
        <v>2907</v>
      </c>
      <c r="F2118" t="s">
        <v>2941</v>
      </c>
    </row>
    <row r="2119" spans="1:6" x14ac:dyDescent="0.25">
      <c r="A2119" t="str">
        <f>"2130107301"</f>
        <v>2130107301</v>
      </c>
      <c r="B2119" t="s">
        <v>2942</v>
      </c>
      <c r="C2119" t="s">
        <v>7</v>
      </c>
      <c r="D2119" t="s">
        <v>33</v>
      </c>
      <c r="E2119" t="s">
        <v>2907</v>
      </c>
      <c r="F2119" t="s">
        <v>2943</v>
      </c>
    </row>
    <row r="2120" spans="1:6" x14ac:dyDescent="0.25">
      <c r="A2120" t="str">
        <f>"2130183310"</f>
        <v>2130183310</v>
      </c>
      <c r="B2120" t="s">
        <v>2944</v>
      </c>
      <c r="C2120" t="s">
        <v>7</v>
      </c>
      <c r="D2120" t="s">
        <v>12</v>
      </c>
      <c r="E2120" t="s">
        <v>2907</v>
      </c>
      <c r="F2120" t="s">
        <v>2945</v>
      </c>
    </row>
    <row r="2121" spans="1:6" x14ac:dyDescent="0.25">
      <c r="A2121" t="str">
        <f>"2130208405"</f>
        <v>2130208405</v>
      </c>
      <c r="B2121" t="s">
        <v>2946</v>
      </c>
      <c r="C2121" t="s">
        <v>7</v>
      </c>
      <c r="D2121" t="s">
        <v>14</v>
      </c>
      <c r="E2121" t="s">
        <v>2907</v>
      </c>
      <c r="F2121" t="s">
        <v>2947</v>
      </c>
    </row>
    <row r="2122" spans="1:6" x14ac:dyDescent="0.25">
      <c r="A2122" t="str">
        <f>"2100002189"</f>
        <v>2100002189</v>
      </c>
      <c r="B2122" t="s">
        <v>2948</v>
      </c>
      <c r="C2122" t="s">
        <v>7</v>
      </c>
      <c r="D2122" t="s">
        <v>12</v>
      </c>
      <c r="E2122" t="s">
        <v>2907</v>
      </c>
      <c r="F2122" t="s">
        <v>2949</v>
      </c>
    </row>
    <row r="2123" spans="1:6" x14ac:dyDescent="0.25">
      <c r="A2123" t="str">
        <f>"2100023767"</f>
        <v>2100023767</v>
      </c>
      <c r="B2123" t="s">
        <v>2950</v>
      </c>
      <c r="C2123" t="s">
        <v>7</v>
      </c>
      <c r="D2123" t="s">
        <v>12</v>
      </c>
      <c r="E2123" t="s">
        <v>2907</v>
      </c>
      <c r="F2123" t="s">
        <v>2951</v>
      </c>
    </row>
    <row r="2124" spans="1:6" x14ac:dyDescent="0.25">
      <c r="A2124" t="str">
        <f>"210400055535"</f>
        <v>210400055535</v>
      </c>
      <c r="B2124" t="s">
        <v>2952</v>
      </c>
      <c r="C2124" t="s">
        <v>7</v>
      </c>
      <c r="D2124" t="s">
        <v>14</v>
      </c>
      <c r="E2124" t="s">
        <v>2907</v>
      </c>
    </row>
    <row r="2125" spans="1:6" x14ac:dyDescent="0.25">
      <c r="A2125" t="str">
        <f>"2100010366"</f>
        <v>2100010366</v>
      </c>
      <c r="B2125" t="s">
        <v>2953</v>
      </c>
      <c r="C2125" t="s">
        <v>7</v>
      </c>
      <c r="D2125" t="s">
        <v>33</v>
      </c>
      <c r="E2125" t="s">
        <v>2907</v>
      </c>
      <c r="F2125" t="s">
        <v>2954</v>
      </c>
    </row>
    <row r="2126" spans="1:6" x14ac:dyDescent="0.25">
      <c r="A2126" t="str">
        <f>"210400004996"</f>
        <v>210400004996</v>
      </c>
      <c r="B2126" t="s">
        <v>2955</v>
      </c>
      <c r="C2126" t="s">
        <v>7</v>
      </c>
      <c r="D2126" t="s">
        <v>14</v>
      </c>
      <c r="E2126" t="s">
        <v>2907</v>
      </c>
    </row>
    <row r="2127" spans="1:6" x14ac:dyDescent="0.25">
      <c r="A2127" t="str">
        <f>"210600703286"</f>
        <v>210600703286</v>
      </c>
      <c r="B2127" t="s">
        <v>2956</v>
      </c>
      <c r="C2127" t="s">
        <v>7</v>
      </c>
      <c r="D2127" t="s">
        <v>14</v>
      </c>
      <c r="E2127" t="s">
        <v>2907</v>
      </c>
    </row>
    <row r="2128" spans="1:6" x14ac:dyDescent="0.25">
      <c r="A2128" t="str">
        <f>"2112390264"</f>
        <v>2112390264</v>
      </c>
      <c r="B2128" t="s">
        <v>2957</v>
      </c>
      <c r="C2128" t="s">
        <v>7</v>
      </c>
      <c r="D2128" t="s">
        <v>14</v>
      </c>
      <c r="E2128" t="s">
        <v>2907</v>
      </c>
      <c r="F2128" t="s">
        <v>2958</v>
      </c>
    </row>
    <row r="2129" spans="1:6" x14ac:dyDescent="0.25">
      <c r="A2129" t="str">
        <f>"211300251062"</f>
        <v>211300251062</v>
      </c>
      <c r="B2129" t="s">
        <v>2959</v>
      </c>
      <c r="C2129" t="s">
        <v>7</v>
      </c>
      <c r="D2129" t="s">
        <v>14</v>
      </c>
      <c r="E2129" t="s">
        <v>2907</v>
      </c>
    </row>
    <row r="2130" spans="1:6" x14ac:dyDescent="0.25">
      <c r="A2130" t="str">
        <f>"211501440454"</f>
        <v>211501440454</v>
      </c>
      <c r="B2130" t="s">
        <v>2960</v>
      </c>
      <c r="C2130" t="s">
        <v>7</v>
      </c>
      <c r="D2130" t="s">
        <v>12</v>
      </c>
      <c r="E2130" t="s">
        <v>2907</v>
      </c>
    </row>
    <row r="2131" spans="1:6" x14ac:dyDescent="0.25">
      <c r="A2131" t="str">
        <f>"2116001504"</f>
        <v>2116001504</v>
      </c>
      <c r="B2131" t="s">
        <v>2961</v>
      </c>
      <c r="C2131" t="s">
        <v>7</v>
      </c>
      <c r="D2131" t="s">
        <v>14</v>
      </c>
      <c r="E2131" t="s">
        <v>2907</v>
      </c>
      <c r="F2131" t="s">
        <v>2962</v>
      </c>
    </row>
    <row r="2132" spans="1:6" x14ac:dyDescent="0.25">
      <c r="A2132" t="str">
        <f>"2116004833"</f>
        <v>2116004833</v>
      </c>
      <c r="B2132" t="s">
        <v>2963</v>
      </c>
      <c r="C2132" t="s">
        <v>7</v>
      </c>
      <c r="D2132" t="s">
        <v>12</v>
      </c>
      <c r="E2132" t="s">
        <v>2907</v>
      </c>
      <c r="F2132" t="s">
        <v>2964</v>
      </c>
    </row>
    <row r="2133" spans="1:6" x14ac:dyDescent="0.25">
      <c r="A2133" t="str">
        <f>"211601075325"</f>
        <v>211601075325</v>
      </c>
      <c r="B2133" t="s">
        <v>2965</v>
      </c>
      <c r="C2133" t="s">
        <v>7</v>
      </c>
      <c r="D2133" t="s">
        <v>14</v>
      </c>
      <c r="E2133" t="s">
        <v>2907</v>
      </c>
    </row>
    <row r="2134" spans="1:6" x14ac:dyDescent="0.25">
      <c r="A2134" t="str">
        <f>"2116496695"</f>
        <v>2116496695</v>
      </c>
      <c r="B2134" t="s">
        <v>2966</v>
      </c>
      <c r="C2134" t="s">
        <v>7</v>
      </c>
      <c r="D2134" t="s">
        <v>33</v>
      </c>
      <c r="E2134" t="s">
        <v>2907</v>
      </c>
      <c r="F2134" t="s">
        <v>2967</v>
      </c>
    </row>
    <row r="2135" spans="1:6" x14ac:dyDescent="0.25">
      <c r="A2135" t="str">
        <f>"211900000254"</f>
        <v>211900000254</v>
      </c>
      <c r="B2135" t="s">
        <v>2968</v>
      </c>
      <c r="C2135" t="s">
        <v>7</v>
      </c>
      <c r="D2135" t="s">
        <v>14</v>
      </c>
      <c r="E2135" t="s">
        <v>2907</v>
      </c>
    </row>
    <row r="2136" spans="1:6" x14ac:dyDescent="0.25">
      <c r="A2136" t="str">
        <f>"2119006557"</f>
        <v>2119006557</v>
      </c>
      <c r="B2136" t="s">
        <v>2969</v>
      </c>
      <c r="C2136" t="s">
        <v>7</v>
      </c>
      <c r="D2136" t="s">
        <v>14</v>
      </c>
      <c r="E2136" t="s">
        <v>2907</v>
      </c>
      <c r="F2136" t="s">
        <v>2922</v>
      </c>
    </row>
    <row r="2137" spans="1:6" x14ac:dyDescent="0.25">
      <c r="A2137" t="str">
        <f>"211902640813"</f>
        <v>211902640813</v>
      </c>
      <c r="B2137" t="s">
        <v>2970</v>
      </c>
      <c r="C2137" t="s">
        <v>7</v>
      </c>
      <c r="D2137" t="s">
        <v>14</v>
      </c>
      <c r="E2137" t="s">
        <v>2907</v>
      </c>
    </row>
    <row r="2138" spans="1:6" x14ac:dyDescent="0.25">
      <c r="A2138" t="str">
        <f>"212200103055"</f>
        <v>212200103055</v>
      </c>
      <c r="B2138" t="s">
        <v>2971</v>
      </c>
      <c r="C2138" t="s">
        <v>7</v>
      </c>
      <c r="D2138" t="s">
        <v>14</v>
      </c>
      <c r="E2138" t="s">
        <v>2907</v>
      </c>
    </row>
    <row r="2139" spans="1:6" x14ac:dyDescent="0.25">
      <c r="A2139" t="str">
        <f>"212401223426"</f>
        <v>212401223426</v>
      </c>
      <c r="B2139" t="s">
        <v>2972</v>
      </c>
      <c r="C2139" t="s">
        <v>7</v>
      </c>
      <c r="D2139" t="s">
        <v>14</v>
      </c>
      <c r="E2139" t="s">
        <v>2907</v>
      </c>
    </row>
    <row r="2140" spans="1:6" x14ac:dyDescent="0.25">
      <c r="A2140" t="str">
        <f>"212500056092"</f>
        <v>212500056092</v>
      </c>
      <c r="B2140" t="s">
        <v>2973</v>
      </c>
      <c r="C2140" t="s">
        <v>7</v>
      </c>
      <c r="D2140" t="s">
        <v>14</v>
      </c>
      <c r="E2140" t="s">
        <v>2907</v>
      </c>
    </row>
    <row r="2141" spans="1:6" x14ac:dyDescent="0.25">
      <c r="A2141" t="str">
        <f>"212700676287"</f>
        <v>212700676287</v>
      </c>
      <c r="B2141" t="s">
        <v>2974</v>
      </c>
      <c r="C2141" t="s">
        <v>7</v>
      </c>
      <c r="D2141" t="s">
        <v>12</v>
      </c>
      <c r="E2141" t="s">
        <v>2907</v>
      </c>
    </row>
    <row r="2142" spans="1:6" x14ac:dyDescent="0.25">
      <c r="A2142" t="str">
        <f>"212705138652"</f>
        <v>212705138652</v>
      </c>
      <c r="B2142" t="s">
        <v>2975</v>
      </c>
      <c r="C2142" t="s">
        <v>7</v>
      </c>
      <c r="D2142" t="s">
        <v>14</v>
      </c>
      <c r="E2142" t="s">
        <v>2907</v>
      </c>
    </row>
    <row r="2143" spans="1:6" x14ac:dyDescent="0.25">
      <c r="A2143" t="str">
        <f>"2127306441"</f>
        <v>2127306441</v>
      </c>
      <c r="B2143" t="s">
        <v>2976</v>
      </c>
      <c r="C2143" t="s">
        <v>7</v>
      </c>
      <c r="D2143" t="s">
        <v>12</v>
      </c>
      <c r="E2143" t="s">
        <v>2907</v>
      </c>
      <c r="F2143" t="s">
        <v>2977</v>
      </c>
    </row>
    <row r="2144" spans="1:6" x14ac:dyDescent="0.25">
      <c r="A2144" t="str">
        <f>"212800874797"</f>
        <v>212800874797</v>
      </c>
      <c r="B2144" t="s">
        <v>2978</v>
      </c>
      <c r="C2144" t="s">
        <v>7</v>
      </c>
      <c r="D2144" t="s">
        <v>14</v>
      </c>
      <c r="E2144" t="s">
        <v>2907</v>
      </c>
    </row>
    <row r="2145" spans="1:6" x14ac:dyDescent="0.25">
      <c r="A2145" t="str">
        <f>"2128701099"</f>
        <v>2128701099</v>
      </c>
      <c r="B2145" t="s">
        <v>2979</v>
      </c>
      <c r="C2145" t="s">
        <v>7</v>
      </c>
      <c r="D2145" t="s">
        <v>14</v>
      </c>
      <c r="E2145" t="s">
        <v>2907</v>
      </c>
      <c r="F2145" t="s">
        <v>2980</v>
      </c>
    </row>
    <row r="2146" spans="1:6" x14ac:dyDescent="0.25">
      <c r="A2146" t="str">
        <f>"212900962648"</f>
        <v>212900962648</v>
      </c>
      <c r="B2146" t="s">
        <v>2981</v>
      </c>
      <c r="C2146" t="s">
        <v>7</v>
      </c>
      <c r="D2146" t="s">
        <v>12</v>
      </c>
      <c r="E2146" t="s">
        <v>2907</v>
      </c>
    </row>
    <row r="2147" spans="1:6" x14ac:dyDescent="0.25">
      <c r="A2147" t="str">
        <f>"212902179841"</f>
        <v>212902179841</v>
      </c>
      <c r="B2147" t="s">
        <v>2982</v>
      </c>
      <c r="C2147" t="s">
        <v>7</v>
      </c>
      <c r="D2147" t="s">
        <v>463</v>
      </c>
      <c r="E2147" t="s">
        <v>2907</v>
      </c>
    </row>
    <row r="2148" spans="1:6" x14ac:dyDescent="0.25">
      <c r="A2148" t="str">
        <f>"212905510807"</f>
        <v>212905510807</v>
      </c>
      <c r="B2148" t="s">
        <v>2983</v>
      </c>
      <c r="C2148" t="s">
        <v>7</v>
      </c>
      <c r="D2148" t="s">
        <v>14</v>
      </c>
      <c r="E2148" t="s">
        <v>2907</v>
      </c>
    </row>
    <row r="2149" spans="1:6" x14ac:dyDescent="0.25">
      <c r="A2149" t="str">
        <f>"212908201275"</f>
        <v>212908201275</v>
      </c>
      <c r="B2149" t="s">
        <v>2984</v>
      </c>
      <c r="C2149" t="s">
        <v>7</v>
      </c>
      <c r="D2149" t="s">
        <v>14</v>
      </c>
      <c r="E2149" t="s">
        <v>2907</v>
      </c>
    </row>
    <row r="2150" spans="1:6" x14ac:dyDescent="0.25">
      <c r="A2150" t="str">
        <f>"212914248881"</f>
        <v>212914248881</v>
      </c>
      <c r="B2150" t="s">
        <v>2985</v>
      </c>
      <c r="C2150" t="s">
        <v>7</v>
      </c>
      <c r="D2150" t="s">
        <v>12</v>
      </c>
      <c r="E2150" t="s">
        <v>2907</v>
      </c>
    </row>
    <row r="2151" spans="1:6" x14ac:dyDescent="0.25">
      <c r="A2151" t="str">
        <f>"212920573590"</f>
        <v>212920573590</v>
      </c>
      <c r="B2151" t="s">
        <v>2986</v>
      </c>
      <c r="C2151" t="s">
        <v>7</v>
      </c>
      <c r="D2151" t="s">
        <v>14</v>
      </c>
      <c r="E2151" t="s">
        <v>2907</v>
      </c>
    </row>
    <row r="2152" spans="1:6" x14ac:dyDescent="0.25">
      <c r="A2152" t="str">
        <f>"2130048367"</f>
        <v>2130048367</v>
      </c>
      <c r="B2152" t="s">
        <v>2987</v>
      </c>
      <c r="C2152" t="s">
        <v>7</v>
      </c>
      <c r="D2152" t="s">
        <v>12</v>
      </c>
      <c r="E2152" t="s">
        <v>2907</v>
      </c>
      <c r="F2152" t="s">
        <v>2988</v>
      </c>
    </row>
    <row r="2153" spans="1:6" x14ac:dyDescent="0.25">
      <c r="A2153" t="str">
        <f>"2130053046"</f>
        <v>2130053046</v>
      </c>
      <c r="B2153" t="s">
        <v>2989</v>
      </c>
      <c r="C2153" t="s">
        <v>7</v>
      </c>
      <c r="D2153" t="s">
        <v>14</v>
      </c>
      <c r="E2153" t="s">
        <v>2907</v>
      </c>
      <c r="F2153" t="s">
        <v>2990</v>
      </c>
    </row>
    <row r="2154" spans="1:6" x14ac:dyDescent="0.25">
      <c r="A2154" t="str">
        <f>"213009396788"</f>
        <v>213009396788</v>
      </c>
      <c r="B2154" t="s">
        <v>2991</v>
      </c>
      <c r="C2154" t="s">
        <v>7</v>
      </c>
      <c r="D2154" t="s">
        <v>14</v>
      </c>
      <c r="E2154" t="s">
        <v>2907</v>
      </c>
    </row>
    <row r="2155" spans="1:6" x14ac:dyDescent="0.25">
      <c r="A2155" t="str">
        <f>"2130206630"</f>
        <v>2130206630</v>
      </c>
      <c r="B2155" t="s">
        <v>2992</v>
      </c>
      <c r="C2155" t="s">
        <v>7</v>
      </c>
      <c r="D2155" t="s">
        <v>33</v>
      </c>
      <c r="E2155" t="s">
        <v>2907</v>
      </c>
      <c r="F2155" t="s">
        <v>2993</v>
      </c>
    </row>
    <row r="2156" spans="1:6" x14ac:dyDescent="0.25">
      <c r="A2156" t="str">
        <f>"701800083078"</f>
        <v>701800083078</v>
      </c>
      <c r="B2156" t="s">
        <v>2994</v>
      </c>
      <c r="C2156" t="s">
        <v>7</v>
      </c>
      <c r="D2156" t="s">
        <v>33</v>
      </c>
      <c r="E2156" t="s">
        <v>2907</v>
      </c>
    </row>
    <row r="2157" spans="1:6" x14ac:dyDescent="0.25">
      <c r="A2157" t="str">
        <f>"2100020967"</f>
        <v>2100020967</v>
      </c>
      <c r="B2157" t="s">
        <v>2995</v>
      </c>
      <c r="C2157" t="s">
        <v>7</v>
      </c>
      <c r="D2157" t="s">
        <v>98</v>
      </c>
      <c r="E2157" t="s">
        <v>2907</v>
      </c>
      <c r="F2157" t="s">
        <v>2996</v>
      </c>
    </row>
    <row r="2158" spans="1:6" x14ac:dyDescent="0.25">
      <c r="A2158" t="str">
        <f>"210100692854"</f>
        <v>210100692854</v>
      </c>
      <c r="B2158" t="s">
        <v>2997</v>
      </c>
      <c r="C2158" t="s">
        <v>7</v>
      </c>
      <c r="D2158" t="s">
        <v>14</v>
      </c>
      <c r="E2158" t="s">
        <v>2907</v>
      </c>
    </row>
    <row r="2159" spans="1:6" x14ac:dyDescent="0.25">
      <c r="A2159" t="str">
        <f>"2116004738"</f>
        <v>2116004738</v>
      </c>
      <c r="B2159" t="s">
        <v>2998</v>
      </c>
      <c r="C2159" t="s">
        <v>7</v>
      </c>
      <c r="D2159" t="s">
        <v>12</v>
      </c>
      <c r="E2159" t="s">
        <v>2907</v>
      </c>
      <c r="F2159" t="s">
        <v>2999</v>
      </c>
    </row>
    <row r="2160" spans="1:6" x14ac:dyDescent="0.25">
      <c r="A2160" t="str">
        <f>"212411946390"</f>
        <v>212411946390</v>
      </c>
      <c r="B2160" t="s">
        <v>3000</v>
      </c>
      <c r="C2160" t="s">
        <v>7</v>
      </c>
      <c r="D2160" t="s">
        <v>14</v>
      </c>
      <c r="E2160" t="s">
        <v>2907</v>
      </c>
    </row>
    <row r="2161" spans="1:6" x14ac:dyDescent="0.25">
      <c r="A2161" t="str">
        <f>"212422473794"</f>
        <v>212422473794</v>
      </c>
      <c r="B2161" t="s">
        <v>3001</v>
      </c>
      <c r="C2161" t="s">
        <v>7</v>
      </c>
      <c r="D2161" t="s">
        <v>14</v>
      </c>
      <c r="E2161" t="s">
        <v>2907</v>
      </c>
    </row>
    <row r="2162" spans="1:6" x14ac:dyDescent="0.25">
      <c r="A2162" t="str">
        <f>"212500893809"</f>
        <v>212500893809</v>
      </c>
      <c r="B2162" t="s">
        <v>3002</v>
      </c>
      <c r="C2162" t="s">
        <v>7</v>
      </c>
      <c r="D2162" t="s">
        <v>12</v>
      </c>
      <c r="E2162" t="s">
        <v>2907</v>
      </c>
    </row>
    <row r="2163" spans="1:6" x14ac:dyDescent="0.25">
      <c r="A2163" t="str">
        <f>"2127026490"</f>
        <v>2127026490</v>
      </c>
      <c r="B2163" t="s">
        <v>3003</v>
      </c>
      <c r="C2163" t="s">
        <v>7</v>
      </c>
      <c r="D2163" t="s">
        <v>12</v>
      </c>
      <c r="E2163" t="s">
        <v>2907</v>
      </c>
      <c r="F2163" t="s">
        <v>3004</v>
      </c>
    </row>
    <row r="2164" spans="1:6" x14ac:dyDescent="0.25">
      <c r="A2164" t="str">
        <f>"212901936062"</f>
        <v>212901936062</v>
      </c>
      <c r="B2164" t="s">
        <v>3005</v>
      </c>
      <c r="C2164" t="s">
        <v>7</v>
      </c>
      <c r="D2164" t="s">
        <v>14</v>
      </c>
      <c r="E2164" t="s">
        <v>2907</v>
      </c>
    </row>
    <row r="2165" spans="1:6" x14ac:dyDescent="0.25">
      <c r="A2165" t="str">
        <f>"2130052412"</f>
        <v>2130052412</v>
      </c>
      <c r="B2165" t="s">
        <v>3006</v>
      </c>
      <c r="C2165" t="s">
        <v>7</v>
      </c>
      <c r="D2165" t="s">
        <v>14</v>
      </c>
      <c r="E2165" t="s">
        <v>2907</v>
      </c>
      <c r="F2165" t="s">
        <v>3007</v>
      </c>
    </row>
    <row r="2166" spans="1:6" x14ac:dyDescent="0.25">
      <c r="A2166" t="str">
        <f>"2130070757"</f>
        <v>2130070757</v>
      </c>
      <c r="B2166" t="s">
        <v>3008</v>
      </c>
      <c r="C2166" t="s">
        <v>7</v>
      </c>
      <c r="D2166" t="s">
        <v>14</v>
      </c>
      <c r="E2166" t="s">
        <v>2907</v>
      </c>
      <c r="F2166" t="s">
        <v>3009</v>
      </c>
    </row>
    <row r="2167" spans="1:6" x14ac:dyDescent="0.25">
      <c r="A2167" t="str">
        <f>"2130163666"</f>
        <v>2130163666</v>
      </c>
      <c r="B2167" t="s">
        <v>3010</v>
      </c>
      <c r="C2167" t="s">
        <v>7</v>
      </c>
      <c r="D2167" t="s">
        <v>33</v>
      </c>
      <c r="E2167" t="s">
        <v>2907</v>
      </c>
      <c r="F2167" t="s">
        <v>3011</v>
      </c>
    </row>
    <row r="2168" spans="1:6" x14ac:dyDescent="0.25">
      <c r="A2168" t="str">
        <f>"210600029451"</f>
        <v>210600029451</v>
      </c>
      <c r="B2168" t="s">
        <v>3012</v>
      </c>
      <c r="C2168" t="s">
        <v>7</v>
      </c>
      <c r="D2168" t="s">
        <v>14</v>
      </c>
      <c r="E2168" t="s">
        <v>2907</v>
      </c>
    </row>
    <row r="2169" spans="1:6" x14ac:dyDescent="0.25">
      <c r="A2169" t="str">
        <f>"2110000688"</f>
        <v>2110000688</v>
      </c>
      <c r="B2169" t="s">
        <v>3013</v>
      </c>
      <c r="C2169" t="s">
        <v>7</v>
      </c>
      <c r="D2169" t="s">
        <v>14</v>
      </c>
      <c r="E2169" t="s">
        <v>2907</v>
      </c>
      <c r="F2169" t="s">
        <v>3014</v>
      </c>
    </row>
    <row r="2170" spans="1:6" x14ac:dyDescent="0.25">
      <c r="A2170" t="str">
        <f>"2112004350"</f>
        <v>2112004350</v>
      </c>
      <c r="B2170" t="s">
        <v>3015</v>
      </c>
      <c r="C2170" t="s">
        <v>7</v>
      </c>
      <c r="D2170" t="s">
        <v>14</v>
      </c>
      <c r="E2170" t="s">
        <v>2907</v>
      </c>
      <c r="F2170" t="s">
        <v>3016</v>
      </c>
    </row>
    <row r="2171" spans="1:6" x14ac:dyDescent="0.25">
      <c r="A2171" t="str">
        <f>"2113004031"</f>
        <v>2113004031</v>
      </c>
      <c r="B2171" t="s">
        <v>3017</v>
      </c>
      <c r="C2171" t="s">
        <v>7</v>
      </c>
      <c r="D2171" t="s">
        <v>14</v>
      </c>
      <c r="E2171" t="s">
        <v>2907</v>
      </c>
      <c r="F2171" t="s">
        <v>3018</v>
      </c>
    </row>
    <row r="2172" spans="1:6" x14ac:dyDescent="0.25">
      <c r="A2172" t="str">
        <f>"211402105247"</f>
        <v>211402105247</v>
      </c>
      <c r="B2172" t="s">
        <v>3019</v>
      </c>
      <c r="C2172" t="s">
        <v>7</v>
      </c>
      <c r="D2172" t="s">
        <v>14</v>
      </c>
      <c r="E2172" t="s">
        <v>2907</v>
      </c>
    </row>
    <row r="2173" spans="1:6" x14ac:dyDescent="0.25">
      <c r="A2173" t="str">
        <f>"211579078039"</f>
        <v>211579078039</v>
      </c>
      <c r="B2173" t="s">
        <v>3020</v>
      </c>
      <c r="C2173" t="s">
        <v>7</v>
      </c>
      <c r="D2173" t="s">
        <v>12</v>
      </c>
      <c r="E2173" t="s">
        <v>2907</v>
      </c>
    </row>
    <row r="2174" spans="1:6" x14ac:dyDescent="0.25">
      <c r="A2174" t="str">
        <f>"2116004520"</f>
        <v>2116004520</v>
      </c>
      <c r="B2174" t="s">
        <v>3021</v>
      </c>
      <c r="C2174" t="s">
        <v>7</v>
      </c>
      <c r="D2174" t="s">
        <v>14</v>
      </c>
      <c r="E2174" t="s">
        <v>2907</v>
      </c>
      <c r="F2174" t="s">
        <v>3022</v>
      </c>
    </row>
    <row r="2175" spans="1:6" x14ac:dyDescent="0.25">
      <c r="A2175" t="str">
        <f>"211700045508"</f>
        <v>211700045508</v>
      </c>
      <c r="B2175" t="s">
        <v>3023</v>
      </c>
      <c r="C2175" t="s">
        <v>7</v>
      </c>
      <c r="D2175" t="s">
        <v>14</v>
      </c>
      <c r="E2175" t="s">
        <v>2907</v>
      </c>
    </row>
    <row r="2176" spans="1:6" x14ac:dyDescent="0.25">
      <c r="A2176" t="str">
        <f>"2119005666"</f>
        <v>2119005666</v>
      </c>
      <c r="B2176" t="s">
        <v>3024</v>
      </c>
      <c r="C2176" t="s">
        <v>7</v>
      </c>
      <c r="D2176" t="s">
        <v>14</v>
      </c>
      <c r="E2176" t="s">
        <v>2907</v>
      </c>
      <c r="F2176" t="s">
        <v>3025</v>
      </c>
    </row>
    <row r="2177" spans="1:6" x14ac:dyDescent="0.25">
      <c r="A2177" t="str">
        <f>"2119005909"</f>
        <v>2119005909</v>
      </c>
      <c r="B2177" t="s">
        <v>3026</v>
      </c>
      <c r="C2177" t="s">
        <v>7</v>
      </c>
      <c r="D2177" t="s">
        <v>14</v>
      </c>
      <c r="E2177" t="s">
        <v>2907</v>
      </c>
      <c r="F2177" t="s">
        <v>3027</v>
      </c>
    </row>
    <row r="2178" spans="1:6" x14ac:dyDescent="0.25">
      <c r="A2178" t="str">
        <f>"211901321275"</f>
        <v>211901321275</v>
      </c>
      <c r="B2178" t="s">
        <v>3028</v>
      </c>
      <c r="C2178" t="s">
        <v>7</v>
      </c>
      <c r="D2178" t="s">
        <v>14</v>
      </c>
      <c r="E2178" t="s">
        <v>2907</v>
      </c>
    </row>
    <row r="2179" spans="1:6" x14ac:dyDescent="0.25">
      <c r="A2179" t="str">
        <f>"211902320010"</f>
        <v>211902320010</v>
      </c>
      <c r="B2179" t="s">
        <v>3029</v>
      </c>
      <c r="C2179" t="s">
        <v>7</v>
      </c>
      <c r="D2179" t="s">
        <v>14</v>
      </c>
      <c r="E2179" t="s">
        <v>2907</v>
      </c>
    </row>
    <row r="2180" spans="1:6" x14ac:dyDescent="0.25">
      <c r="A2180" t="str">
        <f>"212200284796"</f>
        <v>212200284796</v>
      </c>
      <c r="B2180" t="s">
        <v>3030</v>
      </c>
      <c r="C2180" t="s">
        <v>7</v>
      </c>
      <c r="D2180" t="s">
        <v>14</v>
      </c>
      <c r="E2180" t="s">
        <v>2907</v>
      </c>
    </row>
    <row r="2181" spans="1:6" x14ac:dyDescent="0.25">
      <c r="A2181" t="str">
        <f>"212302643878"</f>
        <v>212302643878</v>
      </c>
      <c r="B2181" t="s">
        <v>3031</v>
      </c>
      <c r="C2181" t="s">
        <v>7</v>
      </c>
      <c r="D2181" t="s">
        <v>14</v>
      </c>
      <c r="E2181" t="s">
        <v>2907</v>
      </c>
    </row>
    <row r="2182" spans="1:6" x14ac:dyDescent="0.25">
      <c r="A2182" t="str">
        <f>"212304417803"</f>
        <v>212304417803</v>
      </c>
      <c r="B2182" t="s">
        <v>3032</v>
      </c>
      <c r="C2182" t="s">
        <v>7</v>
      </c>
      <c r="D2182" t="s">
        <v>14</v>
      </c>
      <c r="E2182" t="s">
        <v>2907</v>
      </c>
    </row>
    <row r="2183" spans="1:6" x14ac:dyDescent="0.25">
      <c r="A2183" t="str">
        <f>"212402434500"</f>
        <v>212402434500</v>
      </c>
      <c r="B2183" t="s">
        <v>3033</v>
      </c>
      <c r="C2183" t="s">
        <v>7</v>
      </c>
      <c r="D2183" t="s">
        <v>14</v>
      </c>
      <c r="E2183" t="s">
        <v>2907</v>
      </c>
    </row>
    <row r="2184" spans="1:6" x14ac:dyDescent="0.25">
      <c r="A2184" t="str">
        <f>"2124046146"</f>
        <v>2124046146</v>
      </c>
      <c r="B2184" t="s">
        <v>3034</v>
      </c>
      <c r="C2184" t="s">
        <v>7</v>
      </c>
      <c r="D2184" t="s">
        <v>33</v>
      </c>
      <c r="E2184" t="s">
        <v>2907</v>
      </c>
      <c r="F2184" t="s">
        <v>3035</v>
      </c>
    </row>
    <row r="2185" spans="1:6" x14ac:dyDescent="0.25">
      <c r="A2185" t="str">
        <f>"212500088577"</f>
        <v>212500088577</v>
      </c>
      <c r="B2185" t="s">
        <v>3036</v>
      </c>
      <c r="C2185" t="s">
        <v>7</v>
      </c>
      <c r="D2185" t="s">
        <v>14</v>
      </c>
      <c r="E2185" t="s">
        <v>2907</v>
      </c>
    </row>
    <row r="2186" spans="1:6" x14ac:dyDescent="0.25">
      <c r="A2186" t="str">
        <f>"212700540656"</f>
        <v>212700540656</v>
      </c>
      <c r="B2186" t="s">
        <v>3037</v>
      </c>
      <c r="C2186" t="s">
        <v>7</v>
      </c>
      <c r="D2186" t="s">
        <v>14</v>
      </c>
      <c r="E2186" t="s">
        <v>2907</v>
      </c>
    </row>
    <row r="2187" spans="1:6" x14ac:dyDescent="0.25">
      <c r="A2187" t="str">
        <f>"212700898794"</f>
        <v>212700898794</v>
      </c>
      <c r="B2187" t="s">
        <v>3038</v>
      </c>
      <c r="C2187" t="s">
        <v>7</v>
      </c>
      <c r="D2187" t="s">
        <v>14</v>
      </c>
      <c r="E2187" t="s">
        <v>2907</v>
      </c>
    </row>
    <row r="2188" spans="1:6" x14ac:dyDescent="0.25">
      <c r="A2188" t="str">
        <f>"212710929233"</f>
        <v>212710929233</v>
      </c>
      <c r="B2188" t="s">
        <v>3039</v>
      </c>
      <c r="C2188" t="s">
        <v>7</v>
      </c>
      <c r="D2188" t="s">
        <v>14</v>
      </c>
      <c r="E2188" t="s">
        <v>2907</v>
      </c>
    </row>
    <row r="2189" spans="1:6" x14ac:dyDescent="0.25">
      <c r="A2189" t="str">
        <f>"212712614983"</f>
        <v>212712614983</v>
      </c>
      <c r="B2189" t="s">
        <v>3040</v>
      </c>
      <c r="C2189" t="s">
        <v>7</v>
      </c>
      <c r="D2189" t="s">
        <v>12</v>
      </c>
      <c r="E2189" t="s">
        <v>2907</v>
      </c>
    </row>
    <row r="2190" spans="1:6" x14ac:dyDescent="0.25">
      <c r="A2190" t="str">
        <f>"2128051718"</f>
        <v>2128051718</v>
      </c>
      <c r="B2190" t="s">
        <v>3041</v>
      </c>
      <c r="C2190" t="s">
        <v>7</v>
      </c>
      <c r="D2190" t="s">
        <v>12</v>
      </c>
      <c r="E2190" t="s">
        <v>2907</v>
      </c>
      <c r="F2190" t="s">
        <v>3042</v>
      </c>
    </row>
    <row r="2191" spans="1:6" x14ac:dyDescent="0.25">
      <c r="A2191" t="str">
        <f>"212806717720"</f>
        <v>212806717720</v>
      </c>
      <c r="B2191" t="s">
        <v>3043</v>
      </c>
      <c r="C2191" t="s">
        <v>7</v>
      </c>
      <c r="D2191" t="s">
        <v>14</v>
      </c>
      <c r="E2191" t="s">
        <v>2907</v>
      </c>
    </row>
    <row r="2192" spans="1:6" x14ac:dyDescent="0.25">
      <c r="A2192" t="str">
        <f>"212901100856"</f>
        <v>212901100856</v>
      </c>
      <c r="B2192" t="s">
        <v>3044</v>
      </c>
      <c r="C2192" t="s">
        <v>7</v>
      </c>
      <c r="D2192" t="s">
        <v>14</v>
      </c>
      <c r="E2192" t="s">
        <v>2907</v>
      </c>
    </row>
    <row r="2193" spans="1:6" x14ac:dyDescent="0.25">
      <c r="A2193" t="str">
        <f>"212905428574"</f>
        <v>212905428574</v>
      </c>
      <c r="B2193" t="s">
        <v>3045</v>
      </c>
      <c r="C2193" t="s">
        <v>7</v>
      </c>
      <c r="D2193" t="s">
        <v>14</v>
      </c>
      <c r="E2193" t="s">
        <v>2907</v>
      </c>
    </row>
    <row r="2194" spans="1:6" x14ac:dyDescent="0.25">
      <c r="A2194" t="str">
        <f>"212910493233"</f>
        <v>212910493233</v>
      </c>
      <c r="B2194" t="s">
        <v>3046</v>
      </c>
      <c r="C2194" t="s">
        <v>7</v>
      </c>
      <c r="D2194" t="s">
        <v>14</v>
      </c>
      <c r="E2194" t="s">
        <v>2907</v>
      </c>
    </row>
    <row r="2195" spans="1:6" x14ac:dyDescent="0.25">
      <c r="A2195" t="str">
        <f>"213001923792"</f>
        <v>213001923792</v>
      </c>
      <c r="B2195" t="s">
        <v>3047</v>
      </c>
      <c r="C2195" t="s">
        <v>7</v>
      </c>
      <c r="D2195" t="s">
        <v>14</v>
      </c>
      <c r="E2195" t="s">
        <v>2907</v>
      </c>
    </row>
    <row r="2196" spans="1:6" x14ac:dyDescent="0.25">
      <c r="A2196" t="str">
        <f>"2130028000"</f>
        <v>2130028000</v>
      </c>
      <c r="B2196" t="s">
        <v>3048</v>
      </c>
      <c r="C2196" t="s">
        <v>7</v>
      </c>
      <c r="D2196" t="s">
        <v>14</v>
      </c>
      <c r="E2196" t="s">
        <v>2907</v>
      </c>
      <c r="F2196" t="s">
        <v>3049</v>
      </c>
    </row>
    <row r="2197" spans="1:6" x14ac:dyDescent="0.25">
      <c r="A2197" t="str">
        <f>"2130030539"</f>
        <v>2130030539</v>
      </c>
      <c r="B2197" t="s">
        <v>3050</v>
      </c>
      <c r="C2197" t="s">
        <v>7</v>
      </c>
      <c r="D2197" t="s">
        <v>12</v>
      </c>
      <c r="E2197" t="s">
        <v>2907</v>
      </c>
      <c r="F2197" t="s">
        <v>3051</v>
      </c>
    </row>
    <row r="2198" spans="1:6" x14ac:dyDescent="0.25">
      <c r="A2198" t="str">
        <f>"2130036756"</f>
        <v>2130036756</v>
      </c>
      <c r="B2198" t="s">
        <v>3052</v>
      </c>
      <c r="C2198" t="s">
        <v>7</v>
      </c>
      <c r="D2198" t="s">
        <v>14</v>
      </c>
      <c r="E2198" t="s">
        <v>2907</v>
      </c>
      <c r="F2198" t="s">
        <v>3053</v>
      </c>
    </row>
    <row r="2199" spans="1:6" x14ac:dyDescent="0.25">
      <c r="A2199" t="str">
        <f>"2130054931"</f>
        <v>2130054931</v>
      </c>
      <c r="B2199" t="s">
        <v>3054</v>
      </c>
      <c r="C2199" t="s">
        <v>7</v>
      </c>
      <c r="D2199" t="s">
        <v>14</v>
      </c>
      <c r="E2199" t="s">
        <v>2907</v>
      </c>
      <c r="F2199" t="s">
        <v>3042</v>
      </c>
    </row>
    <row r="2200" spans="1:6" x14ac:dyDescent="0.25">
      <c r="A2200" t="str">
        <f>"213006363520"</f>
        <v>213006363520</v>
      </c>
      <c r="B2200" t="s">
        <v>3055</v>
      </c>
      <c r="C2200" t="s">
        <v>7</v>
      </c>
      <c r="D2200" t="s">
        <v>14</v>
      </c>
      <c r="E2200" t="s">
        <v>2907</v>
      </c>
    </row>
    <row r="2201" spans="1:6" x14ac:dyDescent="0.25">
      <c r="A2201" t="str">
        <f>"2130076727"</f>
        <v>2130076727</v>
      </c>
      <c r="B2201" t="s">
        <v>3056</v>
      </c>
      <c r="C2201" t="s">
        <v>7</v>
      </c>
      <c r="D2201" t="s">
        <v>12</v>
      </c>
      <c r="E2201" t="s">
        <v>2907</v>
      </c>
      <c r="F2201" t="s">
        <v>3057</v>
      </c>
    </row>
    <row r="2202" spans="1:6" x14ac:dyDescent="0.25">
      <c r="A2202" t="str">
        <f>"2130092060"</f>
        <v>2130092060</v>
      </c>
      <c r="B2202" t="s">
        <v>3058</v>
      </c>
      <c r="C2202" t="s">
        <v>7</v>
      </c>
      <c r="D2202" t="s">
        <v>33</v>
      </c>
      <c r="E2202" t="s">
        <v>2907</v>
      </c>
      <c r="F2202" t="s">
        <v>3059</v>
      </c>
    </row>
    <row r="2203" spans="1:6" x14ac:dyDescent="0.25">
      <c r="A2203" t="str">
        <f>"2130126625"</f>
        <v>2130126625</v>
      </c>
      <c r="B2203" t="s">
        <v>3060</v>
      </c>
      <c r="C2203" t="s">
        <v>7</v>
      </c>
      <c r="D2203" t="s">
        <v>12</v>
      </c>
      <c r="E2203" t="s">
        <v>2907</v>
      </c>
      <c r="F2203" t="s">
        <v>3042</v>
      </c>
    </row>
    <row r="2204" spans="1:6" x14ac:dyDescent="0.25">
      <c r="A2204" t="str">
        <f>"2130140274"</f>
        <v>2130140274</v>
      </c>
      <c r="B2204" t="s">
        <v>3061</v>
      </c>
      <c r="C2204" t="s">
        <v>7</v>
      </c>
      <c r="D2204" t="s">
        <v>12</v>
      </c>
      <c r="E2204" t="s">
        <v>2907</v>
      </c>
      <c r="F2204" t="s">
        <v>3062</v>
      </c>
    </row>
    <row r="2205" spans="1:6" x14ac:dyDescent="0.25">
      <c r="A2205" t="str">
        <f>"2130220120"</f>
        <v>2130220120</v>
      </c>
      <c r="B2205" t="s">
        <v>3063</v>
      </c>
      <c r="C2205" t="s">
        <v>7</v>
      </c>
      <c r="D2205" t="s">
        <v>189</v>
      </c>
      <c r="E2205" t="s">
        <v>2907</v>
      </c>
      <c r="F2205" t="s">
        <v>3064</v>
      </c>
    </row>
    <row r="2206" spans="1:6" x14ac:dyDescent="0.25">
      <c r="A2206" t="str">
        <f>"730902312327"</f>
        <v>730902312327</v>
      </c>
      <c r="B2206" t="s">
        <v>3065</v>
      </c>
      <c r="C2206" t="s">
        <v>7</v>
      </c>
      <c r="D2206" t="s">
        <v>12</v>
      </c>
      <c r="E2206" t="s">
        <v>2907</v>
      </c>
    </row>
    <row r="2207" spans="1:6" x14ac:dyDescent="0.25">
      <c r="A2207" t="str">
        <f>"1215099400"</f>
        <v>1215099400</v>
      </c>
      <c r="B2207" t="s">
        <v>3066</v>
      </c>
      <c r="C2207" t="s">
        <v>7</v>
      </c>
      <c r="D2207" t="s">
        <v>12</v>
      </c>
      <c r="E2207" t="s">
        <v>2907</v>
      </c>
      <c r="F2207" t="s">
        <v>3067</v>
      </c>
    </row>
    <row r="2208" spans="1:6" x14ac:dyDescent="0.25">
      <c r="A2208" t="str">
        <f>"503103946536"</f>
        <v>503103946536</v>
      </c>
      <c r="B2208" t="s">
        <v>3068</v>
      </c>
      <c r="C2208" t="s">
        <v>7</v>
      </c>
      <c r="D2208" t="s">
        <v>14</v>
      </c>
      <c r="E2208" t="s">
        <v>2907</v>
      </c>
    </row>
    <row r="2209" spans="1:6" x14ac:dyDescent="0.25">
      <c r="A2209" t="str">
        <f>"760803264270"</f>
        <v>760803264270</v>
      </c>
      <c r="B2209" t="s">
        <v>3069</v>
      </c>
      <c r="C2209" t="s">
        <v>7</v>
      </c>
      <c r="D2209" t="s">
        <v>14</v>
      </c>
      <c r="E2209" t="s">
        <v>2907</v>
      </c>
    </row>
    <row r="2210" spans="1:6" x14ac:dyDescent="0.25">
      <c r="A2210" t="str">
        <f>"165501927124"</f>
        <v>165501927124</v>
      </c>
      <c r="B2210" t="s">
        <v>3070</v>
      </c>
      <c r="C2210" t="s">
        <v>7</v>
      </c>
      <c r="D2210" t="s">
        <v>14</v>
      </c>
      <c r="E2210" t="s">
        <v>2907</v>
      </c>
    </row>
    <row r="2211" spans="1:6" x14ac:dyDescent="0.25">
      <c r="A2211" t="str">
        <f>"421811842821"</f>
        <v>421811842821</v>
      </c>
      <c r="B2211" t="s">
        <v>3071</v>
      </c>
      <c r="C2211" t="s">
        <v>7</v>
      </c>
      <c r="D2211" t="s">
        <v>14</v>
      </c>
      <c r="E2211" t="s">
        <v>3072</v>
      </c>
    </row>
    <row r="2212" spans="1:6" x14ac:dyDescent="0.25">
      <c r="A2212" t="str">
        <f>"4238021357"</f>
        <v>4238021357</v>
      </c>
      <c r="B2212" t="s">
        <v>3073</v>
      </c>
      <c r="C2212" t="s">
        <v>7</v>
      </c>
      <c r="D2212" t="s">
        <v>14</v>
      </c>
      <c r="E2212" t="s">
        <v>3072</v>
      </c>
      <c r="F2212" t="s">
        <v>3074</v>
      </c>
    </row>
    <row r="2213" spans="1:6" x14ac:dyDescent="0.25">
      <c r="A2213" t="str">
        <f>"4217153761"</f>
        <v>4217153761</v>
      </c>
      <c r="B2213" t="s">
        <v>3075</v>
      </c>
      <c r="C2213" t="s">
        <v>7</v>
      </c>
      <c r="D2213" t="s">
        <v>12</v>
      </c>
      <c r="E2213" t="s">
        <v>3072</v>
      </c>
      <c r="F2213" t="s">
        <v>3076</v>
      </c>
    </row>
    <row r="2214" spans="1:6" x14ac:dyDescent="0.25">
      <c r="A2214" t="str">
        <f>"421813830620"</f>
        <v>421813830620</v>
      </c>
      <c r="B2214" t="s">
        <v>3077</v>
      </c>
      <c r="C2214" t="s">
        <v>7</v>
      </c>
      <c r="D2214" t="s">
        <v>674</v>
      </c>
      <c r="E2214" t="s">
        <v>3072</v>
      </c>
    </row>
    <row r="2215" spans="1:6" x14ac:dyDescent="0.25">
      <c r="A2215" t="str">
        <f>"5042127008"</f>
        <v>5042127008</v>
      </c>
      <c r="B2215" t="s">
        <v>3078</v>
      </c>
      <c r="C2215" t="s">
        <v>7</v>
      </c>
      <c r="D2215" t="s">
        <v>14</v>
      </c>
      <c r="E2215" t="s">
        <v>3072</v>
      </c>
      <c r="F2215" t="s">
        <v>3079</v>
      </c>
    </row>
    <row r="2216" spans="1:6" x14ac:dyDescent="0.25">
      <c r="A2216" t="str">
        <f>"2203010657"</f>
        <v>2203010657</v>
      </c>
      <c r="B2216" t="s">
        <v>3080</v>
      </c>
      <c r="C2216" t="s">
        <v>7</v>
      </c>
      <c r="D2216" t="s">
        <v>14</v>
      </c>
      <c r="E2216" t="s">
        <v>3072</v>
      </c>
      <c r="F2216" t="s">
        <v>3081</v>
      </c>
    </row>
    <row r="2217" spans="1:6" x14ac:dyDescent="0.25">
      <c r="A2217" t="str">
        <f>"220100919340"</f>
        <v>220100919340</v>
      </c>
      <c r="B2217" t="s">
        <v>3082</v>
      </c>
      <c r="C2217" t="s">
        <v>7</v>
      </c>
      <c r="D2217" t="s">
        <v>14</v>
      </c>
      <c r="E2217" t="s">
        <v>3072</v>
      </c>
    </row>
    <row r="2218" spans="1:6" x14ac:dyDescent="0.25">
      <c r="A2218" t="str">
        <f>"220400534855"</f>
        <v>220400534855</v>
      </c>
      <c r="B2218" t="s">
        <v>3083</v>
      </c>
      <c r="C2218" t="s">
        <v>7</v>
      </c>
      <c r="D2218" t="s">
        <v>12</v>
      </c>
      <c r="E2218" t="s">
        <v>3072</v>
      </c>
    </row>
    <row r="2219" spans="1:6" x14ac:dyDescent="0.25">
      <c r="A2219" t="str">
        <f>"220401065927"</f>
        <v>220401065927</v>
      </c>
      <c r="B2219" t="s">
        <v>3084</v>
      </c>
      <c r="C2219" t="s">
        <v>7</v>
      </c>
      <c r="D2219" t="s">
        <v>14</v>
      </c>
      <c r="E2219" t="s">
        <v>3072</v>
      </c>
    </row>
    <row r="2220" spans="1:6" x14ac:dyDescent="0.25">
      <c r="A2220" t="str">
        <f>"2204046889"</f>
        <v>2204046889</v>
      </c>
      <c r="B2220" t="s">
        <v>2567</v>
      </c>
      <c r="C2220" t="s">
        <v>7</v>
      </c>
      <c r="D2220" t="s">
        <v>14</v>
      </c>
      <c r="E2220" t="s">
        <v>3072</v>
      </c>
      <c r="F2220" t="s">
        <v>3085</v>
      </c>
    </row>
    <row r="2221" spans="1:6" x14ac:dyDescent="0.25">
      <c r="A2221" t="str">
        <f>"2204064983"</f>
        <v>2204064983</v>
      </c>
      <c r="B2221" t="s">
        <v>1281</v>
      </c>
      <c r="C2221" t="s">
        <v>7</v>
      </c>
      <c r="D2221" t="s">
        <v>33</v>
      </c>
      <c r="E2221" t="s">
        <v>3072</v>
      </c>
      <c r="F2221" t="s">
        <v>3086</v>
      </c>
    </row>
    <row r="2222" spans="1:6" x14ac:dyDescent="0.25">
      <c r="A2222" t="str">
        <f>"2204084041"</f>
        <v>2204084041</v>
      </c>
      <c r="B2222" t="s">
        <v>3087</v>
      </c>
      <c r="C2222" t="s">
        <v>7</v>
      </c>
      <c r="D2222" t="s">
        <v>33</v>
      </c>
      <c r="E2222" t="s">
        <v>3072</v>
      </c>
      <c r="F2222" t="s">
        <v>3088</v>
      </c>
    </row>
    <row r="2223" spans="1:6" x14ac:dyDescent="0.25">
      <c r="A2223" t="str">
        <f>"220411290495"</f>
        <v>220411290495</v>
      </c>
      <c r="B2223" t="s">
        <v>3089</v>
      </c>
      <c r="C2223" t="s">
        <v>7</v>
      </c>
      <c r="D2223" t="s">
        <v>8</v>
      </c>
      <c r="E2223" t="s">
        <v>3072</v>
      </c>
    </row>
    <row r="2224" spans="1:6" x14ac:dyDescent="0.25">
      <c r="A2224" t="str">
        <f>"220416094864"</f>
        <v>220416094864</v>
      </c>
      <c r="B2224" t="s">
        <v>3090</v>
      </c>
      <c r="C2224" t="s">
        <v>7</v>
      </c>
      <c r="D2224" t="s">
        <v>14</v>
      </c>
      <c r="E2224" t="s">
        <v>3072</v>
      </c>
    </row>
    <row r="2225" spans="1:6" x14ac:dyDescent="0.25">
      <c r="A2225" t="str">
        <f>"220417279160"</f>
        <v>220417279160</v>
      </c>
      <c r="B2225" t="s">
        <v>3091</v>
      </c>
      <c r="C2225" t="s">
        <v>7</v>
      </c>
      <c r="D2225" t="s">
        <v>14</v>
      </c>
      <c r="E2225" t="s">
        <v>3072</v>
      </c>
    </row>
    <row r="2226" spans="1:6" x14ac:dyDescent="0.25">
      <c r="A2226" t="str">
        <f>"220417366461"</f>
        <v>220417366461</v>
      </c>
      <c r="B2226" t="s">
        <v>3092</v>
      </c>
      <c r="C2226" t="s">
        <v>7</v>
      </c>
      <c r="D2226" t="s">
        <v>14</v>
      </c>
      <c r="E2226" t="s">
        <v>3072</v>
      </c>
    </row>
    <row r="2227" spans="1:6" x14ac:dyDescent="0.25">
      <c r="A2227" t="str">
        <f>"220418472800"</f>
        <v>220418472800</v>
      </c>
      <c r="B2227" t="s">
        <v>3093</v>
      </c>
      <c r="C2227" t="s">
        <v>7</v>
      </c>
      <c r="D2227" t="s">
        <v>8</v>
      </c>
      <c r="E2227" t="s">
        <v>3072</v>
      </c>
    </row>
    <row r="2228" spans="1:6" x14ac:dyDescent="0.25">
      <c r="A2228" t="str">
        <f>"220500143012"</f>
        <v>220500143012</v>
      </c>
      <c r="B2228" t="s">
        <v>3094</v>
      </c>
      <c r="C2228" t="s">
        <v>7</v>
      </c>
      <c r="D2228" t="s">
        <v>14</v>
      </c>
      <c r="E2228" t="s">
        <v>3072</v>
      </c>
    </row>
    <row r="2229" spans="1:6" x14ac:dyDescent="0.25">
      <c r="A2229" t="str">
        <f>"220500204642"</f>
        <v>220500204642</v>
      </c>
      <c r="B2229" t="s">
        <v>3095</v>
      </c>
      <c r="C2229" t="s">
        <v>7</v>
      </c>
      <c r="D2229" t="s">
        <v>14</v>
      </c>
      <c r="E2229" t="s">
        <v>3072</v>
      </c>
    </row>
    <row r="2230" spans="1:6" x14ac:dyDescent="0.25">
      <c r="A2230" t="str">
        <f>"220611670423"</f>
        <v>220611670423</v>
      </c>
      <c r="B2230" t="s">
        <v>1053</v>
      </c>
      <c r="C2230" t="s">
        <v>7</v>
      </c>
      <c r="D2230" t="s">
        <v>14</v>
      </c>
      <c r="E2230" t="s">
        <v>3072</v>
      </c>
    </row>
    <row r="2231" spans="1:6" x14ac:dyDescent="0.25">
      <c r="A2231" t="str">
        <f>"220700009247"</f>
        <v>220700009247</v>
      </c>
      <c r="B2231" t="s">
        <v>3096</v>
      </c>
      <c r="C2231" t="s">
        <v>7</v>
      </c>
      <c r="D2231" t="s">
        <v>14</v>
      </c>
      <c r="E2231" t="s">
        <v>3072</v>
      </c>
    </row>
    <row r="2232" spans="1:6" x14ac:dyDescent="0.25">
      <c r="A2232" t="str">
        <f>"220702367431"</f>
        <v>220702367431</v>
      </c>
      <c r="B2232" t="s">
        <v>3097</v>
      </c>
      <c r="C2232" t="s">
        <v>7</v>
      </c>
      <c r="D2232" t="s">
        <v>14</v>
      </c>
      <c r="E2232" t="s">
        <v>3072</v>
      </c>
    </row>
    <row r="2233" spans="1:6" x14ac:dyDescent="0.25">
      <c r="A2233" t="str">
        <f>"220801852485"</f>
        <v>220801852485</v>
      </c>
      <c r="B2233" t="s">
        <v>3098</v>
      </c>
      <c r="C2233" t="s">
        <v>7</v>
      </c>
      <c r="D2233" t="s">
        <v>14</v>
      </c>
      <c r="E2233" t="s">
        <v>3072</v>
      </c>
    </row>
    <row r="2234" spans="1:6" x14ac:dyDescent="0.25">
      <c r="A2234" t="str">
        <f>"220803596565"</f>
        <v>220803596565</v>
      </c>
      <c r="B2234" t="s">
        <v>3099</v>
      </c>
      <c r="C2234" t="s">
        <v>7</v>
      </c>
      <c r="D2234" t="s">
        <v>14</v>
      </c>
      <c r="E2234" t="s">
        <v>3072</v>
      </c>
    </row>
    <row r="2235" spans="1:6" x14ac:dyDescent="0.25">
      <c r="A2235" t="str">
        <f>"2208064906"</f>
        <v>2208064906</v>
      </c>
      <c r="B2235" t="s">
        <v>3100</v>
      </c>
      <c r="C2235" t="s">
        <v>7</v>
      </c>
      <c r="D2235" t="s">
        <v>12</v>
      </c>
      <c r="E2235" t="s">
        <v>3072</v>
      </c>
      <c r="F2235" t="s">
        <v>3101</v>
      </c>
    </row>
    <row r="2236" spans="1:6" x14ac:dyDescent="0.25">
      <c r="A2236" t="str">
        <f>"220808279070"</f>
        <v>220808279070</v>
      </c>
      <c r="B2236" t="s">
        <v>3102</v>
      </c>
      <c r="C2236" t="s">
        <v>7</v>
      </c>
      <c r="D2236" t="s">
        <v>14</v>
      </c>
      <c r="E2236" t="s">
        <v>3072</v>
      </c>
    </row>
    <row r="2237" spans="1:6" x14ac:dyDescent="0.25">
      <c r="A2237" t="str">
        <f>"220900760228"</f>
        <v>220900760228</v>
      </c>
      <c r="B2237" t="s">
        <v>3103</v>
      </c>
      <c r="C2237" t="s">
        <v>7</v>
      </c>
      <c r="D2237" t="s">
        <v>12</v>
      </c>
      <c r="E2237" t="s">
        <v>3072</v>
      </c>
    </row>
    <row r="2238" spans="1:6" x14ac:dyDescent="0.25">
      <c r="A2238" t="str">
        <f>"2209022120"</f>
        <v>2209022120</v>
      </c>
      <c r="B2238" t="s">
        <v>3104</v>
      </c>
      <c r="C2238" t="s">
        <v>7</v>
      </c>
      <c r="D2238" t="s">
        <v>12</v>
      </c>
      <c r="E2238" t="s">
        <v>3072</v>
      </c>
      <c r="F2238" t="s">
        <v>3105</v>
      </c>
    </row>
    <row r="2239" spans="1:6" x14ac:dyDescent="0.25">
      <c r="A2239" t="str">
        <f>"220904410993"</f>
        <v>220904410993</v>
      </c>
      <c r="B2239" t="s">
        <v>3106</v>
      </c>
      <c r="C2239" t="s">
        <v>7</v>
      </c>
      <c r="D2239" t="s">
        <v>14</v>
      </c>
      <c r="E2239" t="s">
        <v>3072</v>
      </c>
    </row>
    <row r="2240" spans="1:6" x14ac:dyDescent="0.25">
      <c r="A2240" t="str">
        <f>"2209050007"</f>
        <v>2209050007</v>
      </c>
      <c r="B2240" t="s">
        <v>3107</v>
      </c>
      <c r="C2240" t="s">
        <v>7</v>
      </c>
      <c r="D2240" t="s">
        <v>12</v>
      </c>
      <c r="E2240" t="s">
        <v>3072</v>
      </c>
      <c r="F2240" t="s">
        <v>3108</v>
      </c>
    </row>
    <row r="2241" spans="1:6" x14ac:dyDescent="0.25">
      <c r="A2241" t="str">
        <f>"220911716171"</f>
        <v>220911716171</v>
      </c>
      <c r="B2241" t="s">
        <v>3109</v>
      </c>
      <c r="C2241" t="s">
        <v>7</v>
      </c>
      <c r="D2241" t="s">
        <v>14</v>
      </c>
      <c r="E2241" t="s">
        <v>3072</v>
      </c>
    </row>
    <row r="2242" spans="1:6" x14ac:dyDescent="0.25">
      <c r="A2242" t="str">
        <f>"220914155358"</f>
        <v>220914155358</v>
      </c>
      <c r="B2242" t="s">
        <v>3110</v>
      </c>
      <c r="C2242" t="s">
        <v>7</v>
      </c>
      <c r="D2242" t="s">
        <v>28</v>
      </c>
      <c r="E2242" t="s">
        <v>3072</v>
      </c>
    </row>
    <row r="2243" spans="1:6" x14ac:dyDescent="0.25">
      <c r="A2243" t="str">
        <f>"2210009853"</f>
        <v>2210009853</v>
      </c>
      <c r="B2243" t="s">
        <v>3111</v>
      </c>
      <c r="C2243" t="s">
        <v>7</v>
      </c>
      <c r="D2243" t="s">
        <v>14</v>
      </c>
      <c r="E2243" t="s">
        <v>3072</v>
      </c>
      <c r="F2243" t="s">
        <v>3112</v>
      </c>
    </row>
    <row r="2244" spans="1:6" x14ac:dyDescent="0.25">
      <c r="A2244" t="str">
        <f>"221004559537"</f>
        <v>221004559537</v>
      </c>
      <c r="B2244" t="s">
        <v>3113</v>
      </c>
      <c r="C2244" t="s">
        <v>7</v>
      </c>
      <c r="D2244" t="s">
        <v>14</v>
      </c>
      <c r="E2244" t="s">
        <v>3072</v>
      </c>
    </row>
    <row r="2245" spans="1:6" x14ac:dyDescent="0.25">
      <c r="A2245" t="str">
        <f>"221101270525"</f>
        <v>221101270525</v>
      </c>
      <c r="B2245" t="s">
        <v>3114</v>
      </c>
      <c r="C2245" t="s">
        <v>7</v>
      </c>
      <c r="D2245" t="s">
        <v>12</v>
      </c>
      <c r="E2245" t="s">
        <v>3072</v>
      </c>
    </row>
    <row r="2246" spans="1:6" x14ac:dyDescent="0.25">
      <c r="A2246" t="str">
        <f>"222105789401"</f>
        <v>222105789401</v>
      </c>
      <c r="B2246" t="s">
        <v>3115</v>
      </c>
      <c r="C2246" t="s">
        <v>7</v>
      </c>
      <c r="D2246" t="s">
        <v>14</v>
      </c>
      <c r="E2246" t="s">
        <v>3072</v>
      </c>
    </row>
    <row r="2247" spans="1:6" x14ac:dyDescent="0.25">
      <c r="A2247" t="str">
        <f>"222106306544"</f>
        <v>222106306544</v>
      </c>
      <c r="B2247" t="s">
        <v>3116</v>
      </c>
      <c r="C2247" t="s">
        <v>7</v>
      </c>
      <c r="D2247" t="s">
        <v>12</v>
      </c>
      <c r="E2247" t="s">
        <v>3072</v>
      </c>
    </row>
    <row r="2248" spans="1:6" x14ac:dyDescent="0.25">
      <c r="A2248" t="str">
        <f>"222110587048"</f>
        <v>222110587048</v>
      </c>
      <c r="B2248" t="s">
        <v>3117</v>
      </c>
      <c r="C2248" t="s">
        <v>7</v>
      </c>
      <c r="D2248" t="s">
        <v>14</v>
      </c>
      <c r="E2248" t="s">
        <v>3072</v>
      </c>
    </row>
    <row r="2249" spans="1:6" x14ac:dyDescent="0.25">
      <c r="A2249" t="str">
        <f>"2221172795"</f>
        <v>2221172795</v>
      </c>
      <c r="B2249" t="s">
        <v>3118</v>
      </c>
      <c r="C2249" t="s">
        <v>7</v>
      </c>
      <c r="D2249" t="s">
        <v>14</v>
      </c>
      <c r="E2249" t="s">
        <v>3072</v>
      </c>
      <c r="F2249" t="s">
        <v>3119</v>
      </c>
    </row>
    <row r="2250" spans="1:6" x14ac:dyDescent="0.25">
      <c r="A2250" t="str">
        <f>"2221247458"</f>
        <v>2221247458</v>
      </c>
      <c r="B2250" t="s">
        <v>3120</v>
      </c>
      <c r="C2250" t="s">
        <v>7</v>
      </c>
      <c r="D2250" t="s">
        <v>14</v>
      </c>
      <c r="E2250" t="s">
        <v>3072</v>
      </c>
      <c r="F2250" t="s">
        <v>3121</v>
      </c>
    </row>
    <row r="2251" spans="1:6" x14ac:dyDescent="0.25">
      <c r="A2251" t="str">
        <f>"2221260071"</f>
        <v>2221260071</v>
      </c>
      <c r="B2251" t="s">
        <v>3122</v>
      </c>
      <c r="C2251" t="s">
        <v>7</v>
      </c>
      <c r="D2251" t="s">
        <v>14</v>
      </c>
      <c r="E2251" t="s">
        <v>3072</v>
      </c>
      <c r="F2251" t="s">
        <v>3123</v>
      </c>
    </row>
    <row r="2252" spans="1:6" x14ac:dyDescent="0.25">
      <c r="A2252" t="str">
        <f>"222200672932"</f>
        <v>222200672932</v>
      </c>
      <c r="B2252" t="s">
        <v>3124</v>
      </c>
      <c r="C2252" t="s">
        <v>7</v>
      </c>
      <c r="D2252" t="s">
        <v>12</v>
      </c>
      <c r="E2252" t="s">
        <v>3072</v>
      </c>
    </row>
    <row r="2253" spans="1:6" x14ac:dyDescent="0.25">
      <c r="A2253" t="str">
        <f>"222200678003"</f>
        <v>222200678003</v>
      </c>
      <c r="B2253" t="s">
        <v>3125</v>
      </c>
      <c r="C2253" t="s">
        <v>7</v>
      </c>
      <c r="D2253" t="s">
        <v>12</v>
      </c>
      <c r="E2253" t="s">
        <v>3072</v>
      </c>
    </row>
    <row r="2254" spans="1:6" x14ac:dyDescent="0.25">
      <c r="A2254" t="str">
        <f>"222202225665"</f>
        <v>222202225665</v>
      </c>
      <c r="B2254" t="s">
        <v>3126</v>
      </c>
      <c r="C2254" t="s">
        <v>7</v>
      </c>
      <c r="D2254" t="s">
        <v>12</v>
      </c>
      <c r="E2254" t="s">
        <v>3072</v>
      </c>
    </row>
    <row r="2255" spans="1:6" x14ac:dyDescent="0.25">
      <c r="A2255" t="str">
        <f>"2222049434"</f>
        <v>2222049434</v>
      </c>
      <c r="B2255" t="s">
        <v>3127</v>
      </c>
      <c r="C2255" t="s">
        <v>7</v>
      </c>
      <c r="D2255" t="s">
        <v>12</v>
      </c>
      <c r="E2255" t="s">
        <v>3072</v>
      </c>
      <c r="F2255" t="s">
        <v>3128</v>
      </c>
    </row>
    <row r="2256" spans="1:6" x14ac:dyDescent="0.25">
      <c r="A2256" t="str">
        <f>"2222058686"</f>
        <v>2222058686</v>
      </c>
      <c r="B2256" t="s">
        <v>3129</v>
      </c>
      <c r="C2256" t="s">
        <v>7</v>
      </c>
      <c r="D2256" t="s">
        <v>12</v>
      </c>
      <c r="E2256" t="s">
        <v>3072</v>
      </c>
      <c r="F2256" t="s">
        <v>3130</v>
      </c>
    </row>
    <row r="2257" spans="1:6" x14ac:dyDescent="0.25">
      <c r="A2257" t="str">
        <f>"222206823708"</f>
        <v>222206823708</v>
      </c>
      <c r="B2257" t="s">
        <v>3131</v>
      </c>
      <c r="C2257" t="s">
        <v>7</v>
      </c>
      <c r="D2257" t="s">
        <v>14</v>
      </c>
      <c r="E2257" t="s">
        <v>3072</v>
      </c>
    </row>
    <row r="2258" spans="1:6" x14ac:dyDescent="0.25">
      <c r="A2258" t="str">
        <f>"222209699689"</f>
        <v>222209699689</v>
      </c>
      <c r="B2258" t="s">
        <v>3132</v>
      </c>
      <c r="C2258" t="s">
        <v>7</v>
      </c>
      <c r="D2258" t="s">
        <v>14</v>
      </c>
      <c r="E2258" t="s">
        <v>3072</v>
      </c>
    </row>
    <row r="2259" spans="1:6" x14ac:dyDescent="0.25">
      <c r="A2259" t="str">
        <f>"222266819047"</f>
        <v>222266819047</v>
      </c>
      <c r="B2259" t="s">
        <v>3133</v>
      </c>
      <c r="C2259" t="s">
        <v>7</v>
      </c>
      <c r="D2259" t="s">
        <v>8</v>
      </c>
      <c r="E2259" t="s">
        <v>3072</v>
      </c>
    </row>
    <row r="2260" spans="1:6" x14ac:dyDescent="0.25">
      <c r="A2260" t="str">
        <f>"2222826867"</f>
        <v>2222826867</v>
      </c>
      <c r="B2260" t="s">
        <v>3134</v>
      </c>
      <c r="C2260" t="s">
        <v>7</v>
      </c>
      <c r="D2260" t="s">
        <v>8</v>
      </c>
      <c r="E2260" t="s">
        <v>3072</v>
      </c>
      <c r="F2260" t="s">
        <v>3135</v>
      </c>
    </row>
    <row r="2261" spans="1:6" x14ac:dyDescent="0.25">
      <c r="A2261" t="str">
        <f>"2222855829"</f>
        <v>2222855829</v>
      </c>
      <c r="B2261" t="s">
        <v>3136</v>
      </c>
      <c r="C2261" t="s">
        <v>7</v>
      </c>
      <c r="D2261" t="s">
        <v>33</v>
      </c>
      <c r="E2261" t="s">
        <v>3072</v>
      </c>
      <c r="F2261" t="s">
        <v>3137</v>
      </c>
    </row>
    <row r="2262" spans="1:6" x14ac:dyDescent="0.25">
      <c r="A2262" t="str">
        <f>"2222862784"</f>
        <v>2222862784</v>
      </c>
      <c r="B2262" t="s">
        <v>3138</v>
      </c>
      <c r="C2262" t="s">
        <v>7</v>
      </c>
      <c r="D2262" t="s">
        <v>12</v>
      </c>
      <c r="E2262" t="s">
        <v>3072</v>
      </c>
      <c r="F2262" t="s">
        <v>3139</v>
      </c>
    </row>
    <row r="2263" spans="1:6" x14ac:dyDescent="0.25">
      <c r="A2263" t="str">
        <f>"222300352510"</f>
        <v>222300352510</v>
      </c>
      <c r="B2263" t="s">
        <v>3140</v>
      </c>
      <c r="C2263" t="s">
        <v>7</v>
      </c>
      <c r="D2263" t="s">
        <v>14</v>
      </c>
      <c r="E2263" t="s">
        <v>3072</v>
      </c>
    </row>
    <row r="2264" spans="1:6" x14ac:dyDescent="0.25">
      <c r="A2264" t="str">
        <f>"222301066712"</f>
        <v>222301066712</v>
      </c>
      <c r="B2264" t="s">
        <v>3141</v>
      </c>
      <c r="C2264" t="s">
        <v>7</v>
      </c>
      <c r="D2264" t="s">
        <v>12</v>
      </c>
      <c r="E2264" t="s">
        <v>3072</v>
      </c>
    </row>
    <row r="2265" spans="1:6" x14ac:dyDescent="0.25">
      <c r="A2265" t="str">
        <f>"222301349750"</f>
        <v>222301349750</v>
      </c>
      <c r="B2265" t="s">
        <v>3142</v>
      </c>
      <c r="C2265" t="s">
        <v>7</v>
      </c>
      <c r="D2265" t="s">
        <v>14</v>
      </c>
      <c r="E2265" t="s">
        <v>3072</v>
      </c>
    </row>
    <row r="2266" spans="1:6" x14ac:dyDescent="0.25">
      <c r="A2266" t="str">
        <f>"222302642510"</f>
        <v>222302642510</v>
      </c>
      <c r="B2266" t="s">
        <v>3143</v>
      </c>
      <c r="C2266" t="s">
        <v>7</v>
      </c>
      <c r="D2266" t="s">
        <v>12</v>
      </c>
      <c r="E2266" t="s">
        <v>3072</v>
      </c>
    </row>
    <row r="2267" spans="1:6" x14ac:dyDescent="0.25">
      <c r="A2267" t="str">
        <f>"2223034286"</f>
        <v>2223034286</v>
      </c>
      <c r="B2267" t="s">
        <v>3144</v>
      </c>
      <c r="C2267" t="s">
        <v>7</v>
      </c>
      <c r="D2267" t="s">
        <v>33</v>
      </c>
      <c r="E2267" t="s">
        <v>3072</v>
      </c>
      <c r="F2267" t="s">
        <v>3145</v>
      </c>
    </row>
    <row r="2268" spans="1:6" x14ac:dyDescent="0.25">
      <c r="A2268" t="str">
        <f>"2223036332"</f>
        <v>2223036332</v>
      </c>
      <c r="B2268" t="s">
        <v>3146</v>
      </c>
      <c r="C2268" t="s">
        <v>7</v>
      </c>
      <c r="D2268" t="s">
        <v>12</v>
      </c>
      <c r="E2268" t="s">
        <v>3072</v>
      </c>
      <c r="F2268" t="s">
        <v>3147</v>
      </c>
    </row>
    <row r="2269" spans="1:6" x14ac:dyDescent="0.25">
      <c r="A2269" t="str">
        <f>"222306873526"</f>
        <v>222306873526</v>
      </c>
      <c r="B2269" t="s">
        <v>3148</v>
      </c>
      <c r="C2269" t="s">
        <v>7</v>
      </c>
      <c r="D2269" t="s">
        <v>14</v>
      </c>
      <c r="E2269" t="s">
        <v>3072</v>
      </c>
    </row>
    <row r="2270" spans="1:6" x14ac:dyDescent="0.25">
      <c r="A2270" t="str">
        <f>"222311589302"</f>
        <v>222311589302</v>
      </c>
      <c r="B2270" t="s">
        <v>3149</v>
      </c>
      <c r="C2270" t="s">
        <v>7</v>
      </c>
      <c r="D2270" t="s">
        <v>14</v>
      </c>
      <c r="E2270" t="s">
        <v>3072</v>
      </c>
    </row>
    <row r="2271" spans="1:6" x14ac:dyDescent="0.25">
      <c r="A2271" t="str">
        <f>"222332511480"</f>
        <v>222332511480</v>
      </c>
      <c r="B2271" t="s">
        <v>3150</v>
      </c>
      <c r="C2271" t="s">
        <v>7</v>
      </c>
      <c r="D2271" t="s">
        <v>12</v>
      </c>
      <c r="E2271" t="s">
        <v>3072</v>
      </c>
    </row>
    <row r="2272" spans="1:6" x14ac:dyDescent="0.25">
      <c r="A2272" t="str">
        <f>"222400475459"</f>
        <v>222400475459</v>
      </c>
      <c r="B2272" t="s">
        <v>3151</v>
      </c>
      <c r="C2272" t="s">
        <v>7</v>
      </c>
      <c r="D2272" t="s">
        <v>12</v>
      </c>
      <c r="E2272" t="s">
        <v>3072</v>
      </c>
    </row>
    <row r="2273" spans="1:6" x14ac:dyDescent="0.25">
      <c r="A2273" t="str">
        <f>"222403155224"</f>
        <v>222403155224</v>
      </c>
      <c r="B2273" t="s">
        <v>3152</v>
      </c>
      <c r="C2273" t="s">
        <v>7</v>
      </c>
      <c r="D2273" t="s">
        <v>12</v>
      </c>
      <c r="E2273" t="s">
        <v>3072</v>
      </c>
    </row>
    <row r="2274" spans="1:6" x14ac:dyDescent="0.25">
      <c r="A2274" t="str">
        <f>"2224037096"</f>
        <v>2224037096</v>
      </c>
      <c r="B2274" t="s">
        <v>3153</v>
      </c>
      <c r="C2274" t="s">
        <v>7</v>
      </c>
      <c r="D2274" t="s">
        <v>14</v>
      </c>
      <c r="E2274" t="s">
        <v>3072</v>
      </c>
      <c r="F2274" t="s">
        <v>3154</v>
      </c>
    </row>
    <row r="2275" spans="1:6" x14ac:dyDescent="0.25">
      <c r="A2275" t="str">
        <f>"222405182199"</f>
        <v>222405182199</v>
      </c>
      <c r="B2275" t="s">
        <v>3155</v>
      </c>
      <c r="C2275" t="s">
        <v>7</v>
      </c>
      <c r="D2275" t="s">
        <v>14</v>
      </c>
      <c r="E2275" t="s">
        <v>3072</v>
      </c>
    </row>
    <row r="2276" spans="1:6" x14ac:dyDescent="0.25">
      <c r="A2276" t="str">
        <f>"222409225277"</f>
        <v>222409225277</v>
      </c>
      <c r="B2276" t="s">
        <v>3156</v>
      </c>
      <c r="C2276" t="s">
        <v>7</v>
      </c>
      <c r="D2276" t="s">
        <v>14</v>
      </c>
      <c r="E2276" t="s">
        <v>3072</v>
      </c>
    </row>
    <row r="2277" spans="1:6" x14ac:dyDescent="0.25">
      <c r="A2277" t="str">
        <f>"2224216440"</f>
        <v>2224216440</v>
      </c>
      <c r="B2277" t="s">
        <v>3157</v>
      </c>
      <c r="C2277" t="s">
        <v>7</v>
      </c>
      <c r="D2277" t="s">
        <v>33</v>
      </c>
      <c r="E2277" t="s">
        <v>3072</v>
      </c>
      <c r="F2277" t="s">
        <v>3158</v>
      </c>
    </row>
    <row r="2278" spans="1:6" x14ac:dyDescent="0.25">
      <c r="A2278" t="str">
        <f>"222500217155"</f>
        <v>222500217155</v>
      </c>
      <c r="B2278" t="s">
        <v>3159</v>
      </c>
      <c r="C2278" t="s">
        <v>7</v>
      </c>
      <c r="D2278" t="s">
        <v>12</v>
      </c>
      <c r="E2278" t="s">
        <v>3072</v>
      </c>
    </row>
    <row r="2279" spans="1:6" x14ac:dyDescent="0.25">
      <c r="A2279" t="str">
        <f>"2225007351"</f>
        <v>2225007351</v>
      </c>
      <c r="B2279" t="s">
        <v>3160</v>
      </c>
      <c r="C2279" t="s">
        <v>7</v>
      </c>
      <c r="D2279" t="s">
        <v>14</v>
      </c>
      <c r="E2279" t="s">
        <v>3072</v>
      </c>
      <c r="F2279" t="s">
        <v>3161</v>
      </c>
    </row>
    <row r="2280" spans="1:6" x14ac:dyDescent="0.25">
      <c r="A2280" t="str">
        <f>"220100836767"</f>
        <v>220100836767</v>
      </c>
      <c r="B2280" t="s">
        <v>3162</v>
      </c>
      <c r="C2280" t="s">
        <v>7</v>
      </c>
      <c r="D2280" t="s">
        <v>14</v>
      </c>
      <c r="E2280" t="s">
        <v>3072</v>
      </c>
    </row>
    <row r="2281" spans="1:6" x14ac:dyDescent="0.25">
      <c r="A2281" t="str">
        <f>"220402609898"</f>
        <v>220402609898</v>
      </c>
      <c r="B2281" t="s">
        <v>3163</v>
      </c>
      <c r="C2281" t="s">
        <v>7</v>
      </c>
      <c r="D2281" t="s">
        <v>98</v>
      </c>
      <c r="E2281" t="s">
        <v>3072</v>
      </c>
    </row>
    <row r="2282" spans="1:6" x14ac:dyDescent="0.25">
      <c r="A2282" t="str">
        <f>"2204054897"</f>
        <v>2204054897</v>
      </c>
      <c r="B2282" t="s">
        <v>3164</v>
      </c>
      <c r="C2282" t="s">
        <v>7</v>
      </c>
      <c r="D2282" t="s">
        <v>12</v>
      </c>
      <c r="E2282" t="s">
        <v>3072</v>
      </c>
      <c r="F2282" t="s">
        <v>3165</v>
      </c>
    </row>
    <row r="2283" spans="1:6" x14ac:dyDescent="0.25">
      <c r="A2283" t="str">
        <f>"220409548997"</f>
        <v>220409548997</v>
      </c>
      <c r="B2283" t="s">
        <v>3166</v>
      </c>
      <c r="C2283" t="s">
        <v>7</v>
      </c>
      <c r="D2283" t="s">
        <v>14</v>
      </c>
      <c r="E2283" t="s">
        <v>3072</v>
      </c>
    </row>
    <row r="2284" spans="1:6" x14ac:dyDescent="0.25">
      <c r="A2284" t="str">
        <f>"220456239322"</f>
        <v>220456239322</v>
      </c>
      <c r="B2284" t="s">
        <v>3167</v>
      </c>
      <c r="C2284" t="s">
        <v>7</v>
      </c>
      <c r="D2284" t="s">
        <v>14</v>
      </c>
      <c r="E2284" t="s">
        <v>3072</v>
      </c>
    </row>
    <row r="2285" spans="1:6" x14ac:dyDescent="0.25">
      <c r="A2285" t="str">
        <f>"2207010898"</f>
        <v>2207010898</v>
      </c>
      <c r="B2285" t="s">
        <v>3168</v>
      </c>
      <c r="C2285" t="s">
        <v>7</v>
      </c>
      <c r="D2285" t="s">
        <v>14</v>
      </c>
      <c r="E2285" t="s">
        <v>3072</v>
      </c>
      <c r="F2285" t="s">
        <v>3169</v>
      </c>
    </row>
    <row r="2286" spans="1:6" x14ac:dyDescent="0.25">
      <c r="A2286" t="str">
        <f>"2208015955"</f>
        <v>2208015955</v>
      </c>
      <c r="B2286" t="s">
        <v>3170</v>
      </c>
      <c r="C2286" t="s">
        <v>7</v>
      </c>
      <c r="D2286" t="s">
        <v>12</v>
      </c>
      <c r="E2286" t="s">
        <v>3072</v>
      </c>
      <c r="F2286" t="s">
        <v>3171</v>
      </c>
    </row>
    <row r="2287" spans="1:6" x14ac:dyDescent="0.25">
      <c r="A2287" t="str">
        <f>"221100017400"</f>
        <v>221100017400</v>
      </c>
      <c r="B2287" t="s">
        <v>3172</v>
      </c>
      <c r="C2287" t="s">
        <v>7</v>
      </c>
      <c r="D2287" t="s">
        <v>14</v>
      </c>
      <c r="E2287" t="s">
        <v>3072</v>
      </c>
    </row>
    <row r="2288" spans="1:6" x14ac:dyDescent="0.25">
      <c r="A2288" t="str">
        <f>"222175472292"</f>
        <v>222175472292</v>
      </c>
      <c r="B2288" t="s">
        <v>3173</v>
      </c>
      <c r="C2288" t="s">
        <v>7</v>
      </c>
      <c r="D2288" t="s">
        <v>14</v>
      </c>
      <c r="E2288" t="s">
        <v>3072</v>
      </c>
    </row>
    <row r="2289" spans="1:6" x14ac:dyDescent="0.25">
      <c r="A2289" t="str">
        <f>"2222070732"</f>
        <v>2222070732</v>
      </c>
      <c r="B2289" t="s">
        <v>3174</v>
      </c>
      <c r="C2289" t="s">
        <v>7</v>
      </c>
      <c r="D2289" t="s">
        <v>12</v>
      </c>
      <c r="E2289" t="s">
        <v>3072</v>
      </c>
      <c r="F2289" t="s">
        <v>3175</v>
      </c>
    </row>
    <row r="2290" spans="1:6" x14ac:dyDescent="0.25">
      <c r="A2290" t="str">
        <f>"2222782000"</f>
        <v>2222782000</v>
      </c>
      <c r="B2290" t="s">
        <v>3176</v>
      </c>
      <c r="C2290" t="s">
        <v>7</v>
      </c>
      <c r="D2290" t="s">
        <v>33</v>
      </c>
      <c r="E2290" t="s">
        <v>3072</v>
      </c>
      <c r="F2290" t="s">
        <v>3145</v>
      </c>
    </row>
    <row r="2291" spans="1:6" x14ac:dyDescent="0.25">
      <c r="A2291" t="str">
        <f>"2222900849"</f>
        <v>2222900849</v>
      </c>
      <c r="B2291" t="s">
        <v>3177</v>
      </c>
      <c r="C2291" t="s">
        <v>7</v>
      </c>
      <c r="D2291" t="s">
        <v>12</v>
      </c>
      <c r="E2291" t="s">
        <v>3072</v>
      </c>
      <c r="F2291" t="s">
        <v>3178</v>
      </c>
    </row>
    <row r="2292" spans="1:6" x14ac:dyDescent="0.25">
      <c r="A2292" t="str">
        <f>"2223621622"</f>
        <v>2223621622</v>
      </c>
      <c r="B2292" t="s">
        <v>3179</v>
      </c>
      <c r="C2292" t="s">
        <v>7</v>
      </c>
      <c r="D2292" t="s">
        <v>12</v>
      </c>
      <c r="E2292" t="s">
        <v>3072</v>
      </c>
      <c r="F2292" t="s">
        <v>3180</v>
      </c>
    </row>
    <row r="2293" spans="1:6" x14ac:dyDescent="0.25">
      <c r="A2293" t="str">
        <f>"222404372951"</f>
        <v>222404372951</v>
      </c>
      <c r="B2293" t="s">
        <v>3181</v>
      </c>
      <c r="C2293" t="s">
        <v>7</v>
      </c>
      <c r="D2293" t="s">
        <v>14</v>
      </c>
      <c r="E2293" t="s">
        <v>3072</v>
      </c>
    </row>
    <row r="2294" spans="1:6" x14ac:dyDescent="0.25">
      <c r="A2294" t="str">
        <f>"222410320694"</f>
        <v>222410320694</v>
      </c>
      <c r="B2294" t="s">
        <v>3182</v>
      </c>
      <c r="C2294" t="s">
        <v>7</v>
      </c>
      <c r="D2294" t="s">
        <v>12</v>
      </c>
      <c r="E2294" t="s">
        <v>3072</v>
      </c>
    </row>
    <row r="2295" spans="1:6" x14ac:dyDescent="0.25">
      <c r="A2295" t="str">
        <f>"2225152479"</f>
        <v>2225152479</v>
      </c>
      <c r="B2295" t="s">
        <v>3183</v>
      </c>
      <c r="C2295" t="s">
        <v>7</v>
      </c>
      <c r="D2295" t="s">
        <v>14</v>
      </c>
      <c r="E2295" t="s">
        <v>3072</v>
      </c>
      <c r="F2295" t="s">
        <v>3184</v>
      </c>
    </row>
    <row r="2296" spans="1:6" x14ac:dyDescent="0.25">
      <c r="A2296" t="str">
        <f>"2225228054"</f>
        <v>2225228054</v>
      </c>
      <c r="B2296" t="s">
        <v>3185</v>
      </c>
      <c r="C2296" t="s">
        <v>7</v>
      </c>
      <c r="D2296" t="s">
        <v>12</v>
      </c>
      <c r="E2296" t="s">
        <v>3072</v>
      </c>
      <c r="F2296" t="s">
        <v>3186</v>
      </c>
    </row>
    <row r="2297" spans="1:6" x14ac:dyDescent="0.25">
      <c r="A2297" t="str">
        <f>"222700290530"</f>
        <v>222700290530</v>
      </c>
      <c r="B2297" t="s">
        <v>3187</v>
      </c>
      <c r="C2297" t="s">
        <v>7</v>
      </c>
      <c r="D2297" t="s">
        <v>14</v>
      </c>
      <c r="E2297" t="s">
        <v>3072</v>
      </c>
    </row>
    <row r="2298" spans="1:6" x14ac:dyDescent="0.25">
      <c r="A2298" t="str">
        <f>"2234003466"</f>
        <v>2234003466</v>
      </c>
      <c r="B2298" t="s">
        <v>3188</v>
      </c>
      <c r="C2298" t="s">
        <v>7</v>
      </c>
      <c r="D2298" t="s">
        <v>14</v>
      </c>
      <c r="E2298" t="s">
        <v>3072</v>
      </c>
      <c r="F2298" t="s">
        <v>3189</v>
      </c>
    </row>
    <row r="2299" spans="1:6" x14ac:dyDescent="0.25">
      <c r="A2299" t="str">
        <f>"224100074153"</f>
        <v>224100074153</v>
      </c>
      <c r="B2299" t="s">
        <v>3190</v>
      </c>
      <c r="C2299" t="s">
        <v>7</v>
      </c>
      <c r="D2299" t="s">
        <v>14</v>
      </c>
      <c r="E2299" t="s">
        <v>3072</v>
      </c>
    </row>
    <row r="2300" spans="1:6" x14ac:dyDescent="0.25">
      <c r="A2300" t="str">
        <f>"225300039020"</f>
        <v>225300039020</v>
      </c>
      <c r="B2300" t="s">
        <v>3191</v>
      </c>
      <c r="C2300" t="s">
        <v>7</v>
      </c>
      <c r="D2300" t="s">
        <v>14</v>
      </c>
      <c r="E2300" t="s">
        <v>3072</v>
      </c>
    </row>
    <row r="2301" spans="1:6" x14ac:dyDescent="0.25">
      <c r="A2301" t="str">
        <f>"2257005808"</f>
        <v>2257005808</v>
      </c>
      <c r="B2301" t="s">
        <v>479</v>
      </c>
      <c r="C2301" t="s">
        <v>7</v>
      </c>
      <c r="D2301" t="s">
        <v>14</v>
      </c>
      <c r="E2301" t="s">
        <v>3072</v>
      </c>
      <c r="F2301" t="s">
        <v>3192</v>
      </c>
    </row>
    <row r="2302" spans="1:6" x14ac:dyDescent="0.25">
      <c r="A2302" t="str">
        <f>"220100076298"</f>
        <v>220100076298</v>
      </c>
      <c r="B2302" t="s">
        <v>3193</v>
      </c>
      <c r="C2302" t="s">
        <v>7</v>
      </c>
      <c r="D2302" t="s">
        <v>14</v>
      </c>
      <c r="E2302" t="s">
        <v>3072</v>
      </c>
    </row>
    <row r="2303" spans="1:6" x14ac:dyDescent="0.25">
      <c r="A2303" t="str">
        <f>"2201008885"</f>
        <v>2201008885</v>
      </c>
      <c r="B2303" t="s">
        <v>3194</v>
      </c>
      <c r="C2303" t="s">
        <v>7</v>
      </c>
      <c r="D2303" t="s">
        <v>14</v>
      </c>
      <c r="E2303" t="s">
        <v>3072</v>
      </c>
      <c r="F2303" t="s">
        <v>3195</v>
      </c>
    </row>
    <row r="2304" spans="1:6" x14ac:dyDescent="0.25">
      <c r="A2304" t="str">
        <f>"220101141239"</f>
        <v>220101141239</v>
      </c>
      <c r="B2304" t="s">
        <v>3196</v>
      </c>
      <c r="C2304" t="s">
        <v>7</v>
      </c>
      <c r="D2304" t="s">
        <v>14</v>
      </c>
      <c r="E2304" t="s">
        <v>3072</v>
      </c>
    </row>
    <row r="2305" spans="1:6" x14ac:dyDescent="0.25">
      <c r="A2305" t="str">
        <f>"220400545840"</f>
        <v>220400545840</v>
      </c>
      <c r="B2305" t="s">
        <v>3197</v>
      </c>
      <c r="C2305" t="s">
        <v>7</v>
      </c>
      <c r="D2305" t="s">
        <v>8</v>
      </c>
      <c r="E2305" t="s">
        <v>3072</v>
      </c>
    </row>
    <row r="2306" spans="1:6" x14ac:dyDescent="0.25">
      <c r="A2306" t="str">
        <f>"2204017006"</f>
        <v>2204017006</v>
      </c>
      <c r="B2306" t="s">
        <v>450</v>
      </c>
      <c r="C2306" t="s">
        <v>7</v>
      </c>
      <c r="D2306" t="s">
        <v>12</v>
      </c>
      <c r="E2306" t="s">
        <v>3072</v>
      </c>
      <c r="F2306" t="s">
        <v>3198</v>
      </c>
    </row>
    <row r="2307" spans="1:6" x14ac:dyDescent="0.25">
      <c r="A2307" t="str">
        <f>"2204069526"</f>
        <v>2204069526</v>
      </c>
      <c r="B2307" t="s">
        <v>3199</v>
      </c>
      <c r="C2307" t="s">
        <v>7</v>
      </c>
      <c r="D2307" t="s">
        <v>12</v>
      </c>
      <c r="E2307" t="s">
        <v>3072</v>
      </c>
      <c r="F2307" t="s">
        <v>3200</v>
      </c>
    </row>
    <row r="2308" spans="1:6" x14ac:dyDescent="0.25">
      <c r="A2308" t="str">
        <f>"2204069558"</f>
        <v>2204069558</v>
      </c>
      <c r="B2308" t="s">
        <v>3201</v>
      </c>
      <c r="C2308" t="s">
        <v>7</v>
      </c>
      <c r="D2308" t="s">
        <v>14</v>
      </c>
      <c r="E2308" t="s">
        <v>3072</v>
      </c>
      <c r="F2308" t="s">
        <v>3202</v>
      </c>
    </row>
    <row r="2309" spans="1:6" x14ac:dyDescent="0.25">
      <c r="A2309" t="str">
        <f>"2204077213"</f>
        <v>2204077213</v>
      </c>
      <c r="B2309" t="s">
        <v>3203</v>
      </c>
      <c r="C2309" t="s">
        <v>7</v>
      </c>
      <c r="D2309" t="s">
        <v>14</v>
      </c>
      <c r="E2309" t="s">
        <v>3072</v>
      </c>
      <c r="F2309" t="s">
        <v>3204</v>
      </c>
    </row>
    <row r="2310" spans="1:6" x14ac:dyDescent="0.25">
      <c r="A2310" t="str">
        <f>"040800353882"</f>
        <v>040800353882</v>
      </c>
      <c r="B2310" t="s">
        <v>3205</v>
      </c>
      <c r="C2310" t="s">
        <v>7</v>
      </c>
      <c r="D2310" t="s">
        <v>14</v>
      </c>
      <c r="E2310" t="s">
        <v>3072</v>
      </c>
    </row>
    <row r="2311" spans="1:6" x14ac:dyDescent="0.25">
      <c r="A2311" t="str">
        <f>"2204075953"</f>
        <v>2204075953</v>
      </c>
      <c r="B2311" t="s">
        <v>3206</v>
      </c>
      <c r="C2311" t="s">
        <v>7</v>
      </c>
      <c r="D2311" t="s">
        <v>8</v>
      </c>
      <c r="E2311" t="s">
        <v>3072</v>
      </c>
      <c r="F2311" t="s">
        <v>3207</v>
      </c>
    </row>
    <row r="2312" spans="1:6" x14ac:dyDescent="0.25">
      <c r="A2312" t="str">
        <f>"2204078351"</f>
        <v>2204078351</v>
      </c>
      <c r="B2312" t="s">
        <v>3208</v>
      </c>
      <c r="C2312" t="s">
        <v>7</v>
      </c>
      <c r="D2312" t="s">
        <v>14</v>
      </c>
      <c r="E2312" t="s">
        <v>3072</v>
      </c>
      <c r="F2312" t="s">
        <v>3209</v>
      </c>
    </row>
    <row r="2313" spans="1:6" x14ac:dyDescent="0.25">
      <c r="A2313" t="str">
        <f>"2204081812"</f>
        <v>2204081812</v>
      </c>
      <c r="B2313" t="s">
        <v>3210</v>
      </c>
      <c r="C2313" t="s">
        <v>7</v>
      </c>
      <c r="D2313" t="s">
        <v>14</v>
      </c>
      <c r="E2313" t="s">
        <v>3072</v>
      </c>
      <c r="F2313" t="s">
        <v>3211</v>
      </c>
    </row>
    <row r="2314" spans="1:6" x14ac:dyDescent="0.25">
      <c r="A2314" t="str">
        <f>"2204085704"</f>
        <v>2204085704</v>
      </c>
      <c r="B2314" t="s">
        <v>3212</v>
      </c>
      <c r="C2314" t="s">
        <v>7</v>
      </c>
      <c r="D2314" t="s">
        <v>14</v>
      </c>
      <c r="E2314" t="s">
        <v>3072</v>
      </c>
      <c r="F2314" t="s">
        <v>3213</v>
      </c>
    </row>
    <row r="2315" spans="1:6" x14ac:dyDescent="0.25">
      <c r="A2315" t="str">
        <f>"220419998466"</f>
        <v>220419998466</v>
      </c>
      <c r="B2315" t="s">
        <v>3214</v>
      </c>
      <c r="C2315" t="s">
        <v>7</v>
      </c>
      <c r="D2315" t="s">
        <v>674</v>
      </c>
      <c r="E2315" t="s">
        <v>3072</v>
      </c>
    </row>
    <row r="2316" spans="1:6" x14ac:dyDescent="0.25">
      <c r="A2316" t="str">
        <f>"220454660849"</f>
        <v>220454660849</v>
      </c>
      <c r="B2316" t="s">
        <v>3215</v>
      </c>
      <c r="C2316" t="s">
        <v>7</v>
      </c>
      <c r="D2316" t="s">
        <v>14</v>
      </c>
      <c r="E2316" t="s">
        <v>3072</v>
      </c>
    </row>
    <row r="2317" spans="1:6" x14ac:dyDescent="0.25">
      <c r="A2317" t="str">
        <f>"220455001694"</f>
        <v>220455001694</v>
      </c>
      <c r="B2317" t="s">
        <v>3216</v>
      </c>
      <c r="C2317" t="s">
        <v>7</v>
      </c>
      <c r="D2317" t="s">
        <v>14</v>
      </c>
      <c r="E2317" t="s">
        <v>3072</v>
      </c>
    </row>
    <row r="2318" spans="1:6" x14ac:dyDescent="0.25">
      <c r="A2318" t="str">
        <f>"220700542783"</f>
        <v>220700542783</v>
      </c>
      <c r="B2318" t="s">
        <v>3217</v>
      </c>
      <c r="C2318" t="s">
        <v>7</v>
      </c>
      <c r="D2318" t="s">
        <v>14</v>
      </c>
      <c r="E2318" t="s">
        <v>3072</v>
      </c>
    </row>
    <row r="2319" spans="1:6" x14ac:dyDescent="0.25">
      <c r="A2319" t="str">
        <f>"220703160045"</f>
        <v>220703160045</v>
      </c>
      <c r="B2319" t="s">
        <v>3218</v>
      </c>
      <c r="C2319" t="s">
        <v>7</v>
      </c>
      <c r="D2319" t="s">
        <v>14</v>
      </c>
      <c r="E2319" t="s">
        <v>3072</v>
      </c>
    </row>
    <row r="2320" spans="1:6" x14ac:dyDescent="0.25">
      <c r="A2320" t="str">
        <f>"220704291675"</f>
        <v>220704291675</v>
      </c>
      <c r="B2320" t="s">
        <v>3219</v>
      </c>
      <c r="C2320" t="s">
        <v>7</v>
      </c>
      <c r="D2320" t="s">
        <v>14</v>
      </c>
      <c r="E2320" t="s">
        <v>3072</v>
      </c>
    </row>
    <row r="2321" spans="1:6" x14ac:dyDescent="0.25">
      <c r="A2321" t="str">
        <f>"2208050886"</f>
        <v>2208050886</v>
      </c>
      <c r="B2321" t="s">
        <v>3220</v>
      </c>
      <c r="C2321" t="s">
        <v>7</v>
      </c>
      <c r="D2321" t="s">
        <v>12</v>
      </c>
      <c r="E2321" t="s">
        <v>3072</v>
      </c>
      <c r="F2321" t="s">
        <v>3221</v>
      </c>
    </row>
    <row r="2322" spans="1:6" x14ac:dyDescent="0.25">
      <c r="A2322" t="str">
        <f>"2208063518"</f>
        <v>2208063518</v>
      </c>
      <c r="B2322" t="s">
        <v>3222</v>
      </c>
      <c r="C2322" t="s">
        <v>7</v>
      </c>
      <c r="D2322" t="s">
        <v>12</v>
      </c>
      <c r="E2322" t="s">
        <v>3072</v>
      </c>
      <c r="F2322" t="s">
        <v>3223</v>
      </c>
    </row>
    <row r="2323" spans="1:6" x14ac:dyDescent="0.25">
      <c r="A2323" t="str">
        <f>"221000002015"</f>
        <v>221000002015</v>
      </c>
      <c r="B2323" t="s">
        <v>3224</v>
      </c>
      <c r="C2323" t="s">
        <v>7</v>
      </c>
      <c r="D2323" t="s">
        <v>14</v>
      </c>
      <c r="E2323" t="s">
        <v>3072</v>
      </c>
    </row>
    <row r="2324" spans="1:6" x14ac:dyDescent="0.25">
      <c r="A2324" t="str">
        <f>"221000027605"</f>
        <v>221000027605</v>
      </c>
      <c r="B2324" t="s">
        <v>3225</v>
      </c>
      <c r="C2324" t="s">
        <v>7</v>
      </c>
      <c r="D2324" t="s">
        <v>14</v>
      </c>
      <c r="E2324" t="s">
        <v>3072</v>
      </c>
    </row>
    <row r="2325" spans="1:6" x14ac:dyDescent="0.25">
      <c r="A2325" t="str">
        <f>"2210010418"</f>
        <v>2210010418</v>
      </c>
      <c r="B2325" t="s">
        <v>3226</v>
      </c>
      <c r="C2325" t="s">
        <v>7</v>
      </c>
      <c r="D2325" t="s">
        <v>14</v>
      </c>
      <c r="E2325" t="s">
        <v>3072</v>
      </c>
      <c r="F2325" t="s">
        <v>3227</v>
      </c>
    </row>
    <row r="2326" spans="1:6" x14ac:dyDescent="0.25">
      <c r="A2326" t="str">
        <f>"221001397408"</f>
        <v>221001397408</v>
      </c>
      <c r="B2326" t="s">
        <v>3228</v>
      </c>
      <c r="C2326" t="s">
        <v>7</v>
      </c>
      <c r="D2326" t="s">
        <v>12</v>
      </c>
      <c r="E2326" t="s">
        <v>3072</v>
      </c>
    </row>
    <row r="2327" spans="1:6" x14ac:dyDescent="0.25">
      <c r="A2327" t="str">
        <f>"221003032064"</f>
        <v>221003032064</v>
      </c>
      <c r="B2327" t="s">
        <v>3229</v>
      </c>
      <c r="C2327" t="s">
        <v>7</v>
      </c>
      <c r="D2327" t="s">
        <v>14</v>
      </c>
      <c r="E2327" t="s">
        <v>3072</v>
      </c>
    </row>
    <row r="2328" spans="1:6" x14ac:dyDescent="0.25">
      <c r="A2328" t="str">
        <f>"2211000290"</f>
        <v>2211000290</v>
      </c>
      <c r="B2328" t="s">
        <v>3230</v>
      </c>
      <c r="C2328" t="s">
        <v>7</v>
      </c>
      <c r="D2328" t="s">
        <v>98</v>
      </c>
      <c r="E2328" t="s">
        <v>3072</v>
      </c>
      <c r="F2328" t="s">
        <v>3231</v>
      </c>
    </row>
    <row r="2329" spans="1:6" x14ac:dyDescent="0.25">
      <c r="A2329" t="str">
        <f>"221100781260"</f>
        <v>221100781260</v>
      </c>
      <c r="B2329" t="s">
        <v>3232</v>
      </c>
      <c r="C2329" t="s">
        <v>7</v>
      </c>
      <c r="D2329" t="s">
        <v>14</v>
      </c>
      <c r="E2329" t="s">
        <v>3072</v>
      </c>
    </row>
    <row r="2330" spans="1:6" x14ac:dyDescent="0.25">
      <c r="A2330" t="str">
        <f>"221101730660"</f>
        <v>221101730660</v>
      </c>
      <c r="B2330" t="s">
        <v>3233</v>
      </c>
      <c r="C2330" t="s">
        <v>7</v>
      </c>
      <c r="D2330" t="s">
        <v>14</v>
      </c>
      <c r="E2330" t="s">
        <v>3072</v>
      </c>
    </row>
    <row r="2331" spans="1:6" x14ac:dyDescent="0.25">
      <c r="A2331" t="str">
        <f>"222107821280"</f>
        <v>222107821280</v>
      </c>
      <c r="B2331" t="s">
        <v>3234</v>
      </c>
      <c r="C2331" t="s">
        <v>7</v>
      </c>
      <c r="D2331" t="s">
        <v>14</v>
      </c>
      <c r="E2331" t="s">
        <v>3072</v>
      </c>
    </row>
    <row r="2332" spans="1:6" x14ac:dyDescent="0.25">
      <c r="A2332" t="str">
        <f>"2221118501"</f>
        <v>2221118501</v>
      </c>
      <c r="B2332" t="s">
        <v>3235</v>
      </c>
      <c r="C2332" t="s">
        <v>7</v>
      </c>
      <c r="D2332" t="s">
        <v>12</v>
      </c>
      <c r="E2332" t="s">
        <v>3072</v>
      </c>
      <c r="F2332" t="s">
        <v>3236</v>
      </c>
    </row>
    <row r="2333" spans="1:6" x14ac:dyDescent="0.25">
      <c r="A2333" t="str">
        <f>"2221130516"</f>
        <v>2221130516</v>
      </c>
      <c r="B2333" t="s">
        <v>3237</v>
      </c>
      <c r="C2333" t="s">
        <v>7</v>
      </c>
      <c r="D2333" t="s">
        <v>12</v>
      </c>
      <c r="E2333" t="s">
        <v>3072</v>
      </c>
      <c r="F2333" t="s">
        <v>3238</v>
      </c>
    </row>
    <row r="2334" spans="1:6" x14ac:dyDescent="0.25">
      <c r="A2334" t="str">
        <f>"2221215583"</f>
        <v>2221215583</v>
      </c>
      <c r="B2334" t="s">
        <v>3239</v>
      </c>
      <c r="C2334" t="s">
        <v>7</v>
      </c>
      <c r="D2334" t="s">
        <v>8</v>
      </c>
      <c r="E2334" t="s">
        <v>3072</v>
      </c>
      <c r="F2334" t="s">
        <v>3240</v>
      </c>
    </row>
    <row r="2335" spans="1:6" x14ac:dyDescent="0.25">
      <c r="A2335" t="str">
        <f>"2221237996"</f>
        <v>2221237996</v>
      </c>
      <c r="B2335" t="s">
        <v>3241</v>
      </c>
      <c r="C2335" t="s">
        <v>7</v>
      </c>
      <c r="D2335" t="s">
        <v>12</v>
      </c>
      <c r="E2335" t="s">
        <v>3072</v>
      </c>
      <c r="F2335" t="s">
        <v>3242</v>
      </c>
    </row>
    <row r="2336" spans="1:6" x14ac:dyDescent="0.25">
      <c r="A2336" t="str">
        <f>"222200643730"</f>
        <v>222200643730</v>
      </c>
      <c r="B2336" t="s">
        <v>3243</v>
      </c>
      <c r="C2336" t="s">
        <v>7</v>
      </c>
      <c r="D2336" t="s">
        <v>14</v>
      </c>
      <c r="E2336" t="s">
        <v>3072</v>
      </c>
    </row>
    <row r="2337" spans="1:6" x14ac:dyDescent="0.25">
      <c r="A2337" t="str">
        <f>"222211614509"</f>
        <v>222211614509</v>
      </c>
      <c r="B2337" t="s">
        <v>3244</v>
      </c>
      <c r="C2337" t="s">
        <v>7</v>
      </c>
      <c r="D2337" t="s">
        <v>14</v>
      </c>
      <c r="E2337" t="s">
        <v>3072</v>
      </c>
    </row>
    <row r="2338" spans="1:6" x14ac:dyDescent="0.25">
      <c r="A2338" t="str">
        <f>"2222781944"</f>
        <v>2222781944</v>
      </c>
      <c r="B2338" t="s">
        <v>3245</v>
      </c>
      <c r="C2338" t="s">
        <v>7</v>
      </c>
      <c r="D2338" t="s">
        <v>12</v>
      </c>
      <c r="E2338" t="s">
        <v>3072</v>
      </c>
      <c r="F2338" t="s">
        <v>3145</v>
      </c>
    </row>
    <row r="2339" spans="1:6" x14ac:dyDescent="0.25">
      <c r="A2339" t="str">
        <f>"2222820336"</f>
        <v>2222820336</v>
      </c>
      <c r="B2339" t="s">
        <v>3246</v>
      </c>
      <c r="C2339" t="s">
        <v>7</v>
      </c>
      <c r="D2339" t="s">
        <v>12</v>
      </c>
      <c r="E2339" t="s">
        <v>3072</v>
      </c>
      <c r="F2339" t="s">
        <v>3247</v>
      </c>
    </row>
    <row r="2340" spans="1:6" x14ac:dyDescent="0.25">
      <c r="A2340" t="str">
        <f>"2222831345"</f>
        <v>2222831345</v>
      </c>
      <c r="B2340" t="s">
        <v>3248</v>
      </c>
      <c r="C2340" t="s">
        <v>7</v>
      </c>
      <c r="D2340" t="s">
        <v>12</v>
      </c>
      <c r="E2340" t="s">
        <v>3072</v>
      </c>
      <c r="F2340" t="s">
        <v>3249</v>
      </c>
    </row>
    <row r="2341" spans="1:6" x14ac:dyDescent="0.25">
      <c r="A2341" t="str">
        <f>"2222846140"</f>
        <v>2222846140</v>
      </c>
      <c r="B2341" t="s">
        <v>3250</v>
      </c>
      <c r="C2341" t="s">
        <v>7</v>
      </c>
      <c r="D2341" t="s">
        <v>33</v>
      </c>
      <c r="E2341" t="s">
        <v>3072</v>
      </c>
      <c r="F2341" t="s">
        <v>3251</v>
      </c>
    </row>
    <row r="2342" spans="1:6" x14ac:dyDescent="0.25">
      <c r="A2342" t="str">
        <f>"2222863185"</f>
        <v>2222863185</v>
      </c>
      <c r="B2342" t="s">
        <v>3252</v>
      </c>
      <c r="C2342" t="s">
        <v>7</v>
      </c>
      <c r="D2342" t="s">
        <v>12</v>
      </c>
      <c r="E2342" t="s">
        <v>3072</v>
      </c>
      <c r="F2342" t="s">
        <v>3139</v>
      </c>
    </row>
    <row r="2343" spans="1:6" x14ac:dyDescent="0.25">
      <c r="A2343" t="str">
        <f>"2222869780"</f>
        <v>2222869780</v>
      </c>
      <c r="B2343" t="s">
        <v>1957</v>
      </c>
      <c r="C2343" t="s">
        <v>7</v>
      </c>
      <c r="D2343" t="s">
        <v>33</v>
      </c>
      <c r="E2343" t="s">
        <v>3072</v>
      </c>
      <c r="F2343" t="s">
        <v>3137</v>
      </c>
    </row>
    <row r="2344" spans="1:6" x14ac:dyDescent="0.25">
      <c r="A2344" t="str">
        <f>"2222881226"</f>
        <v>2222881226</v>
      </c>
      <c r="B2344" t="s">
        <v>3253</v>
      </c>
      <c r="C2344" t="s">
        <v>7</v>
      </c>
      <c r="D2344" t="s">
        <v>33</v>
      </c>
      <c r="E2344" t="s">
        <v>3072</v>
      </c>
      <c r="F2344" t="s">
        <v>3254</v>
      </c>
    </row>
    <row r="2345" spans="1:6" x14ac:dyDescent="0.25">
      <c r="A2345" t="str">
        <f>"2222894715"</f>
        <v>2222894715</v>
      </c>
      <c r="B2345" t="s">
        <v>3255</v>
      </c>
      <c r="C2345" t="s">
        <v>7</v>
      </c>
      <c r="D2345" t="s">
        <v>33</v>
      </c>
      <c r="E2345" t="s">
        <v>3072</v>
      </c>
      <c r="F2345" t="s">
        <v>3256</v>
      </c>
    </row>
    <row r="2346" spans="1:6" x14ac:dyDescent="0.25">
      <c r="A2346" t="str">
        <f>"2222902525"</f>
        <v>2222902525</v>
      </c>
      <c r="B2346" t="s">
        <v>3257</v>
      </c>
      <c r="C2346" t="s">
        <v>7</v>
      </c>
      <c r="D2346" t="s">
        <v>8</v>
      </c>
      <c r="E2346" t="s">
        <v>3072</v>
      </c>
      <c r="F2346" t="s">
        <v>3258</v>
      </c>
    </row>
    <row r="2347" spans="1:6" x14ac:dyDescent="0.25">
      <c r="A2347" t="str">
        <f>"2222904667"</f>
        <v>2222904667</v>
      </c>
      <c r="B2347" t="s">
        <v>1008</v>
      </c>
      <c r="C2347" t="s">
        <v>7</v>
      </c>
      <c r="D2347" t="s">
        <v>12</v>
      </c>
      <c r="E2347" t="s">
        <v>3072</v>
      </c>
      <c r="F2347" t="s">
        <v>3259</v>
      </c>
    </row>
    <row r="2348" spans="1:6" x14ac:dyDescent="0.25">
      <c r="A2348" t="str">
        <f>"222301064708"</f>
        <v>222301064708</v>
      </c>
      <c r="B2348" t="s">
        <v>3260</v>
      </c>
      <c r="C2348" t="s">
        <v>7</v>
      </c>
      <c r="D2348" t="s">
        <v>14</v>
      </c>
      <c r="E2348" t="s">
        <v>3072</v>
      </c>
    </row>
    <row r="2349" spans="1:6" x14ac:dyDescent="0.25">
      <c r="A2349" t="str">
        <f>"222302845158"</f>
        <v>222302845158</v>
      </c>
      <c r="B2349" t="s">
        <v>3261</v>
      </c>
      <c r="C2349" t="s">
        <v>7</v>
      </c>
      <c r="D2349" t="s">
        <v>33</v>
      </c>
      <c r="E2349" t="s">
        <v>3072</v>
      </c>
    </row>
    <row r="2350" spans="1:6" x14ac:dyDescent="0.25">
      <c r="A2350" t="str">
        <f>"2223053514"</f>
        <v>2223053514</v>
      </c>
      <c r="B2350" t="s">
        <v>3262</v>
      </c>
      <c r="C2350" t="s">
        <v>7</v>
      </c>
      <c r="D2350" t="s">
        <v>14</v>
      </c>
      <c r="E2350" t="s">
        <v>3072</v>
      </c>
      <c r="F2350" t="s">
        <v>3263</v>
      </c>
    </row>
    <row r="2351" spans="1:6" x14ac:dyDescent="0.25">
      <c r="A2351" t="str">
        <f>"2223583582"</f>
        <v>2223583582</v>
      </c>
      <c r="B2351" t="s">
        <v>3264</v>
      </c>
      <c r="C2351" t="s">
        <v>7</v>
      </c>
      <c r="D2351" t="s">
        <v>14</v>
      </c>
      <c r="E2351" t="s">
        <v>3072</v>
      </c>
      <c r="F2351" t="s">
        <v>3265</v>
      </c>
    </row>
    <row r="2352" spans="1:6" x14ac:dyDescent="0.25">
      <c r="A2352" t="str">
        <f>"2223623394"</f>
        <v>2223623394</v>
      </c>
      <c r="B2352" t="s">
        <v>3266</v>
      </c>
      <c r="C2352" t="s">
        <v>7</v>
      </c>
      <c r="D2352" t="s">
        <v>14</v>
      </c>
      <c r="E2352" t="s">
        <v>3072</v>
      </c>
      <c r="F2352" t="s">
        <v>3267</v>
      </c>
    </row>
    <row r="2353" spans="1:6" x14ac:dyDescent="0.25">
      <c r="A2353" t="str">
        <f>"222402556978"</f>
        <v>222402556978</v>
      </c>
      <c r="B2353" t="s">
        <v>3268</v>
      </c>
      <c r="C2353" t="s">
        <v>7</v>
      </c>
      <c r="D2353" t="s">
        <v>14</v>
      </c>
      <c r="E2353" t="s">
        <v>3072</v>
      </c>
    </row>
    <row r="2354" spans="1:6" x14ac:dyDescent="0.25">
      <c r="A2354" t="str">
        <f>"2224068129"</f>
        <v>2224068129</v>
      </c>
      <c r="B2354" t="s">
        <v>3269</v>
      </c>
      <c r="C2354" t="s">
        <v>7</v>
      </c>
      <c r="D2354" t="s">
        <v>33</v>
      </c>
      <c r="E2354" t="s">
        <v>3072</v>
      </c>
      <c r="F2354" t="s">
        <v>3270</v>
      </c>
    </row>
    <row r="2355" spans="1:6" x14ac:dyDescent="0.25">
      <c r="A2355" t="str">
        <f>"2224201652"</f>
        <v>2224201652</v>
      </c>
      <c r="B2355" t="s">
        <v>3271</v>
      </c>
      <c r="C2355" t="s">
        <v>7</v>
      </c>
      <c r="D2355" t="s">
        <v>33</v>
      </c>
      <c r="E2355" t="s">
        <v>3072</v>
      </c>
      <c r="F2355" t="s">
        <v>3272</v>
      </c>
    </row>
    <row r="2356" spans="1:6" x14ac:dyDescent="0.25">
      <c r="A2356" t="str">
        <f>"2225045117"</f>
        <v>2225045117</v>
      </c>
      <c r="B2356" t="s">
        <v>3273</v>
      </c>
      <c r="C2356" t="s">
        <v>7</v>
      </c>
      <c r="D2356" t="s">
        <v>33</v>
      </c>
      <c r="E2356" t="s">
        <v>3072</v>
      </c>
      <c r="F2356" t="s">
        <v>3274</v>
      </c>
    </row>
    <row r="2357" spans="1:6" x14ac:dyDescent="0.25">
      <c r="A2357" t="str">
        <f>"222509887500"</f>
        <v>222509887500</v>
      </c>
      <c r="B2357" t="s">
        <v>3275</v>
      </c>
      <c r="C2357" t="s">
        <v>7</v>
      </c>
      <c r="D2357" t="s">
        <v>33</v>
      </c>
      <c r="E2357" t="s">
        <v>3072</v>
      </c>
    </row>
    <row r="2358" spans="1:6" x14ac:dyDescent="0.25">
      <c r="A2358" t="str">
        <f>"2225099715"</f>
        <v>2225099715</v>
      </c>
      <c r="B2358" t="s">
        <v>3276</v>
      </c>
      <c r="C2358" t="s">
        <v>7</v>
      </c>
      <c r="D2358" t="s">
        <v>33</v>
      </c>
      <c r="E2358" t="s">
        <v>3072</v>
      </c>
      <c r="F2358" t="s">
        <v>3277</v>
      </c>
    </row>
    <row r="2359" spans="1:6" x14ac:dyDescent="0.25">
      <c r="A2359" t="str">
        <f>"2225166778"</f>
        <v>2225166778</v>
      </c>
      <c r="B2359" t="s">
        <v>3278</v>
      </c>
      <c r="C2359" t="s">
        <v>7</v>
      </c>
      <c r="D2359" t="s">
        <v>1430</v>
      </c>
      <c r="E2359" t="s">
        <v>3072</v>
      </c>
      <c r="F2359" t="s">
        <v>3279</v>
      </c>
    </row>
    <row r="2360" spans="1:6" x14ac:dyDescent="0.25">
      <c r="A2360" t="str">
        <f>"2225178597"</f>
        <v>2225178597</v>
      </c>
      <c r="B2360" t="s">
        <v>3280</v>
      </c>
      <c r="C2360" t="s">
        <v>7</v>
      </c>
      <c r="D2360" t="s">
        <v>14</v>
      </c>
      <c r="E2360" t="s">
        <v>3072</v>
      </c>
      <c r="F2360" t="s">
        <v>3281</v>
      </c>
    </row>
    <row r="2361" spans="1:6" x14ac:dyDescent="0.25">
      <c r="A2361" t="str">
        <f>"2225232854"</f>
        <v>2225232854</v>
      </c>
      <c r="B2361" t="s">
        <v>3282</v>
      </c>
      <c r="C2361" t="s">
        <v>7</v>
      </c>
      <c r="D2361" t="s">
        <v>12</v>
      </c>
      <c r="E2361" t="s">
        <v>3072</v>
      </c>
      <c r="F2361" t="s">
        <v>3283</v>
      </c>
    </row>
    <row r="2362" spans="1:6" x14ac:dyDescent="0.25">
      <c r="A2362" t="str">
        <f>"2234016169"</f>
        <v>2234016169</v>
      </c>
      <c r="B2362" t="s">
        <v>3284</v>
      </c>
      <c r="C2362" t="s">
        <v>7</v>
      </c>
      <c r="D2362" t="s">
        <v>14</v>
      </c>
      <c r="E2362" t="s">
        <v>3072</v>
      </c>
      <c r="F2362" t="s">
        <v>3285</v>
      </c>
    </row>
    <row r="2363" spans="1:6" x14ac:dyDescent="0.25">
      <c r="A2363" t="str">
        <f>"223500125523"</f>
        <v>223500125523</v>
      </c>
      <c r="B2363" t="s">
        <v>3286</v>
      </c>
      <c r="C2363" t="s">
        <v>7</v>
      </c>
      <c r="D2363" t="s">
        <v>14</v>
      </c>
      <c r="E2363" t="s">
        <v>3072</v>
      </c>
    </row>
    <row r="2364" spans="1:6" x14ac:dyDescent="0.25">
      <c r="A2364" t="str">
        <f>"2235007600"</f>
        <v>2235007600</v>
      </c>
      <c r="B2364" t="s">
        <v>3287</v>
      </c>
      <c r="C2364" t="s">
        <v>7</v>
      </c>
      <c r="D2364" t="s">
        <v>14</v>
      </c>
      <c r="E2364" t="s">
        <v>3072</v>
      </c>
      <c r="F2364" t="s">
        <v>3288</v>
      </c>
    </row>
    <row r="2365" spans="1:6" x14ac:dyDescent="0.25">
      <c r="A2365" t="str">
        <f>"223501385556"</f>
        <v>223501385556</v>
      </c>
      <c r="B2365" t="s">
        <v>3289</v>
      </c>
      <c r="C2365" t="s">
        <v>7</v>
      </c>
      <c r="D2365" t="s">
        <v>14</v>
      </c>
      <c r="E2365" t="s">
        <v>3072</v>
      </c>
    </row>
    <row r="2366" spans="1:6" x14ac:dyDescent="0.25">
      <c r="A2366" t="str">
        <f>"223801395636"</f>
        <v>223801395636</v>
      </c>
      <c r="B2366" t="s">
        <v>3290</v>
      </c>
      <c r="C2366" t="s">
        <v>7</v>
      </c>
      <c r="D2366" t="s">
        <v>14</v>
      </c>
      <c r="E2366" t="s">
        <v>3072</v>
      </c>
    </row>
    <row r="2367" spans="1:6" x14ac:dyDescent="0.25">
      <c r="A2367" t="str">
        <f>"223901158117"</f>
        <v>223901158117</v>
      </c>
      <c r="B2367" t="s">
        <v>3291</v>
      </c>
      <c r="C2367" t="s">
        <v>7</v>
      </c>
      <c r="D2367" t="s">
        <v>14</v>
      </c>
      <c r="E2367" t="s">
        <v>3072</v>
      </c>
    </row>
    <row r="2368" spans="1:6" x14ac:dyDescent="0.25">
      <c r="A2368" t="str">
        <f>"223917677140"</f>
        <v>223917677140</v>
      </c>
      <c r="B2368" t="s">
        <v>3292</v>
      </c>
      <c r="C2368" t="s">
        <v>7</v>
      </c>
      <c r="D2368" t="s">
        <v>14</v>
      </c>
      <c r="E2368" t="s">
        <v>3072</v>
      </c>
    </row>
    <row r="2369" spans="1:6" x14ac:dyDescent="0.25">
      <c r="A2369" t="str">
        <f>"224201655877"</f>
        <v>224201655877</v>
      </c>
      <c r="B2369" t="s">
        <v>3293</v>
      </c>
      <c r="C2369" t="s">
        <v>7</v>
      </c>
      <c r="D2369" t="s">
        <v>14</v>
      </c>
      <c r="E2369" t="s">
        <v>3072</v>
      </c>
    </row>
    <row r="2370" spans="1:6" x14ac:dyDescent="0.25">
      <c r="A2370" t="str">
        <f>"224600469008"</f>
        <v>224600469008</v>
      </c>
      <c r="B2370" t="s">
        <v>3294</v>
      </c>
      <c r="C2370" t="s">
        <v>7</v>
      </c>
      <c r="D2370" t="s">
        <v>14</v>
      </c>
      <c r="E2370" t="s">
        <v>3072</v>
      </c>
    </row>
    <row r="2371" spans="1:6" x14ac:dyDescent="0.25">
      <c r="A2371" t="str">
        <f>"224800768460"</f>
        <v>224800768460</v>
      </c>
      <c r="B2371" t="s">
        <v>3295</v>
      </c>
      <c r="C2371" t="s">
        <v>7</v>
      </c>
      <c r="D2371" t="s">
        <v>14</v>
      </c>
      <c r="E2371" t="s">
        <v>3072</v>
      </c>
    </row>
    <row r="2372" spans="1:6" x14ac:dyDescent="0.25">
      <c r="A2372" t="str">
        <f>"224800926540"</f>
        <v>224800926540</v>
      </c>
      <c r="B2372" t="s">
        <v>3296</v>
      </c>
      <c r="C2372" t="s">
        <v>7</v>
      </c>
      <c r="D2372" t="s">
        <v>14</v>
      </c>
      <c r="E2372" t="s">
        <v>3072</v>
      </c>
    </row>
    <row r="2373" spans="1:6" x14ac:dyDescent="0.25">
      <c r="A2373" t="str">
        <f>"225500714995"</f>
        <v>225500714995</v>
      </c>
      <c r="B2373" t="s">
        <v>3297</v>
      </c>
      <c r="C2373" t="s">
        <v>7</v>
      </c>
      <c r="D2373" t="s">
        <v>14</v>
      </c>
      <c r="E2373" t="s">
        <v>3072</v>
      </c>
    </row>
    <row r="2374" spans="1:6" x14ac:dyDescent="0.25">
      <c r="A2374" t="str">
        <f>"2257000359"</f>
        <v>2257000359</v>
      </c>
      <c r="B2374" t="s">
        <v>3298</v>
      </c>
      <c r="C2374" t="s">
        <v>7</v>
      </c>
      <c r="D2374" t="s">
        <v>14</v>
      </c>
      <c r="E2374" t="s">
        <v>3072</v>
      </c>
      <c r="F2374" t="s">
        <v>3299</v>
      </c>
    </row>
    <row r="2375" spans="1:6" x14ac:dyDescent="0.25">
      <c r="A2375" t="str">
        <f>"225701166065"</f>
        <v>225701166065</v>
      </c>
      <c r="B2375" t="s">
        <v>3300</v>
      </c>
      <c r="C2375" t="s">
        <v>7</v>
      </c>
      <c r="D2375" t="s">
        <v>14</v>
      </c>
      <c r="E2375" t="s">
        <v>3072</v>
      </c>
    </row>
    <row r="2376" spans="1:6" x14ac:dyDescent="0.25">
      <c r="A2376" t="str">
        <f>"226600085005"</f>
        <v>226600085005</v>
      </c>
      <c r="B2376" t="s">
        <v>3301</v>
      </c>
      <c r="C2376" t="s">
        <v>7</v>
      </c>
      <c r="D2376" t="s">
        <v>14</v>
      </c>
      <c r="E2376" t="s">
        <v>3072</v>
      </c>
    </row>
    <row r="2377" spans="1:6" x14ac:dyDescent="0.25">
      <c r="A2377" t="str">
        <f>"226602262010"</f>
        <v>226602262010</v>
      </c>
      <c r="B2377" t="s">
        <v>3302</v>
      </c>
      <c r="C2377" t="s">
        <v>7</v>
      </c>
      <c r="D2377" t="s">
        <v>14</v>
      </c>
      <c r="E2377" t="s">
        <v>3072</v>
      </c>
    </row>
    <row r="2378" spans="1:6" x14ac:dyDescent="0.25">
      <c r="A2378" t="str">
        <f>"226602280474"</f>
        <v>226602280474</v>
      </c>
      <c r="B2378" t="s">
        <v>3303</v>
      </c>
      <c r="C2378" t="s">
        <v>7</v>
      </c>
      <c r="D2378" t="s">
        <v>14</v>
      </c>
      <c r="E2378" t="s">
        <v>3072</v>
      </c>
    </row>
    <row r="2379" spans="1:6" x14ac:dyDescent="0.25">
      <c r="A2379" t="str">
        <f>"226702042466"</f>
        <v>226702042466</v>
      </c>
      <c r="B2379" t="s">
        <v>3304</v>
      </c>
      <c r="C2379" t="s">
        <v>7</v>
      </c>
      <c r="D2379" t="s">
        <v>12</v>
      </c>
      <c r="E2379" t="s">
        <v>3072</v>
      </c>
    </row>
    <row r="2380" spans="1:6" x14ac:dyDescent="0.25">
      <c r="A2380" t="str">
        <f>"226800036446"</f>
        <v>226800036446</v>
      </c>
      <c r="B2380" t="s">
        <v>3305</v>
      </c>
      <c r="C2380" t="s">
        <v>7</v>
      </c>
      <c r="D2380" t="s">
        <v>14</v>
      </c>
      <c r="E2380" t="s">
        <v>3072</v>
      </c>
    </row>
    <row r="2381" spans="1:6" x14ac:dyDescent="0.25">
      <c r="A2381" t="str">
        <f>"2271003337"</f>
        <v>2271003337</v>
      </c>
      <c r="B2381" t="s">
        <v>3306</v>
      </c>
      <c r="C2381" t="s">
        <v>7</v>
      </c>
      <c r="D2381" t="s">
        <v>14</v>
      </c>
      <c r="E2381" t="s">
        <v>3072</v>
      </c>
      <c r="F2381" t="s">
        <v>3307</v>
      </c>
    </row>
    <row r="2382" spans="1:6" x14ac:dyDescent="0.25">
      <c r="A2382" t="str">
        <f>"227701330600"</f>
        <v>227701330600</v>
      </c>
      <c r="B2382" t="s">
        <v>3308</v>
      </c>
      <c r="C2382" t="s">
        <v>7</v>
      </c>
      <c r="D2382" t="s">
        <v>14</v>
      </c>
      <c r="E2382" t="s">
        <v>3072</v>
      </c>
    </row>
    <row r="2383" spans="1:6" x14ac:dyDescent="0.25">
      <c r="A2383" t="str">
        <f>"227710432817"</f>
        <v>227710432817</v>
      </c>
      <c r="B2383" t="s">
        <v>3309</v>
      </c>
      <c r="C2383" t="s">
        <v>7</v>
      </c>
      <c r="D2383" t="s">
        <v>14</v>
      </c>
      <c r="E2383" t="s">
        <v>3072</v>
      </c>
    </row>
    <row r="2384" spans="1:6" x14ac:dyDescent="0.25">
      <c r="A2384" t="str">
        <f>"040702848686"</f>
        <v>040702848686</v>
      </c>
      <c r="B2384" t="s">
        <v>3310</v>
      </c>
      <c r="C2384" t="s">
        <v>7</v>
      </c>
      <c r="D2384" t="s">
        <v>14</v>
      </c>
      <c r="E2384" t="s">
        <v>3072</v>
      </c>
    </row>
    <row r="2385" spans="1:6" x14ac:dyDescent="0.25">
      <c r="A2385" t="str">
        <f>"226600707707"</f>
        <v>226600707707</v>
      </c>
      <c r="B2385" t="s">
        <v>3311</v>
      </c>
      <c r="C2385" t="s">
        <v>7</v>
      </c>
      <c r="D2385" t="s">
        <v>14</v>
      </c>
      <c r="E2385" t="s">
        <v>3072</v>
      </c>
    </row>
    <row r="2386" spans="1:6" x14ac:dyDescent="0.25">
      <c r="A2386" t="str">
        <f>"226601978322"</f>
        <v>226601978322</v>
      </c>
      <c r="B2386" t="s">
        <v>3312</v>
      </c>
      <c r="C2386" t="s">
        <v>7</v>
      </c>
      <c r="D2386" t="s">
        <v>14</v>
      </c>
      <c r="E2386" t="s">
        <v>3072</v>
      </c>
    </row>
    <row r="2387" spans="1:6" x14ac:dyDescent="0.25">
      <c r="A2387" t="str">
        <f>"226702675740"</f>
        <v>226702675740</v>
      </c>
      <c r="B2387" t="s">
        <v>3313</v>
      </c>
      <c r="C2387" t="s">
        <v>7</v>
      </c>
      <c r="D2387" t="s">
        <v>14</v>
      </c>
      <c r="E2387" t="s">
        <v>3072</v>
      </c>
    </row>
    <row r="2388" spans="1:6" x14ac:dyDescent="0.25">
      <c r="A2388" t="str">
        <f>"228500634350"</f>
        <v>228500634350</v>
      </c>
      <c r="B2388" t="s">
        <v>3314</v>
      </c>
      <c r="C2388" t="s">
        <v>7</v>
      </c>
      <c r="D2388" t="s">
        <v>14</v>
      </c>
      <c r="E2388" t="s">
        <v>3072</v>
      </c>
    </row>
    <row r="2389" spans="1:6" x14ac:dyDescent="0.25">
      <c r="A2389" t="str">
        <f>"228700078090"</f>
        <v>228700078090</v>
      </c>
      <c r="B2389" t="s">
        <v>3315</v>
      </c>
      <c r="C2389" t="s">
        <v>7</v>
      </c>
      <c r="D2389" t="s">
        <v>14</v>
      </c>
      <c r="E2389" t="s">
        <v>3072</v>
      </c>
    </row>
    <row r="2390" spans="1:6" x14ac:dyDescent="0.25">
      <c r="A2390" t="str">
        <f>"220410574751"</f>
        <v>220410574751</v>
      </c>
      <c r="B2390" t="s">
        <v>3316</v>
      </c>
      <c r="C2390" t="s">
        <v>7</v>
      </c>
      <c r="D2390" t="s">
        <v>14</v>
      </c>
      <c r="E2390" t="s">
        <v>3072</v>
      </c>
    </row>
    <row r="2391" spans="1:6" x14ac:dyDescent="0.25">
      <c r="A2391" t="str">
        <f>"2206005091"</f>
        <v>2206005091</v>
      </c>
      <c r="B2391" t="s">
        <v>3317</v>
      </c>
      <c r="C2391" t="s">
        <v>7</v>
      </c>
      <c r="D2391" t="s">
        <v>14</v>
      </c>
      <c r="E2391" t="s">
        <v>3072</v>
      </c>
      <c r="F2391" t="s">
        <v>3318</v>
      </c>
    </row>
    <row r="2392" spans="1:6" x14ac:dyDescent="0.25">
      <c r="A2392" t="str">
        <f>"220700158640"</f>
        <v>220700158640</v>
      </c>
      <c r="B2392" t="s">
        <v>3319</v>
      </c>
      <c r="C2392" t="s">
        <v>7</v>
      </c>
      <c r="D2392" t="s">
        <v>14</v>
      </c>
      <c r="E2392" t="s">
        <v>3072</v>
      </c>
    </row>
    <row r="2393" spans="1:6" x14ac:dyDescent="0.25">
      <c r="A2393" t="str">
        <f>"220701271342"</f>
        <v>220701271342</v>
      </c>
      <c r="B2393" t="s">
        <v>3320</v>
      </c>
      <c r="C2393" t="s">
        <v>7</v>
      </c>
      <c r="D2393" t="s">
        <v>14</v>
      </c>
      <c r="E2393" t="s">
        <v>3072</v>
      </c>
    </row>
    <row r="2394" spans="1:6" x14ac:dyDescent="0.25">
      <c r="A2394" t="str">
        <f>"220703790047"</f>
        <v>220703790047</v>
      </c>
      <c r="B2394" t="s">
        <v>3321</v>
      </c>
      <c r="C2394" t="s">
        <v>7</v>
      </c>
      <c r="D2394" t="s">
        <v>14</v>
      </c>
      <c r="E2394" t="s">
        <v>3072</v>
      </c>
    </row>
    <row r="2395" spans="1:6" x14ac:dyDescent="0.25">
      <c r="A2395" t="str">
        <f>"220704840090"</f>
        <v>220704840090</v>
      </c>
      <c r="B2395" t="s">
        <v>3322</v>
      </c>
      <c r="C2395" t="s">
        <v>7</v>
      </c>
      <c r="D2395" t="s">
        <v>14</v>
      </c>
      <c r="E2395" t="s">
        <v>3072</v>
      </c>
    </row>
    <row r="2396" spans="1:6" x14ac:dyDescent="0.25">
      <c r="A2396" t="str">
        <f>"220803197271"</f>
        <v>220803197271</v>
      </c>
      <c r="B2396" t="s">
        <v>3323</v>
      </c>
      <c r="C2396" t="s">
        <v>7</v>
      </c>
      <c r="D2396" t="s">
        <v>14</v>
      </c>
      <c r="E2396" t="s">
        <v>3072</v>
      </c>
    </row>
    <row r="2397" spans="1:6" x14ac:dyDescent="0.25">
      <c r="A2397" t="str">
        <f>"220806083025"</f>
        <v>220806083025</v>
      </c>
      <c r="B2397" t="s">
        <v>3324</v>
      </c>
      <c r="C2397" t="s">
        <v>7</v>
      </c>
      <c r="D2397" t="s">
        <v>14</v>
      </c>
      <c r="E2397" t="s">
        <v>3072</v>
      </c>
    </row>
    <row r="2398" spans="1:6" x14ac:dyDescent="0.25">
      <c r="A2398" t="str">
        <f>"220807380373"</f>
        <v>220807380373</v>
      </c>
      <c r="B2398" t="s">
        <v>3325</v>
      </c>
      <c r="C2398" t="s">
        <v>7</v>
      </c>
      <c r="D2398" t="s">
        <v>33</v>
      </c>
      <c r="E2398" t="s">
        <v>3072</v>
      </c>
    </row>
    <row r="2399" spans="1:6" x14ac:dyDescent="0.25">
      <c r="A2399" t="str">
        <f>"220900154467"</f>
        <v>220900154467</v>
      </c>
      <c r="B2399" t="s">
        <v>3326</v>
      </c>
      <c r="C2399" t="s">
        <v>7</v>
      </c>
      <c r="D2399" t="s">
        <v>12</v>
      </c>
      <c r="E2399" t="s">
        <v>3072</v>
      </c>
    </row>
    <row r="2400" spans="1:6" x14ac:dyDescent="0.25">
      <c r="A2400" t="str">
        <f>"220900262470"</f>
        <v>220900262470</v>
      </c>
      <c r="B2400" t="s">
        <v>3327</v>
      </c>
      <c r="C2400" t="s">
        <v>7</v>
      </c>
      <c r="D2400" t="s">
        <v>14</v>
      </c>
      <c r="E2400" t="s">
        <v>3072</v>
      </c>
    </row>
    <row r="2401" spans="1:6" x14ac:dyDescent="0.25">
      <c r="A2401" t="str">
        <f>"220900520071"</f>
        <v>220900520071</v>
      </c>
      <c r="B2401" t="s">
        <v>3328</v>
      </c>
      <c r="C2401" t="s">
        <v>7</v>
      </c>
      <c r="D2401" t="s">
        <v>14</v>
      </c>
      <c r="E2401" t="s">
        <v>3072</v>
      </c>
    </row>
    <row r="2402" spans="1:6" x14ac:dyDescent="0.25">
      <c r="A2402" t="str">
        <f>"220902102538"</f>
        <v>220902102538</v>
      </c>
      <c r="B2402" t="s">
        <v>3329</v>
      </c>
      <c r="C2402" t="s">
        <v>7</v>
      </c>
      <c r="D2402" t="s">
        <v>12</v>
      </c>
      <c r="E2402" t="s">
        <v>3072</v>
      </c>
    </row>
    <row r="2403" spans="1:6" x14ac:dyDescent="0.25">
      <c r="A2403" t="str">
        <f>"220914061149"</f>
        <v>220914061149</v>
      </c>
      <c r="B2403" t="s">
        <v>3330</v>
      </c>
      <c r="C2403" t="s">
        <v>7</v>
      </c>
      <c r="D2403" t="s">
        <v>14</v>
      </c>
      <c r="E2403" t="s">
        <v>3072</v>
      </c>
    </row>
    <row r="2404" spans="1:6" x14ac:dyDescent="0.25">
      <c r="A2404" t="str">
        <f>"221000160646"</f>
        <v>221000160646</v>
      </c>
      <c r="B2404" t="s">
        <v>3331</v>
      </c>
      <c r="C2404" t="s">
        <v>7</v>
      </c>
      <c r="D2404" t="s">
        <v>14</v>
      </c>
      <c r="E2404" t="s">
        <v>3072</v>
      </c>
    </row>
    <row r="2405" spans="1:6" x14ac:dyDescent="0.25">
      <c r="A2405" t="str">
        <f>"221000239215"</f>
        <v>221000239215</v>
      </c>
      <c r="B2405" t="s">
        <v>3332</v>
      </c>
      <c r="C2405" t="s">
        <v>7</v>
      </c>
      <c r="D2405" t="s">
        <v>12</v>
      </c>
      <c r="E2405" t="s">
        <v>3072</v>
      </c>
    </row>
    <row r="2406" spans="1:6" x14ac:dyDescent="0.25">
      <c r="A2406" t="str">
        <f>"221002400029"</f>
        <v>221002400029</v>
      </c>
      <c r="B2406" t="s">
        <v>3333</v>
      </c>
      <c r="C2406" t="s">
        <v>7</v>
      </c>
      <c r="D2406" t="s">
        <v>14</v>
      </c>
      <c r="E2406" t="s">
        <v>3072</v>
      </c>
    </row>
    <row r="2407" spans="1:6" x14ac:dyDescent="0.25">
      <c r="A2407" t="str">
        <f>"221002723968"</f>
        <v>221002723968</v>
      </c>
      <c r="B2407" t="s">
        <v>3334</v>
      </c>
      <c r="C2407" t="s">
        <v>7</v>
      </c>
      <c r="D2407" t="s">
        <v>14</v>
      </c>
      <c r="E2407" t="s">
        <v>3072</v>
      </c>
    </row>
    <row r="2408" spans="1:6" x14ac:dyDescent="0.25">
      <c r="A2408" t="str">
        <f>"221100131293"</f>
        <v>221100131293</v>
      </c>
      <c r="B2408" t="s">
        <v>3335</v>
      </c>
      <c r="C2408" t="s">
        <v>7</v>
      </c>
      <c r="D2408" t="s">
        <v>14</v>
      </c>
      <c r="E2408" t="s">
        <v>3072</v>
      </c>
    </row>
    <row r="2409" spans="1:6" x14ac:dyDescent="0.25">
      <c r="A2409" t="str">
        <f>"222100644233"</f>
        <v>222100644233</v>
      </c>
      <c r="B2409" t="s">
        <v>3336</v>
      </c>
      <c r="C2409" t="s">
        <v>7</v>
      </c>
      <c r="D2409" t="s">
        <v>14</v>
      </c>
      <c r="E2409" t="s">
        <v>3072</v>
      </c>
    </row>
    <row r="2410" spans="1:6" x14ac:dyDescent="0.25">
      <c r="A2410" t="str">
        <f>"222100709314"</f>
        <v>222100709314</v>
      </c>
      <c r="B2410" t="s">
        <v>3337</v>
      </c>
      <c r="C2410" t="s">
        <v>7</v>
      </c>
      <c r="D2410" t="s">
        <v>14</v>
      </c>
      <c r="E2410" t="s">
        <v>3072</v>
      </c>
    </row>
    <row r="2411" spans="1:6" x14ac:dyDescent="0.25">
      <c r="A2411" t="str">
        <f>"222101030300"</f>
        <v>222101030300</v>
      </c>
      <c r="B2411" t="s">
        <v>3338</v>
      </c>
      <c r="C2411" t="s">
        <v>7</v>
      </c>
      <c r="D2411" t="s">
        <v>14</v>
      </c>
      <c r="E2411" t="s">
        <v>3072</v>
      </c>
    </row>
    <row r="2412" spans="1:6" x14ac:dyDescent="0.25">
      <c r="A2412" t="str">
        <f>"2221054030"</f>
        <v>2221054030</v>
      </c>
      <c r="B2412" t="s">
        <v>3339</v>
      </c>
      <c r="C2412" t="s">
        <v>7</v>
      </c>
      <c r="D2412" t="s">
        <v>12</v>
      </c>
      <c r="E2412" t="s">
        <v>3072</v>
      </c>
      <c r="F2412" t="s">
        <v>3340</v>
      </c>
    </row>
    <row r="2413" spans="1:6" x14ac:dyDescent="0.25">
      <c r="A2413" t="str">
        <f>"222109162763"</f>
        <v>222109162763</v>
      </c>
      <c r="B2413" t="s">
        <v>3341</v>
      </c>
      <c r="C2413" t="s">
        <v>7</v>
      </c>
      <c r="D2413" t="s">
        <v>14</v>
      </c>
      <c r="E2413" t="s">
        <v>3072</v>
      </c>
    </row>
    <row r="2414" spans="1:6" x14ac:dyDescent="0.25">
      <c r="A2414" t="str">
        <f>"222109216391"</f>
        <v>222109216391</v>
      </c>
      <c r="B2414" t="s">
        <v>3342</v>
      </c>
      <c r="C2414" t="s">
        <v>7</v>
      </c>
      <c r="D2414" t="s">
        <v>14</v>
      </c>
      <c r="E2414" t="s">
        <v>3072</v>
      </c>
    </row>
    <row r="2415" spans="1:6" x14ac:dyDescent="0.25">
      <c r="A2415" t="str">
        <f>"2221198320"</f>
        <v>2221198320</v>
      </c>
      <c r="B2415" t="s">
        <v>3343</v>
      </c>
      <c r="C2415" t="s">
        <v>7</v>
      </c>
      <c r="D2415" t="s">
        <v>12</v>
      </c>
      <c r="E2415" t="s">
        <v>3072</v>
      </c>
      <c r="F2415" t="s">
        <v>3344</v>
      </c>
    </row>
    <row r="2416" spans="1:6" x14ac:dyDescent="0.25">
      <c r="A2416" t="str">
        <f>"2221235830"</f>
        <v>2221235830</v>
      </c>
      <c r="B2416" t="s">
        <v>3345</v>
      </c>
      <c r="C2416" t="s">
        <v>7</v>
      </c>
      <c r="D2416" t="s">
        <v>33</v>
      </c>
      <c r="E2416" t="s">
        <v>3072</v>
      </c>
      <c r="F2416" t="s">
        <v>3346</v>
      </c>
    </row>
    <row r="2417" spans="1:6" x14ac:dyDescent="0.25">
      <c r="A2417" t="str">
        <f>"2222004313"</f>
        <v>2222004313</v>
      </c>
      <c r="B2417" t="s">
        <v>3347</v>
      </c>
      <c r="C2417" t="s">
        <v>7</v>
      </c>
      <c r="D2417" t="s">
        <v>33</v>
      </c>
      <c r="E2417" t="s">
        <v>3072</v>
      </c>
      <c r="F2417" t="s">
        <v>3348</v>
      </c>
    </row>
    <row r="2418" spans="1:6" x14ac:dyDescent="0.25">
      <c r="A2418" t="str">
        <f>"2222040103"</f>
        <v>2222040103</v>
      </c>
      <c r="B2418" t="s">
        <v>3349</v>
      </c>
      <c r="C2418" t="s">
        <v>7</v>
      </c>
      <c r="D2418" t="s">
        <v>12</v>
      </c>
      <c r="E2418" t="s">
        <v>3072</v>
      </c>
      <c r="F2418" t="s">
        <v>3350</v>
      </c>
    </row>
    <row r="2419" spans="1:6" x14ac:dyDescent="0.25">
      <c r="A2419" t="str">
        <f>"222206639096"</f>
        <v>222206639096</v>
      </c>
      <c r="B2419" t="s">
        <v>3351</v>
      </c>
      <c r="C2419" t="s">
        <v>7</v>
      </c>
      <c r="D2419" t="s">
        <v>12</v>
      </c>
      <c r="E2419" t="s">
        <v>3072</v>
      </c>
    </row>
    <row r="2420" spans="1:6" x14ac:dyDescent="0.25">
      <c r="A2420" t="str">
        <f>"2222075681"</f>
        <v>2222075681</v>
      </c>
      <c r="B2420" t="s">
        <v>3352</v>
      </c>
      <c r="C2420" t="s">
        <v>7</v>
      </c>
      <c r="D2420" t="s">
        <v>12</v>
      </c>
      <c r="E2420" t="s">
        <v>3072</v>
      </c>
      <c r="F2420" t="s">
        <v>3353</v>
      </c>
    </row>
    <row r="2421" spans="1:6" x14ac:dyDescent="0.25">
      <c r="A2421" t="str">
        <f>"222212099201"</f>
        <v>222212099201</v>
      </c>
      <c r="B2421" t="s">
        <v>3354</v>
      </c>
      <c r="C2421" t="s">
        <v>7</v>
      </c>
      <c r="D2421" t="s">
        <v>14</v>
      </c>
      <c r="E2421" t="s">
        <v>3072</v>
      </c>
    </row>
    <row r="2422" spans="1:6" x14ac:dyDescent="0.25">
      <c r="A2422" t="str">
        <f>"2222795030"</f>
        <v>2222795030</v>
      </c>
      <c r="B2422" t="s">
        <v>3355</v>
      </c>
      <c r="C2422" t="s">
        <v>7</v>
      </c>
      <c r="D2422" t="s">
        <v>8</v>
      </c>
      <c r="E2422" t="s">
        <v>3072</v>
      </c>
      <c r="F2422" t="s">
        <v>3356</v>
      </c>
    </row>
    <row r="2423" spans="1:6" x14ac:dyDescent="0.25">
      <c r="A2423" t="str">
        <f>"2222799589"</f>
        <v>2222799589</v>
      </c>
      <c r="B2423" t="s">
        <v>3357</v>
      </c>
      <c r="C2423" t="s">
        <v>7</v>
      </c>
      <c r="D2423" t="s">
        <v>33</v>
      </c>
      <c r="E2423" t="s">
        <v>3072</v>
      </c>
      <c r="F2423" t="s">
        <v>3145</v>
      </c>
    </row>
    <row r="2424" spans="1:6" x14ac:dyDescent="0.25">
      <c r="A2424" t="str">
        <f>"2222800629"</f>
        <v>2222800629</v>
      </c>
      <c r="B2424" t="s">
        <v>757</v>
      </c>
      <c r="C2424" t="s">
        <v>7</v>
      </c>
      <c r="D2424" t="s">
        <v>12</v>
      </c>
      <c r="E2424" t="s">
        <v>3072</v>
      </c>
      <c r="F2424" t="s">
        <v>3358</v>
      </c>
    </row>
    <row r="2425" spans="1:6" x14ac:dyDescent="0.25">
      <c r="A2425" t="str">
        <f>"2222824940"</f>
        <v>2222824940</v>
      </c>
      <c r="B2425" t="s">
        <v>3359</v>
      </c>
      <c r="C2425" t="s">
        <v>7</v>
      </c>
      <c r="D2425" t="s">
        <v>8</v>
      </c>
      <c r="E2425" t="s">
        <v>3072</v>
      </c>
      <c r="F2425" t="s">
        <v>3360</v>
      </c>
    </row>
    <row r="2426" spans="1:6" x14ac:dyDescent="0.25">
      <c r="A2426" t="str">
        <f>"2222848726"</f>
        <v>2222848726</v>
      </c>
      <c r="B2426" t="s">
        <v>1622</v>
      </c>
      <c r="C2426" t="s">
        <v>7</v>
      </c>
      <c r="D2426" t="s">
        <v>12</v>
      </c>
      <c r="E2426" t="s">
        <v>3072</v>
      </c>
      <c r="F2426" t="s">
        <v>3361</v>
      </c>
    </row>
    <row r="2427" spans="1:6" x14ac:dyDescent="0.25">
      <c r="A2427" t="str">
        <f>"2222861727"</f>
        <v>2222861727</v>
      </c>
      <c r="B2427" t="s">
        <v>3362</v>
      </c>
      <c r="C2427" t="s">
        <v>7</v>
      </c>
      <c r="D2427" t="s">
        <v>12</v>
      </c>
      <c r="E2427" t="s">
        <v>3072</v>
      </c>
      <c r="F2427" t="s">
        <v>3363</v>
      </c>
    </row>
    <row r="2428" spans="1:6" x14ac:dyDescent="0.25">
      <c r="A2428" t="str">
        <f>"2222873641"</f>
        <v>2222873641</v>
      </c>
      <c r="B2428" t="s">
        <v>3364</v>
      </c>
      <c r="C2428" t="s">
        <v>7</v>
      </c>
      <c r="D2428" t="s">
        <v>12</v>
      </c>
      <c r="E2428" t="s">
        <v>3072</v>
      </c>
      <c r="F2428" t="s">
        <v>3346</v>
      </c>
    </row>
    <row r="2429" spans="1:6" x14ac:dyDescent="0.25">
      <c r="A2429" t="str">
        <f>"2222896247"</f>
        <v>2222896247</v>
      </c>
      <c r="B2429" t="s">
        <v>3365</v>
      </c>
      <c r="C2429" t="s">
        <v>7</v>
      </c>
      <c r="D2429" t="s">
        <v>12</v>
      </c>
      <c r="E2429" t="s">
        <v>3072</v>
      </c>
      <c r="F2429" t="s">
        <v>3366</v>
      </c>
    </row>
    <row r="2430" spans="1:6" x14ac:dyDescent="0.25">
      <c r="A2430" t="str">
        <f>"2222900084"</f>
        <v>2222900084</v>
      </c>
      <c r="B2430" t="s">
        <v>3367</v>
      </c>
      <c r="C2430" t="s">
        <v>7</v>
      </c>
      <c r="D2430" t="s">
        <v>33</v>
      </c>
      <c r="E2430" t="s">
        <v>3072</v>
      </c>
      <c r="F2430" t="s">
        <v>3368</v>
      </c>
    </row>
    <row r="2431" spans="1:6" x14ac:dyDescent="0.25">
      <c r="A2431" t="str">
        <f>"222300082408"</f>
        <v>222300082408</v>
      </c>
      <c r="B2431" t="s">
        <v>3369</v>
      </c>
      <c r="C2431" t="s">
        <v>7</v>
      </c>
      <c r="D2431" t="s">
        <v>33</v>
      </c>
      <c r="E2431" t="s">
        <v>3072</v>
      </c>
    </row>
    <row r="2432" spans="1:6" x14ac:dyDescent="0.25">
      <c r="A2432" t="str">
        <f>"222306810614"</f>
        <v>222306810614</v>
      </c>
      <c r="B2432" t="s">
        <v>3370</v>
      </c>
      <c r="C2432" t="s">
        <v>7</v>
      </c>
      <c r="D2432" t="s">
        <v>14</v>
      </c>
      <c r="E2432" t="s">
        <v>3072</v>
      </c>
    </row>
    <row r="2433" spans="1:6" x14ac:dyDescent="0.25">
      <c r="A2433" t="str">
        <f>"222312222794"</f>
        <v>222312222794</v>
      </c>
      <c r="B2433" t="s">
        <v>3371</v>
      </c>
      <c r="C2433" t="s">
        <v>7</v>
      </c>
      <c r="D2433" t="s">
        <v>12</v>
      </c>
      <c r="E2433" t="s">
        <v>3072</v>
      </c>
    </row>
    <row r="2434" spans="1:6" x14ac:dyDescent="0.25">
      <c r="A2434" t="str">
        <f>"222331369633"</f>
        <v>222331369633</v>
      </c>
      <c r="B2434" t="s">
        <v>3372</v>
      </c>
      <c r="C2434" t="s">
        <v>7</v>
      </c>
      <c r="D2434" t="s">
        <v>14</v>
      </c>
      <c r="E2434" t="s">
        <v>3072</v>
      </c>
    </row>
    <row r="2435" spans="1:6" x14ac:dyDescent="0.25">
      <c r="A2435" t="str">
        <f>"2223581225"</f>
        <v>2223581225</v>
      </c>
      <c r="B2435" t="s">
        <v>3373</v>
      </c>
      <c r="C2435" t="s">
        <v>7</v>
      </c>
      <c r="D2435" t="s">
        <v>14</v>
      </c>
      <c r="E2435" t="s">
        <v>3072</v>
      </c>
      <c r="F2435" t="s">
        <v>3374</v>
      </c>
    </row>
    <row r="2436" spans="1:6" x14ac:dyDescent="0.25">
      <c r="A2436" t="str">
        <f>"2223639059"</f>
        <v>2223639059</v>
      </c>
      <c r="B2436" t="s">
        <v>3375</v>
      </c>
      <c r="C2436" t="s">
        <v>7</v>
      </c>
      <c r="D2436" t="s">
        <v>674</v>
      </c>
      <c r="E2436" t="s">
        <v>3072</v>
      </c>
      <c r="F2436" t="s">
        <v>3376</v>
      </c>
    </row>
    <row r="2437" spans="1:6" x14ac:dyDescent="0.25">
      <c r="A2437" t="str">
        <f>"2224057504"</f>
        <v>2224057504</v>
      </c>
      <c r="B2437" t="s">
        <v>3377</v>
      </c>
      <c r="C2437" t="s">
        <v>7</v>
      </c>
      <c r="D2437" t="s">
        <v>12</v>
      </c>
      <c r="E2437" t="s">
        <v>3072</v>
      </c>
      <c r="F2437" t="s">
        <v>3378</v>
      </c>
    </row>
    <row r="2438" spans="1:6" x14ac:dyDescent="0.25">
      <c r="A2438" t="str">
        <f>"2224105363"</f>
        <v>2224105363</v>
      </c>
      <c r="B2438" t="s">
        <v>3379</v>
      </c>
      <c r="C2438" t="s">
        <v>7</v>
      </c>
      <c r="D2438" t="s">
        <v>12</v>
      </c>
      <c r="E2438" t="s">
        <v>3072</v>
      </c>
      <c r="F2438" t="s">
        <v>3380</v>
      </c>
    </row>
    <row r="2439" spans="1:6" x14ac:dyDescent="0.25">
      <c r="A2439" t="str">
        <f>"2224119493"</f>
        <v>2224119493</v>
      </c>
      <c r="B2439" t="s">
        <v>3381</v>
      </c>
      <c r="C2439" t="s">
        <v>7</v>
      </c>
      <c r="D2439" t="s">
        <v>12</v>
      </c>
      <c r="E2439" t="s">
        <v>3072</v>
      </c>
      <c r="F2439" t="s">
        <v>3382</v>
      </c>
    </row>
    <row r="2440" spans="1:6" x14ac:dyDescent="0.25">
      <c r="A2440" t="str">
        <f>"2224171253"</f>
        <v>2224171253</v>
      </c>
      <c r="B2440" t="s">
        <v>3383</v>
      </c>
      <c r="C2440" t="s">
        <v>7</v>
      </c>
      <c r="D2440" t="s">
        <v>12</v>
      </c>
      <c r="E2440" t="s">
        <v>3072</v>
      </c>
      <c r="F2440" t="s">
        <v>3384</v>
      </c>
    </row>
    <row r="2441" spans="1:6" x14ac:dyDescent="0.25">
      <c r="A2441" t="str">
        <f>"222500253403"</f>
        <v>222500253403</v>
      </c>
      <c r="B2441" t="s">
        <v>3385</v>
      </c>
      <c r="C2441" t="s">
        <v>7</v>
      </c>
      <c r="D2441" t="s">
        <v>14</v>
      </c>
      <c r="E2441" t="s">
        <v>3072</v>
      </c>
    </row>
    <row r="2442" spans="1:6" x14ac:dyDescent="0.25">
      <c r="A2442" t="str">
        <f>"222502343363"</f>
        <v>222502343363</v>
      </c>
      <c r="B2442" t="s">
        <v>3386</v>
      </c>
      <c r="C2442" t="s">
        <v>7</v>
      </c>
      <c r="D2442" t="s">
        <v>14</v>
      </c>
      <c r="E2442" t="s">
        <v>3072</v>
      </c>
    </row>
    <row r="2443" spans="1:6" x14ac:dyDescent="0.25">
      <c r="A2443" t="str">
        <f>"0411175409"</f>
        <v>0411175409</v>
      </c>
      <c r="B2443" t="s">
        <v>3387</v>
      </c>
      <c r="C2443" t="s">
        <v>7</v>
      </c>
      <c r="D2443" t="s">
        <v>12</v>
      </c>
      <c r="E2443" t="s">
        <v>3072</v>
      </c>
      <c r="F2443" t="s">
        <v>3361</v>
      </c>
    </row>
    <row r="2444" spans="1:6" x14ac:dyDescent="0.25">
      <c r="A2444" t="str">
        <f>"2225093262"</f>
        <v>2225093262</v>
      </c>
      <c r="B2444" t="s">
        <v>3388</v>
      </c>
      <c r="C2444" t="s">
        <v>7</v>
      </c>
      <c r="D2444" t="s">
        <v>12</v>
      </c>
      <c r="E2444" t="s">
        <v>3072</v>
      </c>
      <c r="F2444" t="s">
        <v>3389</v>
      </c>
    </row>
    <row r="2445" spans="1:6" x14ac:dyDescent="0.25">
      <c r="A2445" t="str">
        <f>"2225154878"</f>
        <v>2225154878</v>
      </c>
      <c r="B2445" t="s">
        <v>3390</v>
      </c>
      <c r="C2445" t="s">
        <v>7</v>
      </c>
      <c r="D2445" t="s">
        <v>14</v>
      </c>
      <c r="E2445" t="s">
        <v>3072</v>
      </c>
      <c r="F2445" t="s">
        <v>3391</v>
      </c>
    </row>
    <row r="2446" spans="1:6" x14ac:dyDescent="0.25">
      <c r="A2446" t="str">
        <f>"2225156000"</f>
        <v>2225156000</v>
      </c>
      <c r="B2446" t="s">
        <v>450</v>
      </c>
      <c r="C2446" t="s">
        <v>7</v>
      </c>
      <c r="D2446" t="s">
        <v>14</v>
      </c>
      <c r="E2446" t="s">
        <v>3072</v>
      </c>
      <c r="F2446" t="s">
        <v>3392</v>
      </c>
    </row>
    <row r="2447" spans="1:6" x14ac:dyDescent="0.25">
      <c r="A2447" t="str">
        <f>"2225228167"</f>
        <v>2225228167</v>
      </c>
      <c r="B2447" t="s">
        <v>3393</v>
      </c>
      <c r="C2447" t="s">
        <v>7</v>
      </c>
      <c r="D2447" t="s">
        <v>33</v>
      </c>
      <c r="E2447" t="s">
        <v>3072</v>
      </c>
      <c r="F2447" t="s">
        <v>3394</v>
      </c>
    </row>
    <row r="2448" spans="1:6" x14ac:dyDescent="0.25">
      <c r="A2448" t="str">
        <f>"223200867651"</f>
        <v>223200867651</v>
      </c>
      <c r="B2448" t="s">
        <v>3395</v>
      </c>
      <c r="C2448" t="s">
        <v>7</v>
      </c>
      <c r="D2448" t="s">
        <v>14</v>
      </c>
      <c r="E2448" t="s">
        <v>3072</v>
      </c>
    </row>
    <row r="2449" spans="1:6" x14ac:dyDescent="0.25">
      <c r="A2449" t="str">
        <f>"2234010368"</f>
        <v>2234010368</v>
      </c>
      <c r="B2449" t="s">
        <v>3396</v>
      </c>
      <c r="C2449" t="s">
        <v>7</v>
      </c>
      <c r="D2449" t="s">
        <v>12</v>
      </c>
      <c r="E2449" t="s">
        <v>3072</v>
      </c>
      <c r="F2449" t="s">
        <v>3397</v>
      </c>
    </row>
    <row r="2450" spans="1:6" x14ac:dyDescent="0.25">
      <c r="A2450" t="str">
        <f>"223402981727"</f>
        <v>223402981727</v>
      </c>
      <c r="B2450" t="s">
        <v>3398</v>
      </c>
      <c r="C2450" t="s">
        <v>7</v>
      </c>
      <c r="D2450" t="s">
        <v>14</v>
      </c>
      <c r="E2450" t="s">
        <v>3072</v>
      </c>
    </row>
    <row r="2451" spans="1:6" x14ac:dyDescent="0.25">
      <c r="A2451" t="str">
        <f>"223501679725"</f>
        <v>223501679725</v>
      </c>
      <c r="B2451" t="s">
        <v>3399</v>
      </c>
      <c r="C2451" t="s">
        <v>7</v>
      </c>
      <c r="D2451" t="s">
        <v>14</v>
      </c>
      <c r="E2451" t="s">
        <v>3072</v>
      </c>
    </row>
    <row r="2452" spans="1:6" x14ac:dyDescent="0.25">
      <c r="A2452" t="str">
        <f>"223601195206"</f>
        <v>223601195206</v>
      </c>
      <c r="B2452" t="s">
        <v>3400</v>
      </c>
      <c r="C2452" t="s">
        <v>7</v>
      </c>
      <c r="D2452" t="s">
        <v>586</v>
      </c>
      <c r="E2452" t="s">
        <v>3072</v>
      </c>
    </row>
    <row r="2453" spans="1:6" x14ac:dyDescent="0.25">
      <c r="A2453" t="str">
        <f>"224001660781"</f>
        <v>224001660781</v>
      </c>
      <c r="B2453" t="s">
        <v>3401</v>
      </c>
      <c r="C2453" t="s">
        <v>7</v>
      </c>
      <c r="D2453" t="s">
        <v>14</v>
      </c>
      <c r="E2453" t="s">
        <v>3072</v>
      </c>
    </row>
    <row r="2454" spans="1:6" x14ac:dyDescent="0.25">
      <c r="A2454" t="str">
        <f>"224200717489"</f>
        <v>224200717489</v>
      </c>
      <c r="B2454" t="s">
        <v>3402</v>
      </c>
      <c r="C2454" t="s">
        <v>7</v>
      </c>
      <c r="D2454" t="s">
        <v>14</v>
      </c>
      <c r="E2454" t="s">
        <v>3072</v>
      </c>
    </row>
    <row r="2455" spans="1:6" x14ac:dyDescent="0.25">
      <c r="A2455" t="str">
        <f>"224210008450"</f>
        <v>224210008450</v>
      </c>
      <c r="B2455" t="s">
        <v>3403</v>
      </c>
      <c r="C2455" t="s">
        <v>7</v>
      </c>
      <c r="D2455" t="s">
        <v>14</v>
      </c>
      <c r="E2455" t="s">
        <v>3072</v>
      </c>
    </row>
    <row r="2456" spans="1:6" x14ac:dyDescent="0.25">
      <c r="A2456" t="str">
        <f>"2244003521"</f>
        <v>2244003521</v>
      </c>
      <c r="B2456" t="s">
        <v>1717</v>
      </c>
      <c r="C2456" t="s">
        <v>7</v>
      </c>
      <c r="D2456" t="s">
        <v>14</v>
      </c>
      <c r="E2456" t="s">
        <v>3072</v>
      </c>
      <c r="F2456" t="s">
        <v>3404</v>
      </c>
    </row>
    <row r="2457" spans="1:6" x14ac:dyDescent="0.25">
      <c r="A2457" t="str">
        <f>"224801033451"</f>
        <v>224801033451</v>
      </c>
      <c r="B2457" t="s">
        <v>3405</v>
      </c>
      <c r="C2457" t="s">
        <v>7</v>
      </c>
      <c r="D2457" t="s">
        <v>14</v>
      </c>
      <c r="E2457" t="s">
        <v>3072</v>
      </c>
    </row>
    <row r="2458" spans="1:6" x14ac:dyDescent="0.25">
      <c r="A2458" t="str">
        <f>"224801314484"</f>
        <v>224801314484</v>
      </c>
      <c r="B2458" t="s">
        <v>3406</v>
      </c>
      <c r="C2458" t="s">
        <v>7</v>
      </c>
      <c r="D2458" t="s">
        <v>12</v>
      </c>
      <c r="E2458" t="s">
        <v>3072</v>
      </c>
    </row>
    <row r="2459" spans="1:6" x14ac:dyDescent="0.25">
      <c r="A2459" t="str">
        <f>"225011284633"</f>
        <v>225011284633</v>
      </c>
      <c r="B2459" t="s">
        <v>3407</v>
      </c>
      <c r="C2459" t="s">
        <v>7</v>
      </c>
      <c r="D2459" t="s">
        <v>14</v>
      </c>
      <c r="E2459" t="s">
        <v>3072</v>
      </c>
    </row>
    <row r="2460" spans="1:6" x14ac:dyDescent="0.25">
      <c r="A2460" t="str">
        <f>"225501476912"</f>
        <v>225501476912</v>
      </c>
      <c r="B2460" t="s">
        <v>3408</v>
      </c>
      <c r="C2460" t="s">
        <v>7</v>
      </c>
      <c r="D2460" t="s">
        <v>14</v>
      </c>
      <c r="E2460" t="s">
        <v>3072</v>
      </c>
    </row>
    <row r="2461" spans="1:6" x14ac:dyDescent="0.25">
      <c r="A2461" t="str">
        <f>"2256008267"</f>
        <v>2256008267</v>
      </c>
      <c r="B2461" t="s">
        <v>3409</v>
      </c>
      <c r="C2461" t="s">
        <v>7</v>
      </c>
      <c r="D2461" t="s">
        <v>674</v>
      </c>
      <c r="E2461" t="s">
        <v>3072</v>
      </c>
      <c r="F2461" t="s">
        <v>3410</v>
      </c>
    </row>
    <row r="2462" spans="1:6" x14ac:dyDescent="0.25">
      <c r="A2462" t="str">
        <f>"225700941272"</f>
        <v>225700941272</v>
      </c>
      <c r="B2462" t="s">
        <v>3411</v>
      </c>
      <c r="C2462" t="s">
        <v>7</v>
      </c>
      <c r="D2462" t="s">
        <v>14</v>
      </c>
      <c r="E2462" t="s">
        <v>3072</v>
      </c>
    </row>
    <row r="2463" spans="1:6" x14ac:dyDescent="0.25">
      <c r="A2463" t="str">
        <f>"226450228910"</f>
        <v>226450228910</v>
      </c>
      <c r="B2463" t="s">
        <v>3412</v>
      </c>
      <c r="C2463" t="s">
        <v>7</v>
      </c>
      <c r="D2463" t="s">
        <v>12</v>
      </c>
      <c r="E2463" t="s">
        <v>3072</v>
      </c>
    </row>
    <row r="2464" spans="1:6" x14ac:dyDescent="0.25">
      <c r="A2464" t="str">
        <f>"226800031790"</f>
        <v>226800031790</v>
      </c>
      <c r="B2464" t="s">
        <v>3413</v>
      </c>
      <c r="C2464" t="s">
        <v>7</v>
      </c>
      <c r="D2464" t="s">
        <v>14</v>
      </c>
      <c r="E2464" t="s">
        <v>3072</v>
      </c>
    </row>
    <row r="2465" spans="1:6" x14ac:dyDescent="0.25">
      <c r="A2465" t="str">
        <f>"227201594644"</f>
        <v>227201594644</v>
      </c>
      <c r="B2465" t="s">
        <v>3414</v>
      </c>
      <c r="C2465" t="s">
        <v>7</v>
      </c>
      <c r="D2465" t="s">
        <v>14</v>
      </c>
      <c r="E2465" t="s">
        <v>3072</v>
      </c>
    </row>
    <row r="2466" spans="1:6" x14ac:dyDescent="0.25">
      <c r="A2466" t="str">
        <f>"228000074742"</f>
        <v>228000074742</v>
      </c>
      <c r="B2466" t="s">
        <v>3415</v>
      </c>
      <c r="C2466" t="s">
        <v>7</v>
      </c>
      <c r="D2466" t="s">
        <v>14</v>
      </c>
      <c r="E2466" t="s">
        <v>3072</v>
      </c>
    </row>
    <row r="2467" spans="1:6" x14ac:dyDescent="0.25">
      <c r="A2467" t="str">
        <f>"228394538331"</f>
        <v>228394538331</v>
      </c>
      <c r="B2467" t="s">
        <v>3416</v>
      </c>
      <c r="C2467" t="s">
        <v>7</v>
      </c>
      <c r="D2467" t="s">
        <v>14</v>
      </c>
      <c r="E2467" t="s">
        <v>3072</v>
      </c>
    </row>
    <row r="2468" spans="1:6" x14ac:dyDescent="0.25">
      <c r="A2468" t="str">
        <f>"228601694620"</f>
        <v>228601694620</v>
      </c>
      <c r="B2468" t="s">
        <v>3417</v>
      </c>
      <c r="C2468" t="s">
        <v>7</v>
      </c>
      <c r="D2468" t="s">
        <v>14</v>
      </c>
      <c r="E2468" t="s">
        <v>3072</v>
      </c>
    </row>
    <row r="2469" spans="1:6" x14ac:dyDescent="0.25">
      <c r="A2469" t="str">
        <f>"228800003123"</f>
        <v>228800003123</v>
      </c>
      <c r="B2469" t="s">
        <v>3418</v>
      </c>
      <c r="C2469" t="s">
        <v>7</v>
      </c>
      <c r="D2469" t="s">
        <v>14</v>
      </c>
      <c r="E2469" t="s">
        <v>3072</v>
      </c>
    </row>
    <row r="2470" spans="1:6" x14ac:dyDescent="0.25">
      <c r="A2470" t="str">
        <f>"228800031699"</f>
        <v>228800031699</v>
      </c>
      <c r="B2470" t="s">
        <v>3419</v>
      </c>
      <c r="C2470" t="s">
        <v>7</v>
      </c>
      <c r="D2470" t="s">
        <v>14</v>
      </c>
      <c r="E2470" t="s">
        <v>3072</v>
      </c>
    </row>
    <row r="2471" spans="1:6" x14ac:dyDescent="0.25">
      <c r="A2471" t="str">
        <f>"228901443459"</f>
        <v>228901443459</v>
      </c>
      <c r="B2471" t="s">
        <v>3420</v>
      </c>
      <c r="C2471" t="s">
        <v>7</v>
      </c>
      <c r="D2471" t="s">
        <v>14</v>
      </c>
      <c r="E2471" t="s">
        <v>3072</v>
      </c>
    </row>
    <row r="2472" spans="1:6" x14ac:dyDescent="0.25">
      <c r="A2472" t="str">
        <f>"228999256893"</f>
        <v>228999256893</v>
      </c>
      <c r="B2472" t="s">
        <v>3421</v>
      </c>
      <c r="C2472" t="s">
        <v>7</v>
      </c>
      <c r="D2472" t="s">
        <v>14</v>
      </c>
      <c r="E2472" t="s">
        <v>3072</v>
      </c>
    </row>
    <row r="2473" spans="1:6" x14ac:dyDescent="0.25">
      <c r="A2473" t="str">
        <f>"2290000194"</f>
        <v>2290000194</v>
      </c>
      <c r="B2473" t="s">
        <v>3422</v>
      </c>
      <c r="C2473" t="s">
        <v>7</v>
      </c>
      <c r="D2473" t="s">
        <v>14</v>
      </c>
      <c r="E2473" t="s">
        <v>3072</v>
      </c>
      <c r="F2473" t="s">
        <v>3423</v>
      </c>
    </row>
    <row r="2474" spans="1:6" x14ac:dyDescent="0.25">
      <c r="A2474" t="str">
        <f>"2225091018"</f>
        <v>2225091018</v>
      </c>
      <c r="B2474" t="s">
        <v>3424</v>
      </c>
      <c r="C2474" t="s">
        <v>7</v>
      </c>
      <c r="D2474" t="s">
        <v>14</v>
      </c>
      <c r="E2474" t="s">
        <v>3072</v>
      </c>
      <c r="F2474" t="s">
        <v>3425</v>
      </c>
    </row>
    <row r="2475" spans="1:6" x14ac:dyDescent="0.25">
      <c r="A2475" t="str">
        <f>"2225180388"</f>
        <v>2225180388</v>
      </c>
      <c r="B2475" t="s">
        <v>3426</v>
      </c>
      <c r="C2475" t="s">
        <v>7</v>
      </c>
      <c r="D2475" t="s">
        <v>12</v>
      </c>
      <c r="E2475" t="s">
        <v>3072</v>
      </c>
      <c r="F2475" t="s">
        <v>3427</v>
      </c>
    </row>
    <row r="2476" spans="1:6" x14ac:dyDescent="0.25">
      <c r="A2476" t="str">
        <f>"2225232371"</f>
        <v>2225232371</v>
      </c>
      <c r="B2476" t="s">
        <v>3428</v>
      </c>
      <c r="C2476" t="s">
        <v>7</v>
      </c>
      <c r="D2476" t="s">
        <v>14</v>
      </c>
      <c r="E2476" t="s">
        <v>3072</v>
      </c>
      <c r="F2476" t="s">
        <v>3429</v>
      </c>
    </row>
    <row r="2477" spans="1:6" x14ac:dyDescent="0.25">
      <c r="A2477" t="str">
        <f>"223800140032"</f>
        <v>223800140032</v>
      </c>
      <c r="B2477" t="s">
        <v>3430</v>
      </c>
      <c r="C2477" t="s">
        <v>7</v>
      </c>
      <c r="D2477" t="s">
        <v>14</v>
      </c>
      <c r="E2477" t="s">
        <v>3072</v>
      </c>
    </row>
    <row r="2478" spans="1:6" x14ac:dyDescent="0.25">
      <c r="A2478" t="str">
        <f>"2239003100"</f>
        <v>2239003100</v>
      </c>
      <c r="B2478" t="s">
        <v>3431</v>
      </c>
      <c r="C2478" t="s">
        <v>7</v>
      </c>
      <c r="D2478" t="s">
        <v>14</v>
      </c>
      <c r="E2478" t="s">
        <v>3072</v>
      </c>
      <c r="F2478" t="s">
        <v>3432</v>
      </c>
    </row>
    <row r="2479" spans="1:6" x14ac:dyDescent="0.25">
      <c r="A2479" t="str">
        <f>"224100090356"</f>
        <v>224100090356</v>
      </c>
      <c r="B2479" t="s">
        <v>3433</v>
      </c>
      <c r="C2479" t="s">
        <v>7</v>
      </c>
      <c r="D2479" t="s">
        <v>14</v>
      </c>
      <c r="E2479" t="s">
        <v>3072</v>
      </c>
    </row>
    <row r="2480" spans="1:6" x14ac:dyDescent="0.25">
      <c r="A2480" t="str">
        <f>"224200373069"</f>
        <v>224200373069</v>
      </c>
      <c r="B2480" t="s">
        <v>3434</v>
      </c>
      <c r="C2480" t="s">
        <v>7</v>
      </c>
      <c r="D2480" t="s">
        <v>14</v>
      </c>
      <c r="E2480" t="s">
        <v>3072</v>
      </c>
    </row>
    <row r="2481" spans="1:6" x14ac:dyDescent="0.25">
      <c r="A2481" t="str">
        <f>"2243001673"</f>
        <v>2243001673</v>
      </c>
      <c r="B2481" t="s">
        <v>3435</v>
      </c>
      <c r="C2481" t="s">
        <v>7</v>
      </c>
      <c r="D2481" t="s">
        <v>14</v>
      </c>
      <c r="E2481" t="s">
        <v>3072</v>
      </c>
      <c r="F2481" t="s">
        <v>3436</v>
      </c>
    </row>
    <row r="2482" spans="1:6" x14ac:dyDescent="0.25">
      <c r="A2482" t="str">
        <f>"2246003541"</f>
        <v>2246003541</v>
      </c>
      <c r="B2482" t="s">
        <v>3437</v>
      </c>
      <c r="C2482" t="s">
        <v>7</v>
      </c>
      <c r="D2482" t="s">
        <v>14</v>
      </c>
      <c r="E2482" t="s">
        <v>3072</v>
      </c>
      <c r="F2482" t="s">
        <v>3438</v>
      </c>
    </row>
    <row r="2483" spans="1:6" x14ac:dyDescent="0.25">
      <c r="A2483" t="str">
        <f>"225011139643"</f>
        <v>225011139643</v>
      </c>
      <c r="B2483" t="s">
        <v>3439</v>
      </c>
      <c r="C2483" t="s">
        <v>7</v>
      </c>
      <c r="D2483" t="s">
        <v>14</v>
      </c>
      <c r="E2483" t="s">
        <v>3072</v>
      </c>
    </row>
    <row r="2484" spans="1:6" x14ac:dyDescent="0.25">
      <c r="A2484" t="str">
        <f>"2255003241"</f>
        <v>2255003241</v>
      </c>
      <c r="B2484" t="s">
        <v>3440</v>
      </c>
      <c r="C2484" t="s">
        <v>7</v>
      </c>
      <c r="D2484" t="s">
        <v>12</v>
      </c>
      <c r="E2484" t="s">
        <v>3072</v>
      </c>
      <c r="F2484" t="s">
        <v>3441</v>
      </c>
    </row>
    <row r="2485" spans="1:6" x14ac:dyDescent="0.25">
      <c r="A2485" t="str">
        <f>"225801415452"</f>
        <v>225801415452</v>
      </c>
      <c r="B2485" t="s">
        <v>3442</v>
      </c>
      <c r="C2485" t="s">
        <v>7</v>
      </c>
      <c r="D2485" t="s">
        <v>14</v>
      </c>
      <c r="E2485" t="s">
        <v>3072</v>
      </c>
    </row>
    <row r="2486" spans="1:6" x14ac:dyDescent="0.25">
      <c r="A2486" t="str">
        <f>"225801978127"</f>
        <v>225801978127</v>
      </c>
      <c r="B2486" t="s">
        <v>3443</v>
      </c>
      <c r="C2486" t="s">
        <v>7</v>
      </c>
      <c r="D2486" t="s">
        <v>14</v>
      </c>
      <c r="E2486" t="s">
        <v>3072</v>
      </c>
    </row>
    <row r="2487" spans="1:6" x14ac:dyDescent="0.25">
      <c r="A2487" t="str">
        <f>"225802118597"</f>
        <v>225802118597</v>
      </c>
      <c r="B2487" t="s">
        <v>3444</v>
      </c>
      <c r="C2487" t="s">
        <v>7</v>
      </c>
      <c r="D2487" t="s">
        <v>14</v>
      </c>
      <c r="E2487" t="s">
        <v>3072</v>
      </c>
    </row>
    <row r="2488" spans="1:6" x14ac:dyDescent="0.25">
      <c r="A2488" t="str">
        <f>"2259000932"</f>
        <v>2259000932</v>
      </c>
      <c r="B2488" t="s">
        <v>3445</v>
      </c>
      <c r="C2488" t="s">
        <v>7</v>
      </c>
      <c r="D2488" t="s">
        <v>14</v>
      </c>
      <c r="E2488" t="s">
        <v>3072</v>
      </c>
      <c r="F2488" t="s">
        <v>3446</v>
      </c>
    </row>
    <row r="2489" spans="1:6" x14ac:dyDescent="0.25">
      <c r="A2489" t="str">
        <f>"225901254304"</f>
        <v>225901254304</v>
      </c>
      <c r="B2489" t="s">
        <v>3447</v>
      </c>
      <c r="C2489" t="s">
        <v>7</v>
      </c>
      <c r="D2489" t="s">
        <v>14</v>
      </c>
      <c r="E2489" t="s">
        <v>3072</v>
      </c>
    </row>
    <row r="2490" spans="1:6" x14ac:dyDescent="0.25">
      <c r="A2490" t="str">
        <f>"226100073957"</f>
        <v>226100073957</v>
      </c>
      <c r="B2490" t="s">
        <v>3448</v>
      </c>
      <c r="C2490" t="s">
        <v>7</v>
      </c>
      <c r="D2490" t="s">
        <v>14</v>
      </c>
      <c r="E2490" t="s">
        <v>3072</v>
      </c>
    </row>
    <row r="2491" spans="1:6" x14ac:dyDescent="0.25">
      <c r="A2491" t="str">
        <f>"226100109836"</f>
        <v>226100109836</v>
      </c>
      <c r="B2491" t="s">
        <v>3449</v>
      </c>
      <c r="C2491" t="s">
        <v>7</v>
      </c>
      <c r="D2491" t="s">
        <v>12</v>
      </c>
      <c r="E2491" t="s">
        <v>3072</v>
      </c>
    </row>
    <row r="2492" spans="1:6" x14ac:dyDescent="0.25">
      <c r="A2492" t="str">
        <f>"226321954953"</f>
        <v>226321954953</v>
      </c>
      <c r="B2492" t="s">
        <v>3450</v>
      </c>
      <c r="C2492" t="s">
        <v>7</v>
      </c>
      <c r="D2492" t="s">
        <v>14</v>
      </c>
      <c r="E2492" t="s">
        <v>3072</v>
      </c>
    </row>
    <row r="2493" spans="1:6" x14ac:dyDescent="0.25">
      <c r="A2493" t="str">
        <f>"2266005924"</f>
        <v>2266005924</v>
      </c>
      <c r="B2493" t="s">
        <v>3451</v>
      </c>
      <c r="C2493" t="s">
        <v>7</v>
      </c>
      <c r="D2493" t="s">
        <v>14</v>
      </c>
      <c r="E2493" t="s">
        <v>3072</v>
      </c>
      <c r="F2493" t="s">
        <v>3452</v>
      </c>
    </row>
    <row r="2494" spans="1:6" x14ac:dyDescent="0.25">
      <c r="A2494" t="str">
        <f>"227100059552"</f>
        <v>227100059552</v>
      </c>
      <c r="B2494" t="s">
        <v>3453</v>
      </c>
      <c r="C2494" t="s">
        <v>7</v>
      </c>
      <c r="D2494" t="s">
        <v>14</v>
      </c>
      <c r="E2494" t="s">
        <v>3072</v>
      </c>
    </row>
    <row r="2495" spans="1:6" x14ac:dyDescent="0.25">
      <c r="A2495" t="str">
        <f>"227114891383"</f>
        <v>227114891383</v>
      </c>
      <c r="B2495" t="s">
        <v>3454</v>
      </c>
      <c r="C2495" t="s">
        <v>7</v>
      </c>
      <c r="D2495" t="s">
        <v>14</v>
      </c>
      <c r="E2495" t="s">
        <v>3072</v>
      </c>
    </row>
    <row r="2496" spans="1:6" x14ac:dyDescent="0.25">
      <c r="A2496" t="str">
        <f>"227600005682"</f>
        <v>227600005682</v>
      </c>
      <c r="B2496" t="s">
        <v>3455</v>
      </c>
      <c r="C2496" t="s">
        <v>7</v>
      </c>
      <c r="D2496" t="s">
        <v>14</v>
      </c>
      <c r="E2496" t="s">
        <v>3072</v>
      </c>
    </row>
    <row r="2497" spans="1:6" x14ac:dyDescent="0.25">
      <c r="A2497" t="str">
        <f>"227601263848"</f>
        <v>227601263848</v>
      </c>
      <c r="B2497" t="s">
        <v>3456</v>
      </c>
      <c r="C2497" t="s">
        <v>7</v>
      </c>
      <c r="D2497" t="s">
        <v>14</v>
      </c>
      <c r="E2497" t="s">
        <v>3072</v>
      </c>
    </row>
    <row r="2498" spans="1:6" x14ac:dyDescent="0.25">
      <c r="A2498" t="str">
        <f>"227712944225"</f>
        <v>227712944225</v>
      </c>
      <c r="B2498" t="s">
        <v>3457</v>
      </c>
      <c r="C2498" t="s">
        <v>7</v>
      </c>
      <c r="D2498" t="s">
        <v>14</v>
      </c>
      <c r="E2498" t="s">
        <v>3072</v>
      </c>
    </row>
    <row r="2499" spans="1:6" x14ac:dyDescent="0.25">
      <c r="A2499" t="str">
        <f>"227900096176"</f>
        <v>227900096176</v>
      </c>
      <c r="B2499" t="s">
        <v>3458</v>
      </c>
      <c r="C2499" t="s">
        <v>7</v>
      </c>
      <c r="D2499" t="s">
        <v>12</v>
      </c>
      <c r="E2499" t="s">
        <v>3072</v>
      </c>
    </row>
    <row r="2500" spans="1:6" x14ac:dyDescent="0.25">
      <c r="A2500" t="str">
        <f>"227712392609"</f>
        <v>227712392609</v>
      </c>
      <c r="B2500" t="s">
        <v>3459</v>
      </c>
      <c r="C2500" t="s">
        <v>7</v>
      </c>
      <c r="D2500" t="s">
        <v>14</v>
      </c>
      <c r="E2500" t="s">
        <v>3072</v>
      </c>
    </row>
    <row r="2501" spans="1:6" x14ac:dyDescent="0.25">
      <c r="A2501" t="str">
        <f>"2284006695"</f>
        <v>2284006695</v>
      </c>
      <c r="B2501" t="s">
        <v>3460</v>
      </c>
      <c r="C2501" t="s">
        <v>7</v>
      </c>
      <c r="D2501" t="s">
        <v>14</v>
      </c>
      <c r="E2501" t="s">
        <v>3072</v>
      </c>
      <c r="F2501" t="s">
        <v>3461</v>
      </c>
    </row>
    <row r="2502" spans="1:6" x14ac:dyDescent="0.25">
      <c r="A2502" t="str">
        <f>"2285000417"</f>
        <v>2285000417</v>
      </c>
      <c r="B2502" t="s">
        <v>3462</v>
      </c>
      <c r="C2502" t="s">
        <v>7</v>
      </c>
      <c r="D2502" t="s">
        <v>14</v>
      </c>
      <c r="E2502" t="s">
        <v>3072</v>
      </c>
      <c r="F2502" t="s">
        <v>3463</v>
      </c>
    </row>
    <row r="2503" spans="1:6" x14ac:dyDescent="0.25">
      <c r="A2503" t="str">
        <f>"228900026156"</f>
        <v>228900026156</v>
      </c>
      <c r="B2503" t="s">
        <v>3464</v>
      </c>
      <c r="C2503" t="s">
        <v>7</v>
      </c>
      <c r="D2503" t="s">
        <v>14</v>
      </c>
      <c r="E2503" t="s">
        <v>3072</v>
      </c>
    </row>
    <row r="2504" spans="1:6" x14ac:dyDescent="0.25">
      <c r="A2504" t="str">
        <f>"228401454886"</f>
        <v>228401454886</v>
      </c>
      <c r="B2504" t="s">
        <v>3465</v>
      </c>
      <c r="C2504" t="s">
        <v>7</v>
      </c>
      <c r="D2504" t="s">
        <v>12</v>
      </c>
      <c r="E2504" t="s">
        <v>3072</v>
      </c>
    </row>
    <row r="2505" spans="1:6" x14ac:dyDescent="0.25">
      <c r="A2505" t="str">
        <f>"228600039404"</f>
        <v>228600039404</v>
      </c>
      <c r="B2505" t="s">
        <v>3466</v>
      </c>
      <c r="C2505" t="s">
        <v>7</v>
      </c>
      <c r="D2505" t="s">
        <v>14</v>
      </c>
      <c r="E2505" t="s">
        <v>3072</v>
      </c>
    </row>
    <row r="2506" spans="1:6" x14ac:dyDescent="0.25">
      <c r="A2506" t="str">
        <f>"228601281849"</f>
        <v>228601281849</v>
      </c>
      <c r="B2506" t="s">
        <v>3467</v>
      </c>
      <c r="C2506" t="s">
        <v>7</v>
      </c>
      <c r="D2506" t="s">
        <v>14</v>
      </c>
      <c r="E2506" t="s">
        <v>3072</v>
      </c>
    </row>
    <row r="2507" spans="1:6" x14ac:dyDescent="0.25">
      <c r="A2507" t="str">
        <f>"228800021972"</f>
        <v>228800021972</v>
      </c>
      <c r="B2507" t="s">
        <v>3468</v>
      </c>
      <c r="C2507" t="s">
        <v>7</v>
      </c>
      <c r="D2507" t="s">
        <v>14</v>
      </c>
      <c r="E2507" t="s">
        <v>3072</v>
      </c>
    </row>
    <row r="2508" spans="1:6" x14ac:dyDescent="0.25">
      <c r="A2508" t="str">
        <f>"5042103078"</f>
        <v>5042103078</v>
      </c>
      <c r="B2508" t="s">
        <v>3469</v>
      </c>
      <c r="C2508" t="s">
        <v>7</v>
      </c>
      <c r="D2508" t="s">
        <v>14</v>
      </c>
      <c r="E2508" t="s">
        <v>3072</v>
      </c>
      <c r="F2508" t="s">
        <v>3470</v>
      </c>
    </row>
    <row r="2509" spans="1:6" x14ac:dyDescent="0.25">
      <c r="A2509" t="str">
        <f>"861901229694"</f>
        <v>861901229694</v>
      </c>
      <c r="B2509" t="s">
        <v>3471</v>
      </c>
      <c r="C2509" t="s">
        <v>7</v>
      </c>
      <c r="D2509" t="s">
        <v>8</v>
      </c>
      <c r="E2509" t="s">
        <v>3072</v>
      </c>
    </row>
    <row r="2510" spans="1:6" x14ac:dyDescent="0.25">
      <c r="A2510" t="str">
        <f>"183308748197"</f>
        <v>183308748197</v>
      </c>
      <c r="B2510" t="s">
        <v>3472</v>
      </c>
      <c r="C2510" t="s">
        <v>7</v>
      </c>
      <c r="D2510" t="s">
        <v>14</v>
      </c>
      <c r="E2510" t="s">
        <v>3473</v>
      </c>
    </row>
    <row r="2511" spans="1:6" x14ac:dyDescent="0.25">
      <c r="A2511" t="str">
        <f>"183401441523"</f>
        <v>183401441523</v>
      </c>
      <c r="B2511" t="s">
        <v>3474</v>
      </c>
      <c r="C2511" t="s">
        <v>7</v>
      </c>
      <c r="D2511" t="s">
        <v>12</v>
      </c>
      <c r="E2511" t="s">
        <v>3473</v>
      </c>
    </row>
    <row r="2512" spans="1:6" x14ac:dyDescent="0.25">
      <c r="A2512" t="str">
        <f>"010504344920"</f>
        <v>010504344920</v>
      </c>
      <c r="B2512" t="s">
        <v>3475</v>
      </c>
      <c r="C2512" t="s">
        <v>7</v>
      </c>
      <c r="D2512" t="s">
        <v>14</v>
      </c>
      <c r="E2512" t="s">
        <v>3473</v>
      </c>
    </row>
    <row r="2513" spans="1:6" x14ac:dyDescent="0.25">
      <c r="A2513" t="str">
        <f>"010600054533"</f>
        <v>010600054533</v>
      </c>
      <c r="B2513" t="s">
        <v>3476</v>
      </c>
      <c r="C2513" t="s">
        <v>7</v>
      </c>
      <c r="D2513" t="s">
        <v>33</v>
      </c>
      <c r="E2513" t="s">
        <v>3473</v>
      </c>
    </row>
    <row r="2514" spans="1:6" x14ac:dyDescent="0.25">
      <c r="A2514" t="str">
        <f>"183100674080"</f>
        <v>183100674080</v>
      </c>
      <c r="B2514" t="s">
        <v>3477</v>
      </c>
      <c r="C2514" t="s">
        <v>7</v>
      </c>
      <c r="D2514" t="s">
        <v>14</v>
      </c>
      <c r="E2514" t="s">
        <v>3473</v>
      </c>
    </row>
    <row r="2515" spans="1:6" x14ac:dyDescent="0.25">
      <c r="A2515" t="str">
        <f>"183508442103"</f>
        <v>183508442103</v>
      </c>
      <c r="B2515" t="s">
        <v>3478</v>
      </c>
      <c r="C2515" t="s">
        <v>7</v>
      </c>
      <c r="D2515" t="s">
        <v>14</v>
      </c>
      <c r="E2515" t="s">
        <v>3473</v>
      </c>
    </row>
    <row r="2516" spans="1:6" x14ac:dyDescent="0.25">
      <c r="A2516" t="str">
        <f>"421721139050"</f>
        <v>421721139050</v>
      </c>
      <c r="B2516" t="s">
        <v>3479</v>
      </c>
      <c r="C2516" t="s">
        <v>7</v>
      </c>
      <c r="D2516" t="s">
        <v>28</v>
      </c>
      <c r="E2516" t="s">
        <v>3473</v>
      </c>
    </row>
    <row r="2517" spans="1:6" x14ac:dyDescent="0.25">
      <c r="A2517" t="str">
        <f>"010401104282"</f>
        <v>010401104282</v>
      </c>
      <c r="B2517" t="s">
        <v>3480</v>
      </c>
      <c r="C2517" t="s">
        <v>7</v>
      </c>
      <c r="D2517" t="s">
        <v>12</v>
      </c>
      <c r="E2517" t="s">
        <v>3473</v>
      </c>
    </row>
    <row r="2518" spans="1:6" x14ac:dyDescent="0.25">
      <c r="A2518" t="str">
        <f>"010604898464"</f>
        <v>010604898464</v>
      </c>
      <c r="B2518" t="s">
        <v>3481</v>
      </c>
      <c r="C2518" t="s">
        <v>7</v>
      </c>
      <c r="D2518" t="s">
        <v>12</v>
      </c>
      <c r="E2518" t="s">
        <v>3473</v>
      </c>
    </row>
    <row r="2519" spans="1:6" x14ac:dyDescent="0.25">
      <c r="A2519" t="str">
        <f>"421715738049"</f>
        <v>421715738049</v>
      </c>
      <c r="B2519" t="s">
        <v>3482</v>
      </c>
      <c r="C2519" t="s">
        <v>7</v>
      </c>
      <c r="D2519" t="s">
        <v>14</v>
      </c>
      <c r="E2519" t="s">
        <v>3473</v>
      </c>
    </row>
    <row r="2520" spans="1:6" x14ac:dyDescent="0.25">
      <c r="A2520" t="str">
        <f>"422194361258"</f>
        <v>422194361258</v>
      </c>
      <c r="B2520" t="s">
        <v>3483</v>
      </c>
      <c r="C2520" t="s">
        <v>7</v>
      </c>
      <c r="D2520" t="s">
        <v>33</v>
      </c>
      <c r="E2520" t="s">
        <v>3473</v>
      </c>
    </row>
    <row r="2521" spans="1:6" x14ac:dyDescent="0.25">
      <c r="A2521" t="str">
        <f>"422203855009"</f>
        <v>422203855009</v>
      </c>
      <c r="B2521" t="s">
        <v>3484</v>
      </c>
      <c r="C2521" t="s">
        <v>7</v>
      </c>
      <c r="D2521" t="s">
        <v>14</v>
      </c>
      <c r="E2521" t="s">
        <v>3473</v>
      </c>
    </row>
    <row r="2522" spans="1:6" x14ac:dyDescent="0.25">
      <c r="A2522" t="str">
        <f>"245711707051"</f>
        <v>245711707051</v>
      </c>
      <c r="B2522" t="s">
        <v>3485</v>
      </c>
      <c r="C2522" t="s">
        <v>7</v>
      </c>
      <c r="D2522" t="s">
        <v>14</v>
      </c>
      <c r="E2522" t="s">
        <v>3473</v>
      </c>
    </row>
    <row r="2523" spans="1:6" x14ac:dyDescent="0.25">
      <c r="A2523" t="str">
        <f>"7723846197"</f>
        <v>7723846197</v>
      </c>
      <c r="B2523" t="s">
        <v>3486</v>
      </c>
      <c r="C2523" t="s">
        <v>7</v>
      </c>
      <c r="D2523" t="s">
        <v>674</v>
      </c>
      <c r="E2523" t="s">
        <v>3473</v>
      </c>
      <c r="F2523" t="s">
        <v>3487</v>
      </c>
    </row>
    <row r="2524" spans="1:6" x14ac:dyDescent="0.25">
      <c r="A2524" t="str">
        <f>"331100095301"</f>
        <v>331100095301</v>
      </c>
      <c r="B2524" t="s">
        <v>3488</v>
      </c>
      <c r="C2524" t="s">
        <v>7</v>
      </c>
      <c r="D2524" t="s">
        <v>14</v>
      </c>
      <c r="E2524" t="s">
        <v>3473</v>
      </c>
    </row>
    <row r="2525" spans="1:6" x14ac:dyDescent="0.25">
      <c r="A2525" t="str">
        <f>"110200243680"</f>
        <v>110200243680</v>
      </c>
      <c r="B2525" t="s">
        <v>3489</v>
      </c>
      <c r="C2525" t="s">
        <v>7</v>
      </c>
      <c r="D2525" t="s">
        <v>14</v>
      </c>
      <c r="E2525" t="s">
        <v>3473</v>
      </c>
    </row>
    <row r="2526" spans="1:6" x14ac:dyDescent="0.25">
      <c r="A2526" t="str">
        <f>"0107024300"</f>
        <v>0107024300</v>
      </c>
      <c r="B2526" t="s">
        <v>3490</v>
      </c>
      <c r="C2526" t="s">
        <v>7</v>
      </c>
      <c r="D2526" t="s">
        <v>8</v>
      </c>
      <c r="E2526" t="s">
        <v>3473</v>
      </c>
      <c r="F2526" t="s">
        <v>3491</v>
      </c>
    </row>
    <row r="2527" spans="1:6" x14ac:dyDescent="0.25">
      <c r="A2527" t="str">
        <f>"342701300465"</f>
        <v>342701300465</v>
      </c>
      <c r="B2527" t="s">
        <v>3492</v>
      </c>
      <c r="C2527" t="s">
        <v>7</v>
      </c>
      <c r="D2527" t="s">
        <v>14</v>
      </c>
      <c r="E2527" t="s">
        <v>3473</v>
      </c>
    </row>
    <row r="2528" spans="1:6" x14ac:dyDescent="0.25">
      <c r="A2528" t="str">
        <f>"701400041370"</f>
        <v>701400041370</v>
      </c>
      <c r="B2528" t="s">
        <v>3493</v>
      </c>
      <c r="C2528" t="s">
        <v>7</v>
      </c>
      <c r="D2528" t="s">
        <v>14</v>
      </c>
      <c r="E2528" t="s">
        <v>3473</v>
      </c>
    </row>
    <row r="2529" spans="1:6" x14ac:dyDescent="0.25">
      <c r="A2529" t="str">
        <f>"434538185187"</f>
        <v>434538185187</v>
      </c>
      <c r="B2529" t="s">
        <v>3494</v>
      </c>
      <c r="C2529" t="s">
        <v>7</v>
      </c>
      <c r="D2529" t="s">
        <v>12</v>
      </c>
      <c r="E2529" t="s">
        <v>3473</v>
      </c>
    </row>
    <row r="2530" spans="1:6" x14ac:dyDescent="0.25">
      <c r="A2530" t="str">
        <f>"432100038731"</f>
        <v>432100038731</v>
      </c>
      <c r="B2530" t="s">
        <v>3495</v>
      </c>
      <c r="C2530" t="s">
        <v>7</v>
      </c>
      <c r="D2530" t="s">
        <v>14</v>
      </c>
      <c r="E2530" t="s">
        <v>3473</v>
      </c>
    </row>
    <row r="2531" spans="1:6" x14ac:dyDescent="0.25">
      <c r="A2531" t="str">
        <f>"7727742086"</f>
        <v>7727742086</v>
      </c>
      <c r="B2531" t="s">
        <v>3496</v>
      </c>
      <c r="C2531" t="s">
        <v>7</v>
      </c>
      <c r="D2531" t="s">
        <v>463</v>
      </c>
      <c r="E2531" t="s">
        <v>3473</v>
      </c>
      <c r="F2531" t="s">
        <v>3497</v>
      </c>
    </row>
    <row r="2532" spans="1:6" x14ac:dyDescent="0.25">
      <c r="A2532" t="str">
        <f>"511601843286"</f>
        <v>511601843286</v>
      </c>
      <c r="B2532" t="s">
        <v>3498</v>
      </c>
      <c r="C2532" t="s">
        <v>7</v>
      </c>
      <c r="D2532" t="s">
        <v>14</v>
      </c>
      <c r="E2532" t="s">
        <v>3473</v>
      </c>
    </row>
    <row r="2533" spans="1:6" x14ac:dyDescent="0.25">
      <c r="A2533" t="str">
        <f>"615398165506"</f>
        <v>615398165506</v>
      </c>
      <c r="B2533" t="s">
        <v>3499</v>
      </c>
      <c r="C2533" t="s">
        <v>7</v>
      </c>
      <c r="D2533" t="s">
        <v>14</v>
      </c>
      <c r="E2533" t="s">
        <v>3473</v>
      </c>
    </row>
    <row r="2534" spans="1:6" x14ac:dyDescent="0.25">
      <c r="A2534" t="str">
        <f>"615522409894"</f>
        <v>615522409894</v>
      </c>
      <c r="B2534" t="s">
        <v>3500</v>
      </c>
      <c r="C2534" t="s">
        <v>7</v>
      </c>
      <c r="D2534" t="s">
        <v>14</v>
      </c>
      <c r="E2534" t="s">
        <v>3473</v>
      </c>
    </row>
    <row r="2535" spans="1:6" x14ac:dyDescent="0.25">
      <c r="A2535" t="str">
        <f>"532122029765"</f>
        <v>532122029765</v>
      </c>
      <c r="B2535" t="s">
        <v>3501</v>
      </c>
      <c r="C2535" t="s">
        <v>7</v>
      </c>
      <c r="D2535" t="s">
        <v>14</v>
      </c>
      <c r="E2535" t="s">
        <v>3473</v>
      </c>
    </row>
    <row r="2536" spans="1:6" x14ac:dyDescent="0.25">
      <c r="A2536" t="str">
        <f>"344600407600"</f>
        <v>344600407600</v>
      </c>
      <c r="B2536" t="s">
        <v>3502</v>
      </c>
      <c r="C2536" t="s">
        <v>7</v>
      </c>
      <c r="D2536" t="s">
        <v>12</v>
      </c>
      <c r="E2536" t="s">
        <v>3473</v>
      </c>
    </row>
    <row r="2537" spans="1:6" x14ac:dyDescent="0.25">
      <c r="A2537" t="str">
        <f>"344808926114"</f>
        <v>344808926114</v>
      </c>
      <c r="B2537" t="s">
        <v>3503</v>
      </c>
      <c r="C2537" t="s">
        <v>7</v>
      </c>
      <c r="D2537" t="s">
        <v>14</v>
      </c>
      <c r="E2537" t="s">
        <v>3473</v>
      </c>
    </row>
    <row r="2538" spans="1:6" x14ac:dyDescent="0.25">
      <c r="A2538" t="str">
        <f>"702281382010"</f>
        <v>702281382010</v>
      </c>
      <c r="B2538" t="s">
        <v>3504</v>
      </c>
      <c r="C2538" t="s">
        <v>7</v>
      </c>
      <c r="D2538" t="s">
        <v>14</v>
      </c>
      <c r="E2538" t="s">
        <v>3473</v>
      </c>
    </row>
    <row r="2539" spans="1:6" x14ac:dyDescent="0.25">
      <c r="A2539" t="str">
        <f>"7105041896"</f>
        <v>7105041896</v>
      </c>
      <c r="B2539" t="s">
        <v>3505</v>
      </c>
      <c r="C2539" t="s">
        <v>7</v>
      </c>
      <c r="D2539" t="s">
        <v>14</v>
      </c>
      <c r="E2539" t="s">
        <v>3473</v>
      </c>
      <c r="F2539" t="s">
        <v>3506</v>
      </c>
    </row>
    <row r="2540" spans="1:6" x14ac:dyDescent="0.25">
      <c r="A2540" t="str">
        <f>"450210447013"</f>
        <v>450210447013</v>
      </c>
      <c r="B2540" t="s">
        <v>3507</v>
      </c>
      <c r="C2540" t="s">
        <v>7</v>
      </c>
      <c r="D2540" t="s">
        <v>14</v>
      </c>
      <c r="E2540" t="s">
        <v>3473</v>
      </c>
    </row>
    <row r="2541" spans="1:6" x14ac:dyDescent="0.25">
      <c r="A2541" t="str">
        <f>"7733572594"</f>
        <v>7733572594</v>
      </c>
      <c r="B2541" t="s">
        <v>3508</v>
      </c>
      <c r="C2541" t="s">
        <v>7</v>
      </c>
      <c r="D2541" t="s">
        <v>12</v>
      </c>
      <c r="E2541" t="s">
        <v>3473</v>
      </c>
      <c r="F2541" t="s">
        <v>3509</v>
      </c>
    </row>
    <row r="2542" spans="1:6" x14ac:dyDescent="0.25">
      <c r="A2542" t="str">
        <f>"773365058143"</f>
        <v>773365058143</v>
      </c>
      <c r="B2542" t="s">
        <v>3510</v>
      </c>
      <c r="C2542" t="s">
        <v>7</v>
      </c>
      <c r="D2542" t="s">
        <v>14</v>
      </c>
      <c r="E2542" t="s">
        <v>3473</v>
      </c>
    </row>
    <row r="2543" spans="1:6" x14ac:dyDescent="0.25">
      <c r="A2543" t="str">
        <f>"440203137737"</f>
        <v>440203137737</v>
      </c>
      <c r="B2543" t="s">
        <v>3511</v>
      </c>
      <c r="C2543" t="s">
        <v>7</v>
      </c>
      <c r="D2543" t="s">
        <v>14</v>
      </c>
      <c r="E2543" t="s">
        <v>3473</v>
      </c>
    </row>
    <row r="2544" spans="1:6" x14ac:dyDescent="0.25">
      <c r="A2544" t="str">
        <f>"773211049477"</f>
        <v>773211049477</v>
      </c>
      <c r="B2544" t="s">
        <v>3512</v>
      </c>
      <c r="C2544" t="s">
        <v>7</v>
      </c>
      <c r="D2544" t="s">
        <v>14</v>
      </c>
      <c r="E2544" t="s">
        <v>3473</v>
      </c>
    </row>
    <row r="2545" spans="1:6" x14ac:dyDescent="0.25">
      <c r="A2545" t="str">
        <f>"3433008213"</f>
        <v>3433008213</v>
      </c>
      <c r="B2545" t="s">
        <v>3513</v>
      </c>
      <c r="C2545" t="s">
        <v>7</v>
      </c>
      <c r="D2545" t="s">
        <v>14</v>
      </c>
      <c r="E2545" t="s">
        <v>3473</v>
      </c>
      <c r="F2545" t="s">
        <v>3514</v>
      </c>
    </row>
    <row r="2546" spans="1:6" x14ac:dyDescent="0.25">
      <c r="A2546" t="str">
        <f>"540403382680"</f>
        <v>540403382680</v>
      </c>
      <c r="B2546" t="s">
        <v>3515</v>
      </c>
      <c r="C2546" t="s">
        <v>7</v>
      </c>
      <c r="D2546" t="s">
        <v>33</v>
      </c>
      <c r="E2546" t="s">
        <v>3473</v>
      </c>
    </row>
    <row r="2547" spans="1:6" x14ac:dyDescent="0.25">
      <c r="A2547" t="str">
        <f>"616500126774"</f>
        <v>616500126774</v>
      </c>
      <c r="B2547" t="s">
        <v>3516</v>
      </c>
      <c r="C2547" t="s">
        <v>7</v>
      </c>
      <c r="D2547" t="s">
        <v>14</v>
      </c>
      <c r="E2547" t="s">
        <v>3473</v>
      </c>
    </row>
    <row r="2548" spans="1:6" x14ac:dyDescent="0.25">
      <c r="A2548" t="str">
        <f>"6168084185"</f>
        <v>6168084185</v>
      </c>
      <c r="B2548" t="s">
        <v>3517</v>
      </c>
      <c r="C2548" t="s">
        <v>7</v>
      </c>
      <c r="D2548" t="s">
        <v>33</v>
      </c>
      <c r="E2548" t="s">
        <v>3473</v>
      </c>
      <c r="F2548" t="s">
        <v>3518</v>
      </c>
    </row>
    <row r="2549" spans="1:6" x14ac:dyDescent="0.25">
      <c r="A2549" t="str">
        <f>"253604605410"</f>
        <v>253604605410</v>
      </c>
      <c r="B2549" t="s">
        <v>3519</v>
      </c>
      <c r="C2549" t="s">
        <v>7</v>
      </c>
      <c r="D2549" t="s">
        <v>98</v>
      </c>
      <c r="E2549" t="s">
        <v>3473</v>
      </c>
    </row>
    <row r="2550" spans="1:6" x14ac:dyDescent="0.25">
      <c r="A2550" t="str">
        <f>"253808120862"</f>
        <v>253808120862</v>
      </c>
      <c r="B2550" t="s">
        <v>3520</v>
      </c>
      <c r="C2550" t="s">
        <v>7</v>
      </c>
      <c r="D2550" t="s">
        <v>14</v>
      </c>
      <c r="E2550" t="s">
        <v>3473</v>
      </c>
    </row>
    <row r="2551" spans="1:6" x14ac:dyDescent="0.25">
      <c r="A2551" t="str">
        <f>"222311529060"</f>
        <v>222311529060</v>
      </c>
      <c r="B2551" t="s">
        <v>3521</v>
      </c>
      <c r="C2551" t="s">
        <v>7</v>
      </c>
      <c r="D2551" t="s">
        <v>14</v>
      </c>
      <c r="E2551" t="s">
        <v>3473</v>
      </c>
    </row>
    <row r="2552" spans="1:6" x14ac:dyDescent="0.25">
      <c r="A2552" t="str">
        <f>"222400721320"</f>
        <v>222400721320</v>
      </c>
      <c r="B2552" t="s">
        <v>3522</v>
      </c>
      <c r="C2552" t="s">
        <v>7</v>
      </c>
      <c r="D2552" t="s">
        <v>12</v>
      </c>
      <c r="E2552" t="s">
        <v>3473</v>
      </c>
    </row>
    <row r="2553" spans="1:6" x14ac:dyDescent="0.25">
      <c r="A2553" t="str">
        <f>"463224985704"</f>
        <v>463224985704</v>
      </c>
      <c r="B2553" t="s">
        <v>3523</v>
      </c>
      <c r="C2553" t="s">
        <v>7</v>
      </c>
      <c r="D2553" t="s">
        <v>14</v>
      </c>
      <c r="E2553" t="s">
        <v>3473</v>
      </c>
    </row>
    <row r="2554" spans="1:6" x14ac:dyDescent="0.25">
      <c r="A2554" t="str">
        <f>"230108134766"</f>
        <v>230108134766</v>
      </c>
      <c r="B2554" t="s">
        <v>3524</v>
      </c>
      <c r="C2554" t="s">
        <v>7</v>
      </c>
      <c r="D2554" t="s">
        <v>14</v>
      </c>
      <c r="E2554" t="s">
        <v>3473</v>
      </c>
    </row>
    <row r="2555" spans="1:6" x14ac:dyDescent="0.25">
      <c r="A2555" t="str">
        <f>"230112587617"</f>
        <v>230112587617</v>
      </c>
      <c r="B2555" t="s">
        <v>3525</v>
      </c>
      <c r="C2555" t="s">
        <v>7</v>
      </c>
      <c r="D2555" t="s">
        <v>14</v>
      </c>
      <c r="E2555" t="s">
        <v>3473</v>
      </c>
    </row>
    <row r="2556" spans="1:6" x14ac:dyDescent="0.25">
      <c r="A2556" t="str">
        <f>"230200817901"</f>
        <v>230200817901</v>
      </c>
      <c r="B2556" t="s">
        <v>3526</v>
      </c>
      <c r="C2556" t="s">
        <v>7</v>
      </c>
      <c r="D2556" t="s">
        <v>14</v>
      </c>
      <c r="E2556" t="s">
        <v>3473</v>
      </c>
    </row>
    <row r="2557" spans="1:6" x14ac:dyDescent="0.25">
      <c r="A2557" t="str">
        <f>"230201333678"</f>
        <v>230201333678</v>
      </c>
      <c r="B2557" t="s">
        <v>3527</v>
      </c>
      <c r="C2557" t="s">
        <v>7</v>
      </c>
      <c r="D2557" t="s">
        <v>12</v>
      </c>
      <c r="E2557" t="s">
        <v>3473</v>
      </c>
    </row>
    <row r="2558" spans="1:6" x14ac:dyDescent="0.25">
      <c r="A2558" t="str">
        <f>"230212169540"</f>
        <v>230212169540</v>
      </c>
      <c r="B2558" t="s">
        <v>3528</v>
      </c>
      <c r="C2558" t="s">
        <v>7</v>
      </c>
      <c r="D2558" t="s">
        <v>14</v>
      </c>
      <c r="E2558" t="s">
        <v>3473</v>
      </c>
    </row>
    <row r="2559" spans="1:6" x14ac:dyDescent="0.25">
      <c r="A2559" t="str">
        <f>"230300668259"</f>
        <v>230300668259</v>
      </c>
      <c r="B2559" t="s">
        <v>3529</v>
      </c>
      <c r="C2559" t="s">
        <v>7</v>
      </c>
      <c r="D2559" t="s">
        <v>14</v>
      </c>
      <c r="E2559" t="s">
        <v>3473</v>
      </c>
    </row>
    <row r="2560" spans="1:6" x14ac:dyDescent="0.25">
      <c r="A2560" t="str">
        <f>"230308141714"</f>
        <v>230308141714</v>
      </c>
      <c r="B2560" t="s">
        <v>3530</v>
      </c>
      <c r="C2560" t="s">
        <v>7</v>
      </c>
      <c r="D2560" t="s">
        <v>14</v>
      </c>
      <c r="E2560" t="s">
        <v>3473</v>
      </c>
    </row>
    <row r="2561" spans="1:6" x14ac:dyDescent="0.25">
      <c r="A2561" t="str">
        <f>"230308194441"</f>
        <v>230308194441</v>
      </c>
      <c r="B2561" t="s">
        <v>3531</v>
      </c>
      <c r="C2561" t="s">
        <v>7</v>
      </c>
      <c r="D2561" t="s">
        <v>14</v>
      </c>
      <c r="E2561" t="s">
        <v>3473</v>
      </c>
    </row>
    <row r="2562" spans="1:6" x14ac:dyDescent="0.25">
      <c r="A2562" t="str">
        <f>"230500018804"</f>
        <v>230500018804</v>
      </c>
      <c r="B2562" t="s">
        <v>3532</v>
      </c>
      <c r="C2562" t="s">
        <v>7</v>
      </c>
      <c r="D2562" t="s">
        <v>14</v>
      </c>
      <c r="E2562" t="s">
        <v>3473</v>
      </c>
    </row>
    <row r="2563" spans="1:6" x14ac:dyDescent="0.25">
      <c r="A2563" t="str">
        <f>"2305028491"</f>
        <v>2305028491</v>
      </c>
      <c r="B2563" t="s">
        <v>3533</v>
      </c>
      <c r="C2563" t="s">
        <v>7</v>
      </c>
      <c r="D2563" t="s">
        <v>14</v>
      </c>
      <c r="E2563" t="s">
        <v>3473</v>
      </c>
      <c r="F2563" t="s">
        <v>3534</v>
      </c>
    </row>
    <row r="2564" spans="1:6" x14ac:dyDescent="0.25">
      <c r="A2564" t="str">
        <f>"2305028565"</f>
        <v>2305028565</v>
      </c>
      <c r="B2564" t="s">
        <v>3535</v>
      </c>
      <c r="C2564" t="s">
        <v>7</v>
      </c>
      <c r="D2564" t="s">
        <v>12</v>
      </c>
      <c r="E2564" t="s">
        <v>3473</v>
      </c>
      <c r="F2564" t="s">
        <v>3536</v>
      </c>
    </row>
    <row r="2565" spans="1:6" x14ac:dyDescent="0.25">
      <c r="A2565" t="str">
        <f>"230555759833"</f>
        <v>230555759833</v>
      </c>
      <c r="B2565" t="s">
        <v>3537</v>
      </c>
      <c r="C2565" t="s">
        <v>7</v>
      </c>
      <c r="D2565" t="s">
        <v>33</v>
      </c>
      <c r="E2565" t="s">
        <v>3473</v>
      </c>
    </row>
    <row r="2566" spans="1:6" x14ac:dyDescent="0.25">
      <c r="A2566" t="str">
        <f>"230603359235"</f>
        <v>230603359235</v>
      </c>
      <c r="B2566" t="s">
        <v>3538</v>
      </c>
      <c r="C2566" t="s">
        <v>7</v>
      </c>
      <c r="D2566" t="s">
        <v>14</v>
      </c>
      <c r="E2566" t="s">
        <v>3473</v>
      </c>
    </row>
    <row r="2567" spans="1:6" x14ac:dyDescent="0.25">
      <c r="A2567" t="str">
        <f>"230808594423"</f>
        <v>230808594423</v>
      </c>
      <c r="B2567" t="s">
        <v>3539</v>
      </c>
      <c r="C2567" t="s">
        <v>7</v>
      </c>
      <c r="D2567" t="s">
        <v>14</v>
      </c>
      <c r="E2567" t="s">
        <v>3473</v>
      </c>
    </row>
    <row r="2568" spans="1:6" x14ac:dyDescent="0.25">
      <c r="A2568" t="str">
        <f>"230822179098"</f>
        <v>230822179098</v>
      </c>
      <c r="B2568" t="s">
        <v>3540</v>
      </c>
      <c r="C2568" t="s">
        <v>7</v>
      </c>
      <c r="D2568" t="s">
        <v>14</v>
      </c>
      <c r="E2568" t="s">
        <v>3473</v>
      </c>
    </row>
    <row r="2569" spans="1:6" x14ac:dyDescent="0.25">
      <c r="A2569" t="str">
        <f>"2308257980"</f>
        <v>2308257980</v>
      </c>
      <c r="B2569" t="s">
        <v>3541</v>
      </c>
      <c r="C2569" t="s">
        <v>7</v>
      </c>
      <c r="D2569" t="s">
        <v>674</v>
      </c>
      <c r="E2569" t="s">
        <v>3473</v>
      </c>
      <c r="F2569" t="s">
        <v>3542</v>
      </c>
    </row>
    <row r="2570" spans="1:6" x14ac:dyDescent="0.25">
      <c r="A2570" t="str">
        <f>"2309073061"</f>
        <v>2309073061</v>
      </c>
      <c r="B2570" t="s">
        <v>3543</v>
      </c>
      <c r="C2570" t="s">
        <v>7</v>
      </c>
      <c r="D2570" t="s">
        <v>14</v>
      </c>
      <c r="E2570" t="s">
        <v>3473</v>
      </c>
      <c r="F2570" t="s">
        <v>3544</v>
      </c>
    </row>
    <row r="2571" spans="1:6" x14ac:dyDescent="0.25">
      <c r="A2571" t="str">
        <f>"2310031475"</f>
        <v>2310031475</v>
      </c>
      <c r="B2571" t="s">
        <v>3545</v>
      </c>
      <c r="C2571" t="s">
        <v>7</v>
      </c>
      <c r="D2571" t="s">
        <v>12</v>
      </c>
      <c r="E2571" t="s">
        <v>3473</v>
      </c>
      <c r="F2571" t="s">
        <v>3546</v>
      </c>
    </row>
    <row r="2572" spans="1:6" x14ac:dyDescent="0.25">
      <c r="A2572" t="str">
        <f>"2311049500"</f>
        <v>2311049500</v>
      </c>
      <c r="B2572" t="s">
        <v>3547</v>
      </c>
      <c r="C2572" t="s">
        <v>7</v>
      </c>
      <c r="D2572" t="s">
        <v>189</v>
      </c>
      <c r="E2572" t="s">
        <v>3473</v>
      </c>
      <c r="F2572" t="s">
        <v>3548</v>
      </c>
    </row>
    <row r="2573" spans="1:6" x14ac:dyDescent="0.25">
      <c r="A2573" t="str">
        <f>"2311238360"</f>
        <v>2311238360</v>
      </c>
      <c r="B2573" t="s">
        <v>3549</v>
      </c>
      <c r="C2573" t="s">
        <v>7</v>
      </c>
      <c r="D2573" t="s">
        <v>12</v>
      </c>
      <c r="E2573" t="s">
        <v>3473</v>
      </c>
      <c r="F2573" t="s">
        <v>3550</v>
      </c>
    </row>
    <row r="2574" spans="1:6" x14ac:dyDescent="0.25">
      <c r="A2574" t="str">
        <f>"2311262267"</f>
        <v>2311262267</v>
      </c>
      <c r="B2574" t="s">
        <v>3551</v>
      </c>
      <c r="C2574" t="s">
        <v>7</v>
      </c>
      <c r="D2574" t="s">
        <v>674</v>
      </c>
      <c r="E2574" t="s">
        <v>3473</v>
      </c>
      <c r="F2574" t="s">
        <v>3552</v>
      </c>
    </row>
    <row r="2575" spans="1:6" x14ac:dyDescent="0.25">
      <c r="A2575" t="str">
        <f>"2311381521"</f>
        <v>2311381521</v>
      </c>
      <c r="B2575" t="s">
        <v>3553</v>
      </c>
      <c r="C2575" t="s">
        <v>7</v>
      </c>
      <c r="D2575" t="s">
        <v>12</v>
      </c>
      <c r="E2575" t="s">
        <v>3473</v>
      </c>
      <c r="F2575" t="s">
        <v>3554</v>
      </c>
    </row>
    <row r="2576" spans="1:6" x14ac:dyDescent="0.25">
      <c r="A2576" t="str">
        <f>"2312127133"</f>
        <v>2312127133</v>
      </c>
      <c r="B2576" t="s">
        <v>3555</v>
      </c>
      <c r="C2576" t="s">
        <v>7</v>
      </c>
      <c r="D2576" t="s">
        <v>14</v>
      </c>
      <c r="E2576" t="s">
        <v>3473</v>
      </c>
      <c r="F2576" t="s">
        <v>3556</v>
      </c>
    </row>
    <row r="2577" spans="1:6" x14ac:dyDescent="0.25">
      <c r="A2577" t="str">
        <f>"2312143625"</f>
        <v>2312143625</v>
      </c>
      <c r="B2577" t="s">
        <v>3557</v>
      </c>
      <c r="C2577" t="s">
        <v>7</v>
      </c>
      <c r="D2577" t="s">
        <v>12</v>
      </c>
      <c r="E2577" t="s">
        <v>3473</v>
      </c>
      <c r="F2577" t="s">
        <v>3558</v>
      </c>
    </row>
    <row r="2578" spans="1:6" x14ac:dyDescent="0.25">
      <c r="A2578" t="str">
        <f>"2312192012"</f>
        <v>2312192012</v>
      </c>
      <c r="B2578" t="s">
        <v>3559</v>
      </c>
      <c r="C2578" t="s">
        <v>7</v>
      </c>
      <c r="D2578" t="s">
        <v>12</v>
      </c>
      <c r="E2578" t="s">
        <v>3473</v>
      </c>
      <c r="F2578" t="s">
        <v>3560</v>
      </c>
    </row>
    <row r="2579" spans="1:6" x14ac:dyDescent="0.25">
      <c r="A2579" t="str">
        <f>"2312261869"</f>
        <v>2312261869</v>
      </c>
      <c r="B2579" t="s">
        <v>3561</v>
      </c>
      <c r="C2579" t="s">
        <v>7</v>
      </c>
      <c r="D2579" t="s">
        <v>12</v>
      </c>
      <c r="E2579" t="s">
        <v>3473</v>
      </c>
      <c r="F2579" t="s">
        <v>3562</v>
      </c>
    </row>
    <row r="2580" spans="1:6" x14ac:dyDescent="0.25">
      <c r="A2580" t="str">
        <f>"2312297061"</f>
        <v>2312297061</v>
      </c>
      <c r="B2580" t="s">
        <v>3563</v>
      </c>
      <c r="C2580" t="s">
        <v>7</v>
      </c>
      <c r="D2580" t="s">
        <v>460</v>
      </c>
      <c r="E2580" t="s">
        <v>3473</v>
      </c>
      <c r="F2580" t="s">
        <v>3564</v>
      </c>
    </row>
    <row r="2581" spans="1:6" x14ac:dyDescent="0.25">
      <c r="A2581" t="str">
        <f>"231298609495"</f>
        <v>231298609495</v>
      </c>
      <c r="B2581" t="s">
        <v>3565</v>
      </c>
      <c r="C2581" t="s">
        <v>7</v>
      </c>
      <c r="D2581" t="s">
        <v>14</v>
      </c>
      <c r="E2581" t="s">
        <v>3473</v>
      </c>
    </row>
    <row r="2582" spans="1:6" x14ac:dyDescent="0.25">
      <c r="A2582" t="str">
        <f>"231501016167"</f>
        <v>231501016167</v>
      </c>
      <c r="B2582" t="s">
        <v>3566</v>
      </c>
      <c r="C2582" t="s">
        <v>7</v>
      </c>
      <c r="D2582" t="s">
        <v>12</v>
      </c>
      <c r="E2582" t="s">
        <v>3473</v>
      </c>
    </row>
    <row r="2583" spans="1:6" x14ac:dyDescent="0.25">
      <c r="A2583" t="str">
        <f>"231513835548"</f>
        <v>231513835548</v>
      </c>
      <c r="B2583" t="s">
        <v>3567</v>
      </c>
      <c r="C2583" t="s">
        <v>7</v>
      </c>
      <c r="D2583" t="s">
        <v>12</v>
      </c>
      <c r="E2583" t="s">
        <v>3473</v>
      </c>
    </row>
    <row r="2584" spans="1:6" x14ac:dyDescent="0.25">
      <c r="A2584" t="str">
        <f>"231516068425"</f>
        <v>231516068425</v>
      </c>
      <c r="B2584" t="s">
        <v>3568</v>
      </c>
      <c r="C2584" t="s">
        <v>7</v>
      </c>
      <c r="D2584" t="s">
        <v>33</v>
      </c>
      <c r="E2584" t="s">
        <v>3473</v>
      </c>
    </row>
    <row r="2585" spans="1:6" x14ac:dyDescent="0.25">
      <c r="A2585" t="str">
        <f>"2315212796"</f>
        <v>2315212796</v>
      </c>
      <c r="B2585" t="s">
        <v>3569</v>
      </c>
      <c r="C2585" t="s">
        <v>7</v>
      </c>
      <c r="D2585" t="s">
        <v>189</v>
      </c>
      <c r="E2585" t="s">
        <v>3473</v>
      </c>
      <c r="F2585" t="s">
        <v>3570</v>
      </c>
    </row>
    <row r="2586" spans="1:6" x14ac:dyDescent="0.25">
      <c r="A2586" t="str">
        <f>"2315232400"</f>
        <v>2315232400</v>
      </c>
      <c r="B2586" t="s">
        <v>3571</v>
      </c>
      <c r="C2586" t="s">
        <v>7</v>
      </c>
      <c r="D2586" t="s">
        <v>33</v>
      </c>
      <c r="E2586" t="s">
        <v>3473</v>
      </c>
      <c r="F2586" t="s">
        <v>3572</v>
      </c>
    </row>
    <row r="2587" spans="1:6" x14ac:dyDescent="0.25">
      <c r="A2587" t="str">
        <f>"231714001599"</f>
        <v>231714001599</v>
      </c>
      <c r="B2587" t="s">
        <v>3573</v>
      </c>
      <c r="C2587" t="s">
        <v>7</v>
      </c>
      <c r="D2587" t="s">
        <v>14</v>
      </c>
      <c r="E2587" t="s">
        <v>3473</v>
      </c>
    </row>
    <row r="2588" spans="1:6" x14ac:dyDescent="0.25">
      <c r="A2588" t="str">
        <f>"232007829003"</f>
        <v>232007829003</v>
      </c>
      <c r="B2588" t="s">
        <v>3574</v>
      </c>
      <c r="C2588" t="s">
        <v>7</v>
      </c>
      <c r="D2588" t="s">
        <v>12</v>
      </c>
      <c r="E2588" t="s">
        <v>3473</v>
      </c>
    </row>
    <row r="2589" spans="1:6" x14ac:dyDescent="0.25">
      <c r="A2589" t="str">
        <f>"2320212135"</f>
        <v>2320212135</v>
      </c>
      <c r="B2589" t="s">
        <v>3575</v>
      </c>
      <c r="C2589" t="s">
        <v>7</v>
      </c>
      <c r="D2589" t="s">
        <v>33</v>
      </c>
      <c r="E2589" t="s">
        <v>3473</v>
      </c>
      <c r="F2589" t="s">
        <v>3576</v>
      </c>
    </row>
    <row r="2590" spans="1:6" x14ac:dyDescent="0.25">
      <c r="A2590" t="str">
        <f>"2320245645"</f>
        <v>2320245645</v>
      </c>
      <c r="B2590" t="s">
        <v>3577</v>
      </c>
      <c r="C2590" t="s">
        <v>7</v>
      </c>
      <c r="D2590" t="s">
        <v>14</v>
      </c>
      <c r="E2590" t="s">
        <v>3473</v>
      </c>
      <c r="F2590" t="s">
        <v>3578</v>
      </c>
    </row>
    <row r="2591" spans="1:6" x14ac:dyDescent="0.25">
      <c r="A2591" t="str">
        <f>"232103315681"</f>
        <v>232103315681</v>
      </c>
      <c r="B2591" t="s">
        <v>3579</v>
      </c>
      <c r="C2591" t="s">
        <v>7</v>
      </c>
      <c r="D2591" t="s">
        <v>463</v>
      </c>
      <c r="E2591" t="s">
        <v>3473</v>
      </c>
    </row>
    <row r="2592" spans="1:6" x14ac:dyDescent="0.25">
      <c r="A2592" t="str">
        <f>"232104183854"</f>
        <v>232104183854</v>
      </c>
      <c r="B2592" t="s">
        <v>3580</v>
      </c>
      <c r="C2592" t="s">
        <v>7</v>
      </c>
      <c r="D2592" t="s">
        <v>14</v>
      </c>
      <c r="E2592" t="s">
        <v>3473</v>
      </c>
    </row>
    <row r="2593" spans="1:5" x14ac:dyDescent="0.25">
      <c r="A2593" t="str">
        <f>"233006318230"</f>
        <v>233006318230</v>
      </c>
      <c r="B2593" t="s">
        <v>3581</v>
      </c>
      <c r="C2593" t="s">
        <v>7</v>
      </c>
      <c r="D2593" t="s">
        <v>14</v>
      </c>
      <c r="E2593" t="s">
        <v>3473</v>
      </c>
    </row>
    <row r="2594" spans="1:5" x14ac:dyDescent="0.25">
      <c r="A2594" t="str">
        <f>"233013118401"</f>
        <v>233013118401</v>
      </c>
      <c r="B2594" t="s">
        <v>3582</v>
      </c>
      <c r="C2594" t="s">
        <v>7</v>
      </c>
      <c r="D2594" t="s">
        <v>14</v>
      </c>
      <c r="E2594" t="s">
        <v>3473</v>
      </c>
    </row>
    <row r="2595" spans="1:5" x14ac:dyDescent="0.25">
      <c r="A2595" t="str">
        <f>"222301127958"</f>
        <v>222301127958</v>
      </c>
      <c r="B2595" t="s">
        <v>3583</v>
      </c>
      <c r="C2595" t="s">
        <v>7</v>
      </c>
      <c r="D2595" t="s">
        <v>14</v>
      </c>
      <c r="E2595" t="s">
        <v>3473</v>
      </c>
    </row>
    <row r="2596" spans="1:5" x14ac:dyDescent="0.25">
      <c r="A2596" t="str">
        <f>"550314952736"</f>
        <v>550314952736</v>
      </c>
      <c r="B2596" t="s">
        <v>3584</v>
      </c>
      <c r="C2596" t="s">
        <v>7</v>
      </c>
      <c r="D2596" t="s">
        <v>12</v>
      </c>
      <c r="E2596" t="s">
        <v>3473</v>
      </c>
    </row>
    <row r="2597" spans="1:5" x14ac:dyDescent="0.25">
      <c r="A2597" t="str">
        <f>"230100496387"</f>
        <v>230100496387</v>
      </c>
      <c r="B2597" t="s">
        <v>3585</v>
      </c>
      <c r="C2597" t="s">
        <v>7</v>
      </c>
      <c r="D2597" t="s">
        <v>14</v>
      </c>
      <c r="E2597" t="s">
        <v>3473</v>
      </c>
    </row>
    <row r="2598" spans="1:5" x14ac:dyDescent="0.25">
      <c r="A2598" t="str">
        <f>"230100804835"</f>
        <v>230100804835</v>
      </c>
      <c r="B2598" t="s">
        <v>3586</v>
      </c>
      <c r="C2598" t="s">
        <v>7</v>
      </c>
      <c r="D2598" t="s">
        <v>14</v>
      </c>
      <c r="E2598" t="s">
        <v>3473</v>
      </c>
    </row>
    <row r="2599" spans="1:5" x14ac:dyDescent="0.25">
      <c r="A2599" t="str">
        <f>"230104258680"</f>
        <v>230104258680</v>
      </c>
      <c r="B2599" t="s">
        <v>3587</v>
      </c>
      <c r="C2599" t="s">
        <v>7</v>
      </c>
      <c r="D2599" t="s">
        <v>14</v>
      </c>
      <c r="E2599" t="s">
        <v>3473</v>
      </c>
    </row>
    <row r="2600" spans="1:5" x14ac:dyDescent="0.25">
      <c r="A2600" t="str">
        <f>"230105354202"</f>
        <v>230105354202</v>
      </c>
      <c r="B2600" t="s">
        <v>3588</v>
      </c>
      <c r="C2600" t="s">
        <v>7</v>
      </c>
      <c r="D2600" t="s">
        <v>12</v>
      </c>
      <c r="E2600" t="s">
        <v>3473</v>
      </c>
    </row>
    <row r="2601" spans="1:5" x14ac:dyDescent="0.25">
      <c r="A2601" t="str">
        <f>"230106906262"</f>
        <v>230106906262</v>
      </c>
      <c r="B2601" t="s">
        <v>3589</v>
      </c>
      <c r="C2601" t="s">
        <v>7</v>
      </c>
      <c r="D2601" t="s">
        <v>14</v>
      </c>
      <c r="E2601" t="s">
        <v>3473</v>
      </c>
    </row>
    <row r="2602" spans="1:5" x14ac:dyDescent="0.25">
      <c r="A2602" t="str">
        <f>"230107811292"</f>
        <v>230107811292</v>
      </c>
      <c r="B2602" t="s">
        <v>3590</v>
      </c>
      <c r="C2602" t="s">
        <v>7</v>
      </c>
      <c r="D2602" t="s">
        <v>14</v>
      </c>
      <c r="E2602" t="s">
        <v>3473</v>
      </c>
    </row>
    <row r="2603" spans="1:5" x14ac:dyDescent="0.25">
      <c r="A2603" t="str">
        <f>"230109590730"</f>
        <v>230109590730</v>
      </c>
      <c r="B2603" t="s">
        <v>3591</v>
      </c>
      <c r="C2603" t="s">
        <v>7</v>
      </c>
      <c r="D2603" t="s">
        <v>14</v>
      </c>
      <c r="E2603" t="s">
        <v>3473</v>
      </c>
    </row>
    <row r="2604" spans="1:5" x14ac:dyDescent="0.25">
      <c r="A2604" t="str">
        <f>"230111195744"</f>
        <v>230111195744</v>
      </c>
      <c r="B2604" t="s">
        <v>3592</v>
      </c>
      <c r="C2604" t="s">
        <v>7</v>
      </c>
      <c r="D2604" t="s">
        <v>14</v>
      </c>
      <c r="E2604" t="s">
        <v>3473</v>
      </c>
    </row>
    <row r="2605" spans="1:5" x14ac:dyDescent="0.25">
      <c r="A2605" t="str">
        <f>"230111789642"</f>
        <v>230111789642</v>
      </c>
      <c r="B2605" t="s">
        <v>3593</v>
      </c>
      <c r="C2605" t="s">
        <v>7</v>
      </c>
      <c r="D2605" t="s">
        <v>12</v>
      </c>
      <c r="E2605" t="s">
        <v>3473</v>
      </c>
    </row>
    <row r="2606" spans="1:5" x14ac:dyDescent="0.25">
      <c r="A2606" t="str">
        <f>"230115034385"</f>
        <v>230115034385</v>
      </c>
      <c r="B2606" t="s">
        <v>3594</v>
      </c>
      <c r="C2606" t="s">
        <v>7</v>
      </c>
      <c r="D2606" t="s">
        <v>14</v>
      </c>
      <c r="E2606" t="s">
        <v>3473</v>
      </c>
    </row>
    <row r="2607" spans="1:5" x14ac:dyDescent="0.25">
      <c r="A2607" t="str">
        <f>"230201455700"</f>
        <v>230201455700</v>
      </c>
      <c r="B2607" t="s">
        <v>3595</v>
      </c>
      <c r="C2607" t="s">
        <v>7</v>
      </c>
      <c r="D2607" t="s">
        <v>14</v>
      </c>
      <c r="E2607" t="s">
        <v>3473</v>
      </c>
    </row>
    <row r="2608" spans="1:5" x14ac:dyDescent="0.25">
      <c r="A2608" t="str">
        <f>"230203389740"</f>
        <v>230203389740</v>
      </c>
      <c r="B2608" t="s">
        <v>3596</v>
      </c>
      <c r="C2608" t="s">
        <v>7</v>
      </c>
      <c r="D2608" t="s">
        <v>14</v>
      </c>
      <c r="E2608" t="s">
        <v>3473</v>
      </c>
    </row>
    <row r="2609" spans="1:6" x14ac:dyDescent="0.25">
      <c r="A2609" t="str">
        <f>"2302049341"</f>
        <v>2302049341</v>
      </c>
      <c r="B2609" t="s">
        <v>3597</v>
      </c>
      <c r="C2609" t="s">
        <v>7</v>
      </c>
      <c r="D2609" t="s">
        <v>14</v>
      </c>
      <c r="E2609" t="s">
        <v>3473</v>
      </c>
      <c r="F2609" t="s">
        <v>3598</v>
      </c>
    </row>
    <row r="2610" spans="1:6" x14ac:dyDescent="0.25">
      <c r="A2610" t="str">
        <f>"2302050675"</f>
        <v>2302050675</v>
      </c>
      <c r="B2610" t="s">
        <v>3599</v>
      </c>
      <c r="C2610" t="s">
        <v>7</v>
      </c>
      <c r="D2610" t="s">
        <v>12</v>
      </c>
      <c r="E2610" t="s">
        <v>3473</v>
      </c>
      <c r="F2610" t="s">
        <v>3600</v>
      </c>
    </row>
    <row r="2611" spans="1:6" x14ac:dyDescent="0.25">
      <c r="A2611" t="str">
        <f>"230209463485"</f>
        <v>230209463485</v>
      </c>
      <c r="B2611" t="s">
        <v>3601</v>
      </c>
      <c r="C2611" t="s">
        <v>7</v>
      </c>
      <c r="D2611" t="s">
        <v>12</v>
      </c>
      <c r="E2611" t="s">
        <v>3473</v>
      </c>
    </row>
    <row r="2612" spans="1:6" x14ac:dyDescent="0.25">
      <c r="A2612" t="str">
        <f>"230210498940"</f>
        <v>230210498940</v>
      </c>
      <c r="B2612" t="s">
        <v>3602</v>
      </c>
      <c r="C2612" t="s">
        <v>7</v>
      </c>
      <c r="D2612" t="s">
        <v>14</v>
      </c>
      <c r="E2612" t="s">
        <v>3473</v>
      </c>
    </row>
    <row r="2613" spans="1:6" x14ac:dyDescent="0.25">
      <c r="A2613" t="str">
        <f>"230213845575"</f>
        <v>230213845575</v>
      </c>
      <c r="B2613" t="s">
        <v>3603</v>
      </c>
      <c r="C2613" t="s">
        <v>7</v>
      </c>
      <c r="D2613" t="s">
        <v>14</v>
      </c>
      <c r="E2613" t="s">
        <v>3473</v>
      </c>
    </row>
    <row r="2614" spans="1:6" x14ac:dyDescent="0.25">
      <c r="A2614" t="str">
        <f>"230214940528"</f>
        <v>230214940528</v>
      </c>
      <c r="B2614" t="s">
        <v>3604</v>
      </c>
      <c r="C2614" t="s">
        <v>7</v>
      </c>
      <c r="D2614" t="s">
        <v>14</v>
      </c>
      <c r="E2614" t="s">
        <v>3473</v>
      </c>
    </row>
    <row r="2615" spans="1:6" x14ac:dyDescent="0.25">
      <c r="A2615" t="str">
        <f>"230308406791"</f>
        <v>230308406791</v>
      </c>
      <c r="B2615" t="s">
        <v>3605</v>
      </c>
      <c r="C2615" t="s">
        <v>7</v>
      </c>
      <c r="D2615" t="s">
        <v>12</v>
      </c>
      <c r="E2615" t="s">
        <v>3473</v>
      </c>
    </row>
    <row r="2616" spans="1:6" x14ac:dyDescent="0.25">
      <c r="A2616" t="str">
        <f>"230406337602"</f>
        <v>230406337602</v>
      </c>
      <c r="B2616" t="s">
        <v>3606</v>
      </c>
      <c r="C2616" t="s">
        <v>7</v>
      </c>
      <c r="D2616" t="s">
        <v>14</v>
      </c>
      <c r="E2616" t="s">
        <v>3473</v>
      </c>
    </row>
    <row r="2617" spans="1:6" x14ac:dyDescent="0.25">
      <c r="A2617" t="str">
        <f>"230406866028"</f>
        <v>230406866028</v>
      </c>
      <c r="B2617" t="s">
        <v>3607</v>
      </c>
      <c r="C2617" t="s">
        <v>7</v>
      </c>
      <c r="D2617" t="s">
        <v>12</v>
      </c>
      <c r="E2617" t="s">
        <v>3473</v>
      </c>
    </row>
    <row r="2618" spans="1:6" x14ac:dyDescent="0.25">
      <c r="A2618" t="str">
        <f>"2305026078"</f>
        <v>2305026078</v>
      </c>
      <c r="B2618" t="s">
        <v>3608</v>
      </c>
      <c r="C2618" t="s">
        <v>7</v>
      </c>
      <c r="D2618" t="s">
        <v>12</v>
      </c>
      <c r="E2618" t="s">
        <v>3473</v>
      </c>
      <c r="F2618" t="s">
        <v>3609</v>
      </c>
    </row>
    <row r="2619" spans="1:6" x14ac:dyDescent="0.25">
      <c r="A2619" t="str">
        <f>"2305028212"</f>
        <v>2305028212</v>
      </c>
      <c r="B2619" t="s">
        <v>3610</v>
      </c>
      <c r="C2619" t="s">
        <v>7</v>
      </c>
      <c r="D2619" t="s">
        <v>12</v>
      </c>
      <c r="E2619" t="s">
        <v>3473</v>
      </c>
      <c r="F2619" t="s">
        <v>3611</v>
      </c>
    </row>
    <row r="2620" spans="1:6" x14ac:dyDescent="0.25">
      <c r="A2620" t="str">
        <f>"230600303435"</f>
        <v>230600303435</v>
      </c>
      <c r="B2620" t="s">
        <v>3612</v>
      </c>
      <c r="C2620" t="s">
        <v>7</v>
      </c>
      <c r="D2620" t="s">
        <v>14</v>
      </c>
      <c r="E2620" t="s">
        <v>3473</v>
      </c>
    </row>
    <row r="2621" spans="1:6" x14ac:dyDescent="0.25">
      <c r="A2621" t="str">
        <f>"2306021361"</f>
        <v>2306021361</v>
      </c>
      <c r="B2621" t="s">
        <v>3613</v>
      </c>
      <c r="C2621" t="s">
        <v>7</v>
      </c>
      <c r="D2621" t="s">
        <v>14</v>
      </c>
      <c r="E2621" t="s">
        <v>3473</v>
      </c>
      <c r="F2621" t="s">
        <v>3614</v>
      </c>
    </row>
    <row r="2622" spans="1:6" x14ac:dyDescent="0.25">
      <c r="A2622" t="str">
        <f>"051700258200"</f>
        <v>051700258200</v>
      </c>
      <c r="B2622" t="s">
        <v>3615</v>
      </c>
      <c r="C2622" t="s">
        <v>7</v>
      </c>
      <c r="D2622" t="s">
        <v>14</v>
      </c>
      <c r="E2622" t="s">
        <v>3473</v>
      </c>
    </row>
    <row r="2623" spans="1:6" x14ac:dyDescent="0.25">
      <c r="A2623" t="str">
        <f>"260319169365"</f>
        <v>260319169365</v>
      </c>
      <c r="B2623" t="s">
        <v>3616</v>
      </c>
      <c r="C2623" t="s">
        <v>7</v>
      </c>
      <c r="D2623" t="s">
        <v>14</v>
      </c>
      <c r="E2623" t="s">
        <v>3473</v>
      </c>
    </row>
    <row r="2624" spans="1:6" x14ac:dyDescent="0.25">
      <c r="A2624" t="str">
        <f>"261706502400"</f>
        <v>261706502400</v>
      </c>
      <c r="B2624" t="s">
        <v>3617</v>
      </c>
      <c r="C2624" t="s">
        <v>7</v>
      </c>
      <c r="D2624" t="s">
        <v>14</v>
      </c>
      <c r="E2624" t="s">
        <v>3473</v>
      </c>
    </row>
    <row r="2625" spans="1:6" x14ac:dyDescent="0.25">
      <c r="A2625" t="str">
        <f>"6141057314"</f>
        <v>6141057314</v>
      </c>
      <c r="B2625" t="s">
        <v>3618</v>
      </c>
      <c r="C2625" t="s">
        <v>7</v>
      </c>
      <c r="D2625" t="s">
        <v>463</v>
      </c>
      <c r="E2625" t="s">
        <v>3473</v>
      </c>
      <c r="F2625" t="s">
        <v>3619</v>
      </c>
    </row>
    <row r="2626" spans="1:6" x14ac:dyDescent="0.25">
      <c r="A2626" t="str">
        <f>"6166105231"</f>
        <v>6166105231</v>
      </c>
      <c r="B2626" t="s">
        <v>3620</v>
      </c>
      <c r="C2626" t="s">
        <v>7</v>
      </c>
      <c r="D2626" t="s">
        <v>14</v>
      </c>
      <c r="E2626" t="s">
        <v>3473</v>
      </c>
      <c r="F2626" t="s">
        <v>3621</v>
      </c>
    </row>
    <row r="2627" spans="1:6" x14ac:dyDescent="0.25">
      <c r="A2627" t="str">
        <f>"233201563652"</f>
        <v>233201563652</v>
      </c>
      <c r="B2627" t="s">
        <v>3622</v>
      </c>
      <c r="C2627" t="s">
        <v>7</v>
      </c>
      <c r="D2627" t="s">
        <v>14</v>
      </c>
      <c r="E2627" t="s">
        <v>3473</v>
      </c>
    </row>
    <row r="2628" spans="1:6" x14ac:dyDescent="0.25">
      <c r="A2628" t="str">
        <f>"2335004378"</f>
        <v>2335004378</v>
      </c>
      <c r="B2628" t="s">
        <v>3623</v>
      </c>
      <c r="C2628" t="s">
        <v>7</v>
      </c>
      <c r="D2628" t="s">
        <v>33</v>
      </c>
      <c r="E2628" t="s">
        <v>3473</v>
      </c>
      <c r="F2628" t="s">
        <v>3624</v>
      </c>
    </row>
    <row r="2629" spans="1:6" x14ac:dyDescent="0.25">
      <c r="A2629" t="str">
        <f>"233709401595"</f>
        <v>233709401595</v>
      </c>
      <c r="B2629" t="s">
        <v>3625</v>
      </c>
      <c r="C2629" t="s">
        <v>7</v>
      </c>
      <c r="D2629" t="s">
        <v>14</v>
      </c>
      <c r="E2629" t="s">
        <v>3473</v>
      </c>
    </row>
    <row r="2630" spans="1:6" x14ac:dyDescent="0.25">
      <c r="A2630" t="str">
        <f>"233910543136"</f>
        <v>233910543136</v>
      </c>
      <c r="B2630" t="s">
        <v>3626</v>
      </c>
      <c r="C2630" t="s">
        <v>7</v>
      </c>
      <c r="D2630" t="s">
        <v>14</v>
      </c>
      <c r="E2630" t="s">
        <v>3473</v>
      </c>
    </row>
    <row r="2631" spans="1:6" x14ac:dyDescent="0.25">
      <c r="A2631" t="str">
        <f>"234000027558"</f>
        <v>234000027558</v>
      </c>
      <c r="B2631" t="s">
        <v>3627</v>
      </c>
      <c r="C2631" t="s">
        <v>7</v>
      </c>
      <c r="D2631" t="s">
        <v>14</v>
      </c>
      <c r="E2631" t="s">
        <v>3473</v>
      </c>
    </row>
    <row r="2632" spans="1:6" x14ac:dyDescent="0.25">
      <c r="A2632" t="str">
        <f>"234103762845"</f>
        <v>234103762845</v>
      </c>
      <c r="B2632" t="s">
        <v>3628</v>
      </c>
      <c r="C2632" t="s">
        <v>7</v>
      </c>
      <c r="D2632" t="s">
        <v>14</v>
      </c>
      <c r="E2632" t="s">
        <v>3473</v>
      </c>
    </row>
    <row r="2633" spans="1:6" x14ac:dyDescent="0.25">
      <c r="A2633" t="str">
        <f>"234500162562"</f>
        <v>234500162562</v>
      </c>
      <c r="B2633" t="s">
        <v>3629</v>
      </c>
      <c r="C2633" t="s">
        <v>7</v>
      </c>
      <c r="D2633" t="s">
        <v>14</v>
      </c>
      <c r="E2633" t="s">
        <v>3473</v>
      </c>
    </row>
    <row r="2634" spans="1:6" x14ac:dyDescent="0.25">
      <c r="A2634" t="str">
        <f>"234802468282"</f>
        <v>234802468282</v>
      </c>
      <c r="B2634" t="s">
        <v>3630</v>
      </c>
      <c r="C2634" t="s">
        <v>7</v>
      </c>
      <c r="D2634" t="s">
        <v>14</v>
      </c>
      <c r="E2634" t="s">
        <v>3473</v>
      </c>
    </row>
    <row r="2635" spans="1:6" x14ac:dyDescent="0.25">
      <c r="A2635" t="str">
        <f>"235102920917"</f>
        <v>235102920917</v>
      </c>
      <c r="B2635" t="s">
        <v>3631</v>
      </c>
      <c r="C2635" t="s">
        <v>7</v>
      </c>
      <c r="D2635" t="s">
        <v>14</v>
      </c>
      <c r="E2635" t="s">
        <v>3473</v>
      </c>
    </row>
    <row r="2636" spans="1:6" x14ac:dyDescent="0.25">
      <c r="A2636" t="str">
        <f>"235202959379"</f>
        <v>235202959379</v>
      </c>
      <c r="B2636" t="s">
        <v>3632</v>
      </c>
      <c r="C2636" t="s">
        <v>7</v>
      </c>
      <c r="D2636" t="s">
        <v>14</v>
      </c>
      <c r="E2636" t="s">
        <v>3473</v>
      </c>
    </row>
    <row r="2637" spans="1:6" x14ac:dyDescent="0.25">
      <c r="A2637" t="str">
        <f>"236101308100"</f>
        <v>236101308100</v>
      </c>
      <c r="B2637" t="s">
        <v>3633</v>
      </c>
      <c r="C2637" t="s">
        <v>7</v>
      </c>
      <c r="D2637" t="s">
        <v>14</v>
      </c>
      <c r="E2637" t="s">
        <v>3473</v>
      </c>
    </row>
    <row r="2638" spans="1:6" x14ac:dyDescent="0.25">
      <c r="A2638" t="str">
        <f>"236200771461"</f>
        <v>236200771461</v>
      </c>
      <c r="B2638" t="s">
        <v>3634</v>
      </c>
      <c r="C2638" t="s">
        <v>7</v>
      </c>
      <c r="D2638" t="s">
        <v>14</v>
      </c>
      <c r="E2638" t="s">
        <v>3473</v>
      </c>
    </row>
    <row r="2639" spans="1:6" x14ac:dyDescent="0.25">
      <c r="A2639" t="str">
        <f>"2366038401"</f>
        <v>2366038401</v>
      </c>
      <c r="B2639" t="s">
        <v>3635</v>
      </c>
      <c r="C2639" t="s">
        <v>7</v>
      </c>
      <c r="D2639" t="s">
        <v>12</v>
      </c>
      <c r="E2639" t="s">
        <v>3473</v>
      </c>
      <c r="F2639" t="s">
        <v>3636</v>
      </c>
    </row>
    <row r="2640" spans="1:6" x14ac:dyDescent="0.25">
      <c r="A2640" t="str">
        <f>"236802763612"</f>
        <v>236802763612</v>
      </c>
      <c r="B2640" t="s">
        <v>3637</v>
      </c>
      <c r="C2640" t="s">
        <v>7</v>
      </c>
      <c r="D2640" t="s">
        <v>14</v>
      </c>
      <c r="E2640" t="s">
        <v>3473</v>
      </c>
    </row>
    <row r="2641" spans="1:6" x14ac:dyDescent="0.25">
      <c r="A2641" t="str">
        <f>"237400068770"</f>
        <v>237400068770</v>
      </c>
      <c r="B2641" t="s">
        <v>3638</v>
      </c>
      <c r="C2641" t="s">
        <v>7</v>
      </c>
      <c r="D2641" t="s">
        <v>14</v>
      </c>
      <c r="E2641" t="s">
        <v>3473</v>
      </c>
    </row>
    <row r="2642" spans="1:6" x14ac:dyDescent="0.25">
      <c r="A2642" t="str">
        <f>"224701579127"</f>
        <v>224701579127</v>
      </c>
      <c r="B2642" t="s">
        <v>3639</v>
      </c>
      <c r="C2642" t="s">
        <v>7</v>
      </c>
      <c r="D2642" t="s">
        <v>12</v>
      </c>
      <c r="E2642" t="s">
        <v>3473</v>
      </c>
    </row>
    <row r="2643" spans="1:6" x14ac:dyDescent="0.25">
      <c r="A2643" t="str">
        <f>"227700216302"</f>
        <v>227700216302</v>
      </c>
      <c r="B2643" t="s">
        <v>3640</v>
      </c>
      <c r="C2643" t="s">
        <v>7</v>
      </c>
      <c r="D2643" t="s">
        <v>14</v>
      </c>
      <c r="E2643" t="s">
        <v>3473</v>
      </c>
    </row>
    <row r="2644" spans="1:6" x14ac:dyDescent="0.25">
      <c r="A2644" t="str">
        <f>"552901528395"</f>
        <v>552901528395</v>
      </c>
      <c r="B2644" t="s">
        <v>3641</v>
      </c>
      <c r="C2644" t="s">
        <v>7</v>
      </c>
      <c r="D2644" t="s">
        <v>14</v>
      </c>
      <c r="E2644" t="s">
        <v>3473</v>
      </c>
    </row>
    <row r="2645" spans="1:6" x14ac:dyDescent="0.25">
      <c r="A2645" t="str">
        <f>"263203938514"</f>
        <v>263203938514</v>
      </c>
      <c r="B2645" t="s">
        <v>3642</v>
      </c>
      <c r="C2645" t="s">
        <v>7</v>
      </c>
      <c r="D2645" t="s">
        <v>14</v>
      </c>
      <c r="E2645" t="s">
        <v>3473</v>
      </c>
    </row>
    <row r="2646" spans="1:6" x14ac:dyDescent="0.25">
      <c r="A2646" t="str">
        <f>"2301050538"</f>
        <v>2301050538</v>
      </c>
      <c r="B2646" t="s">
        <v>3643</v>
      </c>
      <c r="C2646" t="s">
        <v>7</v>
      </c>
      <c r="D2646" t="s">
        <v>14</v>
      </c>
      <c r="E2646" t="s">
        <v>3473</v>
      </c>
      <c r="F2646" t="s">
        <v>3644</v>
      </c>
    </row>
    <row r="2647" spans="1:6" x14ac:dyDescent="0.25">
      <c r="A2647" t="str">
        <f>"2301051436"</f>
        <v>2301051436</v>
      </c>
      <c r="B2647" t="s">
        <v>3645</v>
      </c>
      <c r="C2647" t="s">
        <v>7</v>
      </c>
      <c r="D2647" t="s">
        <v>14</v>
      </c>
      <c r="E2647" t="s">
        <v>3473</v>
      </c>
      <c r="F2647" t="s">
        <v>3646</v>
      </c>
    </row>
    <row r="2648" spans="1:6" x14ac:dyDescent="0.25">
      <c r="A2648" t="str">
        <f>"230115790286"</f>
        <v>230115790286</v>
      </c>
      <c r="B2648" t="s">
        <v>3647</v>
      </c>
      <c r="C2648" t="s">
        <v>7</v>
      </c>
      <c r="D2648" t="s">
        <v>14</v>
      </c>
      <c r="E2648" t="s">
        <v>3473</v>
      </c>
    </row>
    <row r="2649" spans="1:6" x14ac:dyDescent="0.25">
      <c r="A2649" t="str">
        <f>"230203849958"</f>
        <v>230203849958</v>
      </c>
      <c r="B2649" t="s">
        <v>3648</v>
      </c>
      <c r="C2649" t="s">
        <v>7</v>
      </c>
      <c r="D2649" t="s">
        <v>14</v>
      </c>
      <c r="E2649" t="s">
        <v>3473</v>
      </c>
    </row>
    <row r="2650" spans="1:6" x14ac:dyDescent="0.25">
      <c r="A2650" t="str">
        <f>"230205412602"</f>
        <v>230205412602</v>
      </c>
      <c r="B2650" t="s">
        <v>3649</v>
      </c>
      <c r="C2650" t="s">
        <v>7</v>
      </c>
      <c r="D2650" t="s">
        <v>14</v>
      </c>
      <c r="E2650" t="s">
        <v>3473</v>
      </c>
    </row>
    <row r="2651" spans="1:6" x14ac:dyDescent="0.25">
      <c r="A2651" t="str">
        <f>"230210706171"</f>
        <v>230210706171</v>
      </c>
      <c r="B2651" t="s">
        <v>3650</v>
      </c>
      <c r="C2651" t="s">
        <v>7</v>
      </c>
      <c r="D2651" t="s">
        <v>14</v>
      </c>
      <c r="E2651" t="s">
        <v>3473</v>
      </c>
    </row>
    <row r="2652" spans="1:6" x14ac:dyDescent="0.25">
      <c r="A2652" t="str">
        <f>"230300367325"</f>
        <v>230300367325</v>
      </c>
      <c r="B2652" t="s">
        <v>3651</v>
      </c>
      <c r="C2652" t="s">
        <v>7</v>
      </c>
      <c r="D2652" t="s">
        <v>14</v>
      </c>
      <c r="E2652" t="s">
        <v>3473</v>
      </c>
    </row>
    <row r="2653" spans="1:6" x14ac:dyDescent="0.25">
      <c r="A2653" t="str">
        <f>"230300633270"</f>
        <v>230300633270</v>
      </c>
      <c r="B2653" t="s">
        <v>3652</v>
      </c>
      <c r="C2653" t="s">
        <v>7</v>
      </c>
      <c r="D2653" t="s">
        <v>14</v>
      </c>
      <c r="E2653" t="s">
        <v>3473</v>
      </c>
    </row>
    <row r="2654" spans="1:6" x14ac:dyDescent="0.25">
      <c r="A2654" t="str">
        <f>"230400028608"</f>
        <v>230400028608</v>
      </c>
      <c r="B2654" t="s">
        <v>3653</v>
      </c>
      <c r="C2654" t="s">
        <v>7</v>
      </c>
      <c r="D2654" t="s">
        <v>14</v>
      </c>
      <c r="E2654" t="s">
        <v>3473</v>
      </c>
    </row>
    <row r="2655" spans="1:6" x14ac:dyDescent="0.25">
      <c r="A2655" t="str">
        <f>"2305002817"</f>
        <v>2305002817</v>
      </c>
      <c r="B2655" t="s">
        <v>3654</v>
      </c>
      <c r="C2655" t="s">
        <v>7</v>
      </c>
      <c r="D2655" t="s">
        <v>14</v>
      </c>
      <c r="E2655" t="s">
        <v>3473</v>
      </c>
      <c r="F2655" t="s">
        <v>3655</v>
      </c>
    </row>
    <row r="2656" spans="1:6" x14ac:dyDescent="0.25">
      <c r="A2656" t="str">
        <f>"230500606845"</f>
        <v>230500606845</v>
      </c>
      <c r="B2656" t="s">
        <v>3656</v>
      </c>
      <c r="C2656" t="s">
        <v>7</v>
      </c>
      <c r="D2656" t="s">
        <v>12</v>
      </c>
      <c r="E2656" t="s">
        <v>3473</v>
      </c>
    </row>
    <row r="2657" spans="1:6" x14ac:dyDescent="0.25">
      <c r="A2657" t="str">
        <f>"230503091200"</f>
        <v>230503091200</v>
      </c>
      <c r="B2657" t="s">
        <v>3657</v>
      </c>
      <c r="C2657" t="s">
        <v>7</v>
      </c>
      <c r="D2657" t="s">
        <v>14</v>
      </c>
      <c r="E2657" t="s">
        <v>3473</v>
      </c>
    </row>
    <row r="2658" spans="1:6" x14ac:dyDescent="0.25">
      <c r="A2658" t="str">
        <f>"230601051332"</f>
        <v>230601051332</v>
      </c>
      <c r="B2658" t="s">
        <v>3658</v>
      </c>
      <c r="C2658" t="s">
        <v>7</v>
      </c>
      <c r="D2658" t="s">
        <v>14</v>
      </c>
      <c r="E2658" t="s">
        <v>3473</v>
      </c>
    </row>
    <row r="2659" spans="1:6" x14ac:dyDescent="0.25">
      <c r="A2659" t="str">
        <f>"230602440243"</f>
        <v>230602440243</v>
      </c>
      <c r="B2659" t="s">
        <v>3659</v>
      </c>
      <c r="C2659" t="s">
        <v>7</v>
      </c>
      <c r="D2659" t="s">
        <v>12</v>
      </c>
      <c r="E2659" t="s">
        <v>3473</v>
      </c>
    </row>
    <row r="2660" spans="1:6" x14ac:dyDescent="0.25">
      <c r="A2660" t="str">
        <f>"230608425210"</f>
        <v>230608425210</v>
      </c>
      <c r="B2660" t="s">
        <v>3660</v>
      </c>
      <c r="C2660" t="s">
        <v>7</v>
      </c>
      <c r="D2660" t="s">
        <v>14</v>
      </c>
      <c r="E2660" t="s">
        <v>3473</v>
      </c>
    </row>
    <row r="2661" spans="1:6" x14ac:dyDescent="0.25">
      <c r="A2661" t="str">
        <f>"230800270280"</f>
        <v>230800270280</v>
      </c>
      <c r="B2661" t="s">
        <v>3661</v>
      </c>
      <c r="C2661" t="s">
        <v>7</v>
      </c>
      <c r="D2661" t="s">
        <v>12</v>
      </c>
      <c r="E2661" t="s">
        <v>3473</v>
      </c>
    </row>
    <row r="2662" spans="1:6" x14ac:dyDescent="0.25">
      <c r="A2662" t="str">
        <f>"230800301019"</f>
        <v>230800301019</v>
      </c>
      <c r="B2662" t="s">
        <v>3662</v>
      </c>
      <c r="C2662" t="s">
        <v>7</v>
      </c>
      <c r="D2662" t="s">
        <v>14</v>
      </c>
      <c r="E2662" t="s">
        <v>3473</v>
      </c>
    </row>
    <row r="2663" spans="1:6" x14ac:dyDescent="0.25">
      <c r="A2663" t="str">
        <f>"2308003520"</f>
        <v>2308003520</v>
      </c>
      <c r="B2663" t="s">
        <v>3663</v>
      </c>
      <c r="C2663" t="s">
        <v>7</v>
      </c>
      <c r="D2663" t="s">
        <v>14</v>
      </c>
      <c r="E2663" t="s">
        <v>3473</v>
      </c>
      <c r="F2663" t="s">
        <v>3664</v>
      </c>
    </row>
    <row r="2664" spans="1:6" x14ac:dyDescent="0.25">
      <c r="A2664" t="str">
        <f>"230800524199"</f>
        <v>230800524199</v>
      </c>
      <c r="B2664" t="s">
        <v>3665</v>
      </c>
      <c r="C2664" t="s">
        <v>7</v>
      </c>
      <c r="D2664" t="s">
        <v>14</v>
      </c>
      <c r="E2664" t="s">
        <v>3473</v>
      </c>
    </row>
    <row r="2665" spans="1:6" x14ac:dyDescent="0.25">
      <c r="A2665" t="str">
        <f>"230804357326"</f>
        <v>230804357326</v>
      </c>
      <c r="B2665" t="s">
        <v>3666</v>
      </c>
      <c r="C2665" t="s">
        <v>7</v>
      </c>
      <c r="D2665" t="s">
        <v>12</v>
      </c>
      <c r="E2665" t="s">
        <v>3473</v>
      </c>
    </row>
    <row r="2666" spans="1:6" x14ac:dyDescent="0.25">
      <c r="A2666" t="str">
        <f>"2308061962"</f>
        <v>2308061962</v>
      </c>
      <c r="B2666" t="s">
        <v>3667</v>
      </c>
      <c r="C2666" t="s">
        <v>7</v>
      </c>
      <c r="D2666" t="s">
        <v>33</v>
      </c>
      <c r="E2666" t="s">
        <v>3473</v>
      </c>
      <c r="F2666" t="s">
        <v>3668</v>
      </c>
    </row>
    <row r="2667" spans="1:6" x14ac:dyDescent="0.25">
      <c r="A2667" t="str">
        <f>"230809755377"</f>
        <v>230809755377</v>
      </c>
      <c r="B2667" t="s">
        <v>3669</v>
      </c>
      <c r="C2667" t="s">
        <v>7</v>
      </c>
      <c r="D2667" t="s">
        <v>12</v>
      </c>
      <c r="E2667" t="s">
        <v>3473</v>
      </c>
    </row>
    <row r="2668" spans="1:6" x14ac:dyDescent="0.25">
      <c r="A2668" t="str">
        <f>"230811240495"</f>
        <v>230811240495</v>
      </c>
      <c r="B2668" t="s">
        <v>3670</v>
      </c>
      <c r="C2668" t="s">
        <v>7</v>
      </c>
      <c r="D2668" t="s">
        <v>14</v>
      </c>
      <c r="E2668" t="s">
        <v>3473</v>
      </c>
    </row>
    <row r="2669" spans="1:6" x14ac:dyDescent="0.25">
      <c r="A2669" t="str">
        <f>"2308222391"</f>
        <v>2308222391</v>
      </c>
      <c r="B2669" t="s">
        <v>3671</v>
      </c>
      <c r="C2669" t="s">
        <v>7</v>
      </c>
      <c r="D2669" t="s">
        <v>14</v>
      </c>
      <c r="E2669" t="s">
        <v>3473</v>
      </c>
      <c r="F2669" t="s">
        <v>3672</v>
      </c>
    </row>
    <row r="2670" spans="1:6" x14ac:dyDescent="0.25">
      <c r="A2670" t="str">
        <f>"2308282305"</f>
        <v>2308282305</v>
      </c>
      <c r="B2670" t="s">
        <v>3673</v>
      </c>
      <c r="C2670" t="s">
        <v>7</v>
      </c>
      <c r="D2670" t="s">
        <v>14</v>
      </c>
      <c r="E2670" t="s">
        <v>3473</v>
      </c>
      <c r="F2670" t="s">
        <v>3674</v>
      </c>
    </row>
    <row r="2671" spans="1:6" x14ac:dyDescent="0.25">
      <c r="A2671" t="str">
        <f>"230900006673"</f>
        <v>230900006673</v>
      </c>
      <c r="B2671" t="s">
        <v>3675</v>
      </c>
      <c r="C2671" t="s">
        <v>7</v>
      </c>
      <c r="D2671" t="s">
        <v>33</v>
      </c>
      <c r="E2671" t="s">
        <v>3473</v>
      </c>
    </row>
    <row r="2672" spans="1:6" x14ac:dyDescent="0.25">
      <c r="A2672" t="str">
        <f>"230900283109"</f>
        <v>230900283109</v>
      </c>
      <c r="B2672" t="s">
        <v>3676</v>
      </c>
      <c r="C2672" t="s">
        <v>7</v>
      </c>
      <c r="D2672" t="s">
        <v>14</v>
      </c>
      <c r="E2672" t="s">
        <v>3473</v>
      </c>
    </row>
    <row r="2673" spans="1:6" x14ac:dyDescent="0.25">
      <c r="A2673" t="str">
        <f>"2309003018"</f>
        <v>2309003018</v>
      </c>
      <c r="B2673" t="s">
        <v>3677</v>
      </c>
      <c r="C2673" t="s">
        <v>7</v>
      </c>
      <c r="D2673" t="s">
        <v>14</v>
      </c>
      <c r="E2673" t="s">
        <v>3473</v>
      </c>
      <c r="F2673" t="s">
        <v>3678</v>
      </c>
    </row>
    <row r="2674" spans="1:6" x14ac:dyDescent="0.25">
      <c r="A2674" t="str">
        <f>"230900326120"</f>
        <v>230900326120</v>
      </c>
      <c r="B2674" t="s">
        <v>3679</v>
      </c>
      <c r="C2674" t="s">
        <v>7</v>
      </c>
      <c r="D2674" t="s">
        <v>14</v>
      </c>
      <c r="E2674" t="s">
        <v>3473</v>
      </c>
    </row>
    <row r="2675" spans="1:6" x14ac:dyDescent="0.25">
      <c r="A2675" t="str">
        <f>"2309005030"</f>
        <v>2309005030</v>
      </c>
      <c r="B2675" t="s">
        <v>3680</v>
      </c>
      <c r="C2675" t="s">
        <v>7</v>
      </c>
      <c r="D2675" t="s">
        <v>12</v>
      </c>
      <c r="E2675" t="s">
        <v>3473</v>
      </c>
      <c r="F2675" t="s">
        <v>3681</v>
      </c>
    </row>
    <row r="2676" spans="1:6" x14ac:dyDescent="0.25">
      <c r="A2676" t="str">
        <f>"230905254630"</f>
        <v>230905254630</v>
      </c>
      <c r="B2676" t="s">
        <v>3682</v>
      </c>
      <c r="C2676" t="s">
        <v>7</v>
      </c>
      <c r="D2676" t="s">
        <v>14</v>
      </c>
      <c r="E2676" t="s">
        <v>3473</v>
      </c>
    </row>
    <row r="2677" spans="1:6" x14ac:dyDescent="0.25">
      <c r="A2677" t="str">
        <f>"230906295365"</f>
        <v>230906295365</v>
      </c>
      <c r="B2677" t="s">
        <v>3683</v>
      </c>
      <c r="C2677" t="s">
        <v>7</v>
      </c>
      <c r="D2677" t="s">
        <v>14</v>
      </c>
      <c r="E2677" t="s">
        <v>3473</v>
      </c>
    </row>
    <row r="2678" spans="1:6" x14ac:dyDescent="0.25">
      <c r="A2678" t="str">
        <f>"2309081873"</f>
        <v>2309081873</v>
      </c>
      <c r="B2678" t="s">
        <v>3684</v>
      </c>
      <c r="C2678" t="s">
        <v>7</v>
      </c>
      <c r="D2678" t="s">
        <v>33</v>
      </c>
      <c r="E2678" t="s">
        <v>3473</v>
      </c>
      <c r="F2678" t="s">
        <v>3685</v>
      </c>
    </row>
    <row r="2679" spans="1:6" x14ac:dyDescent="0.25">
      <c r="A2679" t="str">
        <f>"230908877457"</f>
        <v>230908877457</v>
      </c>
      <c r="B2679" t="s">
        <v>3686</v>
      </c>
      <c r="C2679" t="s">
        <v>7</v>
      </c>
      <c r="D2679" t="s">
        <v>33</v>
      </c>
      <c r="E2679" t="s">
        <v>3473</v>
      </c>
    </row>
    <row r="2680" spans="1:6" x14ac:dyDescent="0.25">
      <c r="A2680" t="str">
        <f>"2309178378"</f>
        <v>2309178378</v>
      </c>
      <c r="B2680" t="s">
        <v>3687</v>
      </c>
      <c r="C2680" t="s">
        <v>7</v>
      </c>
      <c r="D2680" t="s">
        <v>33</v>
      </c>
      <c r="E2680" t="s">
        <v>3473</v>
      </c>
      <c r="F2680" t="s">
        <v>3688</v>
      </c>
    </row>
    <row r="2681" spans="1:6" x14ac:dyDescent="0.25">
      <c r="A2681" t="str">
        <f>"231001741431"</f>
        <v>231001741431</v>
      </c>
      <c r="B2681" t="s">
        <v>3689</v>
      </c>
      <c r="C2681" t="s">
        <v>7</v>
      </c>
      <c r="D2681" t="s">
        <v>14</v>
      </c>
      <c r="E2681" t="s">
        <v>3473</v>
      </c>
    </row>
    <row r="2682" spans="1:6" x14ac:dyDescent="0.25">
      <c r="A2682" t="str">
        <f>"231004591311"</f>
        <v>231004591311</v>
      </c>
      <c r="B2682" t="s">
        <v>3690</v>
      </c>
      <c r="C2682" t="s">
        <v>7</v>
      </c>
      <c r="D2682" t="s">
        <v>98</v>
      </c>
      <c r="E2682" t="s">
        <v>3473</v>
      </c>
    </row>
    <row r="2683" spans="1:6" x14ac:dyDescent="0.25">
      <c r="A2683" t="str">
        <f>"2310053824"</f>
        <v>2310053824</v>
      </c>
      <c r="B2683" t="s">
        <v>3691</v>
      </c>
      <c r="C2683" t="s">
        <v>7</v>
      </c>
      <c r="D2683" t="s">
        <v>12</v>
      </c>
      <c r="E2683" t="s">
        <v>3473</v>
      </c>
      <c r="F2683" t="s">
        <v>3692</v>
      </c>
    </row>
    <row r="2684" spans="1:6" x14ac:dyDescent="0.25">
      <c r="A2684" t="str">
        <f>"2310148184"</f>
        <v>2310148184</v>
      </c>
      <c r="B2684" t="s">
        <v>3693</v>
      </c>
      <c r="C2684" t="s">
        <v>7</v>
      </c>
      <c r="D2684" t="s">
        <v>12</v>
      </c>
      <c r="E2684" t="s">
        <v>3473</v>
      </c>
      <c r="F2684" t="s">
        <v>3694</v>
      </c>
    </row>
    <row r="2685" spans="1:6" x14ac:dyDescent="0.25">
      <c r="A2685" t="str">
        <f>"231100631856"</f>
        <v>231100631856</v>
      </c>
      <c r="B2685" t="s">
        <v>3695</v>
      </c>
      <c r="C2685" t="s">
        <v>7</v>
      </c>
      <c r="D2685" t="s">
        <v>14</v>
      </c>
      <c r="E2685" t="s">
        <v>3473</v>
      </c>
    </row>
    <row r="2686" spans="1:6" x14ac:dyDescent="0.25">
      <c r="A2686" t="str">
        <f>"231109092609"</f>
        <v>231109092609</v>
      </c>
      <c r="B2686" t="s">
        <v>3696</v>
      </c>
      <c r="C2686" t="s">
        <v>7</v>
      </c>
      <c r="D2686" t="s">
        <v>14</v>
      </c>
      <c r="E2686" t="s">
        <v>3473</v>
      </c>
    </row>
    <row r="2687" spans="1:6" x14ac:dyDescent="0.25">
      <c r="A2687" t="str">
        <f>"2311108508"</f>
        <v>2311108508</v>
      </c>
      <c r="B2687" t="s">
        <v>3697</v>
      </c>
      <c r="C2687" t="s">
        <v>7</v>
      </c>
      <c r="D2687" t="s">
        <v>12</v>
      </c>
      <c r="E2687" t="s">
        <v>3473</v>
      </c>
      <c r="F2687" t="s">
        <v>3698</v>
      </c>
    </row>
    <row r="2688" spans="1:6" x14ac:dyDescent="0.25">
      <c r="A2688" t="str">
        <f>"2311144908"</f>
        <v>2311144908</v>
      </c>
      <c r="B2688" t="s">
        <v>3699</v>
      </c>
      <c r="C2688" t="s">
        <v>7</v>
      </c>
      <c r="D2688" t="s">
        <v>12</v>
      </c>
      <c r="E2688" t="s">
        <v>3473</v>
      </c>
      <c r="F2688" t="s">
        <v>3700</v>
      </c>
    </row>
    <row r="2689" spans="1:6" x14ac:dyDescent="0.25">
      <c r="A2689" t="str">
        <f>"2311159125"</f>
        <v>2311159125</v>
      </c>
      <c r="B2689" t="s">
        <v>3701</v>
      </c>
      <c r="C2689" t="s">
        <v>7</v>
      </c>
      <c r="D2689" t="s">
        <v>33</v>
      </c>
      <c r="E2689" t="s">
        <v>3473</v>
      </c>
      <c r="F2689" t="s">
        <v>3702</v>
      </c>
    </row>
    <row r="2690" spans="1:6" x14ac:dyDescent="0.25">
      <c r="A2690" t="str">
        <f>"2311161156"</f>
        <v>2311161156</v>
      </c>
      <c r="B2690" t="s">
        <v>3703</v>
      </c>
      <c r="C2690" t="s">
        <v>7</v>
      </c>
      <c r="D2690" t="s">
        <v>12</v>
      </c>
      <c r="E2690" t="s">
        <v>3473</v>
      </c>
      <c r="F2690" t="s">
        <v>3704</v>
      </c>
    </row>
    <row r="2691" spans="1:6" x14ac:dyDescent="0.25">
      <c r="A2691" t="str">
        <f>"2311165873"</f>
        <v>2311165873</v>
      </c>
      <c r="B2691" t="s">
        <v>3705</v>
      </c>
      <c r="C2691" t="s">
        <v>7</v>
      </c>
      <c r="D2691" t="s">
        <v>12</v>
      </c>
      <c r="E2691" t="s">
        <v>3473</v>
      </c>
      <c r="F2691" t="s">
        <v>3706</v>
      </c>
    </row>
    <row r="2692" spans="1:6" x14ac:dyDescent="0.25">
      <c r="A2692" t="str">
        <f>"2311189641"</f>
        <v>2311189641</v>
      </c>
      <c r="B2692" t="s">
        <v>3707</v>
      </c>
      <c r="C2692" t="s">
        <v>7</v>
      </c>
      <c r="D2692" t="s">
        <v>14</v>
      </c>
      <c r="E2692" t="s">
        <v>3473</v>
      </c>
      <c r="F2692" t="s">
        <v>3708</v>
      </c>
    </row>
    <row r="2693" spans="1:6" x14ac:dyDescent="0.25">
      <c r="A2693" t="str">
        <f>"231122773692"</f>
        <v>231122773692</v>
      </c>
      <c r="B2693" t="s">
        <v>3709</v>
      </c>
      <c r="C2693" t="s">
        <v>7</v>
      </c>
      <c r="D2693" t="s">
        <v>12</v>
      </c>
      <c r="E2693" t="s">
        <v>3473</v>
      </c>
    </row>
    <row r="2694" spans="1:6" x14ac:dyDescent="0.25">
      <c r="A2694" t="str">
        <f>"2311229414"</f>
        <v>2311229414</v>
      </c>
      <c r="B2694" t="s">
        <v>3710</v>
      </c>
      <c r="C2694" t="s">
        <v>7</v>
      </c>
      <c r="D2694" t="s">
        <v>12</v>
      </c>
      <c r="E2694" t="s">
        <v>3473</v>
      </c>
      <c r="F2694" t="s">
        <v>3711</v>
      </c>
    </row>
    <row r="2695" spans="1:6" x14ac:dyDescent="0.25">
      <c r="A2695" t="str">
        <f>"2311235432"</f>
        <v>2311235432</v>
      </c>
      <c r="B2695" t="s">
        <v>3712</v>
      </c>
      <c r="C2695" t="s">
        <v>7</v>
      </c>
      <c r="D2695" t="s">
        <v>33</v>
      </c>
      <c r="E2695" t="s">
        <v>3473</v>
      </c>
      <c r="F2695" t="s">
        <v>3713</v>
      </c>
    </row>
    <row r="2696" spans="1:6" x14ac:dyDescent="0.25">
      <c r="A2696" t="str">
        <f>"2311240707"</f>
        <v>2311240707</v>
      </c>
      <c r="B2696" t="s">
        <v>3714</v>
      </c>
      <c r="C2696" t="s">
        <v>7</v>
      </c>
      <c r="D2696" t="s">
        <v>12</v>
      </c>
      <c r="E2696" t="s">
        <v>3473</v>
      </c>
      <c r="F2696" t="s">
        <v>3715</v>
      </c>
    </row>
    <row r="2697" spans="1:6" x14ac:dyDescent="0.25">
      <c r="A2697" t="str">
        <f>"2311292864"</f>
        <v>2311292864</v>
      </c>
      <c r="B2697" t="s">
        <v>3716</v>
      </c>
      <c r="C2697" t="s">
        <v>7</v>
      </c>
      <c r="D2697" t="s">
        <v>12</v>
      </c>
      <c r="E2697" t="s">
        <v>3473</v>
      </c>
      <c r="F2697" t="s">
        <v>3717</v>
      </c>
    </row>
    <row r="2698" spans="1:6" x14ac:dyDescent="0.25">
      <c r="A2698" t="str">
        <f>"2311294967"</f>
        <v>2311294967</v>
      </c>
      <c r="B2698" t="s">
        <v>3718</v>
      </c>
      <c r="C2698" t="s">
        <v>7</v>
      </c>
      <c r="D2698" t="s">
        <v>14</v>
      </c>
      <c r="E2698" t="s">
        <v>3473</v>
      </c>
      <c r="F2698" t="s">
        <v>3719</v>
      </c>
    </row>
    <row r="2699" spans="1:6" x14ac:dyDescent="0.25">
      <c r="A2699" t="str">
        <f>"231130417754"</f>
        <v>231130417754</v>
      </c>
      <c r="B2699" t="s">
        <v>3720</v>
      </c>
      <c r="C2699" t="s">
        <v>7</v>
      </c>
      <c r="D2699" t="s">
        <v>33</v>
      </c>
      <c r="E2699" t="s">
        <v>3473</v>
      </c>
    </row>
    <row r="2700" spans="1:6" x14ac:dyDescent="0.25">
      <c r="A2700" t="str">
        <f>"2311311605"</f>
        <v>2311311605</v>
      </c>
      <c r="B2700" t="s">
        <v>3721</v>
      </c>
      <c r="C2700" t="s">
        <v>7</v>
      </c>
      <c r="D2700" t="s">
        <v>12</v>
      </c>
      <c r="E2700" t="s">
        <v>3473</v>
      </c>
      <c r="F2700" t="s">
        <v>3722</v>
      </c>
    </row>
    <row r="2701" spans="1:6" x14ac:dyDescent="0.25">
      <c r="A2701" t="str">
        <f>"2311313480"</f>
        <v>2311313480</v>
      </c>
      <c r="B2701" t="s">
        <v>3723</v>
      </c>
      <c r="C2701" t="s">
        <v>7</v>
      </c>
      <c r="D2701" t="s">
        <v>460</v>
      </c>
      <c r="E2701" t="s">
        <v>3473</v>
      </c>
      <c r="F2701" t="s">
        <v>3724</v>
      </c>
    </row>
    <row r="2702" spans="1:6" x14ac:dyDescent="0.25">
      <c r="A2702" t="str">
        <f>"2311332940"</f>
        <v>2311332940</v>
      </c>
      <c r="B2702" t="s">
        <v>3725</v>
      </c>
      <c r="C2702" t="s">
        <v>7</v>
      </c>
      <c r="D2702" t="s">
        <v>33</v>
      </c>
      <c r="E2702" t="s">
        <v>3473</v>
      </c>
      <c r="F2702" t="s">
        <v>3726</v>
      </c>
    </row>
    <row r="2703" spans="1:6" x14ac:dyDescent="0.25">
      <c r="A2703" t="str">
        <f>"231136432332"</f>
        <v>231136432332</v>
      </c>
      <c r="B2703" t="s">
        <v>3727</v>
      </c>
      <c r="C2703" t="s">
        <v>7</v>
      </c>
      <c r="D2703" t="s">
        <v>14</v>
      </c>
      <c r="E2703" t="s">
        <v>3473</v>
      </c>
    </row>
    <row r="2704" spans="1:6" x14ac:dyDescent="0.25">
      <c r="A2704" t="str">
        <f>"2311365054"</f>
        <v>2311365054</v>
      </c>
      <c r="B2704" t="s">
        <v>3728</v>
      </c>
      <c r="C2704" t="s">
        <v>7</v>
      </c>
      <c r="D2704" t="s">
        <v>463</v>
      </c>
      <c r="E2704" t="s">
        <v>3473</v>
      </c>
      <c r="F2704" t="s">
        <v>3729</v>
      </c>
    </row>
    <row r="2705" spans="1:6" x14ac:dyDescent="0.25">
      <c r="A2705" t="str">
        <f>"2311366298"</f>
        <v>2311366298</v>
      </c>
      <c r="B2705" t="s">
        <v>3730</v>
      </c>
      <c r="C2705" t="s">
        <v>7</v>
      </c>
      <c r="D2705" t="s">
        <v>674</v>
      </c>
      <c r="E2705" t="s">
        <v>3473</v>
      </c>
      <c r="F2705" t="s">
        <v>3731</v>
      </c>
    </row>
    <row r="2706" spans="1:6" x14ac:dyDescent="0.25">
      <c r="A2706" t="str">
        <f>"2311374605"</f>
        <v>2311374605</v>
      </c>
      <c r="B2706" t="s">
        <v>3732</v>
      </c>
      <c r="C2706" t="s">
        <v>7</v>
      </c>
      <c r="D2706" t="s">
        <v>14</v>
      </c>
      <c r="E2706" t="s">
        <v>3473</v>
      </c>
      <c r="F2706" t="s">
        <v>3733</v>
      </c>
    </row>
    <row r="2707" spans="1:6" x14ac:dyDescent="0.25">
      <c r="A2707" t="str">
        <f>"231150396051"</f>
        <v>231150396051</v>
      </c>
      <c r="B2707" t="s">
        <v>3734</v>
      </c>
      <c r="C2707" t="s">
        <v>7</v>
      </c>
      <c r="D2707" t="s">
        <v>14</v>
      </c>
      <c r="E2707" t="s">
        <v>3473</v>
      </c>
    </row>
    <row r="2708" spans="1:6" x14ac:dyDescent="0.25">
      <c r="A2708" t="str">
        <f>"231150465925"</f>
        <v>231150465925</v>
      </c>
      <c r="B2708" t="s">
        <v>3735</v>
      </c>
      <c r="C2708" t="s">
        <v>7</v>
      </c>
      <c r="D2708" t="s">
        <v>12</v>
      </c>
      <c r="E2708" t="s">
        <v>3473</v>
      </c>
    </row>
    <row r="2709" spans="1:6" x14ac:dyDescent="0.25">
      <c r="A2709" t="str">
        <f>"231201583013"</f>
        <v>231201583013</v>
      </c>
      <c r="B2709" t="s">
        <v>3736</v>
      </c>
      <c r="C2709" t="s">
        <v>7</v>
      </c>
      <c r="D2709" t="s">
        <v>14</v>
      </c>
      <c r="E2709" t="s">
        <v>3473</v>
      </c>
    </row>
    <row r="2710" spans="1:6" x14ac:dyDescent="0.25">
      <c r="A2710" t="str">
        <f>"231204005204"</f>
        <v>231204005204</v>
      </c>
      <c r="B2710" t="s">
        <v>3737</v>
      </c>
      <c r="C2710" t="s">
        <v>7</v>
      </c>
      <c r="D2710" t="s">
        <v>12</v>
      </c>
      <c r="E2710" t="s">
        <v>3473</v>
      </c>
    </row>
    <row r="2711" spans="1:6" x14ac:dyDescent="0.25">
      <c r="A2711" t="str">
        <f>"2312079923"</f>
        <v>2312079923</v>
      </c>
      <c r="B2711" t="s">
        <v>3738</v>
      </c>
      <c r="C2711" t="s">
        <v>7</v>
      </c>
      <c r="D2711" t="s">
        <v>189</v>
      </c>
      <c r="E2711" t="s">
        <v>3473</v>
      </c>
      <c r="F2711" t="s">
        <v>3739</v>
      </c>
    </row>
    <row r="2712" spans="1:6" x14ac:dyDescent="0.25">
      <c r="A2712" t="str">
        <f>"2312123548"</f>
        <v>2312123548</v>
      </c>
      <c r="B2712" t="s">
        <v>3740</v>
      </c>
      <c r="C2712" t="s">
        <v>7</v>
      </c>
      <c r="D2712" t="s">
        <v>12</v>
      </c>
      <c r="E2712" t="s">
        <v>3473</v>
      </c>
      <c r="F2712" t="s">
        <v>3741</v>
      </c>
    </row>
    <row r="2713" spans="1:6" x14ac:dyDescent="0.25">
      <c r="A2713" t="str">
        <f>"231212750474"</f>
        <v>231212750474</v>
      </c>
      <c r="B2713" t="s">
        <v>3742</v>
      </c>
      <c r="C2713" t="s">
        <v>7</v>
      </c>
      <c r="D2713" t="s">
        <v>14</v>
      </c>
      <c r="E2713" t="s">
        <v>3473</v>
      </c>
    </row>
    <row r="2714" spans="1:6" x14ac:dyDescent="0.25">
      <c r="A2714" t="str">
        <f>"2312145132"</f>
        <v>2312145132</v>
      </c>
      <c r="B2714" t="s">
        <v>3743</v>
      </c>
      <c r="C2714" t="s">
        <v>7</v>
      </c>
      <c r="D2714" t="s">
        <v>33</v>
      </c>
      <c r="E2714" t="s">
        <v>3473</v>
      </c>
      <c r="F2714" t="s">
        <v>3744</v>
      </c>
    </row>
    <row r="2715" spans="1:6" x14ac:dyDescent="0.25">
      <c r="A2715" t="str">
        <f>"560204561790"</f>
        <v>560204561790</v>
      </c>
      <c r="B2715" t="s">
        <v>3745</v>
      </c>
      <c r="C2715" t="s">
        <v>7</v>
      </c>
      <c r="D2715" t="s">
        <v>14</v>
      </c>
      <c r="E2715" t="s">
        <v>3473</v>
      </c>
    </row>
    <row r="2716" spans="1:6" x14ac:dyDescent="0.25">
      <c r="A2716" t="str">
        <f>"645107771744"</f>
        <v>645107771744</v>
      </c>
      <c r="B2716" t="s">
        <v>3746</v>
      </c>
      <c r="C2716" t="s">
        <v>7</v>
      </c>
      <c r="D2716" t="s">
        <v>14</v>
      </c>
      <c r="E2716" t="s">
        <v>3473</v>
      </c>
    </row>
    <row r="2717" spans="1:6" x14ac:dyDescent="0.25">
      <c r="A2717" t="str">
        <f>"230100502633"</f>
        <v>230100502633</v>
      </c>
      <c r="B2717" t="s">
        <v>3747</v>
      </c>
      <c r="C2717" t="s">
        <v>7</v>
      </c>
      <c r="D2717" t="s">
        <v>12</v>
      </c>
      <c r="E2717" t="s">
        <v>3473</v>
      </c>
    </row>
    <row r="2718" spans="1:6" x14ac:dyDescent="0.25">
      <c r="A2718" t="str">
        <f>"230105408391"</f>
        <v>230105408391</v>
      </c>
      <c r="B2718" t="s">
        <v>3748</v>
      </c>
      <c r="C2718" t="s">
        <v>7</v>
      </c>
      <c r="D2718" t="s">
        <v>14</v>
      </c>
      <c r="E2718" t="s">
        <v>3473</v>
      </c>
    </row>
    <row r="2719" spans="1:6" x14ac:dyDescent="0.25">
      <c r="A2719" t="str">
        <f>"230105794732"</f>
        <v>230105794732</v>
      </c>
      <c r="B2719" t="s">
        <v>3749</v>
      </c>
      <c r="C2719" t="s">
        <v>7</v>
      </c>
      <c r="D2719" t="s">
        <v>14</v>
      </c>
      <c r="E2719" t="s">
        <v>3473</v>
      </c>
    </row>
    <row r="2720" spans="1:6" x14ac:dyDescent="0.25">
      <c r="A2720" t="str">
        <f>"2301069835"</f>
        <v>2301069835</v>
      </c>
      <c r="B2720" t="s">
        <v>3750</v>
      </c>
      <c r="C2720" t="s">
        <v>7</v>
      </c>
      <c r="D2720" t="s">
        <v>12</v>
      </c>
      <c r="E2720" t="s">
        <v>3473</v>
      </c>
      <c r="F2720" t="s">
        <v>3751</v>
      </c>
    </row>
    <row r="2721" spans="1:6" x14ac:dyDescent="0.25">
      <c r="A2721" t="str">
        <f>"230107769611"</f>
        <v>230107769611</v>
      </c>
      <c r="B2721" t="s">
        <v>3752</v>
      </c>
      <c r="C2721" t="s">
        <v>7</v>
      </c>
      <c r="D2721" t="s">
        <v>33</v>
      </c>
      <c r="E2721" t="s">
        <v>3473</v>
      </c>
    </row>
    <row r="2722" spans="1:6" x14ac:dyDescent="0.25">
      <c r="A2722" t="str">
        <f>"2301100482"</f>
        <v>2301100482</v>
      </c>
      <c r="B2722" t="s">
        <v>3753</v>
      </c>
      <c r="C2722" t="s">
        <v>7</v>
      </c>
      <c r="D2722" t="s">
        <v>14</v>
      </c>
      <c r="E2722" t="s">
        <v>3473</v>
      </c>
      <c r="F2722" t="s">
        <v>3754</v>
      </c>
    </row>
    <row r="2723" spans="1:6" x14ac:dyDescent="0.25">
      <c r="A2723" t="str">
        <f>"2301107304"</f>
        <v>2301107304</v>
      </c>
      <c r="B2723" t="s">
        <v>3755</v>
      </c>
      <c r="C2723" t="s">
        <v>7</v>
      </c>
      <c r="D2723" t="s">
        <v>14</v>
      </c>
      <c r="E2723" t="s">
        <v>3473</v>
      </c>
      <c r="F2723" t="s">
        <v>3756</v>
      </c>
    </row>
    <row r="2724" spans="1:6" x14ac:dyDescent="0.25">
      <c r="A2724" t="str">
        <f>"230115777503"</f>
        <v>230115777503</v>
      </c>
      <c r="B2724" t="s">
        <v>3757</v>
      </c>
      <c r="C2724" t="s">
        <v>7</v>
      </c>
      <c r="D2724" t="s">
        <v>14</v>
      </c>
      <c r="E2724" t="s">
        <v>3473</v>
      </c>
    </row>
    <row r="2725" spans="1:6" x14ac:dyDescent="0.25">
      <c r="A2725" t="str">
        <f>"230201605307"</f>
        <v>230201605307</v>
      </c>
      <c r="B2725" t="s">
        <v>3758</v>
      </c>
      <c r="C2725" t="s">
        <v>7</v>
      </c>
      <c r="D2725" t="s">
        <v>14</v>
      </c>
      <c r="E2725" t="s">
        <v>3473</v>
      </c>
    </row>
    <row r="2726" spans="1:6" x14ac:dyDescent="0.25">
      <c r="A2726" t="str">
        <f>"230202643457"</f>
        <v>230202643457</v>
      </c>
      <c r="B2726" t="s">
        <v>3759</v>
      </c>
      <c r="C2726" t="s">
        <v>7</v>
      </c>
      <c r="D2726" t="s">
        <v>12</v>
      </c>
      <c r="E2726" t="s">
        <v>3473</v>
      </c>
    </row>
    <row r="2727" spans="1:6" x14ac:dyDescent="0.25">
      <c r="A2727" t="str">
        <f>"2302058770"</f>
        <v>2302058770</v>
      </c>
      <c r="B2727" t="s">
        <v>3760</v>
      </c>
      <c r="C2727" t="s">
        <v>7</v>
      </c>
      <c r="D2727" t="s">
        <v>33</v>
      </c>
      <c r="E2727" t="s">
        <v>3473</v>
      </c>
      <c r="F2727" t="s">
        <v>3761</v>
      </c>
    </row>
    <row r="2728" spans="1:6" x14ac:dyDescent="0.25">
      <c r="A2728" t="str">
        <f>"230302252400"</f>
        <v>230302252400</v>
      </c>
      <c r="B2728" t="s">
        <v>3762</v>
      </c>
      <c r="C2728" t="s">
        <v>7</v>
      </c>
      <c r="D2728" t="s">
        <v>14</v>
      </c>
      <c r="E2728" t="s">
        <v>3473</v>
      </c>
    </row>
    <row r="2729" spans="1:6" x14ac:dyDescent="0.25">
      <c r="A2729" t="str">
        <f>"230304031189"</f>
        <v>230304031189</v>
      </c>
      <c r="B2729" t="s">
        <v>3763</v>
      </c>
      <c r="C2729" t="s">
        <v>7</v>
      </c>
      <c r="D2729" t="s">
        <v>14</v>
      </c>
      <c r="E2729" t="s">
        <v>3473</v>
      </c>
    </row>
    <row r="2730" spans="1:6" x14ac:dyDescent="0.25">
      <c r="A2730" t="str">
        <f>"230308713496"</f>
        <v>230308713496</v>
      </c>
      <c r="B2730" t="s">
        <v>3764</v>
      </c>
      <c r="C2730" t="s">
        <v>7</v>
      </c>
      <c r="D2730" t="s">
        <v>14</v>
      </c>
      <c r="E2730" t="s">
        <v>3473</v>
      </c>
    </row>
    <row r="2731" spans="1:6" x14ac:dyDescent="0.25">
      <c r="A2731" t="str">
        <f>"230308963295"</f>
        <v>230308963295</v>
      </c>
      <c r="B2731" t="s">
        <v>3765</v>
      </c>
      <c r="C2731" t="s">
        <v>7</v>
      </c>
      <c r="D2731" t="s">
        <v>14</v>
      </c>
      <c r="E2731" t="s">
        <v>3473</v>
      </c>
    </row>
    <row r="2732" spans="1:6" x14ac:dyDescent="0.25">
      <c r="A2732" t="str">
        <f>"230401767859"</f>
        <v>230401767859</v>
      </c>
      <c r="B2732" t="s">
        <v>3766</v>
      </c>
      <c r="C2732" t="s">
        <v>7</v>
      </c>
      <c r="D2732" t="s">
        <v>12</v>
      </c>
      <c r="E2732" t="s">
        <v>3473</v>
      </c>
    </row>
    <row r="2733" spans="1:6" x14ac:dyDescent="0.25">
      <c r="A2733" t="str">
        <f>"230403774107"</f>
        <v>230403774107</v>
      </c>
      <c r="B2733" t="s">
        <v>3767</v>
      </c>
      <c r="C2733" t="s">
        <v>7</v>
      </c>
      <c r="D2733" t="s">
        <v>14</v>
      </c>
      <c r="E2733" t="s">
        <v>3473</v>
      </c>
    </row>
    <row r="2734" spans="1:6" x14ac:dyDescent="0.25">
      <c r="A2734" t="str">
        <f>"230405364138"</f>
        <v>230405364138</v>
      </c>
      <c r="B2734" t="s">
        <v>3768</v>
      </c>
      <c r="C2734" t="s">
        <v>7</v>
      </c>
      <c r="D2734" t="s">
        <v>14</v>
      </c>
      <c r="E2734" t="s">
        <v>3473</v>
      </c>
    </row>
    <row r="2735" spans="1:6" x14ac:dyDescent="0.25">
      <c r="A2735" t="str">
        <f>"2304059426"</f>
        <v>2304059426</v>
      </c>
      <c r="B2735" t="s">
        <v>687</v>
      </c>
      <c r="C2735" t="s">
        <v>7</v>
      </c>
      <c r="D2735" t="s">
        <v>14</v>
      </c>
      <c r="E2735" t="s">
        <v>3473</v>
      </c>
      <c r="F2735" t="s">
        <v>3769</v>
      </c>
    </row>
    <row r="2736" spans="1:6" x14ac:dyDescent="0.25">
      <c r="A2736" t="str">
        <f>"230500295406"</f>
        <v>230500295406</v>
      </c>
      <c r="B2736" t="s">
        <v>3770</v>
      </c>
      <c r="C2736" t="s">
        <v>7</v>
      </c>
      <c r="D2736" t="s">
        <v>14</v>
      </c>
      <c r="E2736" t="s">
        <v>3473</v>
      </c>
    </row>
    <row r="2737" spans="1:6" x14ac:dyDescent="0.25">
      <c r="A2737" t="str">
        <f>"2305025941"</f>
        <v>2305025941</v>
      </c>
      <c r="B2737" t="s">
        <v>3771</v>
      </c>
      <c r="C2737" t="s">
        <v>7</v>
      </c>
      <c r="D2737" t="s">
        <v>12</v>
      </c>
      <c r="E2737" t="s">
        <v>3473</v>
      </c>
      <c r="F2737" t="s">
        <v>3609</v>
      </c>
    </row>
    <row r="2738" spans="1:6" x14ac:dyDescent="0.25">
      <c r="A2738" t="str">
        <f>"2305028251"</f>
        <v>2305028251</v>
      </c>
      <c r="B2738" t="s">
        <v>3772</v>
      </c>
      <c r="C2738" t="s">
        <v>7</v>
      </c>
      <c r="D2738" t="s">
        <v>14</v>
      </c>
      <c r="E2738" t="s">
        <v>3473</v>
      </c>
      <c r="F2738" t="s">
        <v>3773</v>
      </c>
    </row>
    <row r="2739" spans="1:6" x14ac:dyDescent="0.25">
      <c r="A2739" t="str">
        <f>"230503058315"</f>
        <v>230503058315</v>
      </c>
      <c r="B2739" t="s">
        <v>3774</v>
      </c>
      <c r="C2739" t="s">
        <v>7</v>
      </c>
      <c r="D2739" t="s">
        <v>14</v>
      </c>
      <c r="E2739" t="s">
        <v>3473</v>
      </c>
    </row>
    <row r="2740" spans="1:6" x14ac:dyDescent="0.25">
      <c r="A2740" t="str">
        <f>"230556474830"</f>
        <v>230556474830</v>
      </c>
      <c r="B2740" t="s">
        <v>3775</v>
      </c>
      <c r="C2740" t="s">
        <v>7</v>
      </c>
      <c r="D2740" t="s">
        <v>14</v>
      </c>
      <c r="E2740" t="s">
        <v>3473</v>
      </c>
    </row>
    <row r="2741" spans="1:6" x14ac:dyDescent="0.25">
      <c r="A2741" t="str">
        <f>"230600136512"</f>
        <v>230600136512</v>
      </c>
      <c r="B2741" t="s">
        <v>3776</v>
      </c>
      <c r="C2741" t="s">
        <v>7</v>
      </c>
      <c r="D2741" t="s">
        <v>33</v>
      </c>
      <c r="E2741" t="s">
        <v>3473</v>
      </c>
    </row>
    <row r="2742" spans="1:6" x14ac:dyDescent="0.25">
      <c r="A2742" t="str">
        <f>"645205985448"</f>
        <v>645205985448</v>
      </c>
      <c r="B2742" t="s">
        <v>3777</v>
      </c>
      <c r="C2742" t="s">
        <v>7</v>
      </c>
      <c r="D2742" t="s">
        <v>14</v>
      </c>
      <c r="E2742" t="s">
        <v>3473</v>
      </c>
    </row>
    <row r="2743" spans="1:6" x14ac:dyDescent="0.25">
      <c r="A2743" t="str">
        <f>"380500163066"</f>
        <v>380500163066</v>
      </c>
      <c r="B2743" t="s">
        <v>3778</v>
      </c>
      <c r="C2743" t="s">
        <v>7</v>
      </c>
      <c r="D2743" t="s">
        <v>12</v>
      </c>
      <c r="E2743" t="s">
        <v>3473</v>
      </c>
    </row>
    <row r="2744" spans="1:6" x14ac:dyDescent="0.25">
      <c r="A2744" t="str">
        <f>"263606705801"</f>
        <v>263606705801</v>
      </c>
      <c r="B2744" t="s">
        <v>3779</v>
      </c>
      <c r="C2744" t="s">
        <v>7</v>
      </c>
      <c r="D2744" t="s">
        <v>14</v>
      </c>
      <c r="E2744" t="s">
        <v>3473</v>
      </c>
    </row>
    <row r="2745" spans="1:6" x14ac:dyDescent="0.25">
      <c r="A2745" t="str">
        <f>"230608726390"</f>
        <v>230608726390</v>
      </c>
      <c r="B2745" t="s">
        <v>3780</v>
      </c>
      <c r="C2745" t="s">
        <v>7</v>
      </c>
      <c r="D2745" t="s">
        <v>14</v>
      </c>
      <c r="E2745" t="s">
        <v>3473</v>
      </c>
    </row>
    <row r="2746" spans="1:6" x14ac:dyDescent="0.25">
      <c r="A2746" t="str">
        <f>"230800351179"</f>
        <v>230800351179</v>
      </c>
      <c r="B2746" t="s">
        <v>3781</v>
      </c>
      <c r="C2746" t="s">
        <v>7</v>
      </c>
      <c r="D2746" t="s">
        <v>14</v>
      </c>
      <c r="E2746" t="s">
        <v>3473</v>
      </c>
    </row>
    <row r="2747" spans="1:6" x14ac:dyDescent="0.25">
      <c r="A2747" t="str">
        <f>"230801453102"</f>
        <v>230801453102</v>
      </c>
      <c r="B2747" t="s">
        <v>3782</v>
      </c>
      <c r="C2747" t="s">
        <v>7</v>
      </c>
      <c r="D2747" t="s">
        <v>12</v>
      </c>
      <c r="E2747" t="s">
        <v>3473</v>
      </c>
    </row>
    <row r="2748" spans="1:6" x14ac:dyDescent="0.25">
      <c r="A2748" t="str">
        <f>"230805414270"</f>
        <v>230805414270</v>
      </c>
      <c r="B2748" t="s">
        <v>3783</v>
      </c>
      <c r="C2748" t="s">
        <v>7</v>
      </c>
      <c r="D2748" t="s">
        <v>14</v>
      </c>
      <c r="E2748" t="s">
        <v>3473</v>
      </c>
    </row>
    <row r="2749" spans="1:6" x14ac:dyDescent="0.25">
      <c r="A2749" t="str">
        <f>"230808660309"</f>
        <v>230808660309</v>
      </c>
      <c r="B2749" t="s">
        <v>3784</v>
      </c>
      <c r="C2749" t="s">
        <v>7</v>
      </c>
      <c r="D2749" t="s">
        <v>33</v>
      </c>
      <c r="E2749" t="s">
        <v>3473</v>
      </c>
    </row>
    <row r="2750" spans="1:6" x14ac:dyDescent="0.25">
      <c r="A2750" t="str">
        <f>"230810212907"</f>
        <v>230810212907</v>
      </c>
      <c r="B2750" t="s">
        <v>3785</v>
      </c>
      <c r="C2750" t="s">
        <v>7</v>
      </c>
      <c r="D2750" t="s">
        <v>12</v>
      </c>
      <c r="E2750" t="s">
        <v>3473</v>
      </c>
    </row>
    <row r="2751" spans="1:6" x14ac:dyDescent="0.25">
      <c r="A2751" t="str">
        <f>"2308110659"</f>
        <v>2308110659</v>
      </c>
      <c r="B2751" t="s">
        <v>3786</v>
      </c>
      <c r="C2751" t="s">
        <v>7</v>
      </c>
      <c r="D2751" t="s">
        <v>14</v>
      </c>
      <c r="E2751" t="s">
        <v>3473</v>
      </c>
      <c r="F2751" t="s">
        <v>3787</v>
      </c>
    </row>
    <row r="2752" spans="1:6" x14ac:dyDescent="0.25">
      <c r="A2752" t="str">
        <f>"2308148050"</f>
        <v>2308148050</v>
      </c>
      <c r="B2752" t="s">
        <v>3788</v>
      </c>
      <c r="C2752" t="s">
        <v>7</v>
      </c>
      <c r="D2752" t="s">
        <v>12</v>
      </c>
      <c r="E2752" t="s">
        <v>3473</v>
      </c>
      <c r="F2752" t="s">
        <v>3789</v>
      </c>
    </row>
    <row r="2753" spans="1:6" x14ac:dyDescent="0.25">
      <c r="A2753" t="str">
        <f>"230816358613"</f>
        <v>230816358613</v>
      </c>
      <c r="B2753" t="s">
        <v>3790</v>
      </c>
      <c r="C2753" t="s">
        <v>7</v>
      </c>
      <c r="D2753" t="s">
        <v>14</v>
      </c>
      <c r="E2753" t="s">
        <v>3473</v>
      </c>
    </row>
    <row r="2754" spans="1:6" x14ac:dyDescent="0.25">
      <c r="A2754" t="str">
        <f>"2308195780"</f>
        <v>2308195780</v>
      </c>
      <c r="B2754" t="s">
        <v>2280</v>
      </c>
      <c r="C2754" t="s">
        <v>7</v>
      </c>
      <c r="D2754" t="s">
        <v>33</v>
      </c>
      <c r="E2754" t="s">
        <v>3473</v>
      </c>
      <c r="F2754" t="s">
        <v>3791</v>
      </c>
    </row>
    <row r="2755" spans="1:6" x14ac:dyDescent="0.25">
      <c r="A2755" t="str">
        <f>"2308249361"</f>
        <v>2308249361</v>
      </c>
      <c r="B2755" t="s">
        <v>3792</v>
      </c>
      <c r="C2755" t="s">
        <v>7</v>
      </c>
      <c r="D2755" t="s">
        <v>12</v>
      </c>
      <c r="E2755" t="s">
        <v>3473</v>
      </c>
      <c r="F2755" t="s">
        <v>3793</v>
      </c>
    </row>
    <row r="2756" spans="1:6" x14ac:dyDescent="0.25">
      <c r="A2756" t="str">
        <f>"230908861707"</f>
        <v>230908861707</v>
      </c>
      <c r="B2756" t="s">
        <v>3794</v>
      </c>
      <c r="C2756" t="s">
        <v>7</v>
      </c>
      <c r="D2756" t="s">
        <v>14</v>
      </c>
      <c r="E2756" t="s">
        <v>3473</v>
      </c>
    </row>
    <row r="2757" spans="1:6" x14ac:dyDescent="0.25">
      <c r="A2757" t="str">
        <f>"2309132729"</f>
        <v>2309132729</v>
      </c>
      <c r="B2757" t="s">
        <v>3795</v>
      </c>
      <c r="C2757" t="s">
        <v>7</v>
      </c>
      <c r="D2757" t="s">
        <v>33</v>
      </c>
      <c r="E2757" t="s">
        <v>3473</v>
      </c>
      <c r="F2757" t="s">
        <v>3796</v>
      </c>
    </row>
    <row r="2758" spans="1:6" x14ac:dyDescent="0.25">
      <c r="A2758" t="str">
        <f>"231000326390"</f>
        <v>231000326390</v>
      </c>
      <c r="B2758" t="s">
        <v>3797</v>
      </c>
      <c r="C2758" t="s">
        <v>7</v>
      </c>
      <c r="D2758" t="s">
        <v>14</v>
      </c>
      <c r="E2758" t="s">
        <v>3473</v>
      </c>
    </row>
    <row r="2759" spans="1:6" x14ac:dyDescent="0.25">
      <c r="A2759" t="str">
        <f>"231006870575"</f>
        <v>231006870575</v>
      </c>
      <c r="B2759" t="s">
        <v>3798</v>
      </c>
      <c r="C2759" t="s">
        <v>7</v>
      </c>
      <c r="D2759" t="s">
        <v>12</v>
      </c>
      <c r="E2759" t="s">
        <v>3473</v>
      </c>
    </row>
    <row r="2760" spans="1:6" x14ac:dyDescent="0.25">
      <c r="A2760" t="str">
        <f>"2310078681"</f>
        <v>2310078681</v>
      </c>
      <c r="B2760" t="s">
        <v>3799</v>
      </c>
      <c r="C2760" t="s">
        <v>7</v>
      </c>
      <c r="D2760" t="s">
        <v>12</v>
      </c>
      <c r="E2760" t="s">
        <v>3473</v>
      </c>
      <c r="F2760" t="s">
        <v>3800</v>
      </c>
    </row>
    <row r="2761" spans="1:6" x14ac:dyDescent="0.25">
      <c r="A2761" t="str">
        <f>"231009788103"</f>
        <v>231009788103</v>
      </c>
      <c r="B2761" t="s">
        <v>3801</v>
      </c>
      <c r="C2761" t="s">
        <v>7</v>
      </c>
      <c r="D2761" t="s">
        <v>12</v>
      </c>
      <c r="E2761" t="s">
        <v>3473</v>
      </c>
    </row>
    <row r="2762" spans="1:6" x14ac:dyDescent="0.25">
      <c r="A2762" t="str">
        <f>"2310116150"</f>
        <v>2310116150</v>
      </c>
      <c r="B2762" t="s">
        <v>3802</v>
      </c>
      <c r="C2762" t="s">
        <v>7</v>
      </c>
      <c r="D2762" t="s">
        <v>674</v>
      </c>
      <c r="E2762" t="s">
        <v>3473</v>
      </c>
      <c r="F2762" t="s">
        <v>3803</v>
      </c>
    </row>
    <row r="2763" spans="1:6" x14ac:dyDescent="0.25">
      <c r="A2763" t="str">
        <f>"2310120245"</f>
        <v>2310120245</v>
      </c>
      <c r="B2763" t="s">
        <v>3804</v>
      </c>
      <c r="C2763" t="s">
        <v>7</v>
      </c>
      <c r="D2763" t="s">
        <v>14</v>
      </c>
      <c r="E2763" t="s">
        <v>3473</v>
      </c>
      <c r="F2763" t="s">
        <v>3805</v>
      </c>
    </row>
    <row r="2764" spans="1:6" x14ac:dyDescent="0.25">
      <c r="A2764" t="str">
        <f>"2310133565"</f>
        <v>2310133565</v>
      </c>
      <c r="B2764" t="s">
        <v>3806</v>
      </c>
      <c r="C2764" t="s">
        <v>7</v>
      </c>
      <c r="D2764" t="s">
        <v>33</v>
      </c>
      <c r="E2764" t="s">
        <v>3473</v>
      </c>
      <c r="F2764" t="s">
        <v>3807</v>
      </c>
    </row>
    <row r="2765" spans="1:6" x14ac:dyDescent="0.25">
      <c r="A2765" t="str">
        <f>"2310151772"</f>
        <v>2310151772</v>
      </c>
      <c r="B2765" t="s">
        <v>3808</v>
      </c>
      <c r="C2765" t="s">
        <v>7</v>
      </c>
      <c r="D2765" t="s">
        <v>12</v>
      </c>
      <c r="E2765" t="s">
        <v>3473</v>
      </c>
      <c r="F2765" t="s">
        <v>3809</v>
      </c>
    </row>
    <row r="2766" spans="1:6" x14ac:dyDescent="0.25">
      <c r="A2766" t="str">
        <f>"2310157608"</f>
        <v>2310157608</v>
      </c>
      <c r="B2766" t="s">
        <v>3810</v>
      </c>
      <c r="C2766" t="s">
        <v>7</v>
      </c>
      <c r="D2766" t="s">
        <v>14</v>
      </c>
      <c r="E2766" t="s">
        <v>3473</v>
      </c>
      <c r="F2766" t="s">
        <v>3811</v>
      </c>
    </row>
    <row r="2767" spans="1:6" x14ac:dyDescent="0.25">
      <c r="A2767" t="str">
        <f>"2310159041"</f>
        <v>2310159041</v>
      </c>
      <c r="B2767" t="s">
        <v>3812</v>
      </c>
      <c r="C2767" t="s">
        <v>7</v>
      </c>
      <c r="D2767" t="s">
        <v>33</v>
      </c>
      <c r="E2767" t="s">
        <v>3473</v>
      </c>
      <c r="F2767" t="s">
        <v>3813</v>
      </c>
    </row>
    <row r="2768" spans="1:6" x14ac:dyDescent="0.25">
      <c r="A2768" t="str">
        <f>"2310201896"</f>
        <v>2310201896</v>
      </c>
      <c r="B2768" t="s">
        <v>3814</v>
      </c>
      <c r="C2768" t="s">
        <v>7</v>
      </c>
      <c r="D2768" t="s">
        <v>33</v>
      </c>
      <c r="E2768" t="s">
        <v>3473</v>
      </c>
      <c r="F2768" t="s">
        <v>3815</v>
      </c>
    </row>
    <row r="2769" spans="1:6" x14ac:dyDescent="0.25">
      <c r="A2769" t="str">
        <f>"2310217078"</f>
        <v>2310217078</v>
      </c>
      <c r="B2769" t="s">
        <v>3816</v>
      </c>
      <c r="C2769" t="s">
        <v>7</v>
      </c>
      <c r="D2769" t="s">
        <v>33</v>
      </c>
      <c r="E2769" t="s">
        <v>3473</v>
      </c>
      <c r="F2769" t="s">
        <v>3550</v>
      </c>
    </row>
    <row r="2770" spans="1:6" x14ac:dyDescent="0.25">
      <c r="A2770" t="str">
        <f>"2310229147"</f>
        <v>2310229147</v>
      </c>
      <c r="B2770" t="s">
        <v>3817</v>
      </c>
      <c r="C2770" t="s">
        <v>7</v>
      </c>
      <c r="D2770" t="s">
        <v>14</v>
      </c>
      <c r="E2770" t="s">
        <v>3473</v>
      </c>
      <c r="F2770" t="s">
        <v>3818</v>
      </c>
    </row>
    <row r="2771" spans="1:6" x14ac:dyDescent="0.25">
      <c r="A2771" t="str">
        <f>"231100499848"</f>
        <v>231100499848</v>
      </c>
      <c r="B2771" t="s">
        <v>3819</v>
      </c>
      <c r="C2771" t="s">
        <v>7</v>
      </c>
      <c r="D2771" t="s">
        <v>12</v>
      </c>
      <c r="E2771" t="s">
        <v>3473</v>
      </c>
    </row>
    <row r="2772" spans="1:6" x14ac:dyDescent="0.25">
      <c r="A2772" t="str">
        <f>"231101553336"</f>
        <v>231101553336</v>
      </c>
      <c r="B2772" t="s">
        <v>3820</v>
      </c>
      <c r="C2772" t="s">
        <v>7</v>
      </c>
      <c r="D2772" t="s">
        <v>14</v>
      </c>
      <c r="E2772" t="s">
        <v>3473</v>
      </c>
    </row>
    <row r="2773" spans="1:6" x14ac:dyDescent="0.25">
      <c r="A2773" t="str">
        <f>"2311074506"</f>
        <v>2311074506</v>
      </c>
      <c r="B2773" t="s">
        <v>3821</v>
      </c>
      <c r="C2773" t="s">
        <v>7</v>
      </c>
      <c r="D2773" t="s">
        <v>14</v>
      </c>
      <c r="E2773" t="s">
        <v>3473</v>
      </c>
      <c r="F2773" t="s">
        <v>3822</v>
      </c>
    </row>
    <row r="2774" spans="1:6" x14ac:dyDescent="0.25">
      <c r="A2774" t="str">
        <f>"2311116080"</f>
        <v>2311116080</v>
      </c>
      <c r="B2774" t="s">
        <v>3823</v>
      </c>
      <c r="C2774" t="s">
        <v>7</v>
      </c>
      <c r="D2774" t="s">
        <v>12</v>
      </c>
      <c r="E2774" t="s">
        <v>3473</v>
      </c>
      <c r="F2774" t="s">
        <v>3824</v>
      </c>
    </row>
    <row r="2775" spans="1:6" x14ac:dyDescent="0.25">
      <c r="A2775" t="str">
        <f>"2311120713"</f>
        <v>2311120713</v>
      </c>
      <c r="B2775" t="s">
        <v>3825</v>
      </c>
      <c r="C2775" t="s">
        <v>7</v>
      </c>
      <c r="D2775" t="s">
        <v>12</v>
      </c>
      <c r="E2775" t="s">
        <v>3473</v>
      </c>
      <c r="F2775" t="s">
        <v>3826</v>
      </c>
    </row>
    <row r="2776" spans="1:6" x14ac:dyDescent="0.25">
      <c r="A2776" t="str">
        <f>"2311152507"</f>
        <v>2311152507</v>
      </c>
      <c r="B2776" t="s">
        <v>3827</v>
      </c>
      <c r="C2776" t="s">
        <v>7</v>
      </c>
      <c r="D2776" t="s">
        <v>12</v>
      </c>
      <c r="E2776" t="s">
        <v>3473</v>
      </c>
      <c r="F2776" t="s">
        <v>3828</v>
      </c>
    </row>
    <row r="2777" spans="1:6" x14ac:dyDescent="0.25">
      <c r="A2777" t="str">
        <f>"2311160949"</f>
        <v>2311160949</v>
      </c>
      <c r="B2777" t="s">
        <v>3829</v>
      </c>
      <c r="C2777" t="s">
        <v>7</v>
      </c>
      <c r="D2777" t="s">
        <v>33</v>
      </c>
      <c r="E2777" t="s">
        <v>3473</v>
      </c>
      <c r="F2777" t="s">
        <v>3830</v>
      </c>
    </row>
    <row r="2778" spans="1:6" x14ac:dyDescent="0.25">
      <c r="A2778" t="str">
        <f>"2311169927"</f>
        <v>2311169927</v>
      </c>
      <c r="B2778" t="s">
        <v>3831</v>
      </c>
      <c r="C2778" t="s">
        <v>7</v>
      </c>
      <c r="D2778" t="s">
        <v>12</v>
      </c>
      <c r="E2778" t="s">
        <v>3473</v>
      </c>
      <c r="F2778" t="s">
        <v>3832</v>
      </c>
    </row>
    <row r="2779" spans="1:6" x14ac:dyDescent="0.25">
      <c r="A2779" t="str">
        <f>"231118979940"</f>
        <v>231118979940</v>
      </c>
      <c r="B2779" t="s">
        <v>3833</v>
      </c>
      <c r="C2779" t="s">
        <v>7</v>
      </c>
      <c r="D2779" t="s">
        <v>14</v>
      </c>
      <c r="E2779" t="s">
        <v>3473</v>
      </c>
    </row>
    <row r="2780" spans="1:6" x14ac:dyDescent="0.25">
      <c r="A2780" t="str">
        <f>"231119809564"</f>
        <v>231119809564</v>
      </c>
      <c r="B2780" t="s">
        <v>3834</v>
      </c>
      <c r="C2780" t="s">
        <v>7</v>
      </c>
      <c r="D2780" t="s">
        <v>14</v>
      </c>
      <c r="E2780" t="s">
        <v>3473</v>
      </c>
    </row>
    <row r="2781" spans="1:6" x14ac:dyDescent="0.25">
      <c r="A2781" t="str">
        <f>"231120663750"</f>
        <v>231120663750</v>
      </c>
      <c r="B2781" t="s">
        <v>3835</v>
      </c>
      <c r="C2781" t="s">
        <v>7</v>
      </c>
      <c r="D2781" t="s">
        <v>14</v>
      </c>
      <c r="E2781" t="s">
        <v>3473</v>
      </c>
    </row>
    <row r="2782" spans="1:6" x14ac:dyDescent="0.25">
      <c r="A2782" t="str">
        <f>"2311221542"</f>
        <v>2311221542</v>
      </c>
      <c r="B2782" t="s">
        <v>3836</v>
      </c>
      <c r="C2782" t="s">
        <v>7</v>
      </c>
      <c r="D2782" t="s">
        <v>33</v>
      </c>
      <c r="E2782" t="s">
        <v>3473</v>
      </c>
      <c r="F2782" t="s">
        <v>3837</v>
      </c>
    </row>
    <row r="2783" spans="1:6" x14ac:dyDescent="0.25">
      <c r="A2783" t="str">
        <f>"2311228611"</f>
        <v>2311228611</v>
      </c>
      <c r="B2783" t="s">
        <v>3838</v>
      </c>
      <c r="C2783" t="s">
        <v>7</v>
      </c>
      <c r="D2783" t="s">
        <v>33</v>
      </c>
      <c r="E2783" t="s">
        <v>3473</v>
      </c>
      <c r="F2783" t="s">
        <v>3839</v>
      </c>
    </row>
    <row r="2784" spans="1:6" x14ac:dyDescent="0.25">
      <c r="A2784" t="str">
        <f>"2311243930"</f>
        <v>2311243930</v>
      </c>
      <c r="B2784" t="s">
        <v>3840</v>
      </c>
      <c r="C2784" t="s">
        <v>7</v>
      </c>
      <c r="D2784" t="s">
        <v>146</v>
      </c>
      <c r="E2784" t="s">
        <v>3473</v>
      </c>
      <c r="F2784" t="s">
        <v>3841</v>
      </c>
    </row>
    <row r="2785" spans="1:6" x14ac:dyDescent="0.25">
      <c r="A2785" t="str">
        <f>"2311264754"</f>
        <v>2311264754</v>
      </c>
      <c r="B2785" t="s">
        <v>3842</v>
      </c>
      <c r="C2785" t="s">
        <v>7</v>
      </c>
      <c r="D2785" t="s">
        <v>33</v>
      </c>
      <c r="E2785" t="s">
        <v>3473</v>
      </c>
      <c r="F2785" t="s">
        <v>3843</v>
      </c>
    </row>
    <row r="2786" spans="1:6" x14ac:dyDescent="0.25">
      <c r="A2786" t="str">
        <f>"2311295505"</f>
        <v>2311295505</v>
      </c>
      <c r="B2786" t="s">
        <v>3844</v>
      </c>
      <c r="C2786" t="s">
        <v>7</v>
      </c>
      <c r="D2786" t="s">
        <v>33</v>
      </c>
      <c r="E2786" t="s">
        <v>3473</v>
      </c>
      <c r="F2786" t="s">
        <v>3845</v>
      </c>
    </row>
    <row r="2787" spans="1:6" x14ac:dyDescent="0.25">
      <c r="A2787" t="str">
        <f>"2311301004"</f>
        <v>2311301004</v>
      </c>
      <c r="B2787" t="s">
        <v>3846</v>
      </c>
      <c r="C2787" t="s">
        <v>7</v>
      </c>
      <c r="D2787" t="s">
        <v>33</v>
      </c>
      <c r="E2787" t="s">
        <v>3473</v>
      </c>
      <c r="F2787" t="s">
        <v>3847</v>
      </c>
    </row>
    <row r="2788" spans="1:6" x14ac:dyDescent="0.25">
      <c r="A2788" t="str">
        <f>"2311309099"</f>
        <v>2311309099</v>
      </c>
      <c r="B2788" t="s">
        <v>3848</v>
      </c>
      <c r="C2788" t="s">
        <v>7</v>
      </c>
      <c r="D2788" t="s">
        <v>12</v>
      </c>
      <c r="E2788" t="s">
        <v>3473</v>
      </c>
      <c r="F2788" t="s">
        <v>3849</v>
      </c>
    </row>
    <row r="2789" spans="1:6" x14ac:dyDescent="0.25">
      <c r="A2789" t="str">
        <f>"231131640547"</f>
        <v>231131640547</v>
      </c>
      <c r="B2789" t="s">
        <v>3850</v>
      </c>
      <c r="C2789" t="s">
        <v>7</v>
      </c>
      <c r="D2789" t="s">
        <v>14</v>
      </c>
      <c r="E2789" t="s">
        <v>3473</v>
      </c>
    </row>
    <row r="2790" spans="1:6" x14ac:dyDescent="0.25">
      <c r="A2790" t="str">
        <f>"231131723761"</f>
        <v>231131723761</v>
      </c>
      <c r="B2790" t="s">
        <v>3851</v>
      </c>
      <c r="C2790" t="s">
        <v>7</v>
      </c>
      <c r="D2790" t="s">
        <v>14</v>
      </c>
      <c r="E2790" t="s">
        <v>3473</v>
      </c>
    </row>
    <row r="2791" spans="1:6" x14ac:dyDescent="0.25">
      <c r="A2791" t="str">
        <f>"2311345114"</f>
        <v>2311345114</v>
      </c>
      <c r="B2791" t="s">
        <v>3852</v>
      </c>
      <c r="C2791" t="s">
        <v>7</v>
      </c>
      <c r="D2791" t="s">
        <v>8</v>
      </c>
      <c r="E2791" t="s">
        <v>3473</v>
      </c>
      <c r="F2791" t="s">
        <v>3853</v>
      </c>
    </row>
    <row r="2792" spans="1:6" x14ac:dyDescent="0.25">
      <c r="A2792" t="str">
        <f>"231134818570"</f>
        <v>231134818570</v>
      </c>
      <c r="B2792" t="s">
        <v>3854</v>
      </c>
      <c r="C2792" t="s">
        <v>7</v>
      </c>
      <c r="D2792" t="s">
        <v>12</v>
      </c>
      <c r="E2792" t="s">
        <v>3473</v>
      </c>
    </row>
    <row r="2793" spans="1:6" x14ac:dyDescent="0.25">
      <c r="A2793" t="str">
        <f>"2311355592"</f>
        <v>2311355592</v>
      </c>
      <c r="B2793" t="s">
        <v>3855</v>
      </c>
      <c r="C2793" t="s">
        <v>7</v>
      </c>
      <c r="D2793" t="s">
        <v>12</v>
      </c>
      <c r="E2793" t="s">
        <v>3473</v>
      </c>
      <c r="F2793" t="s">
        <v>3856</v>
      </c>
    </row>
    <row r="2794" spans="1:6" x14ac:dyDescent="0.25">
      <c r="A2794" t="str">
        <f>"2311365431"</f>
        <v>2311365431</v>
      </c>
      <c r="B2794" t="s">
        <v>3857</v>
      </c>
      <c r="C2794" t="s">
        <v>7</v>
      </c>
      <c r="D2794" t="s">
        <v>189</v>
      </c>
      <c r="E2794" t="s">
        <v>3473</v>
      </c>
      <c r="F2794" t="s">
        <v>3858</v>
      </c>
    </row>
    <row r="2795" spans="1:6" x14ac:dyDescent="0.25">
      <c r="A2795" t="str">
        <f>"231144711530"</f>
        <v>231144711530</v>
      </c>
      <c r="B2795" t="s">
        <v>3859</v>
      </c>
      <c r="C2795" t="s">
        <v>7</v>
      </c>
      <c r="D2795" t="s">
        <v>14</v>
      </c>
      <c r="E2795" t="s">
        <v>3473</v>
      </c>
    </row>
    <row r="2796" spans="1:6" x14ac:dyDescent="0.25">
      <c r="A2796" t="str">
        <f>"231200844985"</f>
        <v>231200844985</v>
      </c>
      <c r="B2796" t="s">
        <v>3860</v>
      </c>
      <c r="C2796" t="s">
        <v>7</v>
      </c>
      <c r="D2796" t="s">
        <v>33</v>
      </c>
      <c r="E2796" t="s">
        <v>3473</v>
      </c>
    </row>
    <row r="2797" spans="1:6" x14ac:dyDescent="0.25">
      <c r="A2797" t="str">
        <f>"2312068872"</f>
        <v>2312068872</v>
      </c>
      <c r="B2797" t="s">
        <v>3861</v>
      </c>
      <c r="C2797" t="s">
        <v>7</v>
      </c>
      <c r="D2797" t="s">
        <v>12</v>
      </c>
      <c r="E2797" t="s">
        <v>3473</v>
      </c>
      <c r="F2797" t="s">
        <v>3862</v>
      </c>
    </row>
    <row r="2798" spans="1:6" x14ac:dyDescent="0.25">
      <c r="A2798" t="str">
        <f>"2312084602"</f>
        <v>2312084602</v>
      </c>
      <c r="B2798" t="s">
        <v>3863</v>
      </c>
      <c r="C2798" t="s">
        <v>7</v>
      </c>
      <c r="D2798" t="s">
        <v>674</v>
      </c>
      <c r="E2798" t="s">
        <v>3473</v>
      </c>
      <c r="F2798" t="s">
        <v>3864</v>
      </c>
    </row>
    <row r="2799" spans="1:6" x14ac:dyDescent="0.25">
      <c r="A2799" t="str">
        <f>"2312113941"</f>
        <v>2312113941</v>
      </c>
      <c r="B2799" t="s">
        <v>3865</v>
      </c>
      <c r="C2799" t="s">
        <v>7</v>
      </c>
      <c r="D2799" t="s">
        <v>14</v>
      </c>
      <c r="E2799" t="s">
        <v>3473</v>
      </c>
      <c r="F2799" t="s">
        <v>3866</v>
      </c>
    </row>
    <row r="2800" spans="1:6" x14ac:dyDescent="0.25">
      <c r="A2800" t="str">
        <f>"2312114127"</f>
        <v>2312114127</v>
      </c>
      <c r="B2800" t="s">
        <v>3867</v>
      </c>
      <c r="C2800" t="s">
        <v>7</v>
      </c>
      <c r="D2800" t="s">
        <v>12</v>
      </c>
      <c r="E2800" t="s">
        <v>3473</v>
      </c>
      <c r="F2800" t="s">
        <v>3868</v>
      </c>
    </row>
    <row r="2801" spans="1:6" x14ac:dyDescent="0.25">
      <c r="A2801" t="str">
        <f>"231211802360"</f>
        <v>231211802360</v>
      </c>
      <c r="B2801" t="s">
        <v>3869</v>
      </c>
      <c r="C2801" t="s">
        <v>7</v>
      </c>
      <c r="D2801" t="s">
        <v>14</v>
      </c>
      <c r="E2801" t="s">
        <v>3473</v>
      </c>
    </row>
    <row r="2802" spans="1:6" x14ac:dyDescent="0.25">
      <c r="A2802" t="str">
        <f>"2312127750"</f>
        <v>2312127750</v>
      </c>
      <c r="B2802" t="s">
        <v>3870</v>
      </c>
      <c r="C2802" t="s">
        <v>7</v>
      </c>
      <c r="D2802" t="s">
        <v>14</v>
      </c>
      <c r="E2802" t="s">
        <v>3473</v>
      </c>
      <c r="F2802" t="s">
        <v>3871</v>
      </c>
    </row>
    <row r="2803" spans="1:6" x14ac:dyDescent="0.25">
      <c r="A2803" t="str">
        <f>"231212852395"</f>
        <v>231212852395</v>
      </c>
      <c r="B2803" t="s">
        <v>3872</v>
      </c>
      <c r="C2803" t="s">
        <v>7</v>
      </c>
      <c r="D2803" t="s">
        <v>12</v>
      </c>
      <c r="E2803" t="s">
        <v>3473</v>
      </c>
    </row>
    <row r="2804" spans="1:6" x14ac:dyDescent="0.25">
      <c r="A2804" t="str">
        <f>"2312160927"</f>
        <v>2312160927</v>
      </c>
      <c r="B2804" t="s">
        <v>3873</v>
      </c>
      <c r="C2804" t="s">
        <v>7</v>
      </c>
      <c r="D2804" t="s">
        <v>14</v>
      </c>
      <c r="E2804" t="s">
        <v>3473</v>
      </c>
      <c r="F2804" t="s">
        <v>3874</v>
      </c>
    </row>
    <row r="2805" spans="1:6" x14ac:dyDescent="0.25">
      <c r="A2805" t="str">
        <f>"2312168877"</f>
        <v>2312168877</v>
      </c>
      <c r="B2805" t="s">
        <v>3875</v>
      </c>
      <c r="C2805" t="s">
        <v>7</v>
      </c>
      <c r="D2805" t="s">
        <v>33</v>
      </c>
      <c r="E2805" t="s">
        <v>3473</v>
      </c>
      <c r="F2805" t="s">
        <v>3876</v>
      </c>
    </row>
    <row r="2806" spans="1:6" x14ac:dyDescent="0.25">
      <c r="A2806" t="str">
        <f>"2312187220"</f>
        <v>2312187220</v>
      </c>
      <c r="B2806" t="s">
        <v>3877</v>
      </c>
      <c r="C2806" t="s">
        <v>7</v>
      </c>
      <c r="D2806" t="s">
        <v>33</v>
      </c>
      <c r="E2806" t="s">
        <v>3473</v>
      </c>
      <c r="F2806" t="s">
        <v>3878</v>
      </c>
    </row>
    <row r="2807" spans="1:6" x14ac:dyDescent="0.25">
      <c r="A2807" t="str">
        <f>"2312188320"</f>
        <v>2312188320</v>
      </c>
      <c r="B2807" t="s">
        <v>3879</v>
      </c>
      <c r="C2807" t="s">
        <v>7</v>
      </c>
      <c r="D2807" t="s">
        <v>12</v>
      </c>
      <c r="E2807" t="s">
        <v>3473</v>
      </c>
      <c r="F2807" t="s">
        <v>3880</v>
      </c>
    </row>
    <row r="2808" spans="1:6" x14ac:dyDescent="0.25">
      <c r="A2808" t="str">
        <f>"263507246522"</f>
        <v>263507246522</v>
      </c>
      <c r="B2808" t="s">
        <v>3881</v>
      </c>
      <c r="C2808" t="s">
        <v>7</v>
      </c>
      <c r="D2808" t="s">
        <v>12</v>
      </c>
      <c r="E2808" t="s">
        <v>3473</v>
      </c>
    </row>
    <row r="2809" spans="1:6" x14ac:dyDescent="0.25">
      <c r="A2809" t="str">
        <f>"2312166774"</f>
        <v>2312166774</v>
      </c>
      <c r="B2809" t="s">
        <v>3882</v>
      </c>
      <c r="C2809" t="s">
        <v>7</v>
      </c>
      <c r="D2809" t="s">
        <v>12</v>
      </c>
      <c r="E2809" t="s">
        <v>3473</v>
      </c>
      <c r="F2809" t="s">
        <v>3883</v>
      </c>
    </row>
    <row r="2810" spans="1:6" x14ac:dyDescent="0.25">
      <c r="A2810" t="str">
        <f>"2312178307"</f>
        <v>2312178307</v>
      </c>
      <c r="B2810" t="s">
        <v>3884</v>
      </c>
      <c r="C2810" t="s">
        <v>7</v>
      </c>
      <c r="D2810" t="s">
        <v>12</v>
      </c>
      <c r="E2810" t="s">
        <v>3473</v>
      </c>
      <c r="F2810" t="s">
        <v>3885</v>
      </c>
    </row>
    <row r="2811" spans="1:6" x14ac:dyDescent="0.25">
      <c r="A2811" t="str">
        <f>"231218519506"</f>
        <v>231218519506</v>
      </c>
      <c r="B2811" t="s">
        <v>3886</v>
      </c>
      <c r="C2811" t="s">
        <v>7</v>
      </c>
      <c r="D2811" t="s">
        <v>12</v>
      </c>
      <c r="E2811" t="s">
        <v>3473</v>
      </c>
    </row>
    <row r="2812" spans="1:6" x14ac:dyDescent="0.25">
      <c r="A2812" t="str">
        <f>"2312189179"</f>
        <v>2312189179</v>
      </c>
      <c r="B2812" t="s">
        <v>3887</v>
      </c>
      <c r="C2812" t="s">
        <v>7</v>
      </c>
      <c r="D2812" t="s">
        <v>674</v>
      </c>
      <c r="E2812" t="s">
        <v>3473</v>
      </c>
      <c r="F2812" t="s">
        <v>3888</v>
      </c>
    </row>
    <row r="2813" spans="1:6" x14ac:dyDescent="0.25">
      <c r="A2813" t="str">
        <f>"2312221351"</f>
        <v>2312221351</v>
      </c>
      <c r="B2813" t="s">
        <v>3889</v>
      </c>
      <c r="C2813" t="s">
        <v>7</v>
      </c>
      <c r="D2813" t="s">
        <v>33</v>
      </c>
      <c r="E2813" t="s">
        <v>3473</v>
      </c>
      <c r="F2813" t="s">
        <v>3876</v>
      </c>
    </row>
    <row r="2814" spans="1:6" x14ac:dyDescent="0.25">
      <c r="A2814" t="str">
        <f>"2312230490"</f>
        <v>2312230490</v>
      </c>
      <c r="B2814" t="s">
        <v>3890</v>
      </c>
      <c r="C2814" t="s">
        <v>7</v>
      </c>
      <c r="D2814" t="s">
        <v>33</v>
      </c>
      <c r="E2814" t="s">
        <v>3473</v>
      </c>
      <c r="F2814" t="s">
        <v>3891</v>
      </c>
    </row>
    <row r="2815" spans="1:6" x14ac:dyDescent="0.25">
      <c r="A2815" t="str">
        <f>"2312266779"</f>
        <v>2312266779</v>
      </c>
      <c r="B2815" t="s">
        <v>3892</v>
      </c>
      <c r="C2815" t="s">
        <v>7</v>
      </c>
      <c r="D2815" t="s">
        <v>12</v>
      </c>
      <c r="E2815" t="s">
        <v>3473</v>
      </c>
      <c r="F2815" t="s">
        <v>3893</v>
      </c>
    </row>
    <row r="2816" spans="1:6" x14ac:dyDescent="0.25">
      <c r="A2816" t="str">
        <f>"2312283407"</f>
        <v>2312283407</v>
      </c>
      <c r="B2816" t="s">
        <v>3894</v>
      </c>
      <c r="C2816" t="s">
        <v>7</v>
      </c>
      <c r="D2816" t="s">
        <v>12</v>
      </c>
      <c r="E2816" t="s">
        <v>3473</v>
      </c>
      <c r="F2816" t="s">
        <v>3895</v>
      </c>
    </row>
    <row r="2817" spans="1:6" x14ac:dyDescent="0.25">
      <c r="A2817" t="str">
        <f>"2312303678"</f>
        <v>2312303678</v>
      </c>
      <c r="B2817" t="s">
        <v>3896</v>
      </c>
      <c r="C2817" t="s">
        <v>7</v>
      </c>
      <c r="D2817" t="s">
        <v>33</v>
      </c>
      <c r="E2817" t="s">
        <v>3473</v>
      </c>
      <c r="F2817" t="s">
        <v>3897</v>
      </c>
    </row>
    <row r="2818" spans="1:6" x14ac:dyDescent="0.25">
      <c r="A2818" t="str">
        <f>"2312308732"</f>
        <v>2312308732</v>
      </c>
      <c r="B2818" t="s">
        <v>3898</v>
      </c>
      <c r="C2818" t="s">
        <v>7</v>
      </c>
      <c r="D2818" t="s">
        <v>12</v>
      </c>
      <c r="E2818" t="s">
        <v>3473</v>
      </c>
      <c r="F2818" t="s">
        <v>3899</v>
      </c>
    </row>
    <row r="2819" spans="1:6" x14ac:dyDescent="0.25">
      <c r="A2819" t="str">
        <f>"2312318120"</f>
        <v>2312318120</v>
      </c>
      <c r="B2819" t="s">
        <v>3900</v>
      </c>
      <c r="C2819" t="s">
        <v>7</v>
      </c>
      <c r="D2819" t="s">
        <v>463</v>
      </c>
      <c r="E2819" t="s">
        <v>3473</v>
      </c>
      <c r="F2819" t="s">
        <v>3901</v>
      </c>
    </row>
    <row r="2820" spans="1:6" x14ac:dyDescent="0.25">
      <c r="A2820" t="str">
        <f>"2312327710"</f>
        <v>2312327710</v>
      </c>
      <c r="B2820" t="s">
        <v>3902</v>
      </c>
      <c r="C2820" t="s">
        <v>7</v>
      </c>
      <c r="D2820" t="s">
        <v>14</v>
      </c>
      <c r="E2820" t="s">
        <v>3473</v>
      </c>
      <c r="F2820" t="s">
        <v>3903</v>
      </c>
    </row>
    <row r="2821" spans="1:6" x14ac:dyDescent="0.25">
      <c r="A2821" t="str">
        <f>"231293862857"</f>
        <v>231293862857</v>
      </c>
      <c r="B2821" t="s">
        <v>3904</v>
      </c>
      <c r="C2821" t="s">
        <v>7</v>
      </c>
      <c r="D2821" t="s">
        <v>33</v>
      </c>
      <c r="E2821" t="s">
        <v>3473</v>
      </c>
    </row>
    <row r="2822" spans="1:6" x14ac:dyDescent="0.25">
      <c r="A2822" t="str">
        <f>"231295574131"</f>
        <v>231295574131</v>
      </c>
      <c r="B2822" t="s">
        <v>3905</v>
      </c>
      <c r="C2822" t="s">
        <v>7</v>
      </c>
      <c r="D2822" t="s">
        <v>14</v>
      </c>
      <c r="E2822" t="s">
        <v>3473</v>
      </c>
    </row>
    <row r="2823" spans="1:6" x14ac:dyDescent="0.25">
      <c r="A2823" t="str">
        <f>"231299534637"</f>
        <v>231299534637</v>
      </c>
      <c r="B2823" t="s">
        <v>3906</v>
      </c>
      <c r="C2823" t="s">
        <v>7</v>
      </c>
      <c r="D2823" t="s">
        <v>14</v>
      </c>
      <c r="E2823" t="s">
        <v>3473</v>
      </c>
    </row>
    <row r="2824" spans="1:6" x14ac:dyDescent="0.25">
      <c r="A2824" t="str">
        <f>"231299794931"</f>
        <v>231299794931</v>
      </c>
      <c r="B2824" t="s">
        <v>3907</v>
      </c>
      <c r="C2824" t="s">
        <v>7</v>
      </c>
      <c r="D2824" t="s">
        <v>12</v>
      </c>
      <c r="E2824" t="s">
        <v>3473</v>
      </c>
    </row>
    <row r="2825" spans="1:6" x14ac:dyDescent="0.25">
      <c r="A2825" t="str">
        <f>"231301962400"</f>
        <v>231301962400</v>
      </c>
      <c r="B2825" t="s">
        <v>3908</v>
      </c>
      <c r="C2825" t="s">
        <v>7</v>
      </c>
      <c r="D2825" t="s">
        <v>14</v>
      </c>
      <c r="E2825" t="s">
        <v>3473</v>
      </c>
    </row>
    <row r="2826" spans="1:6" x14ac:dyDescent="0.25">
      <c r="A2826" t="str">
        <f>"231302443414"</f>
        <v>231302443414</v>
      </c>
      <c r="B2826" t="s">
        <v>3909</v>
      </c>
      <c r="C2826" t="s">
        <v>7</v>
      </c>
      <c r="D2826" t="s">
        <v>14</v>
      </c>
      <c r="E2826" t="s">
        <v>3473</v>
      </c>
    </row>
    <row r="2827" spans="1:6" x14ac:dyDescent="0.25">
      <c r="A2827" t="str">
        <f>"231306012017"</f>
        <v>231306012017</v>
      </c>
      <c r="B2827" t="s">
        <v>3910</v>
      </c>
      <c r="C2827" t="s">
        <v>7</v>
      </c>
      <c r="D2827" t="s">
        <v>14</v>
      </c>
      <c r="E2827" t="s">
        <v>3473</v>
      </c>
    </row>
    <row r="2828" spans="1:6" x14ac:dyDescent="0.25">
      <c r="A2828" t="str">
        <f>"231400001439"</f>
        <v>231400001439</v>
      </c>
      <c r="B2828" t="s">
        <v>3911</v>
      </c>
      <c r="C2828" t="s">
        <v>7</v>
      </c>
      <c r="D2828" t="s">
        <v>14</v>
      </c>
      <c r="E2828" t="s">
        <v>3473</v>
      </c>
    </row>
    <row r="2829" spans="1:6" x14ac:dyDescent="0.25">
      <c r="A2829" t="str">
        <f>"231400493325"</f>
        <v>231400493325</v>
      </c>
      <c r="B2829" t="s">
        <v>3912</v>
      </c>
      <c r="C2829" t="s">
        <v>7</v>
      </c>
      <c r="D2829" t="s">
        <v>14</v>
      </c>
      <c r="E2829" t="s">
        <v>3473</v>
      </c>
    </row>
    <row r="2830" spans="1:6" x14ac:dyDescent="0.25">
      <c r="A2830" t="str">
        <f>"2314025257"</f>
        <v>2314025257</v>
      </c>
      <c r="B2830" t="s">
        <v>3913</v>
      </c>
      <c r="C2830" t="s">
        <v>7</v>
      </c>
      <c r="D2830" t="s">
        <v>12</v>
      </c>
      <c r="E2830" t="s">
        <v>3473</v>
      </c>
      <c r="F2830" t="s">
        <v>3914</v>
      </c>
    </row>
    <row r="2831" spans="1:6" x14ac:dyDescent="0.25">
      <c r="A2831" t="str">
        <f>"231501601922"</f>
        <v>231501601922</v>
      </c>
      <c r="B2831" t="s">
        <v>3915</v>
      </c>
      <c r="C2831" t="s">
        <v>7</v>
      </c>
      <c r="D2831" t="s">
        <v>12</v>
      </c>
      <c r="E2831" t="s">
        <v>3473</v>
      </c>
    </row>
    <row r="2832" spans="1:6" x14ac:dyDescent="0.25">
      <c r="A2832" t="str">
        <f>"231502393400"</f>
        <v>231502393400</v>
      </c>
      <c r="B2832" t="s">
        <v>3916</v>
      </c>
      <c r="C2832" t="s">
        <v>7</v>
      </c>
      <c r="D2832" t="s">
        <v>14</v>
      </c>
      <c r="E2832" t="s">
        <v>3473</v>
      </c>
    </row>
    <row r="2833" spans="1:6" x14ac:dyDescent="0.25">
      <c r="A2833" t="str">
        <f>"231502399280"</f>
        <v>231502399280</v>
      </c>
      <c r="B2833" t="s">
        <v>3917</v>
      </c>
      <c r="C2833" t="s">
        <v>7</v>
      </c>
      <c r="D2833" t="s">
        <v>14</v>
      </c>
      <c r="E2833" t="s">
        <v>3473</v>
      </c>
    </row>
    <row r="2834" spans="1:6" x14ac:dyDescent="0.25">
      <c r="A2834" t="str">
        <f>"231507644440"</f>
        <v>231507644440</v>
      </c>
      <c r="B2834" t="s">
        <v>3918</v>
      </c>
      <c r="C2834" t="s">
        <v>7</v>
      </c>
      <c r="D2834" t="s">
        <v>14</v>
      </c>
      <c r="E2834" t="s">
        <v>3473</v>
      </c>
    </row>
    <row r="2835" spans="1:6" x14ac:dyDescent="0.25">
      <c r="A2835" t="str">
        <f>"2315084939"</f>
        <v>2315084939</v>
      </c>
      <c r="B2835" t="s">
        <v>3919</v>
      </c>
      <c r="C2835" t="s">
        <v>7</v>
      </c>
      <c r="D2835" t="s">
        <v>12</v>
      </c>
      <c r="E2835" t="s">
        <v>3473</v>
      </c>
      <c r="F2835" t="s">
        <v>3920</v>
      </c>
    </row>
    <row r="2836" spans="1:6" x14ac:dyDescent="0.25">
      <c r="A2836" t="str">
        <f>"2315104230"</f>
        <v>2315104230</v>
      </c>
      <c r="B2836" t="s">
        <v>3921</v>
      </c>
      <c r="C2836" t="s">
        <v>7</v>
      </c>
      <c r="D2836" t="s">
        <v>33</v>
      </c>
      <c r="E2836" t="s">
        <v>3473</v>
      </c>
      <c r="F2836" t="s">
        <v>3922</v>
      </c>
    </row>
    <row r="2837" spans="1:6" x14ac:dyDescent="0.25">
      <c r="A2837" t="str">
        <f>"2315124638"</f>
        <v>2315124638</v>
      </c>
      <c r="B2837" t="s">
        <v>3923</v>
      </c>
      <c r="C2837" t="s">
        <v>7</v>
      </c>
      <c r="D2837" t="s">
        <v>14</v>
      </c>
      <c r="E2837" t="s">
        <v>3473</v>
      </c>
      <c r="F2837" t="s">
        <v>3924</v>
      </c>
    </row>
    <row r="2838" spans="1:6" x14ac:dyDescent="0.25">
      <c r="A2838" t="str">
        <f>"231514555053"</f>
        <v>231514555053</v>
      </c>
      <c r="B2838" t="s">
        <v>3925</v>
      </c>
      <c r="C2838" t="s">
        <v>7</v>
      </c>
      <c r="D2838" t="s">
        <v>12</v>
      </c>
      <c r="E2838" t="s">
        <v>3473</v>
      </c>
    </row>
    <row r="2839" spans="1:6" x14ac:dyDescent="0.25">
      <c r="A2839" t="str">
        <f>"231515683474"</f>
        <v>231515683474</v>
      </c>
      <c r="B2839" t="s">
        <v>3926</v>
      </c>
      <c r="C2839" t="s">
        <v>7</v>
      </c>
      <c r="D2839" t="s">
        <v>14</v>
      </c>
      <c r="E2839" t="s">
        <v>3473</v>
      </c>
    </row>
    <row r="2840" spans="1:6" x14ac:dyDescent="0.25">
      <c r="A2840" t="str">
        <f>"2315166123"</f>
        <v>2315166123</v>
      </c>
      <c r="B2840" t="s">
        <v>3927</v>
      </c>
      <c r="C2840" t="s">
        <v>7</v>
      </c>
      <c r="D2840" t="s">
        <v>12</v>
      </c>
      <c r="E2840" t="s">
        <v>3473</v>
      </c>
      <c r="F2840" t="s">
        <v>3928</v>
      </c>
    </row>
    <row r="2841" spans="1:6" x14ac:dyDescent="0.25">
      <c r="A2841" t="str">
        <f>"2315174212"</f>
        <v>2315174212</v>
      </c>
      <c r="B2841" t="s">
        <v>3929</v>
      </c>
      <c r="C2841" t="s">
        <v>7</v>
      </c>
      <c r="D2841" t="s">
        <v>12</v>
      </c>
      <c r="E2841" t="s">
        <v>3473</v>
      </c>
      <c r="F2841" t="s">
        <v>3930</v>
      </c>
    </row>
    <row r="2842" spans="1:6" x14ac:dyDescent="0.25">
      <c r="A2842" t="str">
        <f>"231517470400"</f>
        <v>231517470400</v>
      </c>
      <c r="B2842" t="s">
        <v>3931</v>
      </c>
      <c r="C2842" t="s">
        <v>7</v>
      </c>
      <c r="D2842" t="s">
        <v>14</v>
      </c>
      <c r="E2842" t="s">
        <v>3473</v>
      </c>
    </row>
    <row r="2843" spans="1:6" x14ac:dyDescent="0.25">
      <c r="A2843" t="str">
        <f>"2315185140"</f>
        <v>2315185140</v>
      </c>
      <c r="B2843" t="s">
        <v>3932</v>
      </c>
      <c r="C2843" t="s">
        <v>7</v>
      </c>
      <c r="D2843" t="s">
        <v>33</v>
      </c>
      <c r="E2843" t="s">
        <v>3473</v>
      </c>
      <c r="F2843" t="s">
        <v>3933</v>
      </c>
    </row>
    <row r="2844" spans="1:6" x14ac:dyDescent="0.25">
      <c r="A2844" t="str">
        <f>"2315210693"</f>
        <v>2315210693</v>
      </c>
      <c r="B2844" t="s">
        <v>3934</v>
      </c>
      <c r="C2844" t="s">
        <v>7</v>
      </c>
      <c r="D2844" t="s">
        <v>12</v>
      </c>
      <c r="E2844" t="s">
        <v>3473</v>
      </c>
      <c r="F2844" t="s">
        <v>3935</v>
      </c>
    </row>
    <row r="2845" spans="1:6" x14ac:dyDescent="0.25">
      <c r="A2845" t="str">
        <f>"2315217924"</f>
        <v>2315217924</v>
      </c>
      <c r="B2845" t="s">
        <v>3936</v>
      </c>
      <c r="C2845" t="s">
        <v>7</v>
      </c>
      <c r="D2845" t="s">
        <v>33</v>
      </c>
      <c r="E2845" t="s">
        <v>3473</v>
      </c>
      <c r="F2845" t="s">
        <v>3937</v>
      </c>
    </row>
    <row r="2846" spans="1:6" x14ac:dyDescent="0.25">
      <c r="A2846" t="str">
        <f>"231704136607"</f>
        <v>231704136607</v>
      </c>
      <c r="B2846" t="s">
        <v>3938</v>
      </c>
      <c r="C2846" t="s">
        <v>7</v>
      </c>
      <c r="D2846" t="s">
        <v>14</v>
      </c>
      <c r="E2846" t="s">
        <v>3473</v>
      </c>
    </row>
    <row r="2847" spans="1:6" x14ac:dyDescent="0.25">
      <c r="A2847" t="str">
        <f>"2317042035"</f>
        <v>2317042035</v>
      </c>
      <c r="B2847" t="s">
        <v>3939</v>
      </c>
      <c r="C2847" t="s">
        <v>7</v>
      </c>
      <c r="D2847" t="s">
        <v>33</v>
      </c>
      <c r="E2847" t="s">
        <v>3473</v>
      </c>
      <c r="F2847" t="s">
        <v>3940</v>
      </c>
    </row>
    <row r="2848" spans="1:6" x14ac:dyDescent="0.25">
      <c r="A2848" t="str">
        <f>"231709091519"</f>
        <v>231709091519</v>
      </c>
      <c r="B2848" t="s">
        <v>3941</v>
      </c>
      <c r="C2848" t="s">
        <v>7</v>
      </c>
      <c r="D2848" t="s">
        <v>12</v>
      </c>
      <c r="E2848" t="s">
        <v>3473</v>
      </c>
    </row>
    <row r="2849" spans="1:6" x14ac:dyDescent="0.25">
      <c r="A2849" t="str">
        <f>"231710682932"</f>
        <v>231710682932</v>
      </c>
      <c r="B2849" t="s">
        <v>3942</v>
      </c>
      <c r="C2849" t="s">
        <v>7</v>
      </c>
      <c r="D2849" t="s">
        <v>14</v>
      </c>
      <c r="E2849" t="s">
        <v>3473</v>
      </c>
    </row>
    <row r="2850" spans="1:6" x14ac:dyDescent="0.25">
      <c r="A2850" t="str">
        <f>"231800066952"</f>
        <v>231800066952</v>
      </c>
      <c r="B2850" t="s">
        <v>3943</v>
      </c>
      <c r="C2850" t="s">
        <v>7</v>
      </c>
      <c r="D2850" t="s">
        <v>14</v>
      </c>
      <c r="E2850" t="s">
        <v>3473</v>
      </c>
    </row>
    <row r="2851" spans="1:6" x14ac:dyDescent="0.25">
      <c r="A2851" t="str">
        <f>"231803432678"</f>
        <v>231803432678</v>
      </c>
      <c r="B2851" t="s">
        <v>3944</v>
      </c>
      <c r="C2851" t="s">
        <v>7</v>
      </c>
      <c r="D2851" t="s">
        <v>14</v>
      </c>
      <c r="E2851" t="s">
        <v>3473</v>
      </c>
    </row>
    <row r="2852" spans="1:6" x14ac:dyDescent="0.25">
      <c r="A2852" t="str">
        <f>"231846505017"</f>
        <v>231846505017</v>
      </c>
      <c r="B2852" t="s">
        <v>3945</v>
      </c>
      <c r="C2852" t="s">
        <v>7</v>
      </c>
      <c r="D2852" t="s">
        <v>14</v>
      </c>
      <c r="E2852" t="s">
        <v>3473</v>
      </c>
    </row>
    <row r="2853" spans="1:6" x14ac:dyDescent="0.25">
      <c r="A2853" t="str">
        <f>"500303987291"</f>
        <v>500303987291</v>
      </c>
      <c r="B2853" t="s">
        <v>3946</v>
      </c>
      <c r="C2853" t="s">
        <v>7</v>
      </c>
      <c r="D2853" t="s">
        <v>14</v>
      </c>
      <c r="E2853" t="s">
        <v>3473</v>
      </c>
    </row>
    <row r="2854" spans="1:6" x14ac:dyDescent="0.25">
      <c r="A2854" t="str">
        <f>"380582622159"</f>
        <v>380582622159</v>
      </c>
      <c r="B2854" t="s">
        <v>3947</v>
      </c>
      <c r="C2854" t="s">
        <v>7</v>
      </c>
      <c r="D2854" t="s">
        <v>12</v>
      </c>
      <c r="E2854" t="s">
        <v>3473</v>
      </c>
    </row>
    <row r="2855" spans="1:6" x14ac:dyDescent="0.25">
      <c r="A2855" t="str">
        <f>"644604365395"</f>
        <v>644604365395</v>
      </c>
      <c r="B2855" t="s">
        <v>3948</v>
      </c>
      <c r="C2855" t="s">
        <v>7</v>
      </c>
      <c r="D2855" t="s">
        <v>14</v>
      </c>
      <c r="E2855" t="s">
        <v>3473</v>
      </c>
    </row>
    <row r="2856" spans="1:6" x14ac:dyDescent="0.25">
      <c r="A2856" t="str">
        <f>"644910719205"</f>
        <v>644910719205</v>
      </c>
      <c r="B2856" t="s">
        <v>3949</v>
      </c>
      <c r="C2856" t="s">
        <v>7</v>
      </c>
      <c r="D2856" t="s">
        <v>12</v>
      </c>
      <c r="E2856" t="s">
        <v>3473</v>
      </c>
    </row>
    <row r="2857" spans="1:6" x14ac:dyDescent="0.25">
      <c r="A2857" t="str">
        <f>"230801417961"</f>
        <v>230801417961</v>
      </c>
      <c r="B2857" t="s">
        <v>3950</v>
      </c>
      <c r="C2857" t="s">
        <v>7</v>
      </c>
      <c r="D2857" t="s">
        <v>8</v>
      </c>
      <c r="E2857" t="s">
        <v>3473</v>
      </c>
    </row>
    <row r="2858" spans="1:6" x14ac:dyDescent="0.25">
      <c r="A2858" t="str">
        <f>"230802816020"</f>
        <v>230802816020</v>
      </c>
      <c r="B2858" t="s">
        <v>3951</v>
      </c>
      <c r="C2858" t="s">
        <v>7</v>
      </c>
      <c r="D2858" t="s">
        <v>14</v>
      </c>
      <c r="E2858" t="s">
        <v>3473</v>
      </c>
    </row>
    <row r="2859" spans="1:6" x14ac:dyDescent="0.25">
      <c r="A2859" t="str">
        <f>"230803954947"</f>
        <v>230803954947</v>
      </c>
      <c r="B2859" t="s">
        <v>3952</v>
      </c>
      <c r="C2859" t="s">
        <v>7</v>
      </c>
      <c r="D2859" t="s">
        <v>14</v>
      </c>
      <c r="E2859" t="s">
        <v>3473</v>
      </c>
    </row>
    <row r="2860" spans="1:6" x14ac:dyDescent="0.25">
      <c r="A2860" t="str">
        <f>"230809045507"</f>
        <v>230809045507</v>
      </c>
      <c r="B2860" t="s">
        <v>3953</v>
      </c>
      <c r="C2860" t="s">
        <v>7</v>
      </c>
      <c r="D2860" t="s">
        <v>12</v>
      </c>
      <c r="E2860" t="s">
        <v>3473</v>
      </c>
    </row>
    <row r="2861" spans="1:6" x14ac:dyDescent="0.25">
      <c r="A2861" t="str">
        <f>"230811989189"</f>
        <v>230811989189</v>
      </c>
      <c r="B2861" t="s">
        <v>3954</v>
      </c>
      <c r="C2861" t="s">
        <v>7</v>
      </c>
      <c r="D2861" t="s">
        <v>12</v>
      </c>
      <c r="E2861" t="s">
        <v>3473</v>
      </c>
    </row>
    <row r="2862" spans="1:6" x14ac:dyDescent="0.25">
      <c r="A2862" t="str">
        <f>"2308129900"</f>
        <v>2308129900</v>
      </c>
      <c r="B2862" t="s">
        <v>3955</v>
      </c>
      <c r="C2862" t="s">
        <v>7</v>
      </c>
      <c r="D2862" t="s">
        <v>8</v>
      </c>
      <c r="E2862" t="s">
        <v>3473</v>
      </c>
      <c r="F2862" t="s">
        <v>3956</v>
      </c>
    </row>
    <row r="2863" spans="1:6" x14ac:dyDescent="0.25">
      <c r="A2863" t="str">
        <f>"2308141400"</f>
        <v>2308141400</v>
      </c>
      <c r="B2863" t="s">
        <v>3957</v>
      </c>
      <c r="C2863" t="s">
        <v>7</v>
      </c>
      <c r="D2863" t="s">
        <v>14</v>
      </c>
      <c r="E2863" t="s">
        <v>3473</v>
      </c>
      <c r="F2863" t="s">
        <v>3958</v>
      </c>
    </row>
    <row r="2864" spans="1:6" x14ac:dyDescent="0.25">
      <c r="A2864" t="str">
        <f>"2308248255"</f>
        <v>2308248255</v>
      </c>
      <c r="B2864" t="s">
        <v>3959</v>
      </c>
      <c r="C2864" t="s">
        <v>7</v>
      </c>
      <c r="D2864" t="s">
        <v>33</v>
      </c>
      <c r="E2864" t="s">
        <v>3473</v>
      </c>
      <c r="F2864" t="s">
        <v>3960</v>
      </c>
    </row>
    <row r="2865" spans="1:6" x14ac:dyDescent="0.25">
      <c r="A2865" t="str">
        <f>"2308272730"</f>
        <v>2308272730</v>
      </c>
      <c r="B2865" t="s">
        <v>3961</v>
      </c>
      <c r="C2865" t="s">
        <v>7</v>
      </c>
      <c r="D2865" t="s">
        <v>14</v>
      </c>
      <c r="E2865" t="s">
        <v>3473</v>
      </c>
      <c r="F2865" t="s">
        <v>3962</v>
      </c>
    </row>
    <row r="2866" spans="1:6" x14ac:dyDescent="0.25">
      <c r="A2866" t="str">
        <f>"2308292536"</f>
        <v>2308292536</v>
      </c>
      <c r="B2866" t="s">
        <v>3963</v>
      </c>
      <c r="C2866" t="s">
        <v>7</v>
      </c>
      <c r="D2866" t="s">
        <v>189</v>
      </c>
      <c r="E2866" t="s">
        <v>3473</v>
      </c>
      <c r="F2866" t="s">
        <v>3964</v>
      </c>
    </row>
    <row r="2867" spans="1:6" x14ac:dyDescent="0.25">
      <c r="A2867" t="str">
        <f>"230901675780"</f>
        <v>230901675780</v>
      </c>
      <c r="B2867" t="s">
        <v>3965</v>
      </c>
      <c r="C2867" t="s">
        <v>7</v>
      </c>
      <c r="D2867" t="s">
        <v>12</v>
      </c>
      <c r="E2867" t="s">
        <v>3473</v>
      </c>
    </row>
    <row r="2868" spans="1:6" x14ac:dyDescent="0.25">
      <c r="A2868" t="str">
        <f>"2309051942"</f>
        <v>2309051942</v>
      </c>
      <c r="B2868" t="s">
        <v>3966</v>
      </c>
      <c r="C2868" t="s">
        <v>7</v>
      </c>
      <c r="D2868" t="s">
        <v>14</v>
      </c>
      <c r="E2868" t="s">
        <v>3473</v>
      </c>
      <c r="F2868" t="s">
        <v>3967</v>
      </c>
    </row>
    <row r="2869" spans="1:6" x14ac:dyDescent="0.25">
      <c r="A2869" t="str">
        <f>"230906557691"</f>
        <v>230906557691</v>
      </c>
      <c r="B2869" t="s">
        <v>3968</v>
      </c>
      <c r="C2869" t="s">
        <v>7</v>
      </c>
      <c r="D2869" t="s">
        <v>12</v>
      </c>
      <c r="E2869" t="s">
        <v>3473</v>
      </c>
    </row>
    <row r="2870" spans="1:6" x14ac:dyDescent="0.25">
      <c r="A2870" t="str">
        <f>"230907340652"</f>
        <v>230907340652</v>
      </c>
      <c r="B2870" t="s">
        <v>3969</v>
      </c>
      <c r="C2870" t="s">
        <v>7</v>
      </c>
      <c r="D2870" t="s">
        <v>12</v>
      </c>
      <c r="E2870" t="s">
        <v>3473</v>
      </c>
    </row>
    <row r="2871" spans="1:6" x14ac:dyDescent="0.25">
      <c r="A2871" t="str">
        <f>"230909007248"</f>
        <v>230909007248</v>
      </c>
      <c r="B2871" t="s">
        <v>3970</v>
      </c>
      <c r="C2871" t="s">
        <v>7</v>
      </c>
      <c r="D2871" t="s">
        <v>14</v>
      </c>
      <c r="E2871" t="s">
        <v>3473</v>
      </c>
    </row>
    <row r="2872" spans="1:6" x14ac:dyDescent="0.25">
      <c r="A2872" t="str">
        <f>"2309115917"</f>
        <v>2309115917</v>
      </c>
      <c r="B2872" t="s">
        <v>3971</v>
      </c>
      <c r="C2872" t="s">
        <v>7</v>
      </c>
      <c r="D2872" t="s">
        <v>12</v>
      </c>
      <c r="E2872" t="s">
        <v>3473</v>
      </c>
      <c r="F2872" t="s">
        <v>3972</v>
      </c>
    </row>
    <row r="2873" spans="1:6" x14ac:dyDescent="0.25">
      <c r="A2873" t="str">
        <f>"2309116156"</f>
        <v>2309116156</v>
      </c>
      <c r="B2873" t="s">
        <v>3973</v>
      </c>
      <c r="C2873" t="s">
        <v>7</v>
      </c>
      <c r="D2873" t="s">
        <v>14</v>
      </c>
      <c r="E2873" t="s">
        <v>3473</v>
      </c>
      <c r="F2873" t="s">
        <v>3974</v>
      </c>
    </row>
    <row r="2874" spans="1:6" x14ac:dyDescent="0.25">
      <c r="A2874" t="str">
        <f>"2309132454"</f>
        <v>2309132454</v>
      </c>
      <c r="B2874" t="s">
        <v>3975</v>
      </c>
      <c r="C2874" t="s">
        <v>7</v>
      </c>
      <c r="D2874" t="s">
        <v>146</v>
      </c>
      <c r="E2874" t="s">
        <v>3473</v>
      </c>
      <c r="F2874" t="s">
        <v>3976</v>
      </c>
    </row>
    <row r="2875" spans="1:6" x14ac:dyDescent="0.25">
      <c r="A2875" t="str">
        <f>"2309182078"</f>
        <v>2309182078</v>
      </c>
      <c r="B2875" t="s">
        <v>3977</v>
      </c>
      <c r="C2875" t="s">
        <v>7</v>
      </c>
      <c r="D2875" t="s">
        <v>33</v>
      </c>
      <c r="E2875" t="s">
        <v>3473</v>
      </c>
      <c r="F2875" t="s">
        <v>3978</v>
      </c>
    </row>
    <row r="2876" spans="1:6" x14ac:dyDescent="0.25">
      <c r="A2876" t="str">
        <f>"231000010380"</f>
        <v>231000010380</v>
      </c>
      <c r="B2876" t="s">
        <v>3979</v>
      </c>
      <c r="C2876" t="s">
        <v>7</v>
      </c>
      <c r="D2876" t="s">
        <v>14</v>
      </c>
      <c r="E2876" t="s">
        <v>3473</v>
      </c>
    </row>
    <row r="2877" spans="1:6" x14ac:dyDescent="0.25">
      <c r="A2877" t="str">
        <f>"231002220209"</f>
        <v>231002220209</v>
      </c>
      <c r="B2877" t="s">
        <v>3980</v>
      </c>
      <c r="C2877" t="s">
        <v>7</v>
      </c>
      <c r="D2877" t="s">
        <v>14</v>
      </c>
      <c r="E2877" t="s">
        <v>3473</v>
      </c>
    </row>
    <row r="2878" spans="1:6" x14ac:dyDescent="0.25">
      <c r="A2878" t="str">
        <f>"231004131900"</f>
        <v>231004131900</v>
      </c>
      <c r="B2878" t="s">
        <v>3981</v>
      </c>
      <c r="C2878" t="s">
        <v>7</v>
      </c>
      <c r="D2878" t="s">
        <v>14</v>
      </c>
      <c r="E2878" t="s">
        <v>3473</v>
      </c>
    </row>
    <row r="2879" spans="1:6" x14ac:dyDescent="0.25">
      <c r="A2879" t="str">
        <f>"2310041882"</f>
        <v>2310041882</v>
      </c>
      <c r="B2879" t="s">
        <v>3982</v>
      </c>
      <c r="C2879" t="s">
        <v>7</v>
      </c>
      <c r="D2879" t="s">
        <v>14</v>
      </c>
      <c r="E2879" t="s">
        <v>3473</v>
      </c>
      <c r="F2879" t="s">
        <v>3983</v>
      </c>
    </row>
    <row r="2880" spans="1:6" x14ac:dyDescent="0.25">
      <c r="A2880" t="str">
        <f>"2310237740"</f>
        <v>2310237740</v>
      </c>
      <c r="B2880" t="s">
        <v>3984</v>
      </c>
      <c r="C2880" t="s">
        <v>7</v>
      </c>
      <c r="D2880" t="s">
        <v>12</v>
      </c>
      <c r="E2880" t="s">
        <v>3473</v>
      </c>
      <c r="F2880" t="s">
        <v>3985</v>
      </c>
    </row>
    <row r="2881" spans="1:6" x14ac:dyDescent="0.25">
      <c r="A2881" t="str">
        <f>"2310241200"</f>
        <v>2310241200</v>
      </c>
      <c r="B2881" t="s">
        <v>3986</v>
      </c>
      <c r="C2881" t="s">
        <v>7</v>
      </c>
      <c r="D2881" t="s">
        <v>14</v>
      </c>
      <c r="E2881" t="s">
        <v>3473</v>
      </c>
      <c r="F2881" t="s">
        <v>3818</v>
      </c>
    </row>
    <row r="2882" spans="1:6" x14ac:dyDescent="0.25">
      <c r="A2882" t="str">
        <f>"2311010502"</f>
        <v>2311010502</v>
      </c>
      <c r="B2882" t="s">
        <v>3987</v>
      </c>
      <c r="C2882" t="s">
        <v>7</v>
      </c>
      <c r="D2882" t="s">
        <v>14</v>
      </c>
      <c r="E2882" t="s">
        <v>3473</v>
      </c>
      <c r="F2882" t="s">
        <v>3988</v>
      </c>
    </row>
    <row r="2883" spans="1:6" x14ac:dyDescent="0.25">
      <c r="A2883" t="str">
        <f>"2311052326"</f>
        <v>2311052326</v>
      </c>
      <c r="B2883" t="s">
        <v>3989</v>
      </c>
      <c r="C2883" t="s">
        <v>7</v>
      </c>
      <c r="D2883" t="s">
        <v>14</v>
      </c>
      <c r="E2883" t="s">
        <v>3473</v>
      </c>
      <c r="F2883" t="s">
        <v>3990</v>
      </c>
    </row>
    <row r="2884" spans="1:6" x14ac:dyDescent="0.25">
      <c r="A2884" t="str">
        <f>"231106767606"</f>
        <v>231106767606</v>
      </c>
      <c r="B2884" t="s">
        <v>3991</v>
      </c>
      <c r="C2884" t="s">
        <v>7</v>
      </c>
      <c r="D2884" t="s">
        <v>14</v>
      </c>
      <c r="E2884" t="s">
        <v>3473</v>
      </c>
    </row>
    <row r="2885" spans="1:6" x14ac:dyDescent="0.25">
      <c r="A2885" t="str">
        <f>"2311072322"</f>
        <v>2311072322</v>
      </c>
      <c r="B2885" t="s">
        <v>3992</v>
      </c>
      <c r="C2885" t="s">
        <v>7</v>
      </c>
      <c r="D2885" t="s">
        <v>14</v>
      </c>
      <c r="E2885" t="s">
        <v>3473</v>
      </c>
      <c r="F2885" t="s">
        <v>3993</v>
      </c>
    </row>
    <row r="2886" spans="1:6" x14ac:dyDescent="0.25">
      <c r="A2886" t="str">
        <f>"231107676969"</f>
        <v>231107676969</v>
      </c>
      <c r="B2886" t="s">
        <v>3994</v>
      </c>
      <c r="C2886" t="s">
        <v>7</v>
      </c>
      <c r="D2886" t="s">
        <v>14</v>
      </c>
      <c r="E2886" t="s">
        <v>3473</v>
      </c>
    </row>
    <row r="2887" spans="1:6" x14ac:dyDescent="0.25">
      <c r="A2887" t="str">
        <f>"231108180838"</f>
        <v>231108180838</v>
      </c>
      <c r="B2887" t="s">
        <v>3995</v>
      </c>
      <c r="C2887" t="s">
        <v>7</v>
      </c>
      <c r="D2887" t="s">
        <v>14</v>
      </c>
      <c r="E2887" t="s">
        <v>3473</v>
      </c>
    </row>
    <row r="2888" spans="1:6" x14ac:dyDescent="0.25">
      <c r="A2888" t="str">
        <f>"2311082835"</f>
        <v>2311082835</v>
      </c>
      <c r="B2888" t="s">
        <v>3996</v>
      </c>
      <c r="C2888" t="s">
        <v>7</v>
      </c>
      <c r="D2888" t="s">
        <v>8</v>
      </c>
      <c r="E2888" t="s">
        <v>3473</v>
      </c>
      <c r="F2888" t="s">
        <v>3997</v>
      </c>
    </row>
    <row r="2889" spans="1:6" x14ac:dyDescent="0.25">
      <c r="A2889" t="str">
        <f>"231109738755"</f>
        <v>231109738755</v>
      </c>
      <c r="B2889" t="s">
        <v>3998</v>
      </c>
      <c r="C2889" t="s">
        <v>7</v>
      </c>
      <c r="D2889" t="s">
        <v>12</v>
      </c>
      <c r="E2889" t="s">
        <v>3473</v>
      </c>
    </row>
    <row r="2890" spans="1:6" x14ac:dyDescent="0.25">
      <c r="A2890" t="str">
        <f>"2311102457"</f>
        <v>2311102457</v>
      </c>
      <c r="B2890" t="s">
        <v>3999</v>
      </c>
      <c r="C2890" t="s">
        <v>7</v>
      </c>
      <c r="D2890" t="s">
        <v>12</v>
      </c>
      <c r="E2890" t="s">
        <v>3473</v>
      </c>
      <c r="F2890" t="s">
        <v>4000</v>
      </c>
    </row>
    <row r="2891" spans="1:6" x14ac:dyDescent="0.25">
      <c r="A2891" t="str">
        <f>"2311125704"</f>
        <v>2311125704</v>
      </c>
      <c r="B2891" t="s">
        <v>4001</v>
      </c>
      <c r="C2891" t="s">
        <v>7</v>
      </c>
      <c r="D2891" t="s">
        <v>12</v>
      </c>
      <c r="E2891" t="s">
        <v>3473</v>
      </c>
      <c r="F2891" t="s">
        <v>4002</v>
      </c>
    </row>
    <row r="2892" spans="1:6" x14ac:dyDescent="0.25">
      <c r="A2892" t="str">
        <f>"2311152514"</f>
        <v>2311152514</v>
      </c>
      <c r="B2892" t="s">
        <v>4003</v>
      </c>
      <c r="C2892" t="s">
        <v>7</v>
      </c>
      <c r="D2892" t="s">
        <v>12</v>
      </c>
      <c r="E2892" t="s">
        <v>3473</v>
      </c>
      <c r="F2892" t="s">
        <v>4004</v>
      </c>
    </row>
    <row r="2893" spans="1:6" x14ac:dyDescent="0.25">
      <c r="A2893" t="str">
        <f>"231119546280"</f>
        <v>231119546280</v>
      </c>
      <c r="B2893" t="s">
        <v>4005</v>
      </c>
      <c r="C2893" t="s">
        <v>7</v>
      </c>
      <c r="D2893" t="s">
        <v>14</v>
      </c>
      <c r="E2893" t="s">
        <v>3473</v>
      </c>
    </row>
    <row r="2894" spans="1:6" x14ac:dyDescent="0.25">
      <c r="A2894" t="str">
        <f>"2311205163"</f>
        <v>2311205163</v>
      </c>
      <c r="B2894" t="s">
        <v>4006</v>
      </c>
      <c r="C2894" t="s">
        <v>7</v>
      </c>
      <c r="D2894" t="s">
        <v>8</v>
      </c>
      <c r="E2894" t="s">
        <v>3473</v>
      </c>
      <c r="F2894" t="s">
        <v>4007</v>
      </c>
    </row>
    <row r="2895" spans="1:6" x14ac:dyDescent="0.25">
      <c r="A2895" t="str">
        <f>"231120812850"</f>
        <v>231120812850</v>
      </c>
      <c r="B2895" t="s">
        <v>4008</v>
      </c>
      <c r="C2895" t="s">
        <v>7</v>
      </c>
      <c r="D2895" t="s">
        <v>12</v>
      </c>
      <c r="E2895" t="s">
        <v>3473</v>
      </c>
    </row>
    <row r="2896" spans="1:6" x14ac:dyDescent="0.25">
      <c r="A2896" t="str">
        <f>"231121507257"</f>
        <v>231121507257</v>
      </c>
      <c r="B2896" t="s">
        <v>4009</v>
      </c>
      <c r="C2896" t="s">
        <v>7</v>
      </c>
      <c r="D2896" t="s">
        <v>14</v>
      </c>
      <c r="E2896" t="s">
        <v>3473</v>
      </c>
    </row>
    <row r="2897" spans="1:6" x14ac:dyDescent="0.25">
      <c r="A2897" t="str">
        <f>"2311234855"</f>
        <v>2311234855</v>
      </c>
      <c r="B2897" t="s">
        <v>4010</v>
      </c>
      <c r="C2897" t="s">
        <v>7</v>
      </c>
      <c r="D2897" t="s">
        <v>146</v>
      </c>
      <c r="E2897" t="s">
        <v>3473</v>
      </c>
      <c r="F2897" t="s">
        <v>4011</v>
      </c>
    </row>
    <row r="2898" spans="1:6" x14ac:dyDescent="0.25">
      <c r="A2898" t="str">
        <f>"2311237310"</f>
        <v>2311237310</v>
      </c>
      <c r="B2898" t="s">
        <v>4012</v>
      </c>
      <c r="C2898" t="s">
        <v>7</v>
      </c>
      <c r="D2898" t="s">
        <v>33</v>
      </c>
      <c r="E2898" t="s">
        <v>3473</v>
      </c>
      <c r="F2898" t="s">
        <v>4013</v>
      </c>
    </row>
    <row r="2899" spans="1:6" x14ac:dyDescent="0.25">
      <c r="A2899" t="str">
        <f>"2311237542"</f>
        <v>2311237542</v>
      </c>
      <c r="B2899" t="s">
        <v>4014</v>
      </c>
      <c r="C2899" t="s">
        <v>7</v>
      </c>
      <c r="D2899" t="s">
        <v>14</v>
      </c>
      <c r="E2899" t="s">
        <v>3473</v>
      </c>
      <c r="F2899" t="s">
        <v>4015</v>
      </c>
    </row>
    <row r="2900" spans="1:6" x14ac:dyDescent="0.25">
      <c r="A2900" t="str">
        <f>"2311259176"</f>
        <v>2311259176</v>
      </c>
      <c r="B2900" t="s">
        <v>4016</v>
      </c>
      <c r="C2900" t="s">
        <v>7</v>
      </c>
      <c r="D2900" t="s">
        <v>12</v>
      </c>
      <c r="E2900" t="s">
        <v>3473</v>
      </c>
      <c r="F2900" t="s">
        <v>4017</v>
      </c>
    </row>
    <row r="2901" spans="1:6" x14ac:dyDescent="0.25">
      <c r="A2901" t="str">
        <f>"2311289004"</f>
        <v>2311289004</v>
      </c>
      <c r="B2901" t="s">
        <v>4018</v>
      </c>
      <c r="C2901" t="s">
        <v>7</v>
      </c>
      <c r="D2901" t="s">
        <v>463</v>
      </c>
      <c r="E2901" t="s">
        <v>3473</v>
      </c>
      <c r="F2901" t="s">
        <v>3901</v>
      </c>
    </row>
    <row r="2902" spans="1:6" x14ac:dyDescent="0.25">
      <c r="A2902" t="str">
        <f>"2311295833"</f>
        <v>2311295833</v>
      </c>
      <c r="B2902" t="s">
        <v>4019</v>
      </c>
      <c r="C2902" t="s">
        <v>7</v>
      </c>
      <c r="D2902" t="s">
        <v>12</v>
      </c>
      <c r="E2902" t="s">
        <v>3473</v>
      </c>
      <c r="F2902" t="s">
        <v>4020</v>
      </c>
    </row>
    <row r="2903" spans="1:6" x14ac:dyDescent="0.25">
      <c r="A2903" t="str">
        <f>"2311316635"</f>
        <v>2311316635</v>
      </c>
      <c r="B2903" t="s">
        <v>4021</v>
      </c>
      <c r="C2903" t="s">
        <v>7</v>
      </c>
      <c r="D2903" t="s">
        <v>33</v>
      </c>
      <c r="E2903" t="s">
        <v>3473</v>
      </c>
      <c r="F2903" t="s">
        <v>4022</v>
      </c>
    </row>
    <row r="2904" spans="1:6" x14ac:dyDescent="0.25">
      <c r="A2904" t="str">
        <f>"2311319280"</f>
        <v>2311319280</v>
      </c>
      <c r="B2904" t="s">
        <v>4023</v>
      </c>
      <c r="C2904" t="s">
        <v>7</v>
      </c>
      <c r="D2904" t="s">
        <v>8</v>
      </c>
      <c r="E2904" t="s">
        <v>3473</v>
      </c>
      <c r="F2904" t="s">
        <v>4024</v>
      </c>
    </row>
    <row r="2905" spans="1:6" x14ac:dyDescent="0.25">
      <c r="A2905" t="str">
        <f>"2311332108"</f>
        <v>2311332108</v>
      </c>
      <c r="B2905" t="s">
        <v>4025</v>
      </c>
      <c r="C2905" t="s">
        <v>7</v>
      </c>
      <c r="D2905" t="s">
        <v>14</v>
      </c>
      <c r="E2905" t="s">
        <v>3473</v>
      </c>
      <c r="F2905" t="s">
        <v>4026</v>
      </c>
    </row>
    <row r="2906" spans="1:6" x14ac:dyDescent="0.25">
      <c r="A2906" t="str">
        <f>"2311340099"</f>
        <v>2311340099</v>
      </c>
      <c r="B2906" t="s">
        <v>4027</v>
      </c>
      <c r="C2906" t="s">
        <v>7</v>
      </c>
      <c r="D2906" t="s">
        <v>33</v>
      </c>
      <c r="E2906" t="s">
        <v>3473</v>
      </c>
      <c r="F2906" t="s">
        <v>4028</v>
      </c>
    </row>
    <row r="2907" spans="1:6" x14ac:dyDescent="0.25">
      <c r="A2907" t="str">
        <f>"2311365590"</f>
        <v>2311365590</v>
      </c>
      <c r="B2907" t="s">
        <v>4029</v>
      </c>
      <c r="C2907" t="s">
        <v>7</v>
      </c>
      <c r="D2907" t="s">
        <v>14</v>
      </c>
      <c r="E2907" t="s">
        <v>3473</v>
      </c>
      <c r="F2907" t="s">
        <v>4030</v>
      </c>
    </row>
    <row r="2908" spans="1:6" x14ac:dyDescent="0.25">
      <c r="A2908" t="str">
        <f>"231201034158"</f>
        <v>231201034158</v>
      </c>
      <c r="B2908" t="s">
        <v>4031</v>
      </c>
      <c r="C2908" t="s">
        <v>7</v>
      </c>
      <c r="D2908" t="s">
        <v>12</v>
      </c>
      <c r="E2908" t="s">
        <v>3473</v>
      </c>
    </row>
    <row r="2909" spans="1:6" x14ac:dyDescent="0.25">
      <c r="A2909" t="str">
        <f>"231201414103"</f>
        <v>231201414103</v>
      </c>
      <c r="B2909" t="s">
        <v>4032</v>
      </c>
      <c r="C2909" t="s">
        <v>7</v>
      </c>
      <c r="D2909" t="s">
        <v>14</v>
      </c>
      <c r="E2909" t="s">
        <v>3473</v>
      </c>
    </row>
    <row r="2910" spans="1:6" x14ac:dyDescent="0.25">
      <c r="A2910" t="str">
        <f>"231202771309"</f>
        <v>231202771309</v>
      </c>
      <c r="B2910" t="s">
        <v>4033</v>
      </c>
      <c r="C2910" t="s">
        <v>7</v>
      </c>
      <c r="D2910" t="s">
        <v>12</v>
      </c>
      <c r="E2910" t="s">
        <v>3473</v>
      </c>
    </row>
    <row r="2911" spans="1:6" x14ac:dyDescent="0.25">
      <c r="A2911" t="str">
        <f>"2312030950"</f>
        <v>2312030950</v>
      </c>
      <c r="B2911" t="s">
        <v>4034</v>
      </c>
      <c r="C2911" t="s">
        <v>7</v>
      </c>
      <c r="D2911" t="s">
        <v>14</v>
      </c>
      <c r="E2911" t="s">
        <v>3473</v>
      </c>
      <c r="F2911" t="s">
        <v>4035</v>
      </c>
    </row>
    <row r="2912" spans="1:6" x14ac:dyDescent="0.25">
      <c r="A2912" t="str">
        <f>"231204082230"</f>
        <v>231204082230</v>
      </c>
      <c r="B2912" t="s">
        <v>4036</v>
      </c>
      <c r="C2912" t="s">
        <v>7</v>
      </c>
      <c r="D2912" t="s">
        <v>12</v>
      </c>
      <c r="E2912" t="s">
        <v>3473</v>
      </c>
    </row>
    <row r="2913" spans="1:6" x14ac:dyDescent="0.25">
      <c r="A2913" t="str">
        <f>"231205689719"</f>
        <v>231205689719</v>
      </c>
      <c r="B2913" t="s">
        <v>4037</v>
      </c>
      <c r="C2913" t="s">
        <v>7</v>
      </c>
      <c r="D2913" t="s">
        <v>14</v>
      </c>
      <c r="E2913" t="s">
        <v>3473</v>
      </c>
    </row>
    <row r="2914" spans="1:6" x14ac:dyDescent="0.25">
      <c r="A2914" t="str">
        <f>"231210298608"</f>
        <v>231210298608</v>
      </c>
      <c r="B2914" t="s">
        <v>4038</v>
      </c>
      <c r="C2914" t="s">
        <v>7</v>
      </c>
      <c r="D2914" t="s">
        <v>33</v>
      </c>
      <c r="E2914" t="s">
        <v>3473</v>
      </c>
    </row>
    <row r="2915" spans="1:6" x14ac:dyDescent="0.25">
      <c r="A2915" t="str">
        <f>"231213529437"</f>
        <v>231213529437</v>
      </c>
      <c r="B2915" t="s">
        <v>4039</v>
      </c>
      <c r="C2915" t="s">
        <v>7</v>
      </c>
      <c r="D2915" t="s">
        <v>12</v>
      </c>
      <c r="E2915" t="s">
        <v>3473</v>
      </c>
    </row>
    <row r="2916" spans="1:6" x14ac:dyDescent="0.25">
      <c r="A2916" t="str">
        <f>"2312137678"</f>
        <v>2312137678</v>
      </c>
      <c r="B2916" t="s">
        <v>4040</v>
      </c>
      <c r="C2916" t="s">
        <v>7</v>
      </c>
      <c r="D2916" t="s">
        <v>12</v>
      </c>
      <c r="E2916" t="s">
        <v>3473</v>
      </c>
      <c r="F2916" t="s">
        <v>4041</v>
      </c>
    </row>
    <row r="2917" spans="1:6" x14ac:dyDescent="0.25">
      <c r="A2917" t="str">
        <f>"2312161180"</f>
        <v>2312161180</v>
      </c>
      <c r="B2917" t="s">
        <v>4042</v>
      </c>
      <c r="C2917" t="s">
        <v>7</v>
      </c>
      <c r="D2917" t="s">
        <v>33</v>
      </c>
      <c r="E2917" t="s">
        <v>3473</v>
      </c>
      <c r="F2917" t="s">
        <v>4043</v>
      </c>
    </row>
    <row r="2918" spans="1:6" x14ac:dyDescent="0.25">
      <c r="A2918" t="str">
        <f>"381714139400"</f>
        <v>381714139400</v>
      </c>
      <c r="B2918" t="s">
        <v>4044</v>
      </c>
      <c r="C2918" t="s">
        <v>7</v>
      </c>
      <c r="D2918" t="s">
        <v>14</v>
      </c>
      <c r="E2918" t="s">
        <v>3473</v>
      </c>
    </row>
    <row r="2919" spans="1:6" x14ac:dyDescent="0.25">
      <c r="A2919" t="str">
        <f>"382008954805"</f>
        <v>382008954805</v>
      </c>
      <c r="B2919" t="s">
        <v>4045</v>
      </c>
      <c r="C2919" t="s">
        <v>7</v>
      </c>
      <c r="D2919" t="s">
        <v>12</v>
      </c>
      <c r="E2919" t="s">
        <v>3473</v>
      </c>
    </row>
    <row r="2920" spans="1:6" x14ac:dyDescent="0.25">
      <c r="A2920" t="str">
        <f>"272012137412"</f>
        <v>272012137412</v>
      </c>
      <c r="B2920" t="s">
        <v>4046</v>
      </c>
      <c r="C2920" t="s">
        <v>7</v>
      </c>
      <c r="D2920" t="s">
        <v>14</v>
      </c>
      <c r="E2920" t="s">
        <v>3473</v>
      </c>
    </row>
    <row r="2921" spans="1:6" x14ac:dyDescent="0.25">
      <c r="A2921" t="str">
        <f>"272512761900"</f>
        <v>272512761900</v>
      </c>
      <c r="B2921" t="s">
        <v>4047</v>
      </c>
      <c r="C2921" t="s">
        <v>7</v>
      </c>
      <c r="D2921" t="s">
        <v>14</v>
      </c>
      <c r="E2921" t="s">
        <v>3473</v>
      </c>
    </row>
    <row r="2922" spans="1:6" x14ac:dyDescent="0.25">
      <c r="A2922" t="str">
        <f>"272512930059"</f>
        <v>272512930059</v>
      </c>
      <c r="B2922" t="s">
        <v>4048</v>
      </c>
      <c r="C2922" t="s">
        <v>7</v>
      </c>
      <c r="D2922" t="s">
        <v>33</v>
      </c>
      <c r="E2922" t="s">
        <v>3473</v>
      </c>
    </row>
    <row r="2923" spans="1:6" x14ac:dyDescent="0.25">
      <c r="A2923" t="str">
        <f>"2312233710"</f>
        <v>2312233710</v>
      </c>
      <c r="B2923" t="s">
        <v>4049</v>
      </c>
      <c r="C2923" t="s">
        <v>7</v>
      </c>
      <c r="D2923" t="s">
        <v>33</v>
      </c>
      <c r="E2923" t="s">
        <v>3473</v>
      </c>
      <c r="F2923" t="s">
        <v>4050</v>
      </c>
    </row>
    <row r="2924" spans="1:6" x14ac:dyDescent="0.25">
      <c r="A2924" t="str">
        <f>"2312304791"</f>
        <v>2312304791</v>
      </c>
      <c r="B2924" t="s">
        <v>4051</v>
      </c>
      <c r="C2924" t="s">
        <v>7</v>
      </c>
      <c r="D2924" t="s">
        <v>12</v>
      </c>
      <c r="E2924" t="s">
        <v>3473</v>
      </c>
      <c r="F2924" t="s">
        <v>4052</v>
      </c>
    </row>
    <row r="2925" spans="1:6" x14ac:dyDescent="0.25">
      <c r="A2925" t="str">
        <f>"2312306100"</f>
        <v>2312306100</v>
      </c>
      <c r="B2925" t="s">
        <v>4053</v>
      </c>
      <c r="C2925" t="s">
        <v>7</v>
      </c>
      <c r="D2925" t="s">
        <v>14</v>
      </c>
      <c r="E2925" t="s">
        <v>3473</v>
      </c>
      <c r="F2925" t="s">
        <v>4054</v>
      </c>
    </row>
    <row r="2926" spans="1:6" x14ac:dyDescent="0.25">
      <c r="A2926" t="str">
        <f>"2312306686"</f>
        <v>2312306686</v>
      </c>
      <c r="B2926" t="s">
        <v>4055</v>
      </c>
      <c r="C2926" t="s">
        <v>7</v>
      </c>
      <c r="D2926" t="s">
        <v>33</v>
      </c>
      <c r="E2926" t="s">
        <v>3473</v>
      </c>
      <c r="F2926" t="s">
        <v>4056</v>
      </c>
    </row>
    <row r="2927" spans="1:6" x14ac:dyDescent="0.25">
      <c r="A2927" t="str">
        <f>"2312324830"</f>
        <v>2312324830</v>
      </c>
      <c r="B2927" t="s">
        <v>4057</v>
      </c>
      <c r="C2927" t="s">
        <v>7</v>
      </c>
      <c r="D2927" t="s">
        <v>14</v>
      </c>
      <c r="E2927" t="s">
        <v>3473</v>
      </c>
      <c r="F2927" t="s">
        <v>4058</v>
      </c>
    </row>
    <row r="2928" spans="1:6" x14ac:dyDescent="0.25">
      <c r="A2928" t="str">
        <f>"231293623979"</f>
        <v>231293623979</v>
      </c>
      <c r="B2928" t="s">
        <v>4059</v>
      </c>
      <c r="C2928" t="s">
        <v>7</v>
      </c>
      <c r="D2928" t="s">
        <v>14</v>
      </c>
      <c r="E2928" t="s">
        <v>3473</v>
      </c>
    </row>
    <row r="2929" spans="1:6" x14ac:dyDescent="0.25">
      <c r="A2929" t="str">
        <f>"231294558063"</f>
        <v>231294558063</v>
      </c>
      <c r="B2929" t="s">
        <v>4060</v>
      </c>
      <c r="C2929" t="s">
        <v>7</v>
      </c>
      <c r="D2929" t="s">
        <v>12</v>
      </c>
      <c r="E2929" t="s">
        <v>3473</v>
      </c>
    </row>
    <row r="2930" spans="1:6" x14ac:dyDescent="0.25">
      <c r="A2930" t="str">
        <f>"231296181126"</f>
        <v>231296181126</v>
      </c>
      <c r="B2930" t="s">
        <v>4061</v>
      </c>
      <c r="C2930" t="s">
        <v>7</v>
      </c>
      <c r="D2930" t="s">
        <v>33</v>
      </c>
      <c r="E2930" t="s">
        <v>3473</v>
      </c>
    </row>
    <row r="2931" spans="1:6" x14ac:dyDescent="0.25">
      <c r="A2931" t="str">
        <f>"231408564176"</f>
        <v>231408564176</v>
      </c>
      <c r="B2931" t="s">
        <v>4062</v>
      </c>
      <c r="C2931" t="s">
        <v>7</v>
      </c>
      <c r="D2931" t="s">
        <v>14</v>
      </c>
      <c r="E2931" t="s">
        <v>3473</v>
      </c>
    </row>
    <row r="2932" spans="1:6" x14ac:dyDescent="0.25">
      <c r="A2932" t="str">
        <f>"231489057936"</f>
        <v>231489057936</v>
      </c>
      <c r="B2932" t="s">
        <v>4063</v>
      </c>
      <c r="C2932" t="s">
        <v>7</v>
      </c>
      <c r="D2932" t="s">
        <v>14</v>
      </c>
      <c r="E2932" t="s">
        <v>3473</v>
      </c>
    </row>
    <row r="2933" spans="1:6" x14ac:dyDescent="0.25">
      <c r="A2933" t="str">
        <f>"231501036910"</f>
        <v>231501036910</v>
      </c>
      <c r="B2933" t="s">
        <v>2462</v>
      </c>
      <c r="C2933" t="s">
        <v>7</v>
      </c>
      <c r="D2933" t="s">
        <v>14</v>
      </c>
      <c r="E2933" t="s">
        <v>3473</v>
      </c>
    </row>
    <row r="2934" spans="1:6" x14ac:dyDescent="0.25">
      <c r="A2934" t="str">
        <f>"2315035000"</f>
        <v>2315035000</v>
      </c>
      <c r="B2934" t="s">
        <v>4064</v>
      </c>
      <c r="C2934" t="s">
        <v>7</v>
      </c>
      <c r="D2934" t="s">
        <v>8</v>
      </c>
      <c r="E2934" t="s">
        <v>3473</v>
      </c>
      <c r="F2934" t="s">
        <v>4065</v>
      </c>
    </row>
    <row r="2935" spans="1:6" x14ac:dyDescent="0.25">
      <c r="A2935" t="str">
        <f>"231503570797"</f>
        <v>231503570797</v>
      </c>
      <c r="B2935" t="s">
        <v>4066</v>
      </c>
      <c r="C2935" t="s">
        <v>7</v>
      </c>
      <c r="D2935" t="s">
        <v>14</v>
      </c>
      <c r="E2935" t="s">
        <v>3473</v>
      </c>
    </row>
    <row r="2936" spans="1:6" x14ac:dyDescent="0.25">
      <c r="A2936" t="str">
        <f>"231505701815"</f>
        <v>231505701815</v>
      </c>
      <c r="B2936" t="s">
        <v>4067</v>
      </c>
      <c r="C2936" t="s">
        <v>7</v>
      </c>
      <c r="D2936" t="s">
        <v>12</v>
      </c>
      <c r="E2936" t="s">
        <v>3473</v>
      </c>
    </row>
    <row r="2937" spans="1:6" x14ac:dyDescent="0.25">
      <c r="A2937" t="str">
        <f>"2315118225"</f>
        <v>2315118225</v>
      </c>
      <c r="B2937" t="s">
        <v>4068</v>
      </c>
      <c r="C2937" t="s">
        <v>7</v>
      </c>
      <c r="D2937" t="s">
        <v>12</v>
      </c>
      <c r="E2937" t="s">
        <v>3473</v>
      </c>
      <c r="F2937" t="s">
        <v>4069</v>
      </c>
    </row>
    <row r="2938" spans="1:6" x14ac:dyDescent="0.25">
      <c r="A2938" t="str">
        <f>"231517595992"</f>
        <v>231517595992</v>
      </c>
      <c r="B2938" t="s">
        <v>4070</v>
      </c>
      <c r="C2938" t="s">
        <v>7</v>
      </c>
      <c r="D2938" t="s">
        <v>14</v>
      </c>
      <c r="E2938" t="s">
        <v>3473</v>
      </c>
    </row>
    <row r="2939" spans="1:6" x14ac:dyDescent="0.25">
      <c r="A2939" t="str">
        <f>"231518965170"</f>
        <v>231518965170</v>
      </c>
      <c r="B2939" t="s">
        <v>4071</v>
      </c>
      <c r="C2939" t="s">
        <v>7</v>
      </c>
      <c r="D2939" t="s">
        <v>14</v>
      </c>
      <c r="E2939" t="s">
        <v>3473</v>
      </c>
    </row>
    <row r="2940" spans="1:6" x14ac:dyDescent="0.25">
      <c r="A2940" t="str">
        <f>"2315220250"</f>
        <v>2315220250</v>
      </c>
      <c r="B2940" t="s">
        <v>4072</v>
      </c>
      <c r="C2940" t="s">
        <v>7</v>
      </c>
      <c r="D2940" t="s">
        <v>12</v>
      </c>
      <c r="E2940" t="s">
        <v>3473</v>
      </c>
      <c r="F2940" t="s">
        <v>4073</v>
      </c>
    </row>
    <row r="2941" spans="1:6" x14ac:dyDescent="0.25">
      <c r="A2941" t="str">
        <f>"2315226238"</f>
        <v>2315226238</v>
      </c>
      <c r="B2941" t="s">
        <v>4074</v>
      </c>
      <c r="C2941" t="s">
        <v>7</v>
      </c>
      <c r="D2941" t="s">
        <v>1430</v>
      </c>
      <c r="E2941" t="s">
        <v>3473</v>
      </c>
      <c r="F2941" t="s">
        <v>4075</v>
      </c>
    </row>
    <row r="2942" spans="1:6" x14ac:dyDescent="0.25">
      <c r="A2942" t="str">
        <f>"2315234817"</f>
        <v>2315234817</v>
      </c>
      <c r="B2942" t="s">
        <v>4076</v>
      </c>
      <c r="C2942" t="s">
        <v>7</v>
      </c>
      <c r="D2942" t="s">
        <v>14</v>
      </c>
      <c r="E2942" t="s">
        <v>3473</v>
      </c>
      <c r="F2942" t="s">
        <v>4077</v>
      </c>
    </row>
    <row r="2943" spans="1:6" x14ac:dyDescent="0.25">
      <c r="A2943" t="str">
        <f>"231524091636"</f>
        <v>231524091636</v>
      </c>
      <c r="B2943" t="s">
        <v>4078</v>
      </c>
      <c r="C2943" t="s">
        <v>7</v>
      </c>
      <c r="D2943" t="s">
        <v>12</v>
      </c>
      <c r="E2943" t="s">
        <v>3473</v>
      </c>
    </row>
    <row r="2944" spans="1:6" x14ac:dyDescent="0.25">
      <c r="A2944" t="str">
        <f>"231524406533"</f>
        <v>231524406533</v>
      </c>
      <c r="B2944" t="s">
        <v>4079</v>
      </c>
      <c r="C2944" t="s">
        <v>7</v>
      </c>
      <c r="D2944" t="s">
        <v>14</v>
      </c>
      <c r="E2944" t="s">
        <v>3473</v>
      </c>
    </row>
    <row r="2945" spans="1:6" x14ac:dyDescent="0.25">
      <c r="A2945" t="str">
        <f>"231533297601"</f>
        <v>231533297601</v>
      </c>
      <c r="B2945" t="s">
        <v>4080</v>
      </c>
      <c r="C2945" t="s">
        <v>7</v>
      </c>
      <c r="D2945" t="s">
        <v>14</v>
      </c>
      <c r="E2945" t="s">
        <v>3473</v>
      </c>
    </row>
    <row r="2946" spans="1:6" x14ac:dyDescent="0.25">
      <c r="A2946" t="str">
        <f>"2315992641"</f>
        <v>2315992641</v>
      </c>
      <c r="B2946" t="s">
        <v>4081</v>
      </c>
      <c r="C2946" t="s">
        <v>7</v>
      </c>
      <c r="D2946" t="s">
        <v>33</v>
      </c>
      <c r="E2946" t="s">
        <v>3473</v>
      </c>
      <c r="F2946" t="s">
        <v>4082</v>
      </c>
    </row>
    <row r="2947" spans="1:6" x14ac:dyDescent="0.25">
      <c r="A2947" t="str">
        <f>"2315992948"</f>
        <v>2315992948</v>
      </c>
      <c r="B2947" t="s">
        <v>4083</v>
      </c>
      <c r="C2947" t="s">
        <v>7</v>
      </c>
      <c r="D2947" t="s">
        <v>189</v>
      </c>
      <c r="E2947" t="s">
        <v>3473</v>
      </c>
      <c r="F2947" t="s">
        <v>4084</v>
      </c>
    </row>
    <row r="2948" spans="1:6" x14ac:dyDescent="0.25">
      <c r="A2948" t="str">
        <f>"231704792373"</f>
        <v>231704792373</v>
      </c>
      <c r="B2948" t="s">
        <v>4085</v>
      </c>
      <c r="C2948" t="s">
        <v>7</v>
      </c>
      <c r="D2948" t="s">
        <v>14</v>
      </c>
      <c r="E2948" t="s">
        <v>3473</v>
      </c>
    </row>
    <row r="2949" spans="1:6" x14ac:dyDescent="0.25">
      <c r="A2949" t="str">
        <f>"2317059695"</f>
        <v>2317059695</v>
      </c>
      <c r="B2949" t="s">
        <v>4086</v>
      </c>
      <c r="C2949" t="s">
        <v>7</v>
      </c>
      <c r="D2949" t="s">
        <v>12</v>
      </c>
      <c r="E2949" t="s">
        <v>3473</v>
      </c>
      <c r="F2949" t="s">
        <v>3940</v>
      </c>
    </row>
    <row r="2950" spans="1:6" x14ac:dyDescent="0.25">
      <c r="A2950" t="str">
        <f>"231708029701"</f>
        <v>231708029701</v>
      </c>
      <c r="B2950" t="s">
        <v>4087</v>
      </c>
      <c r="C2950" t="s">
        <v>7</v>
      </c>
      <c r="D2950" t="s">
        <v>33</v>
      </c>
      <c r="E2950" t="s">
        <v>3473</v>
      </c>
    </row>
    <row r="2951" spans="1:6" x14ac:dyDescent="0.25">
      <c r="A2951" t="str">
        <f>"231802554440"</f>
        <v>231802554440</v>
      </c>
      <c r="B2951" t="s">
        <v>4088</v>
      </c>
      <c r="C2951" t="s">
        <v>7</v>
      </c>
      <c r="D2951" t="s">
        <v>14</v>
      </c>
      <c r="E2951" t="s">
        <v>3473</v>
      </c>
    </row>
    <row r="2952" spans="1:6" x14ac:dyDescent="0.25">
      <c r="A2952" t="str">
        <f>"2318041242"</f>
        <v>2318041242</v>
      </c>
      <c r="B2952" t="s">
        <v>4089</v>
      </c>
      <c r="C2952" t="s">
        <v>7</v>
      </c>
      <c r="D2952" t="s">
        <v>12</v>
      </c>
      <c r="E2952" t="s">
        <v>3473</v>
      </c>
      <c r="F2952" t="s">
        <v>4090</v>
      </c>
    </row>
    <row r="2953" spans="1:6" x14ac:dyDescent="0.25">
      <c r="A2953" t="str">
        <f>"231805354104"</f>
        <v>231805354104</v>
      </c>
      <c r="B2953" t="s">
        <v>4091</v>
      </c>
      <c r="C2953" t="s">
        <v>7</v>
      </c>
      <c r="D2953" t="s">
        <v>14</v>
      </c>
      <c r="E2953" t="s">
        <v>3473</v>
      </c>
    </row>
    <row r="2954" spans="1:6" x14ac:dyDescent="0.25">
      <c r="A2954" t="str">
        <f>"231850494777"</f>
        <v>231850494777</v>
      </c>
      <c r="B2954" t="s">
        <v>4092</v>
      </c>
      <c r="C2954" t="s">
        <v>7</v>
      </c>
      <c r="D2954" t="s">
        <v>14</v>
      </c>
      <c r="E2954" t="s">
        <v>3473</v>
      </c>
    </row>
    <row r="2955" spans="1:6" x14ac:dyDescent="0.25">
      <c r="A2955" t="str">
        <f>"231900140857"</f>
        <v>231900140857</v>
      </c>
      <c r="B2955" t="s">
        <v>4093</v>
      </c>
      <c r="C2955" t="s">
        <v>7</v>
      </c>
      <c r="D2955" t="s">
        <v>14</v>
      </c>
      <c r="E2955" t="s">
        <v>3473</v>
      </c>
    </row>
    <row r="2956" spans="1:6" x14ac:dyDescent="0.25">
      <c r="A2956" t="str">
        <f>"231900241252"</f>
        <v>231900241252</v>
      </c>
      <c r="B2956" t="s">
        <v>4094</v>
      </c>
      <c r="C2956" t="s">
        <v>7</v>
      </c>
      <c r="D2956" t="s">
        <v>14</v>
      </c>
      <c r="E2956" t="s">
        <v>3473</v>
      </c>
    </row>
    <row r="2957" spans="1:6" x14ac:dyDescent="0.25">
      <c r="A2957" t="str">
        <f>"575304791295"</f>
        <v>575304791295</v>
      </c>
      <c r="B2957" t="s">
        <v>4095</v>
      </c>
      <c r="C2957" t="s">
        <v>7</v>
      </c>
      <c r="D2957" t="s">
        <v>98</v>
      </c>
      <c r="E2957" t="s">
        <v>3473</v>
      </c>
    </row>
    <row r="2958" spans="1:6" x14ac:dyDescent="0.25">
      <c r="A2958" t="str">
        <f>"280113774795"</f>
        <v>280113774795</v>
      </c>
      <c r="B2958" t="s">
        <v>4096</v>
      </c>
      <c r="C2958" t="s">
        <v>7</v>
      </c>
      <c r="D2958" t="s">
        <v>14</v>
      </c>
      <c r="E2958" t="s">
        <v>3473</v>
      </c>
    </row>
    <row r="2959" spans="1:6" x14ac:dyDescent="0.25">
      <c r="A2959" t="str">
        <f>"232000569797"</f>
        <v>232000569797</v>
      </c>
      <c r="B2959" t="s">
        <v>4097</v>
      </c>
      <c r="C2959" t="s">
        <v>7</v>
      </c>
      <c r="D2959" t="s">
        <v>14</v>
      </c>
      <c r="E2959" t="s">
        <v>3473</v>
      </c>
    </row>
    <row r="2960" spans="1:6" x14ac:dyDescent="0.25">
      <c r="A2960" t="str">
        <f>"2320006492"</f>
        <v>2320006492</v>
      </c>
      <c r="B2960" t="s">
        <v>4098</v>
      </c>
      <c r="C2960" t="s">
        <v>7</v>
      </c>
      <c r="D2960" t="s">
        <v>12</v>
      </c>
      <c r="E2960" t="s">
        <v>3473</v>
      </c>
      <c r="F2960" t="s">
        <v>4099</v>
      </c>
    </row>
    <row r="2961" spans="1:6" x14ac:dyDescent="0.25">
      <c r="A2961" t="str">
        <f>"232000666494"</f>
        <v>232000666494</v>
      </c>
      <c r="B2961" t="s">
        <v>4100</v>
      </c>
      <c r="C2961" t="s">
        <v>7</v>
      </c>
      <c r="D2961" t="s">
        <v>14</v>
      </c>
      <c r="E2961" t="s">
        <v>3473</v>
      </c>
    </row>
    <row r="2962" spans="1:6" x14ac:dyDescent="0.25">
      <c r="A2962" t="str">
        <f>"232016825069"</f>
        <v>232016825069</v>
      </c>
      <c r="B2962" t="s">
        <v>4101</v>
      </c>
      <c r="C2962" t="s">
        <v>7</v>
      </c>
      <c r="D2962" t="s">
        <v>14</v>
      </c>
      <c r="E2962" t="s">
        <v>3473</v>
      </c>
    </row>
    <row r="2963" spans="1:6" x14ac:dyDescent="0.25">
      <c r="A2963" t="str">
        <f>"2320220270"</f>
        <v>2320220270</v>
      </c>
      <c r="B2963" t="s">
        <v>4102</v>
      </c>
      <c r="C2963" t="s">
        <v>7</v>
      </c>
      <c r="D2963" t="s">
        <v>14</v>
      </c>
      <c r="E2963" t="s">
        <v>3473</v>
      </c>
      <c r="F2963" t="s">
        <v>4103</v>
      </c>
    </row>
    <row r="2964" spans="1:6" x14ac:dyDescent="0.25">
      <c r="A2964" t="str">
        <f>"232102696233"</f>
        <v>232102696233</v>
      </c>
      <c r="B2964" t="s">
        <v>4104</v>
      </c>
      <c r="C2964" t="s">
        <v>7</v>
      </c>
      <c r="D2964" t="s">
        <v>14</v>
      </c>
      <c r="E2964" t="s">
        <v>3473</v>
      </c>
    </row>
    <row r="2965" spans="1:6" x14ac:dyDescent="0.25">
      <c r="A2965" t="str">
        <f>"232500325407"</f>
        <v>232500325407</v>
      </c>
      <c r="B2965" t="s">
        <v>4105</v>
      </c>
      <c r="C2965" t="s">
        <v>7</v>
      </c>
      <c r="D2965" t="s">
        <v>14</v>
      </c>
      <c r="E2965" t="s">
        <v>3473</v>
      </c>
    </row>
    <row r="2966" spans="1:6" x14ac:dyDescent="0.25">
      <c r="A2966" t="str">
        <f>"232500661085"</f>
        <v>232500661085</v>
      </c>
      <c r="B2966" t="s">
        <v>4106</v>
      </c>
      <c r="C2966" t="s">
        <v>7</v>
      </c>
      <c r="D2966" t="s">
        <v>14</v>
      </c>
      <c r="E2966" t="s">
        <v>3473</v>
      </c>
    </row>
    <row r="2967" spans="1:6" x14ac:dyDescent="0.25">
      <c r="A2967" t="str">
        <f>"232526352797"</f>
        <v>232526352797</v>
      </c>
      <c r="B2967" t="s">
        <v>4107</v>
      </c>
      <c r="C2967" t="s">
        <v>7</v>
      </c>
      <c r="D2967" t="s">
        <v>14</v>
      </c>
      <c r="E2967" t="s">
        <v>3473</v>
      </c>
    </row>
    <row r="2968" spans="1:6" x14ac:dyDescent="0.25">
      <c r="A2968" t="str">
        <f>"232700394944"</f>
        <v>232700394944</v>
      </c>
      <c r="B2968" t="s">
        <v>4108</v>
      </c>
      <c r="C2968" t="s">
        <v>7</v>
      </c>
      <c r="D2968" t="s">
        <v>14</v>
      </c>
      <c r="E2968" t="s">
        <v>3473</v>
      </c>
    </row>
    <row r="2969" spans="1:6" x14ac:dyDescent="0.25">
      <c r="A2969" t="str">
        <f>"232703950830"</f>
        <v>232703950830</v>
      </c>
      <c r="B2969" t="s">
        <v>4109</v>
      </c>
      <c r="C2969" t="s">
        <v>7</v>
      </c>
      <c r="D2969" t="s">
        <v>14</v>
      </c>
      <c r="E2969" t="s">
        <v>3473</v>
      </c>
    </row>
    <row r="2970" spans="1:6" x14ac:dyDescent="0.25">
      <c r="A2970" t="str">
        <f>"232804420211"</f>
        <v>232804420211</v>
      </c>
      <c r="B2970" t="s">
        <v>4110</v>
      </c>
      <c r="C2970" t="s">
        <v>7</v>
      </c>
      <c r="D2970" t="s">
        <v>14</v>
      </c>
      <c r="E2970" t="s">
        <v>3473</v>
      </c>
    </row>
    <row r="2971" spans="1:6" x14ac:dyDescent="0.25">
      <c r="A2971" t="str">
        <f>"232904656066"</f>
        <v>232904656066</v>
      </c>
      <c r="B2971" t="s">
        <v>4111</v>
      </c>
      <c r="C2971" t="s">
        <v>7</v>
      </c>
      <c r="D2971" t="s">
        <v>14</v>
      </c>
      <c r="E2971" t="s">
        <v>3473</v>
      </c>
    </row>
    <row r="2972" spans="1:6" x14ac:dyDescent="0.25">
      <c r="A2972" t="str">
        <f>"232905993106"</f>
        <v>232905993106</v>
      </c>
      <c r="B2972" t="s">
        <v>4112</v>
      </c>
      <c r="C2972" t="s">
        <v>7</v>
      </c>
      <c r="D2972" t="s">
        <v>14</v>
      </c>
      <c r="E2972" t="s">
        <v>3473</v>
      </c>
    </row>
    <row r="2973" spans="1:6" x14ac:dyDescent="0.25">
      <c r="A2973" t="str">
        <f>"232907854901"</f>
        <v>232907854901</v>
      </c>
      <c r="B2973" t="s">
        <v>4113</v>
      </c>
      <c r="C2973" t="s">
        <v>7</v>
      </c>
      <c r="D2973" t="s">
        <v>14</v>
      </c>
      <c r="E2973" t="s">
        <v>3473</v>
      </c>
    </row>
    <row r="2974" spans="1:6" x14ac:dyDescent="0.25">
      <c r="A2974" t="str">
        <f>"232909200051"</f>
        <v>232909200051</v>
      </c>
      <c r="B2974" t="s">
        <v>4114</v>
      </c>
      <c r="C2974" t="s">
        <v>7</v>
      </c>
      <c r="D2974" t="s">
        <v>14</v>
      </c>
      <c r="E2974" t="s">
        <v>3473</v>
      </c>
    </row>
    <row r="2975" spans="1:6" x14ac:dyDescent="0.25">
      <c r="A2975" t="str">
        <f>"233005955011"</f>
        <v>233005955011</v>
      </c>
      <c r="B2975" t="s">
        <v>4115</v>
      </c>
      <c r="C2975" t="s">
        <v>7</v>
      </c>
      <c r="D2975" t="s">
        <v>14</v>
      </c>
      <c r="E2975" t="s">
        <v>3473</v>
      </c>
    </row>
    <row r="2976" spans="1:6" x14ac:dyDescent="0.25">
      <c r="A2976" t="str">
        <f>"233008700283"</f>
        <v>233008700283</v>
      </c>
      <c r="B2976" t="s">
        <v>4116</v>
      </c>
      <c r="C2976" t="s">
        <v>7</v>
      </c>
      <c r="D2976" t="s">
        <v>14</v>
      </c>
      <c r="E2976" t="s">
        <v>3473</v>
      </c>
    </row>
    <row r="2977" spans="1:6" x14ac:dyDescent="0.25">
      <c r="A2977" t="str">
        <f>"233008931450"</f>
        <v>233008931450</v>
      </c>
      <c r="B2977" t="s">
        <v>4117</v>
      </c>
      <c r="C2977" t="s">
        <v>7</v>
      </c>
      <c r="D2977" t="s">
        <v>12</v>
      </c>
      <c r="E2977" t="s">
        <v>3473</v>
      </c>
    </row>
    <row r="2978" spans="1:6" x14ac:dyDescent="0.25">
      <c r="A2978" t="str">
        <f>"233009324360"</f>
        <v>233009324360</v>
      </c>
      <c r="B2978" t="s">
        <v>4118</v>
      </c>
      <c r="C2978" t="s">
        <v>7</v>
      </c>
      <c r="D2978" t="s">
        <v>14</v>
      </c>
      <c r="E2978" t="s">
        <v>3473</v>
      </c>
    </row>
    <row r="2979" spans="1:6" x14ac:dyDescent="0.25">
      <c r="A2979" t="str">
        <f>"233009899544"</f>
        <v>233009899544</v>
      </c>
      <c r="B2979" t="s">
        <v>4119</v>
      </c>
      <c r="C2979" t="s">
        <v>7</v>
      </c>
      <c r="D2979" t="s">
        <v>14</v>
      </c>
      <c r="E2979" t="s">
        <v>3473</v>
      </c>
    </row>
    <row r="2980" spans="1:6" x14ac:dyDescent="0.25">
      <c r="A2980" t="str">
        <f>"233013595468"</f>
        <v>233013595468</v>
      </c>
      <c r="B2980" t="s">
        <v>4120</v>
      </c>
      <c r="C2980" t="s">
        <v>7</v>
      </c>
      <c r="D2980" t="s">
        <v>14</v>
      </c>
      <c r="E2980" t="s">
        <v>3473</v>
      </c>
    </row>
    <row r="2981" spans="1:6" x14ac:dyDescent="0.25">
      <c r="A2981" t="str">
        <f>"233200029110"</f>
        <v>233200029110</v>
      </c>
      <c r="B2981" t="s">
        <v>4121</v>
      </c>
      <c r="C2981" t="s">
        <v>7</v>
      </c>
      <c r="D2981" t="s">
        <v>14</v>
      </c>
      <c r="E2981" t="s">
        <v>3473</v>
      </c>
    </row>
    <row r="2982" spans="1:6" x14ac:dyDescent="0.25">
      <c r="A2982" t="str">
        <f>"233202766165"</f>
        <v>233202766165</v>
      </c>
      <c r="B2982" t="s">
        <v>4122</v>
      </c>
      <c r="C2982" t="s">
        <v>7</v>
      </c>
      <c r="D2982" t="s">
        <v>14</v>
      </c>
      <c r="E2982" t="s">
        <v>3473</v>
      </c>
    </row>
    <row r="2983" spans="1:6" x14ac:dyDescent="0.25">
      <c r="A2983" t="str">
        <f>"233300153174"</f>
        <v>233300153174</v>
      </c>
      <c r="B2983" t="s">
        <v>4123</v>
      </c>
      <c r="C2983" t="s">
        <v>7</v>
      </c>
      <c r="D2983" t="s">
        <v>14</v>
      </c>
      <c r="E2983" t="s">
        <v>3473</v>
      </c>
    </row>
    <row r="2984" spans="1:6" x14ac:dyDescent="0.25">
      <c r="A2984" t="str">
        <f>"233303955313"</f>
        <v>233303955313</v>
      </c>
      <c r="B2984" t="s">
        <v>4124</v>
      </c>
      <c r="C2984" t="s">
        <v>7</v>
      </c>
      <c r="D2984" t="s">
        <v>14</v>
      </c>
      <c r="E2984" t="s">
        <v>3473</v>
      </c>
    </row>
    <row r="2985" spans="1:6" x14ac:dyDescent="0.25">
      <c r="A2985" t="str">
        <f>"233406317496"</f>
        <v>233406317496</v>
      </c>
      <c r="B2985" t="s">
        <v>4125</v>
      </c>
      <c r="C2985" t="s">
        <v>7</v>
      </c>
      <c r="D2985" t="s">
        <v>14</v>
      </c>
      <c r="E2985" t="s">
        <v>3473</v>
      </c>
    </row>
    <row r="2986" spans="1:6" x14ac:dyDescent="0.25">
      <c r="A2986" t="str">
        <f>"743809035906"</f>
        <v>743809035906</v>
      </c>
      <c r="B2986" t="s">
        <v>4126</v>
      </c>
      <c r="C2986" t="s">
        <v>7</v>
      </c>
      <c r="D2986" t="s">
        <v>14</v>
      </c>
      <c r="E2986" t="s">
        <v>3473</v>
      </c>
    </row>
    <row r="2987" spans="1:6" x14ac:dyDescent="0.25">
      <c r="A2987" t="str">
        <f>"2312225772"</f>
        <v>2312225772</v>
      </c>
      <c r="B2987" t="s">
        <v>4127</v>
      </c>
      <c r="C2987" t="s">
        <v>7</v>
      </c>
      <c r="D2987" t="s">
        <v>463</v>
      </c>
      <c r="E2987" t="s">
        <v>3473</v>
      </c>
      <c r="F2987" t="s">
        <v>4128</v>
      </c>
    </row>
    <row r="2988" spans="1:6" x14ac:dyDescent="0.25">
      <c r="A2988" t="str">
        <f>"2312236020"</f>
        <v>2312236020</v>
      </c>
      <c r="B2988" t="s">
        <v>4129</v>
      </c>
      <c r="C2988" t="s">
        <v>7</v>
      </c>
      <c r="D2988" t="s">
        <v>12</v>
      </c>
      <c r="E2988" t="s">
        <v>3473</v>
      </c>
      <c r="F2988" t="s">
        <v>4130</v>
      </c>
    </row>
    <row r="2989" spans="1:6" x14ac:dyDescent="0.25">
      <c r="A2989" t="str">
        <f>"2312243620"</f>
        <v>2312243620</v>
      </c>
      <c r="B2989" t="s">
        <v>4131</v>
      </c>
      <c r="C2989" t="s">
        <v>7</v>
      </c>
      <c r="D2989" t="s">
        <v>189</v>
      </c>
      <c r="E2989" t="s">
        <v>3473</v>
      </c>
      <c r="F2989" t="s">
        <v>4132</v>
      </c>
    </row>
    <row r="2990" spans="1:6" x14ac:dyDescent="0.25">
      <c r="A2990" t="str">
        <f>"2312248681"</f>
        <v>2312248681</v>
      </c>
      <c r="B2990" t="s">
        <v>4133</v>
      </c>
      <c r="C2990" t="s">
        <v>7</v>
      </c>
      <c r="D2990" t="s">
        <v>14</v>
      </c>
      <c r="E2990" t="s">
        <v>3473</v>
      </c>
      <c r="F2990" t="s">
        <v>4134</v>
      </c>
    </row>
    <row r="2991" spans="1:6" x14ac:dyDescent="0.25">
      <c r="A2991" t="str">
        <f>"2312254156"</f>
        <v>2312254156</v>
      </c>
      <c r="B2991" t="s">
        <v>4135</v>
      </c>
      <c r="C2991" t="s">
        <v>7</v>
      </c>
      <c r="D2991" t="s">
        <v>33</v>
      </c>
      <c r="E2991" t="s">
        <v>3473</v>
      </c>
      <c r="F2991" t="s">
        <v>4136</v>
      </c>
    </row>
    <row r="2992" spans="1:6" x14ac:dyDescent="0.25">
      <c r="A2992" t="str">
        <f>"2312282160"</f>
        <v>2312282160</v>
      </c>
      <c r="B2992" t="s">
        <v>4137</v>
      </c>
      <c r="C2992" t="s">
        <v>7</v>
      </c>
      <c r="D2992" t="s">
        <v>28</v>
      </c>
      <c r="E2992" t="s">
        <v>3473</v>
      </c>
      <c r="F2992" t="s">
        <v>4138</v>
      </c>
    </row>
    <row r="2993" spans="1:6" x14ac:dyDescent="0.25">
      <c r="A2993" t="str">
        <f>"2312284506"</f>
        <v>2312284506</v>
      </c>
      <c r="B2993" t="s">
        <v>4139</v>
      </c>
      <c r="C2993" t="s">
        <v>7</v>
      </c>
      <c r="D2993" t="s">
        <v>33</v>
      </c>
      <c r="E2993" t="s">
        <v>3473</v>
      </c>
      <c r="F2993" t="s">
        <v>4140</v>
      </c>
    </row>
    <row r="2994" spans="1:6" x14ac:dyDescent="0.25">
      <c r="A2994" t="str">
        <f>"2312294279"</f>
        <v>2312294279</v>
      </c>
      <c r="B2994" t="s">
        <v>4141</v>
      </c>
      <c r="C2994" t="s">
        <v>7</v>
      </c>
      <c r="D2994" t="s">
        <v>33</v>
      </c>
      <c r="E2994" t="s">
        <v>3473</v>
      </c>
      <c r="F2994" t="s">
        <v>4142</v>
      </c>
    </row>
    <row r="2995" spans="1:6" x14ac:dyDescent="0.25">
      <c r="A2995" t="str">
        <f>"2312314221"</f>
        <v>2312314221</v>
      </c>
      <c r="B2995" t="s">
        <v>4143</v>
      </c>
      <c r="C2995" t="s">
        <v>7</v>
      </c>
      <c r="D2995" t="s">
        <v>33</v>
      </c>
      <c r="E2995" t="s">
        <v>3473</v>
      </c>
      <c r="F2995" t="s">
        <v>4144</v>
      </c>
    </row>
    <row r="2996" spans="1:6" x14ac:dyDescent="0.25">
      <c r="A2996" t="str">
        <f>"2312315232"</f>
        <v>2312315232</v>
      </c>
      <c r="B2996" t="s">
        <v>4145</v>
      </c>
      <c r="C2996" t="s">
        <v>7</v>
      </c>
      <c r="D2996" t="s">
        <v>12</v>
      </c>
      <c r="E2996" t="s">
        <v>3473</v>
      </c>
      <c r="F2996" t="s">
        <v>4146</v>
      </c>
    </row>
    <row r="2997" spans="1:6" x14ac:dyDescent="0.25">
      <c r="A2997" t="str">
        <f>"231294425641"</f>
        <v>231294425641</v>
      </c>
      <c r="B2997" t="s">
        <v>4147</v>
      </c>
      <c r="C2997" t="s">
        <v>7</v>
      </c>
      <c r="D2997" t="s">
        <v>14</v>
      </c>
      <c r="E2997" t="s">
        <v>3473</v>
      </c>
    </row>
    <row r="2998" spans="1:6" x14ac:dyDescent="0.25">
      <c r="A2998" t="str">
        <f>"231294926140"</f>
        <v>231294926140</v>
      </c>
      <c r="B2998" t="s">
        <v>4148</v>
      </c>
      <c r="C2998" t="s">
        <v>7</v>
      </c>
      <c r="D2998" t="s">
        <v>33</v>
      </c>
      <c r="E2998" t="s">
        <v>3473</v>
      </c>
    </row>
    <row r="2999" spans="1:6" x14ac:dyDescent="0.25">
      <c r="A2999" t="str">
        <f>"231295457533"</f>
        <v>231295457533</v>
      </c>
      <c r="B2999" t="s">
        <v>4149</v>
      </c>
      <c r="C2999" t="s">
        <v>7</v>
      </c>
      <c r="D2999" t="s">
        <v>14</v>
      </c>
      <c r="E2999" t="s">
        <v>3473</v>
      </c>
    </row>
    <row r="3000" spans="1:6" x14ac:dyDescent="0.25">
      <c r="A3000" t="str">
        <f>"231298581850"</f>
        <v>231298581850</v>
      </c>
      <c r="B3000" t="s">
        <v>4150</v>
      </c>
      <c r="C3000" t="s">
        <v>7</v>
      </c>
      <c r="D3000" t="s">
        <v>14</v>
      </c>
      <c r="E3000" t="s">
        <v>3473</v>
      </c>
    </row>
    <row r="3001" spans="1:6" x14ac:dyDescent="0.25">
      <c r="A3001" t="str">
        <f>"231304197210"</f>
        <v>231304197210</v>
      </c>
      <c r="B3001" t="s">
        <v>4151</v>
      </c>
      <c r="C3001" t="s">
        <v>7</v>
      </c>
      <c r="D3001" t="s">
        <v>14</v>
      </c>
      <c r="E3001" t="s">
        <v>3473</v>
      </c>
    </row>
    <row r="3002" spans="1:6" x14ac:dyDescent="0.25">
      <c r="A3002" t="str">
        <f>"231400666666"</f>
        <v>231400666666</v>
      </c>
      <c r="B3002" t="s">
        <v>4152</v>
      </c>
      <c r="C3002" t="s">
        <v>7</v>
      </c>
      <c r="D3002" t="s">
        <v>12</v>
      </c>
      <c r="E3002" t="s">
        <v>3473</v>
      </c>
    </row>
    <row r="3003" spans="1:6" x14ac:dyDescent="0.25">
      <c r="A3003" t="str">
        <f>"231406512800"</f>
        <v>231406512800</v>
      </c>
      <c r="B3003" t="s">
        <v>4153</v>
      </c>
      <c r="C3003" t="s">
        <v>7</v>
      </c>
      <c r="D3003" t="s">
        <v>14</v>
      </c>
      <c r="E3003" t="s">
        <v>3473</v>
      </c>
    </row>
    <row r="3004" spans="1:6" x14ac:dyDescent="0.25">
      <c r="A3004" t="str">
        <f>"231500369280"</f>
        <v>231500369280</v>
      </c>
      <c r="B3004" t="s">
        <v>4154</v>
      </c>
      <c r="C3004" t="s">
        <v>7</v>
      </c>
      <c r="D3004" t="s">
        <v>12</v>
      </c>
      <c r="E3004" t="s">
        <v>3473</v>
      </c>
    </row>
    <row r="3005" spans="1:6" x14ac:dyDescent="0.25">
      <c r="A3005" t="str">
        <f>"231500916542"</f>
        <v>231500916542</v>
      </c>
      <c r="B3005" t="s">
        <v>4155</v>
      </c>
      <c r="C3005" t="s">
        <v>7</v>
      </c>
      <c r="D3005" t="s">
        <v>12</v>
      </c>
      <c r="E3005" t="s">
        <v>3473</v>
      </c>
    </row>
    <row r="3006" spans="1:6" x14ac:dyDescent="0.25">
      <c r="A3006" t="str">
        <f>"231500957933"</f>
        <v>231500957933</v>
      </c>
      <c r="B3006" t="s">
        <v>4156</v>
      </c>
      <c r="C3006" t="s">
        <v>7</v>
      </c>
      <c r="D3006" t="s">
        <v>14</v>
      </c>
      <c r="E3006" t="s">
        <v>3473</v>
      </c>
    </row>
    <row r="3007" spans="1:6" x14ac:dyDescent="0.25">
      <c r="A3007" t="str">
        <f>"231501675829"</f>
        <v>231501675829</v>
      </c>
      <c r="B3007" t="s">
        <v>4157</v>
      </c>
      <c r="C3007" t="s">
        <v>7</v>
      </c>
      <c r="D3007" t="s">
        <v>14</v>
      </c>
      <c r="E3007" t="s">
        <v>3473</v>
      </c>
    </row>
    <row r="3008" spans="1:6" x14ac:dyDescent="0.25">
      <c r="A3008" t="str">
        <f>"231502923827"</f>
        <v>231502923827</v>
      </c>
      <c r="B3008" t="s">
        <v>4158</v>
      </c>
      <c r="C3008" t="s">
        <v>7</v>
      </c>
      <c r="D3008" t="s">
        <v>12</v>
      </c>
      <c r="E3008" t="s">
        <v>3473</v>
      </c>
    </row>
    <row r="3009" spans="1:6" x14ac:dyDescent="0.25">
      <c r="A3009" t="str">
        <f>"231508042173"</f>
        <v>231508042173</v>
      </c>
      <c r="B3009" t="s">
        <v>4159</v>
      </c>
      <c r="C3009" t="s">
        <v>7</v>
      </c>
      <c r="D3009" t="s">
        <v>14</v>
      </c>
      <c r="E3009" t="s">
        <v>3473</v>
      </c>
    </row>
    <row r="3010" spans="1:6" x14ac:dyDescent="0.25">
      <c r="A3010" t="str">
        <f>"2315085509"</f>
        <v>2315085509</v>
      </c>
      <c r="B3010" t="s">
        <v>4160</v>
      </c>
      <c r="C3010" t="s">
        <v>7</v>
      </c>
      <c r="D3010" t="s">
        <v>189</v>
      </c>
      <c r="E3010" t="s">
        <v>3473</v>
      </c>
      <c r="F3010" t="s">
        <v>4161</v>
      </c>
    </row>
    <row r="3011" spans="1:6" x14ac:dyDescent="0.25">
      <c r="A3011" t="str">
        <f>"2315156196"</f>
        <v>2315156196</v>
      </c>
      <c r="B3011" t="s">
        <v>4162</v>
      </c>
      <c r="C3011" t="s">
        <v>7</v>
      </c>
      <c r="D3011" t="s">
        <v>33</v>
      </c>
      <c r="E3011" t="s">
        <v>3473</v>
      </c>
      <c r="F3011" t="s">
        <v>4163</v>
      </c>
    </row>
    <row r="3012" spans="1:6" x14ac:dyDescent="0.25">
      <c r="A3012" t="str">
        <f>"2315156904"</f>
        <v>2315156904</v>
      </c>
      <c r="B3012" t="s">
        <v>4164</v>
      </c>
      <c r="C3012" t="s">
        <v>7</v>
      </c>
      <c r="D3012" t="s">
        <v>33</v>
      </c>
      <c r="E3012" t="s">
        <v>3473</v>
      </c>
      <c r="F3012" t="s">
        <v>4165</v>
      </c>
    </row>
    <row r="3013" spans="1:6" x14ac:dyDescent="0.25">
      <c r="A3013" t="str">
        <f>"2315159430"</f>
        <v>2315159430</v>
      </c>
      <c r="B3013" t="s">
        <v>4166</v>
      </c>
      <c r="C3013" t="s">
        <v>7</v>
      </c>
      <c r="D3013" t="s">
        <v>14</v>
      </c>
      <c r="E3013" t="s">
        <v>3473</v>
      </c>
      <c r="F3013" t="s">
        <v>4167</v>
      </c>
    </row>
    <row r="3014" spans="1:6" x14ac:dyDescent="0.25">
      <c r="A3014" t="str">
        <f>"2315166476"</f>
        <v>2315166476</v>
      </c>
      <c r="B3014" t="s">
        <v>4168</v>
      </c>
      <c r="C3014" t="s">
        <v>7</v>
      </c>
      <c r="D3014" t="s">
        <v>12</v>
      </c>
      <c r="E3014" t="s">
        <v>3473</v>
      </c>
      <c r="F3014" t="s">
        <v>4169</v>
      </c>
    </row>
    <row r="3015" spans="1:6" x14ac:dyDescent="0.25">
      <c r="A3015" t="str">
        <f>"2315174124"</f>
        <v>2315174124</v>
      </c>
      <c r="B3015" t="s">
        <v>4170</v>
      </c>
      <c r="C3015" t="s">
        <v>7</v>
      </c>
      <c r="D3015" t="s">
        <v>33</v>
      </c>
      <c r="E3015" t="s">
        <v>3473</v>
      </c>
      <c r="F3015" t="s">
        <v>4171</v>
      </c>
    </row>
    <row r="3016" spans="1:6" x14ac:dyDescent="0.25">
      <c r="A3016" t="str">
        <f>"2315218759"</f>
        <v>2315218759</v>
      </c>
      <c r="B3016" t="s">
        <v>4172</v>
      </c>
      <c r="C3016" t="s">
        <v>7</v>
      </c>
      <c r="D3016" t="s">
        <v>33</v>
      </c>
      <c r="E3016" t="s">
        <v>3473</v>
      </c>
      <c r="F3016" t="s">
        <v>4173</v>
      </c>
    </row>
    <row r="3017" spans="1:6" x14ac:dyDescent="0.25">
      <c r="A3017" t="str">
        <f>"2315234493"</f>
        <v>2315234493</v>
      </c>
      <c r="B3017" t="s">
        <v>111</v>
      </c>
      <c r="C3017" t="s">
        <v>7</v>
      </c>
      <c r="D3017" t="s">
        <v>14</v>
      </c>
      <c r="E3017" t="s">
        <v>3473</v>
      </c>
      <c r="F3017" t="s">
        <v>4174</v>
      </c>
    </row>
    <row r="3018" spans="1:6" x14ac:dyDescent="0.25">
      <c r="A3018" t="str">
        <f>"231523596352"</f>
        <v>231523596352</v>
      </c>
      <c r="B3018" t="s">
        <v>4175</v>
      </c>
      <c r="C3018" t="s">
        <v>7</v>
      </c>
      <c r="D3018" t="s">
        <v>12</v>
      </c>
      <c r="E3018" t="s">
        <v>3473</v>
      </c>
    </row>
    <row r="3019" spans="1:6" x14ac:dyDescent="0.25">
      <c r="A3019" t="str">
        <f>"2315988839"</f>
        <v>2315988839</v>
      </c>
      <c r="B3019" t="s">
        <v>4176</v>
      </c>
      <c r="C3019" t="s">
        <v>7</v>
      </c>
      <c r="D3019" t="s">
        <v>12</v>
      </c>
      <c r="E3019" t="s">
        <v>3473</v>
      </c>
      <c r="F3019" t="s">
        <v>4177</v>
      </c>
    </row>
    <row r="3020" spans="1:6" x14ac:dyDescent="0.25">
      <c r="A3020" t="str">
        <f>"2315994303"</f>
        <v>2315994303</v>
      </c>
      <c r="B3020" t="s">
        <v>4178</v>
      </c>
      <c r="C3020" t="s">
        <v>7</v>
      </c>
      <c r="D3020" t="s">
        <v>189</v>
      </c>
      <c r="E3020" t="s">
        <v>3473</v>
      </c>
      <c r="F3020" t="s">
        <v>4179</v>
      </c>
    </row>
    <row r="3021" spans="1:6" x14ac:dyDescent="0.25">
      <c r="A3021" t="str">
        <f>"231703133201"</f>
        <v>231703133201</v>
      </c>
      <c r="B3021" t="s">
        <v>4180</v>
      </c>
      <c r="C3021" t="s">
        <v>7</v>
      </c>
      <c r="D3021" t="s">
        <v>14</v>
      </c>
      <c r="E3021" t="s">
        <v>3473</v>
      </c>
    </row>
    <row r="3022" spans="1:6" x14ac:dyDescent="0.25">
      <c r="A3022" t="str">
        <f>"2317060651"</f>
        <v>2317060651</v>
      </c>
      <c r="B3022" t="s">
        <v>4181</v>
      </c>
      <c r="C3022" t="s">
        <v>7</v>
      </c>
      <c r="D3022" t="s">
        <v>33</v>
      </c>
      <c r="E3022" t="s">
        <v>3473</v>
      </c>
      <c r="F3022" t="s">
        <v>4182</v>
      </c>
    </row>
    <row r="3023" spans="1:6" x14ac:dyDescent="0.25">
      <c r="A3023" t="str">
        <f>"2317078722"</f>
        <v>2317078722</v>
      </c>
      <c r="B3023" t="s">
        <v>4183</v>
      </c>
      <c r="C3023" t="s">
        <v>7</v>
      </c>
      <c r="D3023" t="s">
        <v>33</v>
      </c>
      <c r="E3023" t="s">
        <v>3473</v>
      </c>
      <c r="F3023" t="s">
        <v>4184</v>
      </c>
    </row>
    <row r="3024" spans="1:6" x14ac:dyDescent="0.25">
      <c r="A3024" t="str">
        <f>"231710857572"</f>
        <v>231710857572</v>
      </c>
      <c r="B3024" t="s">
        <v>4185</v>
      </c>
      <c r="C3024" t="s">
        <v>7</v>
      </c>
      <c r="D3024" t="s">
        <v>14</v>
      </c>
      <c r="E3024" t="s">
        <v>3473</v>
      </c>
    </row>
    <row r="3025" spans="1:6" x14ac:dyDescent="0.25">
      <c r="A3025" t="str">
        <f>"2318017419"</f>
        <v>2318017419</v>
      </c>
      <c r="B3025" t="s">
        <v>4186</v>
      </c>
      <c r="C3025" t="s">
        <v>7</v>
      </c>
      <c r="D3025" t="s">
        <v>14</v>
      </c>
      <c r="E3025" t="s">
        <v>3473</v>
      </c>
      <c r="F3025" t="s">
        <v>4187</v>
      </c>
    </row>
    <row r="3026" spans="1:6" x14ac:dyDescent="0.25">
      <c r="A3026" t="str">
        <f>"231907174809"</f>
        <v>231907174809</v>
      </c>
      <c r="B3026" t="s">
        <v>4188</v>
      </c>
      <c r="C3026" t="s">
        <v>7</v>
      </c>
      <c r="D3026" t="s">
        <v>14</v>
      </c>
      <c r="E3026" t="s">
        <v>3473</v>
      </c>
    </row>
    <row r="3027" spans="1:6" x14ac:dyDescent="0.25">
      <c r="A3027" t="str">
        <f>"232000053963"</f>
        <v>232000053963</v>
      </c>
      <c r="B3027" t="s">
        <v>4189</v>
      </c>
      <c r="C3027" t="s">
        <v>7</v>
      </c>
      <c r="D3027" t="s">
        <v>12</v>
      </c>
      <c r="E3027" t="s">
        <v>3473</v>
      </c>
    </row>
    <row r="3028" spans="1:6" x14ac:dyDescent="0.25">
      <c r="A3028" t="str">
        <f>"232007568432"</f>
        <v>232007568432</v>
      </c>
      <c r="B3028" t="s">
        <v>4190</v>
      </c>
      <c r="C3028" t="s">
        <v>7</v>
      </c>
      <c r="D3028" t="s">
        <v>14</v>
      </c>
      <c r="E3028" t="s">
        <v>3473</v>
      </c>
    </row>
    <row r="3029" spans="1:6" x14ac:dyDescent="0.25">
      <c r="A3029" t="str">
        <f>"232009246575"</f>
        <v>232009246575</v>
      </c>
      <c r="B3029" t="s">
        <v>4191</v>
      </c>
      <c r="C3029" t="s">
        <v>7</v>
      </c>
      <c r="D3029" t="s">
        <v>14</v>
      </c>
      <c r="E3029" t="s">
        <v>3473</v>
      </c>
    </row>
    <row r="3030" spans="1:6" x14ac:dyDescent="0.25">
      <c r="A3030" t="str">
        <f>"232010346327"</f>
        <v>232010346327</v>
      </c>
      <c r="B3030" t="s">
        <v>4192</v>
      </c>
      <c r="C3030" t="s">
        <v>7</v>
      </c>
      <c r="D3030" t="s">
        <v>14</v>
      </c>
      <c r="E3030" t="s">
        <v>3473</v>
      </c>
    </row>
    <row r="3031" spans="1:6" x14ac:dyDescent="0.25">
      <c r="A3031" t="str">
        <f>"2320129790"</f>
        <v>2320129790</v>
      </c>
      <c r="B3031" t="s">
        <v>4193</v>
      </c>
      <c r="C3031" t="s">
        <v>7</v>
      </c>
      <c r="D3031" t="s">
        <v>14</v>
      </c>
      <c r="E3031" t="s">
        <v>3473</v>
      </c>
      <c r="F3031" t="s">
        <v>4194</v>
      </c>
    </row>
    <row r="3032" spans="1:6" x14ac:dyDescent="0.25">
      <c r="A3032" t="str">
        <f>"232017277400"</f>
        <v>232017277400</v>
      </c>
      <c r="B3032" t="s">
        <v>4195</v>
      </c>
      <c r="C3032" t="s">
        <v>7</v>
      </c>
      <c r="D3032" t="s">
        <v>14</v>
      </c>
      <c r="E3032" t="s">
        <v>3473</v>
      </c>
    </row>
    <row r="3033" spans="1:6" x14ac:dyDescent="0.25">
      <c r="A3033" t="str">
        <f>"2320210258"</f>
        <v>2320210258</v>
      </c>
      <c r="B3033" t="s">
        <v>4196</v>
      </c>
      <c r="C3033" t="s">
        <v>7</v>
      </c>
      <c r="D3033" t="s">
        <v>12</v>
      </c>
      <c r="E3033" t="s">
        <v>3473</v>
      </c>
      <c r="F3033" t="s">
        <v>4197</v>
      </c>
    </row>
    <row r="3034" spans="1:6" x14ac:dyDescent="0.25">
      <c r="A3034" t="str">
        <f>"2320215619"</f>
        <v>2320215619</v>
      </c>
      <c r="B3034" t="s">
        <v>4198</v>
      </c>
      <c r="C3034" t="s">
        <v>7</v>
      </c>
      <c r="D3034" t="s">
        <v>33</v>
      </c>
      <c r="E3034" t="s">
        <v>3473</v>
      </c>
      <c r="F3034" t="s">
        <v>4199</v>
      </c>
    </row>
    <row r="3035" spans="1:6" x14ac:dyDescent="0.25">
      <c r="A3035" t="str">
        <f>"232100245281"</f>
        <v>232100245281</v>
      </c>
      <c r="B3035" t="s">
        <v>4200</v>
      </c>
      <c r="C3035" t="s">
        <v>7</v>
      </c>
      <c r="D3035" t="s">
        <v>14</v>
      </c>
      <c r="E3035" t="s">
        <v>3473</v>
      </c>
    </row>
    <row r="3036" spans="1:6" x14ac:dyDescent="0.25">
      <c r="A3036" t="str">
        <f>"232104045519"</f>
        <v>232104045519</v>
      </c>
      <c r="B3036" t="s">
        <v>4201</v>
      </c>
      <c r="C3036" t="s">
        <v>7</v>
      </c>
      <c r="D3036" t="s">
        <v>14</v>
      </c>
      <c r="E3036" t="s">
        <v>3473</v>
      </c>
    </row>
    <row r="3037" spans="1:6" x14ac:dyDescent="0.25">
      <c r="A3037" t="str">
        <f>"232300168468"</f>
        <v>232300168468</v>
      </c>
      <c r="B3037" t="s">
        <v>4202</v>
      </c>
      <c r="C3037" t="s">
        <v>7</v>
      </c>
      <c r="D3037" t="s">
        <v>14</v>
      </c>
      <c r="E3037" t="s">
        <v>3473</v>
      </c>
    </row>
    <row r="3038" spans="1:6" x14ac:dyDescent="0.25">
      <c r="A3038" t="str">
        <f>"232500632020"</f>
        <v>232500632020</v>
      </c>
      <c r="B3038" t="s">
        <v>4203</v>
      </c>
      <c r="C3038" t="s">
        <v>7</v>
      </c>
      <c r="D3038" t="s">
        <v>14</v>
      </c>
      <c r="E3038" t="s">
        <v>3473</v>
      </c>
    </row>
    <row r="3039" spans="1:6" x14ac:dyDescent="0.25">
      <c r="A3039" t="str">
        <f>"2325012250"</f>
        <v>2325012250</v>
      </c>
      <c r="B3039" t="s">
        <v>4204</v>
      </c>
      <c r="C3039" t="s">
        <v>7</v>
      </c>
      <c r="D3039" t="s">
        <v>14</v>
      </c>
      <c r="E3039" t="s">
        <v>3473</v>
      </c>
      <c r="F3039" t="s">
        <v>4205</v>
      </c>
    </row>
    <row r="3040" spans="1:6" x14ac:dyDescent="0.25">
      <c r="A3040" t="str">
        <f>"232503225457"</f>
        <v>232503225457</v>
      </c>
      <c r="B3040" t="s">
        <v>4206</v>
      </c>
      <c r="C3040" t="s">
        <v>7</v>
      </c>
      <c r="D3040" t="s">
        <v>14</v>
      </c>
      <c r="E3040" t="s">
        <v>3473</v>
      </c>
    </row>
    <row r="3041" spans="1:6" x14ac:dyDescent="0.25">
      <c r="A3041" t="str">
        <f>"232506502187"</f>
        <v>232506502187</v>
      </c>
      <c r="B3041" t="s">
        <v>4207</v>
      </c>
      <c r="C3041" t="s">
        <v>7</v>
      </c>
      <c r="D3041" t="s">
        <v>14</v>
      </c>
      <c r="E3041" t="s">
        <v>3473</v>
      </c>
    </row>
    <row r="3042" spans="1:6" x14ac:dyDescent="0.25">
      <c r="A3042" t="str">
        <f>"232600677811"</f>
        <v>232600677811</v>
      </c>
      <c r="B3042" t="s">
        <v>4208</v>
      </c>
      <c r="C3042" t="s">
        <v>7</v>
      </c>
      <c r="D3042" t="s">
        <v>14</v>
      </c>
      <c r="E3042" t="s">
        <v>3473</v>
      </c>
    </row>
    <row r="3043" spans="1:6" x14ac:dyDescent="0.25">
      <c r="A3043" t="str">
        <f>"232700593636"</f>
        <v>232700593636</v>
      </c>
      <c r="B3043" t="s">
        <v>4209</v>
      </c>
      <c r="C3043" t="s">
        <v>7</v>
      </c>
      <c r="D3043" t="s">
        <v>12</v>
      </c>
      <c r="E3043" t="s">
        <v>3473</v>
      </c>
    </row>
    <row r="3044" spans="1:6" x14ac:dyDescent="0.25">
      <c r="A3044" t="str">
        <f>"232703822468"</f>
        <v>232703822468</v>
      </c>
      <c r="B3044" t="s">
        <v>4210</v>
      </c>
      <c r="C3044" t="s">
        <v>7</v>
      </c>
      <c r="D3044" t="s">
        <v>14</v>
      </c>
      <c r="E3044" t="s">
        <v>3473</v>
      </c>
    </row>
    <row r="3045" spans="1:6" x14ac:dyDescent="0.25">
      <c r="A3045" t="str">
        <f>"232703908718"</f>
        <v>232703908718</v>
      </c>
      <c r="B3045" t="s">
        <v>4211</v>
      </c>
      <c r="C3045" t="s">
        <v>7</v>
      </c>
      <c r="D3045" t="s">
        <v>12</v>
      </c>
      <c r="E3045" t="s">
        <v>3473</v>
      </c>
    </row>
    <row r="3046" spans="1:6" x14ac:dyDescent="0.25">
      <c r="A3046" t="str">
        <f>"232704484973"</f>
        <v>232704484973</v>
      </c>
      <c r="B3046" t="s">
        <v>4212</v>
      </c>
      <c r="C3046" t="s">
        <v>7</v>
      </c>
      <c r="D3046" t="s">
        <v>14</v>
      </c>
      <c r="E3046" t="s">
        <v>3473</v>
      </c>
    </row>
    <row r="3047" spans="1:6" x14ac:dyDescent="0.25">
      <c r="A3047" t="str">
        <f>"232802578309"</f>
        <v>232802578309</v>
      </c>
      <c r="B3047" t="s">
        <v>4213</v>
      </c>
      <c r="C3047" t="s">
        <v>7</v>
      </c>
      <c r="D3047" t="s">
        <v>14</v>
      </c>
      <c r="E3047" t="s">
        <v>3473</v>
      </c>
    </row>
    <row r="3048" spans="1:6" x14ac:dyDescent="0.25">
      <c r="A3048" t="str">
        <f>"232901285208"</f>
        <v>232901285208</v>
      </c>
      <c r="B3048" t="s">
        <v>4214</v>
      </c>
      <c r="C3048" t="s">
        <v>7</v>
      </c>
      <c r="D3048" t="s">
        <v>14</v>
      </c>
      <c r="E3048" t="s">
        <v>3473</v>
      </c>
    </row>
    <row r="3049" spans="1:6" x14ac:dyDescent="0.25">
      <c r="A3049" t="str">
        <f>"2329016424"</f>
        <v>2329016424</v>
      </c>
      <c r="B3049" t="s">
        <v>4215</v>
      </c>
      <c r="C3049" t="s">
        <v>7</v>
      </c>
      <c r="D3049" t="s">
        <v>674</v>
      </c>
      <c r="E3049" t="s">
        <v>3473</v>
      </c>
      <c r="F3049" t="s">
        <v>4216</v>
      </c>
    </row>
    <row r="3050" spans="1:6" x14ac:dyDescent="0.25">
      <c r="A3050" t="str">
        <f>"232905419205"</f>
        <v>232905419205</v>
      </c>
      <c r="B3050" t="s">
        <v>4217</v>
      </c>
      <c r="C3050" t="s">
        <v>7</v>
      </c>
      <c r="D3050" t="s">
        <v>14</v>
      </c>
      <c r="E3050" t="s">
        <v>3473</v>
      </c>
    </row>
    <row r="3051" spans="1:6" x14ac:dyDescent="0.25">
      <c r="A3051" t="str">
        <f>"232906331200"</f>
        <v>232906331200</v>
      </c>
      <c r="B3051" t="s">
        <v>4218</v>
      </c>
      <c r="C3051" t="s">
        <v>7</v>
      </c>
      <c r="D3051" t="s">
        <v>14</v>
      </c>
      <c r="E3051" t="s">
        <v>3473</v>
      </c>
    </row>
    <row r="3052" spans="1:6" x14ac:dyDescent="0.25">
      <c r="A3052" t="str">
        <f>"232906490320"</f>
        <v>232906490320</v>
      </c>
      <c r="B3052" t="s">
        <v>4219</v>
      </c>
      <c r="C3052" t="s">
        <v>7</v>
      </c>
      <c r="D3052" t="s">
        <v>14</v>
      </c>
      <c r="E3052" t="s">
        <v>3473</v>
      </c>
    </row>
    <row r="3053" spans="1:6" x14ac:dyDescent="0.25">
      <c r="A3053" t="str">
        <f>"232910234707"</f>
        <v>232910234707</v>
      </c>
      <c r="B3053" t="s">
        <v>4220</v>
      </c>
      <c r="C3053" t="s">
        <v>7</v>
      </c>
      <c r="D3053" t="s">
        <v>14</v>
      </c>
      <c r="E3053" t="s">
        <v>3473</v>
      </c>
    </row>
    <row r="3054" spans="1:6" x14ac:dyDescent="0.25">
      <c r="A3054" t="str">
        <f>"233002294959"</f>
        <v>233002294959</v>
      </c>
      <c r="B3054" t="s">
        <v>4221</v>
      </c>
      <c r="C3054" t="s">
        <v>7</v>
      </c>
      <c r="D3054" t="s">
        <v>14</v>
      </c>
      <c r="E3054" t="s">
        <v>3473</v>
      </c>
    </row>
    <row r="3055" spans="1:6" x14ac:dyDescent="0.25">
      <c r="A3055" t="str">
        <f>"233003336584"</f>
        <v>233003336584</v>
      </c>
      <c r="B3055" t="s">
        <v>4222</v>
      </c>
      <c r="C3055" t="s">
        <v>7</v>
      </c>
      <c r="D3055" t="s">
        <v>14</v>
      </c>
      <c r="E3055" t="s">
        <v>3473</v>
      </c>
    </row>
    <row r="3056" spans="1:6" x14ac:dyDescent="0.25">
      <c r="A3056" t="str">
        <f>"233006108875"</f>
        <v>233006108875</v>
      </c>
      <c r="B3056" t="s">
        <v>4223</v>
      </c>
      <c r="C3056" t="s">
        <v>7</v>
      </c>
      <c r="D3056" t="s">
        <v>14</v>
      </c>
      <c r="E3056" t="s">
        <v>3473</v>
      </c>
    </row>
    <row r="3057" spans="1:6" x14ac:dyDescent="0.25">
      <c r="A3057" t="str">
        <f>"233007739168"</f>
        <v>233007739168</v>
      </c>
      <c r="B3057" t="s">
        <v>4224</v>
      </c>
      <c r="C3057" t="s">
        <v>7</v>
      </c>
      <c r="D3057" t="s">
        <v>14</v>
      </c>
      <c r="E3057" t="s">
        <v>3473</v>
      </c>
    </row>
    <row r="3058" spans="1:6" x14ac:dyDescent="0.25">
      <c r="A3058" t="str">
        <f>"233200054797"</f>
        <v>233200054797</v>
      </c>
      <c r="B3058" t="s">
        <v>4225</v>
      </c>
      <c r="C3058" t="s">
        <v>7</v>
      </c>
      <c r="D3058" t="s">
        <v>14</v>
      </c>
      <c r="E3058" t="s">
        <v>3473</v>
      </c>
    </row>
    <row r="3059" spans="1:6" x14ac:dyDescent="0.25">
      <c r="A3059" t="str">
        <f>"2334019565"</f>
        <v>2334019565</v>
      </c>
      <c r="B3059" t="s">
        <v>4226</v>
      </c>
      <c r="C3059" t="s">
        <v>7</v>
      </c>
      <c r="D3059" t="s">
        <v>33</v>
      </c>
      <c r="E3059" t="s">
        <v>3473</v>
      </c>
      <c r="F3059" t="s">
        <v>4227</v>
      </c>
    </row>
    <row r="3060" spans="1:6" x14ac:dyDescent="0.25">
      <c r="A3060" t="str">
        <f>"233410834144"</f>
        <v>233410834144</v>
      </c>
      <c r="B3060" t="s">
        <v>4228</v>
      </c>
      <c r="C3060" t="s">
        <v>7</v>
      </c>
      <c r="D3060" t="s">
        <v>12</v>
      </c>
      <c r="E3060" t="s">
        <v>3473</v>
      </c>
    </row>
    <row r="3061" spans="1:6" x14ac:dyDescent="0.25">
      <c r="A3061" t="str">
        <f>"2335016119"</f>
        <v>2335016119</v>
      </c>
      <c r="B3061" t="s">
        <v>4229</v>
      </c>
      <c r="C3061" t="s">
        <v>7</v>
      </c>
      <c r="D3061" t="s">
        <v>674</v>
      </c>
      <c r="E3061" t="s">
        <v>3473</v>
      </c>
      <c r="F3061" t="s">
        <v>4230</v>
      </c>
    </row>
    <row r="3062" spans="1:6" x14ac:dyDescent="0.25">
      <c r="A3062" t="str">
        <f>"2335009305"</f>
        <v>2335009305</v>
      </c>
      <c r="B3062" t="s">
        <v>4231</v>
      </c>
      <c r="C3062" t="s">
        <v>7</v>
      </c>
      <c r="D3062" t="s">
        <v>14</v>
      </c>
      <c r="E3062" t="s">
        <v>3473</v>
      </c>
      <c r="F3062" t="s">
        <v>4232</v>
      </c>
    </row>
    <row r="3063" spans="1:6" x14ac:dyDescent="0.25">
      <c r="A3063" t="str">
        <f>"233506646303"</f>
        <v>233506646303</v>
      </c>
      <c r="B3063" t="s">
        <v>4233</v>
      </c>
      <c r="C3063" t="s">
        <v>7</v>
      </c>
      <c r="D3063" t="s">
        <v>12</v>
      </c>
      <c r="E3063" t="s">
        <v>3473</v>
      </c>
    </row>
    <row r="3064" spans="1:6" x14ac:dyDescent="0.25">
      <c r="A3064" t="str">
        <f>"233506895300"</f>
        <v>233506895300</v>
      </c>
      <c r="B3064" t="s">
        <v>4234</v>
      </c>
      <c r="C3064" t="s">
        <v>7</v>
      </c>
      <c r="D3064" t="s">
        <v>14</v>
      </c>
      <c r="E3064" t="s">
        <v>3473</v>
      </c>
    </row>
    <row r="3065" spans="1:6" x14ac:dyDescent="0.25">
      <c r="A3065" t="str">
        <f>"233507128914"</f>
        <v>233507128914</v>
      </c>
      <c r="B3065" t="s">
        <v>4235</v>
      </c>
      <c r="C3065" t="s">
        <v>7</v>
      </c>
      <c r="D3065" t="s">
        <v>14</v>
      </c>
      <c r="E3065" t="s">
        <v>3473</v>
      </c>
    </row>
    <row r="3066" spans="1:6" x14ac:dyDescent="0.25">
      <c r="A3066" t="str">
        <f>"233530831120"</f>
        <v>233530831120</v>
      </c>
      <c r="B3066" t="s">
        <v>4236</v>
      </c>
      <c r="C3066" t="s">
        <v>7</v>
      </c>
      <c r="D3066" t="s">
        <v>14</v>
      </c>
      <c r="E3066" t="s">
        <v>3473</v>
      </c>
    </row>
    <row r="3067" spans="1:6" x14ac:dyDescent="0.25">
      <c r="A3067" t="str">
        <f>"2336015661"</f>
        <v>2336015661</v>
      </c>
      <c r="B3067" t="s">
        <v>4237</v>
      </c>
      <c r="C3067" t="s">
        <v>7</v>
      </c>
      <c r="D3067" t="s">
        <v>14</v>
      </c>
      <c r="E3067" t="s">
        <v>3473</v>
      </c>
      <c r="F3067" t="s">
        <v>3974</v>
      </c>
    </row>
    <row r="3068" spans="1:6" x14ac:dyDescent="0.25">
      <c r="A3068" t="str">
        <f>"233605842309"</f>
        <v>233605842309</v>
      </c>
      <c r="B3068" t="s">
        <v>4238</v>
      </c>
      <c r="C3068" t="s">
        <v>7</v>
      </c>
      <c r="D3068" t="s">
        <v>14</v>
      </c>
      <c r="E3068" t="s">
        <v>3473</v>
      </c>
    </row>
    <row r="3069" spans="1:6" x14ac:dyDescent="0.25">
      <c r="A3069" t="str">
        <f>"233700132108"</f>
        <v>233700132108</v>
      </c>
      <c r="B3069" t="s">
        <v>4239</v>
      </c>
      <c r="C3069" t="s">
        <v>7</v>
      </c>
      <c r="D3069" t="s">
        <v>14</v>
      </c>
      <c r="E3069" t="s">
        <v>3473</v>
      </c>
    </row>
    <row r="3070" spans="1:6" x14ac:dyDescent="0.25">
      <c r="A3070" t="str">
        <f>"2337040572"</f>
        <v>2337040572</v>
      </c>
      <c r="B3070" t="s">
        <v>4240</v>
      </c>
      <c r="C3070" t="s">
        <v>7</v>
      </c>
      <c r="D3070" t="s">
        <v>12</v>
      </c>
      <c r="E3070" t="s">
        <v>3473</v>
      </c>
      <c r="F3070" t="s">
        <v>4241</v>
      </c>
    </row>
    <row r="3071" spans="1:6" x14ac:dyDescent="0.25">
      <c r="A3071" t="str">
        <f>"2337043301"</f>
        <v>2337043301</v>
      </c>
      <c r="B3071" t="s">
        <v>4242</v>
      </c>
      <c r="C3071" t="s">
        <v>7</v>
      </c>
      <c r="D3071" t="s">
        <v>674</v>
      </c>
      <c r="E3071" t="s">
        <v>3473</v>
      </c>
      <c r="F3071" t="s">
        <v>4243</v>
      </c>
    </row>
    <row r="3072" spans="1:6" x14ac:dyDescent="0.25">
      <c r="A3072" t="str">
        <f>"233711016600"</f>
        <v>233711016600</v>
      </c>
      <c r="B3072" t="s">
        <v>4244</v>
      </c>
      <c r="C3072" t="s">
        <v>7</v>
      </c>
      <c r="D3072" t="s">
        <v>14</v>
      </c>
      <c r="E3072" t="s">
        <v>3473</v>
      </c>
    </row>
    <row r="3073" spans="1:5" x14ac:dyDescent="0.25">
      <c r="A3073" t="str">
        <f>"233902945459"</f>
        <v>233902945459</v>
      </c>
      <c r="B3073" t="s">
        <v>4245</v>
      </c>
      <c r="C3073" t="s">
        <v>7</v>
      </c>
      <c r="D3073" t="s">
        <v>12</v>
      </c>
      <c r="E3073" t="s">
        <v>3473</v>
      </c>
    </row>
    <row r="3074" spans="1:5" x14ac:dyDescent="0.25">
      <c r="A3074" t="str">
        <f>"233904619267"</f>
        <v>233904619267</v>
      </c>
      <c r="B3074" t="s">
        <v>4246</v>
      </c>
      <c r="C3074" t="s">
        <v>7</v>
      </c>
      <c r="D3074" t="s">
        <v>14</v>
      </c>
      <c r="E3074" t="s">
        <v>3473</v>
      </c>
    </row>
    <row r="3075" spans="1:5" x14ac:dyDescent="0.25">
      <c r="A3075" t="str">
        <f>"233904640420"</f>
        <v>233904640420</v>
      </c>
      <c r="B3075" t="s">
        <v>4247</v>
      </c>
      <c r="C3075" t="s">
        <v>7</v>
      </c>
      <c r="D3075" t="s">
        <v>14</v>
      </c>
      <c r="E3075" t="s">
        <v>3473</v>
      </c>
    </row>
    <row r="3076" spans="1:5" x14ac:dyDescent="0.25">
      <c r="A3076" t="str">
        <f>"233908102462"</f>
        <v>233908102462</v>
      </c>
      <c r="B3076" t="s">
        <v>4248</v>
      </c>
      <c r="C3076" t="s">
        <v>7</v>
      </c>
      <c r="D3076" t="s">
        <v>14</v>
      </c>
      <c r="E3076" t="s">
        <v>3473</v>
      </c>
    </row>
    <row r="3077" spans="1:5" x14ac:dyDescent="0.25">
      <c r="A3077" t="str">
        <f>"233908368543"</f>
        <v>233908368543</v>
      </c>
      <c r="B3077" t="s">
        <v>4249</v>
      </c>
      <c r="C3077" t="s">
        <v>7</v>
      </c>
      <c r="D3077" t="s">
        <v>33</v>
      </c>
      <c r="E3077" t="s">
        <v>3473</v>
      </c>
    </row>
    <row r="3078" spans="1:5" x14ac:dyDescent="0.25">
      <c r="A3078" t="str">
        <f>"234002042150"</f>
        <v>234002042150</v>
      </c>
      <c r="B3078" t="s">
        <v>4250</v>
      </c>
      <c r="C3078" t="s">
        <v>7</v>
      </c>
      <c r="D3078" t="s">
        <v>14</v>
      </c>
      <c r="E3078" t="s">
        <v>3473</v>
      </c>
    </row>
    <row r="3079" spans="1:5" x14ac:dyDescent="0.25">
      <c r="A3079" t="str">
        <f>"234004521052"</f>
        <v>234004521052</v>
      </c>
      <c r="B3079" t="s">
        <v>4251</v>
      </c>
      <c r="C3079" t="s">
        <v>7</v>
      </c>
      <c r="D3079" t="s">
        <v>14</v>
      </c>
      <c r="E3079" t="s">
        <v>3473</v>
      </c>
    </row>
    <row r="3080" spans="1:5" x14ac:dyDescent="0.25">
      <c r="A3080" t="str">
        <f>"234100324459"</f>
        <v>234100324459</v>
      </c>
      <c r="B3080" t="s">
        <v>4252</v>
      </c>
      <c r="C3080" t="s">
        <v>7</v>
      </c>
      <c r="D3080" t="s">
        <v>14</v>
      </c>
      <c r="E3080" t="s">
        <v>3473</v>
      </c>
    </row>
    <row r="3081" spans="1:5" x14ac:dyDescent="0.25">
      <c r="A3081" t="str">
        <f>"234102596930"</f>
        <v>234102596930</v>
      </c>
      <c r="B3081" t="s">
        <v>4253</v>
      </c>
      <c r="C3081" t="s">
        <v>7</v>
      </c>
      <c r="D3081" t="s">
        <v>14</v>
      </c>
      <c r="E3081" t="s">
        <v>3473</v>
      </c>
    </row>
    <row r="3082" spans="1:5" x14ac:dyDescent="0.25">
      <c r="A3082" t="str">
        <f>"234105420692"</f>
        <v>234105420692</v>
      </c>
      <c r="B3082" t="s">
        <v>4254</v>
      </c>
      <c r="C3082" t="s">
        <v>7</v>
      </c>
      <c r="D3082" t="s">
        <v>12</v>
      </c>
      <c r="E3082" t="s">
        <v>3473</v>
      </c>
    </row>
    <row r="3083" spans="1:5" x14ac:dyDescent="0.25">
      <c r="A3083" t="str">
        <f>"234206832910"</f>
        <v>234206832910</v>
      </c>
      <c r="B3083" t="s">
        <v>4255</v>
      </c>
      <c r="C3083" t="s">
        <v>7</v>
      </c>
      <c r="D3083" t="s">
        <v>12</v>
      </c>
      <c r="E3083" t="s">
        <v>3473</v>
      </c>
    </row>
    <row r="3084" spans="1:5" x14ac:dyDescent="0.25">
      <c r="A3084" t="str">
        <f>"234603294592"</f>
        <v>234603294592</v>
      </c>
      <c r="B3084" t="s">
        <v>4256</v>
      </c>
      <c r="C3084" t="s">
        <v>7</v>
      </c>
      <c r="D3084" t="s">
        <v>14</v>
      </c>
      <c r="E3084" t="s">
        <v>3473</v>
      </c>
    </row>
    <row r="3085" spans="1:5" x14ac:dyDescent="0.25">
      <c r="A3085" t="str">
        <f>"234603562058"</f>
        <v>234603562058</v>
      </c>
      <c r="B3085" t="s">
        <v>4257</v>
      </c>
      <c r="C3085" t="s">
        <v>7</v>
      </c>
      <c r="D3085" t="s">
        <v>14</v>
      </c>
      <c r="E3085" t="s">
        <v>3473</v>
      </c>
    </row>
    <row r="3086" spans="1:5" x14ac:dyDescent="0.25">
      <c r="A3086" t="str">
        <f>"234606514581"</f>
        <v>234606514581</v>
      </c>
      <c r="B3086" t="s">
        <v>4258</v>
      </c>
      <c r="C3086" t="s">
        <v>7</v>
      </c>
      <c r="D3086" t="s">
        <v>14</v>
      </c>
      <c r="E3086" t="s">
        <v>3473</v>
      </c>
    </row>
    <row r="3087" spans="1:5" x14ac:dyDescent="0.25">
      <c r="A3087" t="str">
        <f>"234703300835"</f>
        <v>234703300835</v>
      </c>
      <c r="B3087" t="s">
        <v>4259</v>
      </c>
      <c r="C3087" t="s">
        <v>7</v>
      </c>
      <c r="D3087" t="s">
        <v>14</v>
      </c>
      <c r="E3087" t="s">
        <v>3473</v>
      </c>
    </row>
    <row r="3088" spans="1:5" x14ac:dyDescent="0.25">
      <c r="A3088" t="str">
        <f>"234801233506"</f>
        <v>234801233506</v>
      </c>
      <c r="B3088" t="s">
        <v>4260</v>
      </c>
      <c r="C3088" t="s">
        <v>7</v>
      </c>
      <c r="D3088" t="s">
        <v>14</v>
      </c>
      <c r="E3088" t="s">
        <v>3473</v>
      </c>
    </row>
    <row r="3089" spans="1:6" x14ac:dyDescent="0.25">
      <c r="A3089" t="str">
        <f>"234900889874"</f>
        <v>234900889874</v>
      </c>
      <c r="B3089" t="s">
        <v>4261</v>
      </c>
      <c r="C3089" t="s">
        <v>7</v>
      </c>
      <c r="D3089" t="s">
        <v>12</v>
      </c>
      <c r="E3089" t="s">
        <v>3473</v>
      </c>
    </row>
    <row r="3090" spans="1:6" x14ac:dyDescent="0.25">
      <c r="A3090" t="str">
        <f>"234904840037"</f>
        <v>234904840037</v>
      </c>
      <c r="B3090" t="s">
        <v>4262</v>
      </c>
      <c r="C3090" t="s">
        <v>7</v>
      </c>
      <c r="D3090" t="s">
        <v>33</v>
      </c>
      <c r="E3090" t="s">
        <v>3473</v>
      </c>
    </row>
    <row r="3091" spans="1:6" x14ac:dyDescent="0.25">
      <c r="A3091" t="str">
        <f>"860233490615"</f>
        <v>860233490615</v>
      </c>
      <c r="B3091" t="s">
        <v>4263</v>
      </c>
      <c r="C3091" t="s">
        <v>7</v>
      </c>
      <c r="D3091" t="s">
        <v>12</v>
      </c>
      <c r="E3091" t="s">
        <v>3473</v>
      </c>
    </row>
    <row r="3092" spans="1:6" x14ac:dyDescent="0.25">
      <c r="A3092" t="str">
        <f>"282911581494"</f>
        <v>282911581494</v>
      </c>
      <c r="B3092" t="s">
        <v>4264</v>
      </c>
      <c r="C3092" t="s">
        <v>7</v>
      </c>
      <c r="D3092" t="s">
        <v>14</v>
      </c>
      <c r="E3092" t="s">
        <v>3473</v>
      </c>
    </row>
    <row r="3093" spans="1:6" x14ac:dyDescent="0.25">
      <c r="A3093" t="str">
        <f>"860315209895"</f>
        <v>860315209895</v>
      </c>
      <c r="B3093" t="s">
        <v>4265</v>
      </c>
      <c r="C3093" t="s">
        <v>7</v>
      </c>
      <c r="D3093" t="s">
        <v>14</v>
      </c>
      <c r="E3093" t="s">
        <v>3473</v>
      </c>
    </row>
    <row r="3094" spans="1:6" x14ac:dyDescent="0.25">
      <c r="A3094" t="str">
        <f>"382703957090"</f>
        <v>382703957090</v>
      </c>
      <c r="B3094" t="s">
        <v>4266</v>
      </c>
      <c r="C3094" t="s">
        <v>7</v>
      </c>
      <c r="D3094" t="s">
        <v>14</v>
      </c>
      <c r="E3094" t="s">
        <v>3473</v>
      </c>
    </row>
    <row r="3095" spans="1:6" x14ac:dyDescent="0.25">
      <c r="A3095" t="str">
        <f>"390512189957"</f>
        <v>390512189957</v>
      </c>
      <c r="B3095" t="s">
        <v>4267</v>
      </c>
      <c r="C3095" t="s">
        <v>7</v>
      </c>
      <c r="D3095" t="s">
        <v>14</v>
      </c>
      <c r="E3095" t="s">
        <v>3473</v>
      </c>
    </row>
    <row r="3096" spans="1:6" x14ac:dyDescent="0.25">
      <c r="A3096" t="str">
        <f>"232004190696"</f>
        <v>232004190696</v>
      </c>
      <c r="B3096" t="s">
        <v>4268</v>
      </c>
      <c r="C3096" t="s">
        <v>7</v>
      </c>
      <c r="D3096" t="s">
        <v>14</v>
      </c>
      <c r="E3096" t="s">
        <v>3473</v>
      </c>
    </row>
    <row r="3097" spans="1:6" x14ac:dyDescent="0.25">
      <c r="A3097" t="str">
        <f>"2320159570"</f>
        <v>2320159570</v>
      </c>
      <c r="B3097" t="s">
        <v>4269</v>
      </c>
      <c r="C3097" t="s">
        <v>7</v>
      </c>
      <c r="D3097" t="s">
        <v>14</v>
      </c>
      <c r="E3097" t="s">
        <v>3473</v>
      </c>
      <c r="F3097" t="s">
        <v>4270</v>
      </c>
    </row>
    <row r="3098" spans="1:6" x14ac:dyDescent="0.25">
      <c r="A3098" t="str">
        <f>"232104259782"</f>
        <v>232104259782</v>
      </c>
      <c r="B3098" t="s">
        <v>4271</v>
      </c>
      <c r="C3098" t="s">
        <v>7</v>
      </c>
      <c r="D3098" t="s">
        <v>33</v>
      </c>
      <c r="E3098" t="s">
        <v>3473</v>
      </c>
    </row>
    <row r="3099" spans="1:6" x14ac:dyDescent="0.25">
      <c r="A3099" t="str">
        <f>"232105790474"</f>
        <v>232105790474</v>
      </c>
      <c r="B3099" t="s">
        <v>4272</v>
      </c>
      <c r="C3099" t="s">
        <v>7</v>
      </c>
      <c r="D3099" t="s">
        <v>14</v>
      </c>
      <c r="E3099" t="s">
        <v>3473</v>
      </c>
    </row>
    <row r="3100" spans="1:6" x14ac:dyDescent="0.25">
      <c r="A3100" t="str">
        <f>"232105846328"</f>
        <v>232105846328</v>
      </c>
      <c r="B3100" t="s">
        <v>4273</v>
      </c>
      <c r="C3100" t="s">
        <v>7</v>
      </c>
      <c r="D3100" t="s">
        <v>14</v>
      </c>
      <c r="E3100" t="s">
        <v>3473</v>
      </c>
    </row>
    <row r="3101" spans="1:6" x14ac:dyDescent="0.25">
      <c r="A3101" t="str">
        <f>"232204538934"</f>
        <v>232204538934</v>
      </c>
      <c r="B3101" t="s">
        <v>4274</v>
      </c>
      <c r="C3101" t="s">
        <v>7</v>
      </c>
      <c r="D3101" t="s">
        <v>12</v>
      </c>
      <c r="E3101" t="s">
        <v>3473</v>
      </c>
    </row>
    <row r="3102" spans="1:6" x14ac:dyDescent="0.25">
      <c r="A3102" t="str">
        <f>"232301946706"</f>
        <v>232301946706</v>
      </c>
      <c r="B3102" t="s">
        <v>4275</v>
      </c>
      <c r="C3102" t="s">
        <v>7</v>
      </c>
      <c r="D3102" t="s">
        <v>14</v>
      </c>
      <c r="E3102" t="s">
        <v>3473</v>
      </c>
    </row>
    <row r="3103" spans="1:6" x14ac:dyDescent="0.25">
      <c r="A3103" t="str">
        <f>"232306846991"</f>
        <v>232306846991</v>
      </c>
      <c r="B3103" t="s">
        <v>4276</v>
      </c>
      <c r="C3103" t="s">
        <v>7</v>
      </c>
      <c r="D3103" t="s">
        <v>14</v>
      </c>
      <c r="E3103" t="s">
        <v>3473</v>
      </c>
    </row>
    <row r="3104" spans="1:6" x14ac:dyDescent="0.25">
      <c r="A3104" t="str">
        <f>"232308734700"</f>
        <v>232308734700</v>
      </c>
      <c r="B3104" t="s">
        <v>4277</v>
      </c>
      <c r="C3104" t="s">
        <v>7</v>
      </c>
      <c r="D3104" t="s">
        <v>14</v>
      </c>
      <c r="E3104" t="s">
        <v>3473</v>
      </c>
    </row>
    <row r="3105" spans="1:6" x14ac:dyDescent="0.25">
      <c r="A3105" t="str">
        <f>"232500107222"</f>
        <v>232500107222</v>
      </c>
      <c r="B3105" t="s">
        <v>4278</v>
      </c>
      <c r="C3105" t="s">
        <v>7</v>
      </c>
      <c r="D3105" t="s">
        <v>14</v>
      </c>
      <c r="E3105" t="s">
        <v>3473</v>
      </c>
    </row>
    <row r="3106" spans="1:6" x14ac:dyDescent="0.25">
      <c r="A3106" t="str">
        <f>"232802309585"</f>
        <v>232802309585</v>
      </c>
      <c r="B3106" t="s">
        <v>4279</v>
      </c>
      <c r="C3106" t="s">
        <v>7</v>
      </c>
      <c r="D3106" t="s">
        <v>463</v>
      </c>
      <c r="E3106" t="s">
        <v>3473</v>
      </c>
    </row>
    <row r="3107" spans="1:6" x14ac:dyDescent="0.25">
      <c r="A3107" t="str">
        <f>"232900183267"</f>
        <v>232900183267</v>
      </c>
      <c r="B3107" t="s">
        <v>4280</v>
      </c>
      <c r="C3107" t="s">
        <v>7</v>
      </c>
      <c r="D3107" t="s">
        <v>14</v>
      </c>
      <c r="E3107" t="s">
        <v>3473</v>
      </c>
    </row>
    <row r="3108" spans="1:6" x14ac:dyDescent="0.25">
      <c r="A3108" t="str">
        <f>"232900563075"</f>
        <v>232900563075</v>
      </c>
      <c r="B3108" t="s">
        <v>4281</v>
      </c>
      <c r="C3108" t="s">
        <v>7</v>
      </c>
      <c r="D3108" t="s">
        <v>14</v>
      </c>
      <c r="E3108" t="s">
        <v>3473</v>
      </c>
    </row>
    <row r="3109" spans="1:6" x14ac:dyDescent="0.25">
      <c r="A3109" t="str">
        <f>"2329023693"</f>
        <v>2329023693</v>
      </c>
      <c r="B3109" t="s">
        <v>4282</v>
      </c>
      <c r="C3109" t="s">
        <v>7</v>
      </c>
      <c r="D3109" t="s">
        <v>33</v>
      </c>
      <c r="E3109" t="s">
        <v>3473</v>
      </c>
      <c r="F3109" t="s">
        <v>4283</v>
      </c>
    </row>
    <row r="3110" spans="1:6" x14ac:dyDescent="0.25">
      <c r="A3110" t="str">
        <f>"232909548307"</f>
        <v>232909548307</v>
      </c>
      <c r="B3110" t="s">
        <v>4284</v>
      </c>
      <c r="C3110" t="s">
        <v>7</v>
      </c>
      <c r="D3110" t="s">
        <v>14</v>
      </c>
      <c r="E3110" t="s">
        <v>3473</v>
      </c>
    </row>
    <row r="3111" spans="1:6" x14ac:dyDescent="0.25">
      <c r="A3111" t="str">
        <f>"2330025470"</f>
        <v>2330025470</v>
      </c>
      <c r="B3111" t="s">
        <v>4285</v>
      </c>
      <c r="C3111" t="s">
        <v>7</v>
      </c>
      <c r="D3111" t="s">
        <v>12</v>
      </c>
      <c r="E3111" t="s">
        <v>3473</v>
      </c>
      <c r="F3111" t="s">
        <v>4286</v>
      </c>
    </row>
    <row r="3112" spans="1:6" x14ac:dyDescent="0.25">
      <c r="A3112" t="str">
        <f>"233006722411"</f>
        <v>233006722411</v>
      </c>
      <c r="B3112" t="s">
        <v>4287</v>
      </c>
      <c r="C3112" t="s">
        <v>7</v>
      </c>
      <c r="D3112" t="s">
        <v>14</v>
      </c>
      <c r="E3112" t="s">
        <v>3473</v>
      </c>
    </row>
    <row r="3113" spans="1:6" x14ac:dyDescent="0.25">
      <c r="A3113" t="str">
        <f>"233006961931"</f>
        <v>233006961931</v>
      </c>
      <c r="B3113" t="s">
        <v>4288</v>
      </c>
      <c r="C3113" t="s">
        <v>7</v>
      </c>
      <c r="D3113" t="s">
        <v>14</v>
      </c>
      <c r="E3113" t="s">
        <v>3473</v>
      </c>
    </row>
    <row r="3114" spans="1:6" x14ac:dyDescent="0.25">
      <c r="A3114" t="str">
        <f>"233103320041"</f>
        <v>233103320041</v>
      </c>
      <c r="B3114" t="s">
        <v>4289</v>
      </c>
      <c r="C3114" t="s">
        <v>7</v>
      </c>
      <c r="D3114" t="s">
        <v>14</v>
      </c>
      <c r="E3114" t="s">
        <v>3473</v>
      </c>
    </row>
    <row r="3115" spans="1:6" x14ac:dyDescent="0.25">
      <c r="A3115" t="str">
        <f>"233200887005"</f>
        <v>233200887005</v>
      </c>
      <c r="B3115" t="s">
        <v>4290</v>
      </c>
      <c r="C3115" t="s">
        <v>7</v>
      </c>
      <c r="D3115" t="s">
        <v>14</v>
      </c>
      <c r="E3115" t="s">
        <v>3473</v>
      </c>
    </row>
    <row r="3116" spans="1:6" x14ac:dyDescent="0.25">
      <c r="A3116" t="str">
        <f>"233300075247"</f>
        <v>233300075247</v>
      </c>
      <c r="B3116" t="s">
        <v>4291</v>
      </c>
      <c r="C3116" t="s">
        <v>7</v>
      </c>
      <c r="D3116" t="s">
        <v>14</v>
      </c>
      <c r="E3116" t="s">
        <v>3473</v>
      </c>
    </row>
    <row r="3117" spans="1:6" x14ac:dyDescent="0.25">
      <c r="A3117" t="str">
        <f>"233500075798"</f>
        <v>233500075798</v>
      </c>
      <c r="B3117" t="s">
        <v>4292</v>
      </c>
      <c r="C3117" t="s">
        <v>7</v>
      </c>
      <c r="D3117" t="s">
        <v>14</v>
      </c>
      <c r="E3117" t="s">
        <v>3473</v>
      </c>
    </row>
    <row r="3118" spans="1:6" x14ac:dyDescent="0.25">
      <c r="A3118" t="str">
        <f>"143311918407"</f>
        <v>143311918407</v>
      </c>
      <c r="B3118" t="s">
        <v>4293</v>
      </c>
      <c r="C3118" t="s">
        <v>7</v>
      </c>
      <c r="D3118" t="s">
        <v>14</v>
      </c>
      <c r="E3118" t="s">
        <v>3473</v>
      </c>
    </row>
    <row r="3119" spans="1:6" x14ac:dyDescent="0.25">
      <c r="A3119" t="str">
        <f>"591705480253"</f>
        <v>591705480253</v>
      </c>
      <c r="B3119" t="s">
        <v>4294</v>
      </c>
      <c r="C3119" t="s">
        <v>7</v>
      </c>
      <c r="D3119" t="s">
        <v>14</v>
      </c>
      <c r="E3119" t="s">
        <v>3473</v>
      </c>
    </row>
    <row r="3120" spans="1:6" x14ac:dyDescent="0.25">
      <c r="A3120" t="str">
        <f>"665915193344"</f>
        <v>665915193344</v>
      </c>
      <c r="B3120" t="s">
        <v>4295</v>
      </c>
      <c r="C3120" t="s">
        <v>7</v>
      </c>
      <c r="D3120" t="s">
        <v>14</v>
      </c>
      <c r="E3120" t="s">
        <v>3473</v>
      </c>
    </row>
    <row r="3121" spans="1:6" x14ac:dyDescent="0.25">
      <c r="A3121" t="str">
        <f>"233530786982"</f>
        <v>233530786982</v>
      </c>
      <c r="B3121" t="s">
        <v>4296</v>
      </c>
      <c r="C3121" t="s">
        <v>7</v>
      </c>
      <c r="D3121" t="s">
        <v>14</v>
      </c>
      <c r="E3121" t="s">
        <v>3473</v>
      </c>
    </row>
    <row r="3122" spans="1:6" x14ac:dyDescent="0.25">
      <c r="A3122" t="str">
        <f>"2336011970"</f>
        <v>2336011970</v>
      </c>
      <c r="B3122" t="s">
        <v>4297</v>
      </c>
      <c r="C3122" t="s">
        <v>7</v>
      </c>
      <c r="D3122" t="s">
        <v>14</v>
      </c>
      <c r="E3122" t="s">
        <v>3473</v>
      </c>
      <c r="F3122" t="s">
        <v>4298</v>
      </c>
    </row>
    <row r="3123" spans="1:6" x14ac:dyDescent="0.25">
      <c r="A3123" t="str">
        <f>"233603901140"</f>
        <v>233603901140</v>
      </c>
      <c r="B3123" t="s">
        <v>4299</v>
      </c>
      <c r="C3123" t="s">
        <v>7</v>
      </c>
      <c r="D3123" t="s">
        <v>14</v>
      </c>
      <c r="E3123" t="s">
        <v>3473</v>
      </c>
    </row>
    <row r="3124" spans="1:6" x14ac:dyDescent="0.25">
      <c r="A3124" t="str">
        <f>"233611194046"</f>
        <v>233611194046</v>
      </c>
      <c r="B3124" t="s">
        <v>4300</v>
      </c>
      <c r="C3124" t="s">
        <v>7</v>
      </c>
      <c r="D3124" t="s">
        <v>14</v>
      </c>
      <c r="E3124" t="s">
        <v>3473</v>
      </c>
    </row>
    <row r="3125" spans="1:6" x14ac:dyDescent="0.25">
      <c r="A3125" t="str">
        <f>"233700299724"</f>
        <v>233700299724</v>
      </c>
      <c r="B3125" t="s">
        <v>4301</v>
      </c>
      <c r="C3125" t="s">
        <v>7</v>
      </c>
      <c r="D3125" t="s">
        <v>14</v>
      </c>
      <c r="E3125" t="s">
        <v>3473</v>
      </c>
    </row>
    <row r="3126" spans="1:6" x14ac:dyDescent="0.25">
      <c r="A3126" t="str">
        <f>"2337015819"</f>
        <v>2337015819</v>
      </c>
      <c r="B3126" t="s">
        <v>4302</v>
      </c>
      <c r="C3126" t="s">
        <v>7</v>
      </c>
      <c r="D3126" t="s">
        <v>12</v>
      </c>
      <c r="E3126" t="s">
        <v>3473</v>
      </c>
      <c r="F3126" t="s">
        <v>4303</v>
      </c>
    </row>
    <row r="3127" spans="1:6" x14ac:dyDescent="0.25">
      <c r="A3127" t="str">
        <f>"2337043799"</f>
        <v>2337043799</v>
      </c>
      <c r="B3127" t="s">
        <v>4304</v>
      </c>
      <c r="C3127" t="s">
        <v>7</v>
      </c>
      <c r="D3127" t="s">
        <v>189</v>
      </c>
      <c r="E3127" t="s">
        <v>3473</v>
      </c>
      <c r="F3127" t="s">
        <v>4305</v>
      </c>
    </row>
    <row r="3128" spans="1:6" x14ac:dyDescent="0.25">
      <c r="A3128" t="str">
        <f>"233709181780"</f>
        <v>233709181780</v>
      </c>
      <c r="B3128" t="s">
        <v>4306</v>
      </c>
      <c r="C3128" t="s">
        <v>7</v>
      </c>
      <c r="D3128" t="s">
        <v>14</v>
      </c>
      <c r="E3128" t="s">
        <v>3473</v>
      </c>
    </row>
    <row r="3129" spans="1:6" x14ac:dyDescent="0.25">
      <c r="A3129" t="str">
        <f>"233709256010"</f>
        <v>233709256010</v>
      </c>
      <c r="B3129" t="s">
        <v>4307</v>
      </c>
      <c r="C3129" t="s">
        <v>7</v>
      </c>
      <c r="D3129" t="s">
        <v>12</v>
      </c>
      <c r="E3129" t="s">
        <v>3473</v>
      </c>
    </row>
    <row r="3130" spans="1:6" x14ac:dyDescent="0.25">
      <c r="A3130" t="str">
        <f>"233709564303"</f>
        <v>233709564303</v>
      </c>
      <c r="B3130" t="s">
        <v>4308</v>
      </c>
      <c r="C3130" t="s">
        <v>7</v>
      </c>
      <c r="D3130" t="s">
        <v>14</v>
      </c>
      <c r="E3130" t="s">
        <v>3473</v>
      </c>
    </row>
    <row r="3131" spans="1:6" x14ac:dyDescent="0.25">
      <c r="A3131" t="str">
        <f>"233709691333"</f>
        <v>233709691333</v>
      </c>
      <c r="B3131" t="s">
        <v>4309</v>
      </c>
      <c r="C3131" t="s">
        <v>7</v>
      </c>
      <c r="D3131" t="s">
        <v>12</v>
      </c>
      <c r="E3131" t="s">
        <v>3473</v>
      </c>
    </row>
    <row r="3132" spans="1:6" x14ac:dyDescent="0.25">
      <c r="A3132" t="str">
        <f>"233710200981"</f>
        <v>233710200981</v>
      </c>
      <c r="B3132" t="s">
        <v>4310</v>
      </c>
      <c r="C3132" t="s">
        <v>7</v>
      </c>
      <c r="D3132" t="s">
        <v>14</v>
      </c>
      <c r="E3132" t="s">
        <v>3473</v>
      </c>
    </row>
    <row r="3133" spans="1:6" x14ac:dyDescent="0.25">
      <c r="A3133" t="str">
        <f>"233716305691"</f>
        <v>233716305691</v>
      </c>
      <c r="B3133" t="s">
        <v>4311</v>
      </c>
      <c r="C3133" t="s">
        <v>7</v>
      </c>
      <c r="D3133" t="s">
        <v>14</v>
      </c>
      <c r="E3133" t="s">
        <v>3473</v>
      </c>
    </row>
    <row r="3134" spans="1:6" x14ac:dyDescent="0.25">
      <c r="A3134" t="str">
        <f>"233901770301"</f>
        <v>233901770301</v>
      </c>
      <c r="B3134" t="s">
        <v>4312</v>
      </c>
      <c r="C3134" t="s">
        <v>7</v>
      </c>
      <c r="D3134" t="s">
        <v>14</v>
      </c>
      <c r="E3134" t="s">
        <v>3473</v>
      </c>
    </row>
    <row r="3135" spans="1:6" x14ac:dyDescent="0.25">
      <c r="A3135" t="str">
        <f>"233906965336"</f>
        <v>233906965336</v>
      </c>
      <c r="B3135" t="s">
        <v>4313</v>
      </c>
      <c r="C3135" t="s">
        <v>7</v>
      </c>
      <c r="D3135" t="s">
        <v>14</v>
      </c>
      <c r="E3135" t="s">
        <v>3473</v>
      </c>
    </row>
    <row r="3136" spans="1:6" x14ac:dyDescent="0.25">
      <c r="A3136" t="str">
        <f>"233909712904"</f>
        <v>233909712904</v>
      </c>
      <c r="B3136" t="s">
        <v>4314</v>
      </c>
      <c r="C3136" t="s">
        <v>7</v>
      </c>
      <c r="D3136" t="s">
        <v>14</v>
      </c>
      <c r="E3136" t="s">
        <v>3473</v>
      </c>
    </row>
    <row r="3137" spans="1:6" x14ac:dyDescent="0.25">
      <c r="A3137" t="str">
        <f>"2340005899"</f>
        <v>2340005899</v>
      </c>
      <c r="B3137" t="s">
        <v>4315</v>
      </c>
      <c r="C3137" t="s">
        <v>7</v>
      </c>
      <c r="D3137" t="s">
        <v>14</v>
      </c>
      <c r="E3137" t="s">
        <v>3473</v>
      </c>
      <c r="F3137" t="s">
        <v>4316</v>
      </c>
    </row>
    <row r="3138" spans="1:6" x14ac:dyDescent="0.25">
      <c r="A3138" t="str">
        <f>"234004036120"</f>
        <v>234004036120</v>
      </c>
      <c r="B3138" t="s">
        <v>4317</v>
      </c>
      <c r="C3138" t="s">
        <v>7</v>
      </c>
      <c r="D3138" t="s">
        <v>14</v>
      </c>
      <c r="E3138" t="s">
        <v>3473</v>
      </c>
    </row>
    <row r="3139" spans="1:6" x14ac:dyDescent="0.25">
      <c r="A3139" t="str">
        <f>"234004212343"</f>
        <v>234004212343</v>
      </c>
      <c r="B3139" t="s">
        <v>4318</v>
      </c>
      <c r="C3139" t="s">
        <v>7</v>
      </c>
      <c r="D3139" t="s">
        <v>14</v>
      </c>
      <c r="E3139" t="s">
        <v>3473</v>
      </c>
    </row>
    <row r="3140" spans="1:6" x14ac:dyDescent="0.25">
      <c r="A3140" t="str">
        <f>"234080438021"</f>
        <v>234080438021</v>
      </c>
      <c r="B3140" t="s">
        <v>4319</v>
      </c>
      <c r="C3140" t="s">
        <v>7</v>
      </c>
      <c r="D3140" t="s">
        <v>14</v>
      </c>
      <c r="E3140" t="s">
        <v>3473</v>
      </c>
    </row>
    <row r="3141" spans="1:6" x14ac:dyDescent="0.25">
      <c r="A3141" t="str">
        <f>"234104448582"</f>
        <v>234104448582</v>
      </c>
      <c r="B3141" t="s">
        <v>4320</v>
      </c>
      <c r="C3141" t="s">
        <v>7</v>
      </c>
      <c r="D3141" t="s">
        <v>33</v>
      </c>
      <c r="E3141" t="s">
        <v>3473</v>
      </c>
    </row>
    <row r="3142" spans="1:6" x14ac:dyDescent="0.25">
      <c r="A3142" t="str">
        <f>"234107186825"</f>
        <v>234107186825</v>
      </c>
      <c r="B3142" t="s">
        <v>4321</v>
      </c>
      <c r="C3142" t="s">
        <v>7</v>
      </c>
      <c r="D3142" t="s">
        <v>14</v>
      </c>
      <c r="E3142" t="s">
        <v>3473</v>
      </c>
    </row>
    <row r="3143" spans="1:6" x14ac:dyDescent="0.25">
      <c r="A3143" t="str">
        <f>"234202163923"</f>
        <v>234202163923</v>
      </c>
      <c r="B3143" t="s">
        <v>4322</v>
      </c>
      <c r="C3143" t="s">
        <v>7</v>
      </c>
      <c r="D3143" t="s">
        <v>14</v>
      </c>
      <c r="E3143" t="s">
        <v>3473</v>
      </c>
    </row>
    <row r="3144" spans="1:6" x14ac:dyDescent="0.25">
      <c r="A3144" t="str">
        <f>"234206631298"</f>
        <v>234206631298</v>
      </c>
      <c r="B3144" t="s">
        <v>4323</v>
      </c>
      <c r="C3144" t="s">
        <v>7</v>
      </c>
      <c r="D3144" t="s">
        <v>14</v>
      </c>
      <c r="E3144" t="s">
        <v>3473</v>
      </c>
    </row>
    <row r="3145" spans="1:6" x14ac:dyDescent="0.25">
      <c r="A3145" t="str">
        <f>"234206742199"</f>
        <v>234206742199</v>
      </c>
      <c r="B3145" t="s">
        <v>4324</v>
      </c>
      <c r="C3145" t="s">
        <v>7</v>
      </c>
      <c r="D3145" t="s">
        <v>12</v>
      </c>
      <c r="E3145" t="s">
        <v>3473</v>
      </c>
    </row>
    <row r="3146" spans="1:6" x14ac:dyDescent="0.25">
      <c r="A3146" t="str">
        <f>"234303502844"</f>
        <v>234303502844</v>
      </c>
      <c r="B3146" t="s">
        <v>4325</v>
      </c>
      <c r="C3146" t="s">
        <v>7</v>
      </c>
      <c r="D3146" t="s">
        <v>14</v>
      </c>
      <c r="E3146" t="s">
        <v>3473</v>
      </c>
    </row>
    <row r="3147" spans="1:6" x14ac:dyDescent="0.25">
      <c r="A3147" t="str">
        <f>"234403194520"</f>
        <v>234403194520</v>
      </c>
      <c r="B3147" t="s">
        <v>4326</v>
      </c>
      <c r="C3147" t="s">
        <v>7</v>
      </c>
      <c r="D3147" t="s">
        <v>14</v>
      </c>
      <c r="E3147" t="s">
        <v>3473</v>
      </c>
    </row>
    <row r="3148" spans="1:6" x14ac:dyDescent="0.25">
      <c r="A3148" t="str">
        <f>"234501287074"</f>
        <v>234501287074</v>
      </c>
      <c r="B3148" t="s">
        <v>4327</v>
      </c>
      <c r="C3148" t="s">
        <v>7</v>
      </c>
      <c r="D3148" t="s">
        <v>14</v>
      </c>
      <c r="E3148" t="s">
        <v>3473</v>
      </c>
    </row>
    <row r="3149" spans="1:6" x14ac:dyDescent="0.25">
      <c r="A3149" t="str">
        <f>"234503002503"</f>
        <v>234503002503</v>
      </c>
      <c r="B3149" t="s">
        <v>4328</v>
      </c>
      <c r="C3149" t="s">
        <v>7</v>
      </c>
      <c r="D3149" t="s">
        <v>12</v>
      </c>
      <c r="E3149" t="s">
        <v>3473</v>
      </c>
    </row>
    <row r="3150" spans="1:6" x14ac:dyDescent="0.25">
      <c r="A3150" t="str">
        <f>"234601579793"</f>
        <v>234601579793</v>
      </c>
      <c r="B3150" t="s">
        <v>4329</v>
      </c>
      <c r="C3150" t="s">
        <v>7</v>
      </c>
      <c r="D3150" t="s">
        <v>14</v>
      </c>
      <c r="E3150" t="s">
        <v>3473</v>
      </c>
    </row>
    <row r="3151" spans="1:6" x14ac:dyDescent="0.25">
      <c r="A3151" t="str">
        <f>"234701001396"</f>
        <v>234701001396</v>
      </c>
      <c r="B3151" t="s">
        <v>4330</v>
      </c>
      <c r="C3151" t="s">
        <v>7</v>
      </c>
      <c r="D3151" t="s">
        <v>14</v>
      </c>
      <c r="E3151" t="s">
        <v>3473</v>
      </c>
    </row>
    <row r="3152" spans="1:6" x14ac:dyDescent="0.25">
      <c r="A3152" t="str">
        <f>"234802092625"</f>
        <v>234802092625</v>
      </c>
      <c r="B3152" t="s">
        <v>4331</v>
      </c>
      <c r="C3152" t="s">
        <v>7</v>
      </c>
      <c r="D3152" t="s">
        <v>14</v>
      </c>
      <c r="E3152" t="s">
        <v>3473</v>
      </c>
    </row>
    <row r="3153" spans="1:5" x14ac:dyDescent="0.25">
      <c r="A3153" t="str">
        <f>"234806919176"</f>
        <v>234806919176</v>
      </c>
      <c r="B3153" t="s">
        <v>4332</v>
      </c>
      <c r="C3153" t="s">
        <v>7</v>
      </c>
      <c r="D3153" t="s">
        <v>14</v>
      </c>
      <c r="E3153" t="s">
        <v>3473</v>
      </c>
    </row>
    <row r="3154" spans="1:5" x14ac:dyDescent="0.25">
      <c r="A3154" t="str">
        <f>"234808631087"</f>
        <v>234808631087</v>
      </c>
      <c r="B3154" t="s">
        <v>4333</v>
      </c>
      <c r="C3154" t="s">
        <v>7</v>
      </c>
      <c r="D3154" t="s">
        <v>14</v>
      </c>
      <c r="E3154" t="s">
        <v>3473</v>
      </c>
    </row>
    <row r="3155" spans="1:5" x14ac:dyDescent="0.25">
      <c r="A3155" t="str">
        <f>"234828160862"</f>
        <v>234828160862</v>
      </c>
      <c r="B3155" t="s">
        <v>4334</v>
      </c>
      <c r="C3155" t="s">
        <v>7</v>
      </c>
      <c r="D3155" t="s">
        <v>14</v>
      </c>
      <c r="E3155" t="s">
        <v>3473</v>
      </c>
    </row>
    <row r="3156" spans="1:5" x14ac:dyDescent="0.25">
      <c r="A3156" t="str">
        <f>"234900900486"</f>
        <v>234900900486</v>
      </c>
      <c r="B3156" t="s">
        <v>4335</v>
      </c>
      <c r="C3156" t="s">
        <v>7</v>
      </c>
      <c r="D3156" t="s">
        <v>14</v>
      </c>
      <c r="E3156" t="s">
        <v>3473</v>
      </c>
    </row>
    <row r="3157" spans="1:5" x14ac:dyDescent="0.25">
      <c r="A3157" t="str">
        <f>"234901215780"</f>
        <v>234901215780</v>
      </c>
      <c r="B3157" t="s">
        <v>4336</v>
      </c>
      <c r="C3157" t="s">
        <v>7</v>
      </c>
      <c r="D3157" t="s">
        <v>14</v>
      </c>
      <c r="E3157" t="s">
        <v>3473</v>
      </c>
    </row>
    <row r="3158" spans="1:5" x14ac:dyDescent="0.25">
      <c r="A3158" t="str">
        <f>"234905780503"</f>
        <v>234905780503</v>
      </c>
      <c r="B3158" t="s">
        <v>4337</v>
      </c>
      <c r="C3158" t="s">
        <v>7</v>
      </c>
      <c r="D3158" t="s">
        <v>14</v>
      </c>
      <c r="E3158" t="s">
        <v>3473</v>
      </c>
    </row>
    <row r="3159" spans="1:5" x14ac:dyDescent="0.25">
      <c r="A3159" t="str">
        <f>"591113397818"</f>
        <v>591113397818</v>
      </c>
      <c r="B3159" t="s">
        <v>4338</v>
      </c>
      <c r="C3159" t="s">
        <v>7</v>
      </c>
      <c r="D3159" t="s">
        <v>14</v>
      </c>
      <c r="E3159" t="s">
        <v>3473</v>
      </c>
    </row>
    <row r="3160" spans="1:5" x14ac:dyDescent="0.25">
      <c r="A3160" t="str">
        <f>"290202027343"</f>
        <v>290202027343</v>
      </c>
      <c r="B3160" t="s">
        <v>4339</v>
      </c>
      <c r="C3160" t="s">
        <v>7</v>
      </c>
      <c r="D3160" t="s">
        <v>14</v>
      </c>
      <c r="E3160" t="s">
        <v>3473</v>
      </c>
    </row>
    <row r="3161" spans="1:5" x14ac:dyDescent="0.25">
      <c r="A3161" t="str">
        <f>"234910660554"</f>
        <v>234910660554</v>
      </c>
      <c r="B3161" t="s">
        <v>4340</v>
      </c>
      <c r="C3161" t="s">
        <v>7</v>
      </c>
      <c r="D3161" t="s">
        <v>14</v>
      </c>
      <c r="E3161" t="s">
        <v>3473</v>
      </c>
    </row>
    <row r="3162" spans="1:5" x14ac:dyDescent="0.25">
      <c r="A3162" t="str">
        <f>"234912496518"</f>
        <v>234912496518</v>
      </c>
      <c r="B3162" t="s">
        <v>4341</v>
      </c>
      <c r="C3162" t="s">
        <v>7</v>
      </c>
      <c r="D3162" t="s">
        <v>14</v>
      </c>
      <c r="E3162" t="s">
        <v>3473</v>
      </c>
    </row>
    <row r="3163" spans="1:5" x14ac:dyDescent="0.25">
      <c r="A3163" t="str">
        <f>"235000252989"</f>
        <v>235000252989</v>
      </c>
      <c r="B3163" t="s">
        <v>4342</v>
      </c>
      <c r="C3163" t="s">
        <v>7</v>
      </c>
      <c r="D3163" t="s">
        <v>14</v>
      </c>
      <c r="E3163" t="s">
        <v>3473</v>
      </c>
    </row>
    <row r="3164" spans="1:5" x14ac:dyDescent="0.25">
      <c r="A3164" t="str">
        <f>"235001304799"</f>
        <v>235001304799</v>
      </c>
      <c r="B3164" t="s">
        <v>4343</v>
      </c>
      <c r="C3164" t="s">
        <v>7</v>
      </c>
      <c r="D3164" t="s">
        <v>12</v>
      </c>
      <c r="E3164" t="s">
        <v>3473</v>
      </c>
    </row>
    <row r="3165" spans="1:5" x14ac:dyDescent="0.25">
      <c r="A3165" t="str">
        <f>"235200251206"</f>
        <v>235200251206</v>
      </c>
      <c r="B3165" t="s">
        <v>4344</v>
      </c>
      <c r="C3165" t="s">
        <v>7</v>
      </c>
      <c r="D3165" t="s">
        <v>14</v>
      </c>
      <c r="E3165" t="s">
        <v>3473</v>
      </c>
    </row>
    <row r="3166" spans="1:5" x14ac:dyDescent="0.25">
      <c r="A3166" t="str">
        <f>"235201329254"</f>
        <v>235201329254</v>
      </c>
      <c r="B3166" t="s">
        <v>4345</v>
      </c>
      <c r="C3166" t="s">
        <v>7</v>
      </c>
      <c r="D3166" t="s">
        <v>14</v>
      </c>
      <c r="E3166" t="s">
        <v>3473</v>
      </c>
    </row>
    <row r="3167" spans="1:5" x14ac:dyDescent="0.25">
      <c r="A3167" t="str">
        <f>"235206686429"</f>
        <v>235206686429</v>
      </c>
      <c r="B3167" t="s">
        <v>4346</v>
      </c>
      <c r="C3167" t="s">
        <v>7</v>
      </c>
      <c r="D3167" t="s">
        <v>14</v>
      </c>
      <c r="E3167" t="s">
        <v>3473</v>
      </c>
    </row>
    <row r="3168" spans="1:5" x14ac:dyDescent="0.25">
      <c r="A3168" t="str">
        <f>"235210326348"</f>
        <v>235210326348</v>
      </c>
      <c r="B3168" t="s">
        <v>4347</v>
      </c>
      <c r="C3168" t="s">
        <v>7</v>
      </c>
      <c r="D3168" t="s">
        <v>14</v>
      </c>
      <c r="E3168" t="s">
        <v>3473</v>
      </c>
    </row>
    <row r="3169" spans="1:6" x14ac:dyDescent="0.25">
      <c r="A3169" t="str">
        <f>"235301549038"</f>
        <v>235301549038</v>
      </c>
      <c r="B3169" t="s">
        <v>4348</v>
      </c>
      <c r="C3169" t="s">
        <v>7</v>
      </c>
      <c r="D3169" t="s">
        <v>14</v>
      </c>
      <c r="E3169" t="s">
        <v>3473</v>
      </c>
    </row>
    <row r="3170" spans="1:6" x14ac:dyDescent="0.25">
      <c r="A3170" t="str">
        <f>"235303552477"</f>
        <v>235303552477</v>
      </c>
      <c r="B3170" t="s">
        <v>4349</v>
      </c>
      <c r="C3170" t="s">
        <v>7</v>
      </c>
      <c r="D3170" t="s">
        <v>12</v>
      </c>
      <c r="E3170" t="s">
        <v>3473</v>
      </c>
    </row>
    <row r="3171" spans="1:6" x14ac:dyDescent="0.25">
      <c r="A3171" t="str">
        <f>"235402417609"</f>
        <v>235402417609</v>
      </c>
      <c r="B3171" t="s">
        <v>4350</v>
      </c>
      <c r="C3171" t="s">
        <v>7</v>
      </c>
      <c r="D3171" t="s">
        <v>14</v>
      </c>
      <c r="E3171" t="s">
        <v>3473</v>
      </c>
    </row>
    <row r="3172" spans="1:6" x14ac:dyDescent="0.25">
      <c r="A3172" t="str">
        <f>"235504447521"</f>
        <v>235504447521</v>
      </c>
      <c r="B3172" t="s">
        <v>4351</v>
      </c>
      <c r="C3172" t="s">
        <v>7</v>
      </c>
      <c r="D3172" t="s">
        <v>14</v>
      </c>
      <c r="E3172" t="s">
        <v>3473</v>
      </c>
    </row>
    <row r="3173" spans="1:6" x14ac:dyDescent="0.25">
      <c r="A3173" t="str">
        <f>"235601601715"</f>
        <v>235601601715</v>
      </c>
      <c r="B3173" t="s">
        <v>4352</v>
      </c>
      <c r="C3173" t="s">
        <v>7</v>
      </c>
      <c r="D3173" t="s">
        <v>14</v>
      </c>
      <c r="E3173" t="s">
        <v>3473</v>
      </c>
    </row>
    <row r="3174" spans="1:6" x14ac:dyDescent="0.25">
      <c r="A3174" t="str">
        <f>"235702167156"</f>
        <v>235702167156</v>
      </c>
      <c r="B3174" t="s">
        <v>4353</v>
      </c>
      <c r="C3174" t="s">
        <v>7</v>
      </c>
      <c r="D3174" t="s">
        <v>14</v>
      </c>
      <c r="E3174" t="s">
        <v>3473</v>
      </c>
    </row>
    <row r="3175" spans="1:6" x14ac:dyDescent="0.25">
      <c r="A3175" t="str">
        <f>"235800483865"</f>
        <v>235800483865</v>
      </c>
      <c r="B3175" t="s">
        <v>4354</v>
      </c>
      <c r="C3175" t="s">
        <v>7</v>
      </c>
      <c r="D3175" t="s">
        <v>14</v>
      </c>
      <c r="E3175" t="s">
        <v>3473</v>
      </c>
    </row>
    <row r="3176" spans="1:6" x14ac:dyDescent="0.25">
      <c r="A3176" t="str">
        <f>"236101340351"</f>
        <v>236101340351</v>
      </c>
      <c r="B3176" t="s">
        <v>4355</v>
      </c>
      <c r="C3176" t="s">
        <v>7</v>
      </c>
      <c r="D3176" t="s">
        <v>12</v>
      </c>
      <c r="E3176" t="s">
        <v>3473</v>
      </c>
    </row>
    <row r="3177" spans="1:6" x14ac:dyDescent="0.25">
      <c r="A3177" t="str">
        <f>"236402166481"</f>
        <v>236402166481</v>
      </c>
      <c r="B3177" t="s">
        <v>4356</v>
      </c>
      <c r="C3177" t="s">
        <v>7</v>
      </c>
      <c r="D3177" t="s">
        <v>14</v>
      </c>
      <c r="E3177" t="s">
        <v>3473</v>
      </c>
    </row>
    <row r="3178" spans="1:6" x14ac:dyDescent="0.25">
      <c r="A3178" t="str">
        <f>"236500497883"</f>
        <v>236500497883</v>
      </c>
      <c r="B3178" t="s">
        <v>4357</v>
      </c>
      <c r="C3178" t="s">
        <v>7</v>
      </c>
      <c r="D3178" t="s">
        <v>14</v>
      </c>
      <c r="E3178" t="s">
        <v>3473</v>
      </c>
    </row>
    <row r="3179" spans="1:6" x14ac:dyDescent="0.25">
      <c r="A3179" t="str">
        <f>"2365027728"</f>
        <v>2365027728</v>
      </c>
      <c r="B3179" t="s">
        <v>4358</v>
      </c>
      <c r="C3179" t="s">
        <v>7</v>
      </c>
      <c r="D3179" t="s">
        <v>14</v>
      </c>
      <c r="E3179" t="s">
        <v>3473</v>
      </c>
      <c r="F3179" t="s">
        <v>4359</v>
      </c>
    </row>
    <row r="3180" spans="1:6" x14ac:dyDescent="0.25">
      <c r="A3180" t="str">
        <f>"236601400104"</f>
        <v>236601400104</v>
      </c>
      <c r="B3180" t="s">
        <v>4360</v>
      </c>
      <c r="C3180" t="s">
        <v>7</v>
      </c>
      <c r="D3180" t="s">
        <v>12</v>
      </c>
      <c r="E3180" t="s">
        <v>3473</v>
      </c>
    </row>
    <row r="3181" spans="1:6" x14ac:dyDescent="0.25">
      <c r="A3181" t="str">
        <f>"2366050920"</f>
        <v>2366050920</v>
      </c>
      <c r="B3181" t="s">
        <v>4361</v>
      </c>
      <c r="C3181" t="s">
        <v>7</v>
      </c>
      <c r="D3181" t="s">
        <v>14</v>
      </c>
      <c r="E3181" t="s">
        <v>3473</v>
      </c>
      <c r="F3181" t="s">
        <v>4362</v>
      </c>
    </row>
    <row r="3182" spans="1:6" x14ac:dyDescent="0.25">
      <c r="A3182" t="str">
        <f>"2367024169"</f>
        <v>2367024169</v>
      </c>
      <c r="B3182" t="s">
        <v>4363</v>
      </c>
      <c r="C3182" t="s">
        <v>7</v>
      </c>
      <c r="D3182" t="s">
        <v>12</v>
      </c>
      <c r="E3182" t="s">
        <v>3473</v>
      </c>
      <c r="F3182" t="s">
        <v>4364</v>
      </c>
    </row>
    <row r="3183" spans="1:6" x14ac:dyDescent="0.25">
      <c r="A3183" t="str">
        <f>"2367042270"</f>
        <v>2367042270</v>
      </c>
      <c r="B3183" t="s">
        <v>4365</v>
      </c>
      <c r="C3183" t="s">
        <v>7</v>
      </c>
      <c r="D3183" t="s">
        <v>33</v>
      </c>
      <c r="E3183" t="s">
        <v>3473</v>
      </c>
      <c r="F3183" t="s">
        <v>4366</v>
      </c>
    </row>
    <row r="3184" spans="1:6" x14ac:dyDescent="0.25">
      <c r="A3184" t="str">
        <f>"2368009967"</f>
        <v>2368009967</v>
      </c>
      <c r="B3184" t="s">
        <v>4367</v>
      </c>
      <c r="C3184" t="s">
        <v>7</v>
      </c>
      <c r="D3184" t="s">
        <v>12</v>
      </c>
      <c r="E3184" t="s">
        <v>3473</v>
      </c>
      <c r="F3184" t="s">
        <v>4368</v>
      </c>
    </row>
    <row r="3185" spans="1:6" x14ac:dyDescent="0.25">
      <c r="A3185" t="str">
        <f>"236803001590"</f>
        <v>236803001590</v>
      </c>
      <c r="B3185" t="s">
        <v>4369</v>
      </c>
      <c r="C3185" t="s">
        <v>7</v>
      </c>
      <c r="D3185" t="s">
        <v>14</v>
      </c>
      <c r="E3185" t="s">
        <v>3473</v>
      </c>
    </row>
    <row r="3186" spans="1:6" x14ac:dyDescent="0.25">
      <c r="A3186" t="str">
        <f>"890102149087"</f>
        <v>890102149087</v>
      </c>
      <c r="B3186" t="s">
        <v>4370</v>
      </c>
      <c r="C3186" t="s">
        <v>7</v>
      </c>
      <c r="D3186" t="s">
        <v>14</v>
      </c>
      <c r="E3186" t="s">
        <v>3473</v>
      </c>
    </row>
    <row r="3187" spans="1:6" x14ac:dyDescent="0.25">
      <c r="A3187" t="str">
        <f>"504009723238"</f>
        <v>504009723238</v>
      </c>
      <c r="B3187" t="s">
        <v>4371</v>
      </c>
      <c r="C3187" t="s">
        <v>7</v>
      </c>
      <c r="D3187" t="s">
        <v>189</v>
      </c>
      <c r="E3187" t="s">
        <v>3473</v>
      </c>
    </row>
    <row r="3188" spans="1:6" x14ac:dyDescent="0.25">
      <c r="A3188" t="str">
        <f>"861401034009"</f>
        <v>861401034009</v>
      </c>
      <c r="B3188" t="s">
        <v>4372</v>
      </c>
      <c r="C3188" t="s">
        <v>7</v>
      </c>
      <c r="D3188" t="s">
        <v>14</v>
      </c>
      <c r="E3188" t="s">
        <v>3473</v>
      </c>
    </row>
    <row r="3189" spans="1:6" x14ac:dyDescent="0.25">
      <c r="A3189" t="str">
        <f>"890412763018"</f>
        <v>890412763018</v>
      </c>
      <c r="B3189" t="s">
        <v>4373</v>
      </c>
      <c r="C3189" t="s">
        <v>7</v>
      </c>
      <c r="D3189" t="s">
        <v>14</v>
      </c>
      <c r="E3189" t="s">
        <v>3473</v>
      </c>
    </row>
    <row r="3190" spans="1:6" x14ac:dyDescent="0.25">
      <c r="A3190" t="str">
        <f>"760410998830"</f>
        <v>760410998830</v>
      </c>
      <c r="B3190" t="s">
        <v>4374</v>
      </c>
      <c r="C3190" t="s">
        <v>7</v>
      </c>
      <c r="D3190" t="s">
        <v>14</v>
      </c>
      <c r="E3190" t="s">
        <v>3473</v>
      </c>
    </row>
    <row r="3191" spans="1:6" x14ac:dyDescent="0.25">
      <c r="A3191" t="str">
        <f>"233600336027"</f>
        <v>233600336027</v>
      </c>
      <c r="B3191" t="s">
        <v>4375</v>
      </c>
      <c r="C3191" t="s">
        <v>7</v>
      </c>
      <c r="D3191" t="s">
        <v>14</v>
      </c>
      <c r="E3191" t="s">
        <v>3473</v>
      </c>
    </row>
    <row r="3192" spans="1:6" x14ac:dyDescent="0.25">
      <c r="A3192" t="str">
        <f>"233608110279"</f>
        <v>233608110279</v>
      </c>
      <c r="B3192" t="s">
        <v>4376</v>
      </c>
      <c r="C3192" t="s">
        <v>7</v>
      </c>
      <c r="D3192" t="s">
        <v>14</v>
      </c>
      <c r="E3192" t="s">
        <v>3473</v>
      </c>
    </row>
    <row r="3193" spans="1:6" x14ac:dyDescent="0.25">
      <c r="A3193" t="str">
        <f>"233611038209"</f>
        <v>233611038209</v>
      </c>
      <c r="B3193" t="s">
        <v>4377</v>
      </c>
      <c r="C3193" t="s">
        <v>7</v>
      </c>
      <c r="D3193" t="s">
        <v>14</v>
      </c>
      <c r="E3193" t="s">
        <v>3473</v>
      </c>
    </row>
    <row r="3194" spans="1:6" x14ac:dyDescent="0.25">
      <c r="A3194" t="str">
        <f>"233704435801"</f>
        <v>233704435801</v>
      </c>
      <c r="B3194" t="s">
        <v>4378</v>
      </c>
      <c r="C3194" t="s">
        <v>7</v>
      </c>
      <c r="D3194" t="s">
        <v>14</v>
      </c>
      <c r="E3194" t="s">
        <v>3473</v>
      </c>
    </row>
    <row r="3195" spans="1:6" x14ac:dyDescent="0.25">
      <c r="A3195" t="str">
        <f>"233706127908"</f>
        <v>233706127908</v>
      </c>
      <c r="B3195" t="s">
        <v>4379</v>
      </c>
      <c r="C3195" t="s">
        <v>7</v>
      </c>
      <c r="D3195" t="s">
        <v>14</v>
      </c>
      <c r="E3195" t="s">
        <v>3473</v>
      </c>
    </row>
    <row r="3196" spans="1:6" x14ac:dyDescent="0.25">
      <c r="A3196" t="str">
        <f>"233706990536"</f>
        <v>233706990536</v>
      </c>
      <c r="B3196" t="s">
        <v>4380</v>
      </c>
      <c r="C3196" t="s">
        <v>7</v>
      </c>
      <c r="D3196" t="s">
        <v>14</v>
      </c>
      <c r="E3196" t="s">
        <v>3473</v>
      </c>
    </row>
    <row r="3197" spans="1:6" x14ac:dyDescent="0.25">
      <c r="A3197" t="str">
        <f>"233707946138"</f>
        <v>233707946138</v>
      </c>
      <c r="B3197" t="s">
        <v>4381</v>
      </c>
      <c r="C3197" t="s">
        <v>7</v>
      </c>
      <c r="D3197" t="s">
        <v>14</v>
      </c>
      <c r="E3197" t="s">
        <v>3473</v>
      </c>
    </row>
    <row r="3198" spans="1:6" x14ac:dyDescent="0.25">
      <c r="A3198" t="str">
        <f>"233712189726"</f>
        <v>233712189726</v>
      </c>
      <c r="B3198" t="s">
        <v>4382</v>
      </c>
      <c r="C3198" t="s">
        <v>7</v>
      </c>
      <c r="D3198" t="s">
        <v>14</v>
      </c>
      <c r="E3198" t="s">
        <v>3473</v>
      </c>
    </row>
    <row r="3199" spans="1:6" x14ac:dyDescent="0.25">
      <c r="A3199" t="str">
        <f>"233802233909"</f>
        <v>233802233909</v>
      </c>
      <c r="B3199" t="s">
        <v>4383</v>
      </c>
      <c r="C3199" t="s">
        <v>7</v>
      </c>
      <c r="D3199" t="s">
        <v>14</v>
      </c>
      <c r="E3199" t="s">
        <v>3473</v>
      </c>
    </row>
    <row r="3200" spans="1:6" x14ac:dyDescent="0.25">
      <c r="A3200" t="str">
        <f>"2339022642"</f>
        <v>2339022642</v>
      </c>
      <c r="B3200" t="s">
        <v>4384</v>
      </c>
      <c r="C3200" t="s">
        <v>7</v>
      </c>
      <c r="D3200" t="s">
        <v>33</v>
      </c>
      <c r="E3200" t="s">
        <v>3473</v>
      </c>
      <c r="F3200" t="s">
        <v>4385</v>
      </c>
    </row>
    <row r="3201" spans="1:6" x14ac:dyDescent="0.25">
      <c r="A3201" t="str">
        <f>"233903640160"</f>
        <v>233903640160</v>
      </c>
      <c r="B3201" t="s">
        <v>4386</v>
      </c>
      <c r="C3201" t="s">
        <v>7</v>
      </c>
      <c r="D3201" t="s">
        <v>14</v>
      </c>
      <c r="E3201" t="s">
        <v>3473</v>
      </c>
    </row>
    <row r="3202" spans="1:6" x14ac:dyDescent="0.25">
      <c r="A3202" t="str">
        <f>"233906106310"</f>
        <v>233906106310</v>
      </c>
      <c r="B3202" t="s">
        <v>4387</v>
      </c>
      <c r="C3202" t="s">
        <v>7</v>
      </c>
      <c r="D3202" t="s">
        <v>14</v>
      </c>
      <c r="E3202" t="s">
        <v>3473</v>
      </c>
    </row>
    <row r="3203" spans="1:6" x14ac:dyDescent="0.25">
      <c r="A3203" t="str">
        <f>"234000856957"</f>
        <v>234000856957</v>
      </c>
      <c r="B3203" t="s">
        <v>4388</v>
      </c>
      <c r="C3203" t="s">
        <v>7</v>
      </c>
      <c r="D3203" t="s">
        <v>14</v>
      </c>
      <c r="E3203" t="s">
        <v>3473</v>
      </c>
    </row>
    <row r="3204" spans="1:6" x14ac:dyDescent="0.25">
      <c r="A3204" t="str">
        <f>"234003529820"</f>
        <v>234003529820</v>
      </c>
      <c r="B3204" t="s">
        <v>4389</v>
      </c>
      <c r="C3204" t="s">
        <v>7</v>
      </c>
      <c r="D3204" t="s">
        <v>14</v>
      </c>
      <c r="E3204" t="s">
        <v>3473</v>
      </c>
    </row>
    <row r="3205" spans="1:6" x14ac:dyDescent="0.25">
      <c r="A3205" t="str">
        <f>"234003909565"</f>
        <v>234003909565</v>
      </c>
      <c r="B3205" t="s">
        <v>4390</v>
      </c>
      <c r="C3205" t="s">
        <v>7</v>
      </c>
      <c r="D3205" t="s">
        <v>14</v>
      </c>
      <c r="E3205" t="s">
        <v>3473</v>
      </c>
    </row>
    <row r="3206" spans="1:6" x14ac:dyDescent="0.25">
      <c r="A3206" t="str">
        <f>"234100467834"</f>
        <v>234100467834</v>
      </c>
      <c r="B3206" t="s">
        <v>4391</v>
      </c>
      <c r="C3206" t="s">
        <v>7</v>
      </c>
      <c r="D3206" t="s">
        <v>14</v>
      </c>
      <c r="E3206" t="s">
        <v>3473</v>
      </c>
    </row>
    <row r="3207" spans="1:6" x14ac:dyDescent="0.25">
      <c r="A3207" t="str">
        <f>"234102878910"</f>
        <v>234102878910</v>
      </c>
      <c r="B3207" t="s">
        <v>4392</v>
      </c>
      <c r="C3207" t="s">
        <v>7</v>
      </c>
      <c r="D3207" t="s">
        <v>14</v>
      </c>
      <c r="E3207" t="s">
        <v>3473</v>
      </c>
    </row>
    <row r="3208" spans="1:6" x14ac:dyDescent="0.25">
      <c r="A3208" t="str">
        <f>"234106360453"</f>
        <v>234106360453</v>
      </c>
      <c r="B3208" t="s">
        <v>4393</v>
      </c>
      <c r="C3208" t="s">
        <v>7</v>
      </c>
      <c r="D3208" t="s">
        <v>14</v>
      </c>
      <c r="E3208" t="s">
        <v>3473</v>
      </c>
    </row>
    <row r="3209" spans="1:6" x14ac:dyDescent="0.25">
      <c r="A3209" t="str">
        <f>"234321121337"</f>
        <v>234321121337</v>
      </c>
      <c r="B3209" t="s">
        <v>4394</v>
      </c>
      <c r="C3209" t="s">
        <v>7</v>
      </c>
      <c r="D3209" t="s">
        <v>14</v>
      </c>
      <c r="E3209" t="s">
        <v>3473</v>
      </c>
    </row>
    <row r="3210" spans="1:6" x14ac:dyDescent="0.25">
      <c r="A3210" t="str">
        <f>"234404066802"</f>
        <v>234404066802</v>
      </c>
      <c r="B3210" t="s">
        <v>4395</v>
      </c>
      <c r="C3210" t="s">
        <v>7</v>
      </c>
      <c r="D3210" t="s">
        <v>14</v>
      </c>
      <c r="E3210" t="s">
        <v>3473</v>
      </c>
    </row>
    <row r="3211" spans="1:6" x14ac:dyDescent="0.25">
      <c r="A3211" t="str">
        <f>"2346003383"</f>
        <v>2346003383</v>
      </c>
      <c r="B3211" t="s">
        <v>4396</v>
      </c>
      <c r="C3211" t="s">
        <v>7</v>
      </c>
      <c r="D3211" t="s">
        <v>14</v>
      </c>
      <c r="E3211" t="s">
        <v>3473</v>
      </c>
      <c r="F3211" t="s">
        <v>4397</v>
      </c>
    </row>
    <row r="3212" spans="1:6" x14ac:dyDescent="0.25">
      <c r="A3212" t="str">
        <f>"234601259137"</f>
        <v>234601259137</v>
      </c>
      <c r="B3212" t="s">
        <v>4398</v>
      </c>
      <c r="C3212" t="s">
        <v>7</v>
      </c>
      <c r="D3212" t="s">
        <v>14</v>
      </c>
      <c r="E3212" t="s">
        <v>3473</v>
      </c>
    </row>
    <row r="3213" spans="1:6" x14ac:dyDescent="0.25">
      <c r="A3213" t="str">
        <f>"234603946270"</f>
        <v>234603946270</v>
      </c>
      <c r="B3213" t="s">
        <v>4399</v>
      </c>
      <c r="C3213" t="s">
        <v>7</v>
      </c>
      <c r="D3213" t="s">
        <v>12</v>
      </c>
      <c r="E3213" t="s">
        <v>3473</v>
      </c>
    </row>
    <row r="3214" spans="1:6" x14ac:dyDescent="0.25">
      <c r="A3214" t="str">
        <f>"234700082787"</f>
        <v>234700082787</v>
      </c>
      <c r="B3214" t="s">
        <v>4400</v>
      </c>
      <c r="C3214" t="s">
        <v>7</v>
      </c>
      <c r="D3214" t="s">
        <v>14</v>
      </c>
      <c r="E3214" t="s">
        <v>3473</v>
      </c>
    </row>
    <row r="3215" spans="1:6" x14ac:dyDescent="0.25">
      <c r="A3215" t="str">
        <f>"234705434200"</f>
        <v>234705434200</v>
      </c>
      <c r="B3215" t="s">
        <v>4401</v>
      </c>
      <c r="C3215" t="s">
        <v>7</v>
      </c>
      <c r="D3215" t="s">
        <v>12</v>
      </c>
      <c r="E3215" t="s">
        <v>3473</v>
      </c>
    </row>
    <row r="3216" spans="1:6" x14ac:dyDescent="0.25">
      <c r="A3216" t="str">
        <f>"234800010000"</f>
        <v>234800010000</v>
      </c>
      <c r="B3216" t="s">
        <v>4402</v>
      </c>
      <c r="C3216" t="s">
        <v>7</v>
      </c>
      <c r="D3216" t="s">
        <v>14</v>
      </c>
      <c r="E3216" t="s">
        <v>3473</v>
      </c>
    </row>
    <row r="3217" spans="1:6" x14ac:dyDescent="0.25">
      <c r="A3217" t="str">
        <f>"234800129326"</f>
        <v>234800129326</v>
      </c>
      <c r="B3217" t="s">
        <v>4403</v>
      </c>
      <c r="C3217" t="s">
        <v>7</v>
      </c>
      <c r="D3217" t="s">
        <v>14</v>
      </c>
      <c r="E3217" t="s">
        <v>3473</v>
      </c>
    </row>
    <row r="3218" spans="1:6" x14ac:dyDescent="0.25">
      <c r="A3218" t="str">
        <f>"2348016860"</f>
        <v>2348016860</v>
      </c>
      <c r="B3218" t="s">
        <v>4404</v>
      </c>
      <c r="C3218" t="s">
        <v>7</v>
      </c>
      <c r="D3218" t="s">
        <v>33</v>
      </c>
      <c r="E3218" t="s">
        <v>3473</v>
      </c>
      <c r="F3218" t="s">
        <v>4405</v>
      </c>
    </row>
    <row r="3219" spans="1:6" x14ac:dyDescent="0.25">
      <c r="A3219" t="str">
        <f>"234806101214"</f>
        <v>234806101214</v>
      </c>
      <c r="B3219" t="s">
        <v>4406</v>
      </c>
      <c r="C3219" t="s">
        <v>7</v>
      </c>
      <c r="D3219" t="s">
        <v>14</v>
      </c>
      <c r="E3219" t="s">
        <v>3473</v>
      </c>
    </row>
    <row r="3220" spans="1:6" x14ac:dyDescent="0.25">
      <c r="A3220" t="str">
        <f>"234811614860"</f>
        <v>234811614860</v>
      </c>
      <c r="B3220" t="s">
        <v>4407</v>
      </c>
      <c r="C3220" t="s">
        <v>7</v>
      </c>
      <c r="D3220" t="s">
        <v>14</v>
      </c>
      <c r="E3220" t="s">
        <v>3473</v>
      </c>
    </row>
    <row r="3221" spans="1:6" x14ac:dyDescent="0.25">
      <c r="A3221" t="str">
        <f>"234901001121"</f>
        <v>234901001121</v>
      </c>
      <c r="B3221" t="s">
        <v>4408</v>
      </c>
      <c r="C3221" t="s">
        <v>7</v>
      </c>
      <c r="D3221" t="s">
        <v>14</v>
      </c>
      <c r="E3221" t="s">
        <v>3473</v>
      </c>
    </row>
    <row r="3222" spans="1:6" x14ac:dyDescent="0.25">
      <c r="A3222" t="str">
        <f>"234910477439"</f>
        <v>234910477439</v>
      </c>
      <c r="B3222" t="s">
        <v>4409</v>
      </c>
      <c r="C3222" t="s">
        <v>7</v>
      </c>
      <c r="D3222" t="s">
        <v>14</v>
      </c>
      <c r="E3222" t="s">
        <v>3473</v>
      </c>
    </row>
    <row r="3223" spans="1:6" x14ac:dyDescent="0.25">
      <c r="A3223" t="str">
        <f>"410111830406"</f>
        <v>410111830406</v>
      </c>
      <c r="B3223" t="s">
        <v>4410</v>
      </c>
      <c r="C3223" t="s">
        <v>7</v>
      </c>
      <c r="D3223" t="s">
        <v>12</v>
      </c>
      <c r="E3223" t="s">
        <v>3473</v>
      </c>
    </row>
    <row r="3224" spans="1:6" x14ac:dyDescent="0.25">
      <c r="A3224" t="str">
        <f>"235002126901"</f>
        <v>235002126901</v>
      </c>
      <c r="B3224" t="s">
        <v>4411</v>
      </c>
      <c r="C3224" t="s">
        <v>7</v>
      </c>
      <c r="D3224" t="s">
        <v>14</v>
      </c>
      <c r="E3224" t="s">
        <v>3473</v>
      </c>
    </row>
    <row r="3225" spans="1:6" x14ac:dyDescent="0.25">
      <c r="A3225" t="str">
        <f>"235100605660"</f>
        <v>235100605660</v>
      </c>
      <c r="B3225" t="s">
        <v>4412</v>
      </c>
      <c r="C3225" t="s">
        <v>7</v>
      </c>
      <c r="D3225" t="s">
        <v>12</v>
      </c>
      <c r="E3225" t="s">
        <v>3473</v>
      </c>
    </row>
    <row r="3226" spans="1:6" x14ac:dyDescent="0.25">
      <c r="A3226" t="str">
        <f>"235102263700"</f>
        <v>235102263700</v>
      </c>
      <c r="B3226" t="s">
        <v>4413</v>
      </c>
      <c r="C3226" t="s">
        <v>7</v>
      </c>
      <c r="D3226" t="s">
        <v>14</v>
      </c>
      <c r="E3226" t="s">
        <v>3473</v>
      </c>
    </row>
    <row r="3227" spans="1:6" x14ac:dyDescent="0.25">
      <c r="A3227" t="str">
        <f>"235208227815"</f>
        <v>235208227815</v>
      </c>
      <c r="B3227" t="s">
        <v>4414</v>
      </c>
      <c r="C3227" t="s">
        <v>7</v>
      </c>
      <c r="D3227" t="s">
        <v>12</v>
      </c>
      <c r="E3227" t="s">
        <v>3473</v>
      </c>
    </row>
    <row r="3228" spans="1:6" x14ac:dyDescent="0.25">
      <c r="A3228" t="str">
        <f>"235209752800"</f>
        <v>235209752800</v>
      </c>
      <c r="B3228" t="s">
        <v>4415</v>
      </c>
      <c r="C3228" t="s">
        <v>7</v>
      </c>
      <c r="D3228" t="s">
        <v>14</v>
      </c>
      <c r="E3228" t="s">
        <v>3473</v>
      </c>
    </row>
    <row r="3229" spans="1:6" x14ac:dyDescent="0.25">
      <c r="A3229" t="str">
        <f>"235300592168"</f>
        <v>235300592168</v>
      </c>
      <c r="B3229" t="s">
        <v>4416</v>
      </c>
      <c r="C3229" t="s">
        <v>7</v>
      </c>
      <c r="D3229" t="s">
        <v>14</v>
      </c>
      <c r="E3229" t="s">
        <v>3473</v>
      </c>
    </row>
    <row r="3230" spans="1:6" x14ac:dyDescent="0.25">
      <c r="A3230" t="str">
        <f>"235303243831"</f>
        <v>235303243831</v>
      </c>
      <c r="B3230" t="s">
        <v>4417</v>
      </c>
      <c r="C3230" t="s">
        <v>7</v>
      </c>
      <c r="D3230" t="s">
        <v>14</v>
      </c>
      <c r="E3230" t="s">
        <v>3473</v>
      </c>
    </row>
    <row r="3231" spans="1:6" x14ac:dyDescent="0.25">
      <c r="A3231" t="str">
        <f>"235304096474"</f>
        <v>235304096474</v>
      </c>
      <c r="B3231" t="s">
        <v>4418</v>
      </c>
      <c r="C3231" t="s">
        <v>7</v>
      </c>
      <c r="D3231" t="s">
        <v>14</v>
      </c>
      <c r="E3231" t="s">
        <v>3473</v>
      </c>
    </row>
    <row r="3232" spans="1:6" x14ac:dyDescent="0.25">
      <c r="A3232" t="str">
        <f>"235404984522"</f>
        <v>235404984522</v>
      </c>
      <c r="B3232" t="s">
        <v>4419</v>
      </c>
      <c r="C3232" t="s">
        <v>7</v>
      </c>
      <c r="D3232" t="s">
        <v>14</v>
      </c>
      <c r="E3232" t="s">
        <v>3473</v>
      </c>
    </row>
    <row r="3233" spans="1:6" x14ac:dyDescent="0.25">
      <c r="A3233" t="str">
        <f>"2355008500"</f>
        <v>2355008500</v>
      </c>
      <c r="B3233" t="s">
        <v>4420</v>
      </c>
      <c r="C3233" t="s">
        <v>7</v>
      </c>
      <c r="D3233" t="s">
        <v>14</v>
      </c>
      <c r="E3233" t="s">
        <v>3473</v>
      </c>
      <c r="F3233" t="s">
        <v>4421</v>
      </c>
    </row>
    <row r="3234" spans="1:6" x14ac:dyDescent="0.25">
      <c r="A3234" t="str">
        <f>"235601789190"</f>
        <v>235601789190</v>
      </c>
      <c r="B3234" t="s">
        <v>4422</v>
      </c>
      <c r="C3234" t="s">
        <v>7</v>
      </c>
      <c r="D3234" t="s">
        <v>14</v>
      </c>
      <c r="E3234" t="s">
        <v>3473</v>
      </c>
    </row>
    <row r="3235" spans="1:6" x14ac:dyDescent="0.25">
      <c r="A3235" t="str">
        <f>"235612850858"</f>
        <v>235612850858</v>
      </c>
      <c r="B3235" t="s">
        <v>4423</v>
      </c>
      <c r="C3235" t="s">
        <v>7</v>
      </c>
      <c r="D3235" t="s">
        <v>14</v>
      </c>
      <c r="E3235" t="s">
        <v>3473</v>
      </c>
    </row>
    <row r="3236" spans="1:6" x14ac:dyDescent="0.25">
      <c r="A3236" t="str">
        <f>"235620588570"</f>
        <v>235620588570</v>
      </c>
      <c r="B3236" t="s">
        <v>4424</v>
      </c>
      <c r="C3236" t="s">
        <v>7</v>
      </c>
      <c r="D3236" t="s">
        <v>14</v>
      </c>
      <c r="E3236" t="s">
        <v>3473</v>
      </c>
    </row>
    <row r="3237" spans="1:6" x14ac:dyDescent="0.25">
      <c r="A3237" t="str">
        <f>"235702431308"</f>
        <v>235702431308</v>
      </c>
      <c r="B3237" t="s">
        <v>4425</v>
      </c>
      <c r="C3237" t="s">
        <v>7</v>
      </c>
      <c r="D3237" t="s">
        <v>14</v>
      </c>
      <c r="E3237" t="s">
        <v>3473</v>
      </c>
    </row>
    <row r="3238" spans="1:6" x14ac:dyDescent="0.25">
      <c r="A3238" t="str">
        <f>"235800176208"</f>
        <v>235800176208</v>
      </c>
      <c r="B3238" t="s">
        <v>4426</v>
      </c>
      <c r="C3238" t="s">
        <v>7</v>
      </c>
      <c r="D3238" t="s">
        <v>12</v>
      </c>
      <c r="E3238" t="s">
        <v>3473</v>
      </c>
    </row>
    <row r="3239" spans="1:6" x14ac:dyDescent="0.25">
      <c r="A3239" t="str">
        <f>"2360012502"</f>
        <v>2360012502</v>
      </c>
      <c r="B3239" t="s">
        <v>4427</v>
      </c>
      <c r="C3239" t="s">
        <v>7</v>
      </c>
      <c r="D3239" t="s">
        <v>463</v>
      </c>
      <c r="E3239" t="s">
        <v>3473</v>
      </c>
      <c r="F3239" t="s">
        <v>4428</v>
      </c>
    </row>
    <row r="3240" spans="1:6" x14ac:dyDescent="0.25">
      <c r="A3240" t="str">
        <f>"236002435718"</f>
        <v>236002435718</v>
      </c>
      <c r="B3240" t="s">
        <v>4429</v>
      </c>
      <c r="C3240" t="s">
        <v>7</v>
      </c>
      <c r="D3240" t="s">
        <v>14</v>
      </c>
      <c r="E3240" t="s">
        <v>3473</v>
      </c>
    </row>
    <row r="3241" spans="1:6" x14ac:dyDescent="0.25">
      <c r="A3241" t="str">
        <f>"2364014130"</f>
        <v>2364014130</v>
      </c>
      <c r="B3241" t="s">
        <v>4430</v>
      </c>
      <c r="C3241" t="s">
        <v>7</v>
      </c>
      <c r="D3241" t="s">
        <v>14</v>
      </c>
      <c r="E3241" t="s">
        <v>3473</v>
      </c>
      <c r="F3241" t="s">
        <v>4431</v>
      </c>
    </row>
    <row r="3242" spans="1:6" x14ac:dyDescent="0.25">
      <c r="A3242" t="str">
        <f>"2365033866"</f>
        <v>2365033866</v>
      </c>
      <c r="B3242" t="s">
        <v>4432</v>
      </c>
      <c r="C3242" t="s">
        <v>7</v>
      </c>
      <c r="D3242" t="s">
        <v>674</v>
      </c>
      <c r="E3242" t="s">
        <v>3473</v>
      </c>
      <c r="F3242" t="s">
        <v>4433</v>
      </c>
    </row>
    <row r="3243" spans="1:6" x14ac:dyDescent="0.25">
      <c r="A3243" t="str">
        <f>"236601872971"</f>
        <v>236601872971</v>
      </c>
      <c r="B3243" t="s">
        <v>4434</v>
      </c>
      <c r="C3243" t="s">
        <v>7</v>
      </c>
      <c r="D3243" t="s">
        <v>14</v>
      </c>
      <c r="E3243" t="s">
        <v>3473</v>
      </c>
    </row>
    <row r="3244" spans="1:6" x14ac:dyDescent="0.25">
      <c r="A3244" t="str">
        <f>"236603772027"</f>
        <v>236603772027</v>
      </c>
      <c r="B3244" t="s">
        <v>4435</v>
      </c>
      <c r="C3244" t="s">
        <v>7</v>
      </c>
      <c r="D3244" t="s">
        <v>12</v>
      </c>
      <c r="E3244" t="s">
        <v>3473</v>
      </c>
    </row>
    <row r="3245" spans="1:6" x14ac:dyDescent="0.25">
      <c r="A3245" t="str">
        <f>"2367018140"</f>
        <v>2367018140</v>
      </c>
      <c r="B3245" t="s">
        <v>4436</v>
      </c>
      <c r="C3245" t="s">
        <v>7</v>
      </c>
      <c r="D3245" t="s">
        <v>12</v>
      </c>
      <c r="E3245" t="s">
        <v>3473</v>
      </c>
      <c r="F3245" t="s">
        <v>4437</v>
      </c>
    </row>
    <row r="3246" spans="1:6" x14ac:dyDescent="0.25">
      <c r="A3246" t="str">
        <f>"2368011483"</f>
        <v>2368011483</v>
      </c>
      <c r="B3246" t="s">
        <v>4438</v>
      </c>
      <c r="C3246" t="s">
        <v>7</v>
      </c>
      <c r="D3246" t="s">
        <v>33</v>
      </c>
      <c r="E3246" t="s">
        <v>3473</v>
      </c>
      <c r="F3246" t="s">
        <v>4439</v>
      </c>
    </row>
    <row r="3247" spans="1:6" x14ac:dyDescent="0.25">
      <c r="A3247" t="str">
        <f>"236804731447"</f>
        <v>236804731447</v>
      </c>
      <c r="B3247" t="s">
        <v>4440</v>
      </c>
      <c r="C3247" t="s">
        <v>7</v>
      </c>
      <c r="D3247" t="s">
        <v>14</v>
      </c>
      <c r="E3247" t="s">
        <v>3473</v>
      </c>
    </row>
    <row r="3248" spans="1:6" x14ac:dyDescent="0.25">
      <c r="A3248" t="str">
        <f>"2370002221"</f>
        <v>2370002221</v>
      </c>
      <c r="B3248" t="s">
        <v>4441</v>
      </c>
      <c r="C3248" t="s">
        <v>7</v>
      </c>
      <c r="D3248" t="s">
        <v>12</v>
      </c>
      <c r="E3248" t="s">
        <v>3473</v>
      </c>
      <c r="F3248" t="s">
        <v>4442</v>
      </c>
    </row>
    <row r="3249" spans="1:6" x14ac:dyDescent="0.25">
      <c r="A3249" t="str">
        <f>"2370004564"</f>
        <v>2370004564</v>
      </c>
      <c r="B3249" t="s">
        <v>3015</v>
      </c>
      <c r="C3249" t="s">
        <v>7</v>
      </c>
      <c r="D3249" t="s">
        <v>14</v>
      </c>
      <c r="E3249" t="s">
        <v>3473</v>
      </c>
      <c r="F3249" t="s">
        <v>4443</v>
      </c>
    </row>
    <row r="3250" spans="1:6" x14ac:dyDescent="0.25">
      <c r="A3250" t="str">
        <f>"2370010110"</f>
        <v>2370010110</v>
      </c>
      <c r="B3250" t="s">
        <v>4444</v>
      </c>
      <c r="C3250" t="s">
        <v>7</v>
      </c>
      <c r="D3250" t="s">
        <v>12</v>
      </c>
      <c r="E3250" t="s">
        <v>3473</v>
      </c>
      <c r="F3250" t="s">
        <v>4445</v>
      </c>
    </row>
    <row r="3251" spans="1:6" x14ac:dyDescent="0.25">
      <c r="A3251" t="str">
        <f>"2371000499"</f>
        <v>2371000499</v>
      </c>
      <c r="B3251" t="s">
        <v>4446</v>
      </c>
      <c r="C3251" t="s">
        <v>7</v>
      </c>
      <c r="D3251" t="s">
        <v>12</v>
      </c>
      <c r="E3251" t="s">
        <v>3473</v>
      </c>
      <c r="F3251" t="s">
        <v>4447</v>
      </c>
    </row>
    <row r="3252" spans="1:6" x14ac:dyDescent="0.25">
      <c r="A3252" t="str">
        <f>"237201210397"</f>
        <v>237201210397</v>
      </c>
      <c r="B3252" t="s">
        <v>4448</v>
      </c>
      <c r="C3252" t="s">
        <v>7</v>
      </c>
      <c r="D3252" t="s">
        <v>14</v>
      </c>
      <c r="E3252" t="s">
        <v>3473</v>
      </c>
    </row>
    <row r="3253" spans="1:6" x14ac:dyDescent="0.25">
      <c r="A3253" t="str">
        <f>"2372025930"</f>
        <v>2372025930</v>
      </c>
      <c r="B3253" t="s">
        <v>4449</v>
      </c>
      <c r="C3253" t="s">
        <v>7</v>
      </c>
      <c r="D3253" t="s">
        <v>14</v>
      </c>
      <c r="E3253" t="s">
        <v>3473</v>
      </c>
      <c r="F3253" t="s">
        <v>4450</v>
      </c>
    </row>
    <row r="3254" spans="1:6" x14ac:dyDescent="0.25">
      <c r="A3254" t="str">
        <f>"2372032060"</f>
        <v>2372032060</v>
      </c>
      <c r="B3254" t="s">
        <v>4451</v>
      </c>
      <c r="C3254" t="s">
        <v>7</v>
      </c>
      <c r="D3254" t="s">
        <v>146</v>
      </c>
      <c r="E3254" t="s">
        <v>3473</v>
      </c>
      <c r="F3254" t="s">
        <v>4452</v>
      </c>
    </row>
    <row r="3255" spans="1:6" x14ac:dyDescent="0.25">
      <c r="A3255" t="str">
        <f>"2372034395"</f>
        <v>2372034395</v>
      </c>
      <c r="B3255" t="s">
        <v>4453</v>
      </c>
      <c r="C3255" t="s">
        <v>7</v>
      </c>
      <c r="D3255" t="s">
        <v>33</v>
      </c>
      <c r="E3255" t="s">
        <v>3473</v>
      </c>
      <c r="F3255" t="s">
        <v>4454</v>
      </c>
    </row>
    <row r="3256" spans="1:6" x14ac:dyDescent="0.25">
      <c r="A3256" t="str">
        <f>"2373010767"</f>
        <v>2373010767</v>
      </c>
      <c r="B3256" t="s">
        <v>4455</v>
      </c>
      <c r="C3256" t="s">
        <v>7</v>
      </c>
      <c r="D3256" t="s">
        <v>12</v>
      </c>
      <c r="E3256" t="s">
        <v>3473</v>
      </c>
      <c r="F3256" t="s">
        <v>4456</v>
      </c>
    </row>
    <row r="3257" spans="1:6" x14ac:dyDescent="0.25">
      <c r="A3257" t="str">
        <f>"2373020797"</f>
        <v>2373020797</v>
      </c>
      <c r="B3257" t="s">
        <v>4457</v>
      </c>
      <c r="C3257" t="s">
        <v>7</v>
      </c>
      <c r="D3257" t="s">
        <v>12</v>
      </c>
      <c r="E3257" t="s">
        <v>3473</v>
      </c>
      <c r="F3257" t="s">
        <v>4458</v>
      </c>
    </row>
    <row r="3258" spans="1:6" x14ac:dyDescent="0.25">
      <c r="A3258" t="str">
        <f>"237302971831"</f>
        <v>237302971831</v>
      </c>
      <c r="B3258" t="s">
        <v>4459</v>
      </c>
      <c r="C3258" t="s">
        <v>7</v>
      </c>
      <c r="D3258" t="s">
        <v>12</v>
      </c>
      <c r="E3258" t="s">
        <v>3473</v>
      </c>
    </row>
    <row r="3259" spans="1:6" x14ac:dyDescent="0.25">
      <c r="A3259" t="str">
        <f>"237307020188"</f>
        <v>237307020188</v>
      </c>
      <c r="B3259" t="s">
        <v>4460</v>
      </c>
      <c r="C3259" t="s">
        <v>7</v>
      </c>
      <c r="D3259" t="s">
        <v>14</v>
      </c>
      <c r="E3259" t="s">
        <v>3473</v>
      </c>
    </row>
    <row r="3260" spans="1:6" x14ac:dyDescent="0.25">
      <c r="A3260" t="str">
        <f>"237600149578"</f>
        <v>237600149578</v>
      </c>
      <c r="B3260" t="s">
        <v>4461</v>
      </c>
      <c r="C3260" t="s">
        <v>7</v>
      </c>
      <c r="D3260" t="s">
        <v>14</v>
      </c>
      <c r="E3260" t="s">
        <v>3473</v>
      </c>
    </row>
    <row r="3261" spans="1:6" x14ac:dyDescent="0.25">
      <c r="A3261" t="str">
        <f>"301727211886"</f>
        <v>301727211886</v>
      </c>
      <c r="B3261" t="s">
        <v>4462</v>
      </c>
      <c r="C3261" t="s">
        <v>7</v>
      </c>
      <c r="D3261" t="s">
        <v>14</v>
      </c>
      <c r="E3261" t="s">
        <v>3473</v>
      </c>
    </row>
    <row r="3262" spans="1:6" x14ac:dyDescent="0.25">
      <c r="A3262" t="str">
        <f>"910200131026"</f>
        <v>910200131026</v>
      </c>
      <c r="B3262" t="s">
        <v>4463</v>
      </c>
      <c r="C3262" t="s">
        <v>7</v>
      </c>
      <c r="D3262" t="s">
        <v>12</v>
      </c>
      <c r="E3262" t="s">
        <v>3473</v>
      </c>
    </row>
    <row r="3263" spans="1:6" x14ac:dyDescent="0.25">
      <c r="A3263" t="str">
        <f>"234992147566"</f>
        <v>234992147566</v>
      </c>
      <c r="B3263" t="s">
        <v>4464</v>
      </c>
      <c r="C3263" t="s">
        <v>7</v>
      </c>
      <c r="D3263" t="s">
        <v>12</v>
      </c>
      <c r="E3263" t="s">
        <v>3473</v>
      </c>
    </row>
    <row r="3264" spans="1:6" x14ac:dyDescent="0.25">
      <c r="A3264" t="str">
        <f>"234992241209"</f>
        <v>234992241209</v>
      </c>
      <c r="B3264" t="s">
        <v>4465</v>
      </c>
      <c r="C3264" t="s">
        <v>7</v>
      </c>
      <c r="D3264" t="s">
        <v>14</v>
      </c>
      <c r="E3264" t="s">
        <v>3473</v>
      </c>
    </row>
    <row r="3265" spans="1:6" x14ac:dyDescent="0.25">
      <c r="A3265" t="str">
        <f>"234993579872"</f>
        <v>234993579872</v>
      </c>
      <c r="B3265" t="s">
        <v>4466</v>
      </c>
      <c r="C3265" t="s">
        <v>7</v>
      </c>
      <c r="D3265" t="s">
        <v>33</v>
      </c>
      <c r="E3265" t="s">
        <v>3473</v>
      </c>
    </row>
    <row r="3266" spans="1:6" x14ac:dyDescent="0.25">
      <c r="A3266" t="str">
        <f>"235003903406"</f>
        <v>235003903406</v>
      </c>
      <c r="B3266" t="s">
        <v>4467</v>
      </c>
      <c r="C3266" t="s">
        <v>7</v>
      </c>
      <c r="D3266" t="s">
        <v>33</v>
      </c>
      <c r="E3266" t="s">
        <v>3473</v>
      </c>
    </row>
    <row r="3267" spans="1:6" x14ac:dyDescent="0.25">
      <c r="A3267" t="str">
        <f>"235102012496"</f>
        <v>235102012496</v>
      </c>
      <c r="B3267" t="s">
        <v>4468</v>
      </c>
      <c r="C3267" t="s">
        <v>7</v>
      </c>
      <c r="D3267" t="s">
        <v>14</v>
      </c>
      <c r="E3267" t="s">
        <v>3473</v>
      </c>
    </row>
    <row r="3268" spans="1:6" x14ac:dyDescent="0.25">
      <c r="A3268" t="str">
        <f>"235102950781"</f>
        <v>235102950781</v>
      </c>
      <c r="B3268" t="s">
        <v>4469</v>
      </c>
      <c r="C3268" t="s">
        <v>7</v>
      </c>
      <c r="D3268" t="s">
        <v>14</v>
      </c>
      <c r="E3268" t="s">
        <v>3473</v>
      </c>
    </row>
    <row r="3269" spans="1:6" x14ac:dyDescent="0.25">
      <c r="A3269" t="str">
        <f>"235200031970"</f>
        <v>235200031970</v>
      </c>
      <c r="B3269" t="s">
        <v>4470</v>
      </c>
      <c r="C3269" t="s">
        <v>7</v>
      </c>
      <c r="D3269" t="s">
        <v>14</v>
      </c>
      <c r="E3269" t="s">
        <v>3473</v>
      </c>
    </row>
    <row r="3270" spans="1:6" x14ac:dyDescent="0.25">
      <c r="A3270" t="str">
        <f>"235200202022"</f>
        <v>235200202022</v>
      </c>
      <c r="B3270" t="s">
        <v>4471</v>
      </c>
      <c r="C3270" t="s">
        <v>7</v>
      </c>
      <c r="D3270" t="s">
        <v>12</v>
      </c>
      <c r="E3270" t="s">
        <v>3473</v>
      </c>
    </row>
    <row r="3271" spans="1:6" x14ac:dyDescent="0.25">
      <c r="A3271" t="str">
        <f>"235200383690"</f>
        <v>235200383690</v>
      </c>
      <c r="B3271" t="s">
        <v>4472</v>
      </c>
      <c r="C3271" t="s">
        <v>7</v>
      </c>
      <c r="D3271" t="s">
        <v>14</v>
      </c>
      <c r="E3271" t="s">
        <v>3473</v>
      </c>
    </row>
    <row r="3272" spans="1:6" x14ac:dyDescent="0.25">
      <c r="A3272" t="str">
        <f>"235209305150"</f>
        <v>235209305150</v>
      </c>
      <c r="B3272" t="s">
        <v>4473</v>
      </c>
      <c r="C3272" t="s">
        <v>7</v>
      </c>
      <c r="D3272" t="s">
        <v>12</v>
      </c>
      <c r="E3272" t="s">
        <v>3473</v>
      </c>
    </row>
    <row r="3273" spans="1:6" x14ac:dyDescent="0.25">
      <c r="A3273" t="str">
        <f>"235210604098"</f>
        <v>235210604098</v>
      </c>
      <c r="B3273" t="s">
        <v>4474</v>
      </c>
      <c r="C3273" t="s">
        <v>7</v>
      </c>
      <c r="D3273" t="s">
        <v>14</v>
      </c>
      <c r="E3273" t="s">
        <v>3473</v>
      </c>
    </row>
    <row r="3274" spans="1:6" x14ac:dyDescent="0.25">
      <c r="A3274" t="str">
        <f>"235212062002"</f>
        <v>235212062002</v>
      </c>
      <c r="B3274" t="s">
        <v>4475</v>
      </c>
      <c r="C3274" t="s">
        <v>7</v>
      </c>
      <c r="D3274" t="s">
        <v>14</v>
      </c>
      <c r="E3274" t="s">
        <v>3473</v>
      </c>
    </row>
    <row r="3275" spans="1:6" x14ac:dyDescent="0.25">
      <c r="A3275" t="str">
        <f>"235309356180"</f>
        <v>235309356180</v>
      </c>
      <c r="B3275" t="s">
        <v>4476</v>
      </c>
      <c r="C3275" t="s">
        <v>7</v>
      </c>
      <c r="D3275" t="s">
        <v>14</v>
      </c>
      <c r="E3275" t="s">
        <v>3473</v>
      </c>
    </row>
    <row r="3276" spans="1:6" x14ac:dyDescent="0.25">
      <c r="A3276" t="str">
        <f>"235400017838"</f>
        <v>235400017838</v>
      </c>
      <c r="B3276" t="s">
        <v>4477</v>
      </c>
      <c r="C3276" t="s">
        <v>7</v>
      </c>
      <c r="D3276" t="s">
        <v>14</v>
      </c>
      <c r="E3276" t="s">
        <v>3473</v>
      </c>
    </row>
    <row r="3277" spans="1:6" x14ac:dyDescent="0.25">
      <c r="A3277" t="str">
        <f>"2355004390"</f>
        <v>2355004390</v>
      </c>
      <c r="B3277" t="s">
        <v>4478</v>
      </c>
      <c r="C3277" t="s">
        <v>7</v>
      </c>
      <c r="D3277" t="s">
        <v>14</v>
      </c>
      <c r="E3277" t="s">
        <v>3473</v>
      </c>
      <c r="F3277" t="s">
        <v>4479</v>
      </c>
    </row>
    <row r="3278" spans="1:6" x14ac:dyDescent="0.25">
      <c r="A3278" t="str">
        <f>"235600487196"</f>
        <v>235600487196</v>
      </c>
      <c r="B3278" t="s">
        <v>4480</v>
      </c>
      <c r="C3278" t="s">
        <v>7</v>
      </c>
      <c r="D3278" t="s">
        <v>14</v>
      </c>
      <c r="E3278" t="s">
        <v>3473</v>
      </c>
    </row>
    <row r="3279" spans="1:6" x14ac:dyDescent="0.25">
      <c r="A3279" t="str">
        <f>"235601404717"</f>
        <v>235601404717</v>
      </c>
      <c r="B3279" t="s">
        <v>4481</v>
      </c>
      <c r="C3279" t="s">
        <v>7</v>
      </c>
      <c r="D3279" t="s">
        <v>14</v>
      </c>
      <c r="E3279" t="s">
        <v>3473</v>
      </c>
    </row>
    <row r="3280" spans="1:6" x14ac:dyDescent="0.25">
      <c r="A3280" t="str">
        <f>"235602457951"</f>
        <v>235602457951</v>
      </c>
      <c r="B3280" t="s">
        <v>4482</v>
      </c>
      <c r="C3280" t="s">
        <v>7</v>
      </c>
      <c r="D3280" t="s">
        <v>12</v>
      </c>
      <c r="E3280" t="s">
        <v>3473</v>
      </c>
    </row>
    <row r="3281" spans="1:6" x14ac:dyDescent="0.25">
      <c r="A3281" t="str">
        <f>"235606726524"</f>
        <v>235606726524</v>
      </c>
      <c r="B3281" t="s">
        <v>4483</v>
      </c>
      <c r="C3281" t="s">
        <v>7</v>
      </c>
      <c r="D3281" t="s">
        <v>14</v>
      </c>
      <c r="E3281" t="s">
        <v>3473</v>
      </c>
    </row>
    <row r="3282" spans="1:6" x14ac:dyDescent="0.25">
      <c r="A3282" t="str">
        <f>"235612381596"</f>
        <v>235612381596</v>
      </c>
      <c r="B3282" t="s">
        <v>4484</v>
      </c>
      <c r="C3282" t="s">
        <v>7</v>
      </c>
      <c r="D3282" t="s">
        <v>33</v>
      </c>
      <c r="E3282" t="s">
        <v>3473</v>
      </c>
    </row>
    <row r="3283" spans="1:6" x14ac:dyDescent="0.25">
      <c r="A3283" t="str">
        <f>"235621329730"</f>
        <v>235621329730</v>
      </c>
      <c r="B3283" t="s">
        <v>4485</v>
      </c>
      <c r="C3283" t="s">
        <v>7</v>
      </c>
      <c r="D3283" t="s">
        <v>14</v>
      </c>
      <c r="E3283" t="s">
        <v>3473</v>
      </c>
    </row>
    <row r="3284" spans="1:6" x14ac:dyDescent="0.25">
      <c r="A3284" t="str">
        <f>"235700120459"</f>
        <v>235700120459</v>
      </c>
      <c r="B3284" t="s">
        <v>4486</v>
      </c>
      <c r="C3284" t="s">
        <v>7</v>
      </c>
      <c r="D3284" t="s">
        <v>14</v>
      </c>
      <c r="E3284" t="s">
        <v>3473</v>
      </c>
    </row>
    <row r="3285" spans="1:6" x14ac:dyDescent="0.25">
      <c r="A3285" t="str">
        <f>"235800203349"</f>
        <v>235800203349</v>
      </c>
      <c r="B3285" t="s">
        <v>4487</v>
      </c>
      <c r="C3285" t="s">
        <v>7</v>
      </c>
      <c r="D3285" t="s">
        <v>14</v>
      </c>
      <c r="E3285" t="s">
        <v>3473</v>
      </c>
    </row>
    <row r="3286" spans="1:6" x14ac:dyDescent="0.25">
      <c r="A3286" t="str">
        <f>"235802881090"</f>
        <v>235802881090</v>
      </c>
      <c r="B3286" t="s">
        <v>4488</v>
      </c>
      <c r="C3286" t="s">
        <v>7</v>
      </c>
      <c r="D3286" t="s">
        <v>14</v>
      </c>
      <c r="E3286" t="s">
        <v>3473</v>
      </c>
    </row>
    <row r="3287" spans="1:6" x14ac:dyDescent="0.25">
      <c r="A3287" t="str">
        <f>"236000021817"</f>
        <v>236000021817</v>
      </c>
      <c r="B3287" t="s">
        <v>4489</v>
      </c>
      <c r="C3287" t="s">
        <v>7</v>
      </c>
      <c r="D3287" t="s">
        <v>14</v>
      </c>
      <c r="E3287" t="s">
        <v>3473</v>
      </c>
    </row>
    <row r="3288" spans="1:6" x14ac:dyDescent="0.25">
      <c r="A3288" t="str">
        <f>"2361019420"</f>
        <v>2361019420</v>
      </c>
      <c r="B3288" t="s">
        <v>4490</v>
      </c>
      <c r="C3288" t="s">
        <v>7</v>
      </c>
      <c r="D3288" t="s">
        <v>33</v>
      </c>
      <c r="E3288" t="s">
        <v>3473</v>
      </c>
      <c r="F3288" t="s">
        <v>4491</v>
      </c>
    </row>
    <row r="3289" spans="1:6" x14ac:dyDescent="0.25">
      <c r="A3289" t="str">
        <f>"236103064604"</f>
        <v>236103064604</v>
      </c>
      <c r="B3289" t="s">
        <v>4492</v>
      </c>
      <c r="C3289" t="s">
        <v>7</v>
      </c>
      <c r="D3289" t="s">
        <v>14</v>
      </c>
      <c r="E3289" t="s">
        <v>3473</v>
      </c>
    </row>
    <row r="3290" spans="1:6" x14ac:dyDescent="0.25">
      <c r="A3290" t="str">
        <f>"236105099909"</f>
        <v>236105099909</v>
      </c>
      <c r="B3290" t="s">
        <v>4493</v>
      </c>
      <c r="C3290" t="s">
        <v>7</v>
      </c>
      <c r="D3290" t="s">
        <v>14</v>
      </c>
      <c r="E3290" t="s">
        <v>3473</v>
      </c>
    </row>
    <row r="3291" spans="1:6" x14ac:dyDescent="0.25">
      <c r="A3291" t="str">
        <f>"236201266750"</f>
        <v>236201266750</v>
      </c>
      <c r="B3291" t="s">
        <v>4494</v>
      </c>
      <c r="C3291" t="s">
        <v>7</v>
      </c>
      <c r="D3291" t="s">
        <v>14</v>
      </c>
      <c r="E3291" t="s">
        <v>3473</v>
      </c>
    </row>
    <row r="3292" spans="1:6" x14ac:dyDescent="0.25">
      <c r="A3292" t="str">
        <f>"2364021561"</f>
        <v>2364021561</v>
      </c>
      <c r="B3292" t="s">
        <v>4495</v>
      </c>
      <c r="C3292" t="s">
        <v>7</v>
      </c>
      <c r="D3292" t="s">
        <v>12</v>
      </c>
      <c r="E3292" t="s">
        <v>3473</v>
      </c>
      <c r="F3292" t="s">
        <v>4496</v>
      </c>
    </row>
    <row r="3293" spans="1:6" x14ac:dyDescent="0.25">
      <c r="A3293" t="str">
        <f>"2365033827"</f>
        <v>2365033827</v>
      </c>
      <c r="B3293" t="s">
        <v>4131</v>
      </c>
      <c r="C3293" t="s">
        <v>7</v>
      </c>
      <c r="D3293" t="s">
        <v>14</v>
      </c>
      <c r="E3293" t="s">
        <v>3473</v>
      </c>
      <c r="F3293" t="s">
        <v>4497</v>
      </c>
    </row>
    <row r="3294" spans="1:6" x14ac:dyDescent="0.25">
      <c r="A3294" t="str">
        <f>"2367009153"</f>
        <v>2367009153</v>
      </c>
      <c r="B3294" t="s">
        <v>4498</v>
      </c>
      <c r="C3294" t="s">
        <v>7</v>
      </c>
      <c r="D3294" t="s">
        <v>33</v>
      </c>
      <c r="E3294" t="s">
        <v>3473</v>
      </c>
      <c r="F3294" t="s">
        <v>4499</v>
      </c>
    </row>
    <row r="3295" spans="1:6" x14ac:dyDescent="0.25">
      <c r="A3295" t="str">
        <f>"2367010007"</f>
        <v>2367010007</v>
      </c>
      <c r="B3295" t="s">
        <v>1212</v>
      </c>
      <c r="C3295" t="s">
        <v>7</v>
      </c>
      <c r="D3295" t="s">
        <v>33</v>
      </c>
      <c r="E3295" t="s">
        <v>3473</v>
      </c>
      <c r="F3295" t="s">
        <v>4500</v>
      </c>
    </row>
    <row r="3296" spans="1:6" x14ac:dyDescent="0.25">
      <c r="A3296" t="str">
        <f>"2367032603"</f>
        <v>2367032603</v>
      </c>
      <c r="B3296" t="s">
        <v>4501</v>
      </c>
      <c r="C3296" t="s">
        <v>7</v>
      </c>
      <c r="D3296" t="s">
        <v>12</v>
      </c>
      <c r="E3296" t="s">
        <v>3473</v>
      </c>
      <c r="F3296" t="s">
        <v>4502</v>
      </c>
    </row>
    <row r="3297" spans="1:6" x14ac:dyDescent="0.25">
      <c r="A3297" t="str">
        <f>"2369009790"</f>
        <v>2369009790</v>
      </c>
      <c r="B3297" t="s">
        <v>4503</v>
      </c>
      <c r="C3297" t="s">
        <v>7</v>
      </c>
      <c r="D3297" t="s">
        <v>8</v>
      </c>
      <c r="E3297" t="s">
        <v>3473</v>
      </c>
      <c r="F3297" t="s">
        <v>4504</v>
      </c>
    </row>
    <row r="3298" spans="1:6" x14ac:dyDescent="0.25">
      <c r="A3298" t="str">
        <f>"2370008216"</f>
        <v>2370008216</v>
      </c>
      <c r="B3298" t="s">
        <v>4505</v>
      </c>
      <c r="C3298" t="s">
        <v>7</v>
      </c>
      <c r="D3298" t="s">
        <v>12</v>
      </c>
      <c r="E3298" t="s">
        <v>3473</v>
      </c>
      <c r="F3298" t="s">
        <v>4506</v>
      </c>
    </row>
    <row r="3299" spans="1:6" x14ac:dyDescent="0.25">
      <c r="A3299" t="str">
        <f>"2372029067"</f>
        <v>2372029067</v>
      </c>
      <c r="B3299" t="s">
        <v>4507</v>
      </c>
      <c r="C3299" t="s">
        <v>7</v>
      </c>
      <c r="D3299" t="s">
        <v>674</v>
      </c>
      <c r="E3299" t="s">
        <v>3473</v>
      </c>
      <c r="F3299" t="s">
        <v>4508</v>
      </c>
    </row>
    <row r="3300" spans="1:6" x14ac:dyDescent="0.25">
      <c r="A3300" t="str">
        <f>"420214588344"</f>
        <v>420214588344</v>
      </c>
      <c r="B3300" t="s">
        <v>4509</v>
      </c>
      <c r="C3300" t="s">
        <v>7</v>
      </c>
      <c r="D3300" t="s">
        <v>14</v>
      </c>
      <c r="E3300" t="s">
        <v>3473</v>
      </c>
    </row>
    <row r="3301" spans="1:6" x14ac:dyDescent="0.25">
      <c r="A3301" t="str">
        <f>"421107384637"</f>
        <v>421107384637</v>
      </c>
      <c r="B3301" t="s">
        <v>4510</v>
      </c>
      <c r="C3301" t="s">
        <v>7</v>
      </c>
      <c r="D3301" t="s">
        <v>33</v>
      </c>
      <c r="E3301" t="s">
        <v>3473</v>
      </c>
    </row>
    <row r="3302" spans="1:6" x14ac:dyDescent="0.25">
      <c r="A3302" t="str">
        <f>"165702443660"</f>
        <v>165702443660</v>
      </c>
      <c r="B3302" t="s">
        <v>4511</v>
      </c>
      <c r="C3302" t="s">
        <v>7</v>
      </c>
      <c r="D3302" t="s">
        <v>14</v>
      </c>
      <c r="E3302" t="s">
        <v>3473</v>
      </c>
    </row>
    <row r="3303" spans="1:6" x14ac:dyDescent="0.25">
      <c r="A3303" t="str">
        <f>"2373015564"</f>
        <v>2373015564</v>
      </c>
      <c r="B3303" t="s">
        <v>4512</v>
      </c>
      <c r="C3303" t="s">
        <v>7</v>
      </c>
      <c r="D3303" t="s">
        <v>12</v>
      </c>
      <c r="E3303" t="s">
        <v>3473</v>
      </c>
      <c r="F3303" t="s">
        <v>4513</v>
      </c>
    </row>
    <row r="3304" spans="1:6" x14ac:dyDescent="0.25">
      <c r="A3304" t="str">
        <f>"2373020469"</f>
        <v>2373020469</v>
      </c>
      <c r="B3304" t="s">
        <v>4514</v>
      </c>
      <c r="C3304" t="s">
        <v>7</v>
      </c>
      <c r="D3304" t="s">
        <v>33</v>
      </c>
      <c r="E3304" t="s">
        <v>3473</v>
      </c>
      <c r="F3304" t="s">
        <v>4515</v>
      </c>
    </row>
    <row r="3305" spans="1:6" x14ac:dyDescent="0.25">
      <c r="A3305" t="str">
        <f>"237306891418"</f>
        <v>237306891418</v>
      </c>
      <c r="B3305" t="s">
        <v>4516</v>
      </c>
      <c r="C3305" t="s">
        <v>7</v>
      </c>
      <c r="D3305" t="s">
        <v>14</v>
      </c>
      <c r="E3305" t="s">
        <v>3473</v>
      </c>
    </row>
    <row r="3306" spans="1:6" x14ac:dyDescent="0.25">
      <c r="A3306" t="str">
        <f>"237309305291"</f>
        <v>237309305291</v>
      </c>
      <c r="B3306" t="s">
        <v>4517</v>
      </c>
      <c r="C3306" t="s">
        <v>7</v>
      </c>
      <c r="D3306" t="s">
        <v>14</v>
      </c>
      <c r="E3306" t="s">
        <v>3473</v>
      </c>
    </row>
    <row r="3307" spans="1:6" x14ac:dyDescent="0.25">
      <c r="A3307" t="str">
        <f>"2376000414"</f>
        <v>2376000414</v>
      </c>
      <c r="B3307" t="s">
        <v>4518</v>
      </c>
      <c r="C3307" t="s">
        <v>7</v>
      </c>
      <c r="D3307" t="s">
        <v>12</v>
      </c>
      <c r="E3307" t="s">
        <v>3473</v>
      </c>
      <c r="F3307" t="s">
        <v>4519</v>
      </c>
    </row>
    <row r="3308" spans="1:6" x14ac:dyDescent="0.25">
      <c r="A3308" t="str">
        <f>"312821098795"</f>
        <v>312821098795</v>
      </c>
      <c r="B3308" t="s">
        <v>4520</v>
      </c>
      <c r="C3308" t="s">
        <v>7</v>
      </c>
      <c r="D3308" t="s">
        <v>14</v>
      </c>
      <c r="E3308" t="s">
        <v>3473</v>
      </c>
    </row>
    <row r="3309" spans="1:6" x14ac:dyDescent="0.25">
      <c r="A3309" t="str">
        <f>"2373009049"</f>
        <v>2373009049</v>
      </c>
      <c r="B3309" t="s">
        <v>4521</v>
      </c>
      <c r="C3309" t="s">
        <v>7</v>
      </c>
      <c r="D3309" t="s">
        <v>146</v>
      </c>
      <c r="E3309" t="s">
        <v>3473</v>
      </c>
      <c r="F3309" t="s">
        <v>4522</v>
      </c>
    </row>
    <row r="3310" spans="1:6" x14ac:dyDescent="0.25">
      <c r="A3310" t="str">
        <f>"2373015980"</f>
        <v>2373015980</v>
      </c>
      <c r="B3310" t="s">
        <v>4523</v>
      </c>
      <c r="C3310" t="s">
        <v>7</v>
      </c>
      <c r="D3310" t="s">
        <v>12</v>
      </c>
      <c r="E3310" t="s">
        <v>3473</v>
      </c>
      <c r="F3310" t="s">
        <v>4524</v>
      </c>
    </row>
    <row r="3311" spans="1:6" x14ac:dyDescent="0.25">
      <c r="A3311" t="str">
        <f>"237400459325"</f>
        <v>237400459325</v>
      </c>
      <c r="B3311" t="s">
        <v>4525</v>
      </c>
      <c r="C3311" t="s">
        <v>7</v>
      </c>
      <c r="D3311" t="s">
        <v>14</v>
      </c>
      <c r="E3311" t="s">
        <v>3473</v>
      </c>
    </row>
    <row r="3312" spans="1:6" x14ac:dyDescent="0.25">
      <c r="A3312" t="str">
        <f>"2377002799"</f>
        <v>2377002799</v>
      </c>
      <c r="B3312" t="s">
        <v>4526</v>
      </c>
      <c r="C3312" t="s">
        <v>7</v>
      </c>
      <c r="D3312" t="s">
        <v>33</v>
      </c>
      <c r="E3312" t="s">
        <v>3473</v>
      </c>
      <c r="F3312" t="s">
        <v>4527</v>
      </c>
    </row>
    <row r="3313" spans="1:6" x14ac:dyDescent="0.25">
      <c r="A3313" t="str">
        <f>"237700620430"</f>
        <v>237700620430</v>
      </c>
      <c r="B3313" t="s">
        <v>4528</v>
      </c>
      <c r="C3313" t="s">
        <v>7</v>
      </c>
      <c r="D3313" t="s">
        <v>14</v>
      </c>
      <c r="E3313" t="s">
        <v>3473</v>
      </c>
    </row>
    <row r="3314" spans="1:6" x14ac:dyDescent="0.25">
      <c r="A3314" t="str">
        <f>"244310517862"</f>
        <v>244310517862</v>
      </c>
      <c r="B3314" t="s">
        <v>4529</v>
      </c>
      <c r="C3314" t="s">
        <v>7</v>
      </c>
      <c r="D3314" t="s">
        <v>14</v>
      </c>
      <c r="E3314" t="s">
        <v>3473</v>
      </c>
    </row>
    <row r="3315" spans="1:6" x14ac:dyDescent="0.25">
      <c r="A3315" t="str">
        <f>"9721097122"</f>
        <v>9721097122</v>
      </c>
      <c r="B3315" t="s">
        <v>4530</v>
      </c>
      <c r="C3315" t="s">
        <v>7</v>
      </c>
      <c r="D3315" t="s">
        <v>14</v>
      </c>
      <c r="E3315" t="s">
        <v>3473</v>
      </c>
      <c r="F3315" t="s">
        <v>4531</v>
      </c>
    </row>
    <row r="3316" spans="1:6" x14ac:dyDescent="0.25">
      <c r="A3316" t="str">
        <f>"245010906080"</f>
        <v>245010906080</v>
      </c>
      <c r="B3316" t="s">
        <v>4532</v>
      </c>
      <c r="C3316" t="s">
        <v>7</v>
      </c>
      <c r="D3316" t="s">
        <v>14</v>
      </c>
      <c r="E3316" t="s">
        <v>4533</v>
      </c>
    </row>
    <row r="3317" spans="1:6" x14ac:dyDescent="0.25">
      <c r="A3317" t="str">
        <f>"2453020802"</f>
        <v>2453020802</v>
      </c>
      <c r="B3317" t="s">
        <v>4534</v>
      </c>
      <c r="C3317" t="s">
        <v>7</v>
      </c>
      <c r="D3317" t="s">
        <v>33</v>
      </c>
      <c r="E3317" t="s">
        <v>4533</v>
      </c>
      <c r="F3317" t="s">
        <v>4535</v>
      </c>
    </row>
    <row r="3318" spans="1:6" x14ac:dyDescent="0.25">
      <c r="A3318" t="str">
        <f>"245508746906"</f>
        <v>245508746906</v>
      </c>
      <c r="B3318" t="s">
        <v>4536</v>
      </c>
      <c r="C3318" t="s">
        <v>7</v>
      </c>
      <c r="D3318" t="s">
        <v>14</v>
      </c>
      <c r="E3318" t="s">
        <v>4533</v>
      </c>
    </row>
    <row r="3319" spans="1:6" x14ac:dyDescent="0.25">
      <c r="A3319" t="str">
        <f>"2456003749"</f>
        <v>2456003749</v>
      </c>
      <c r="B3319" t="s">
        <v>4537</v>
      </c>
      <c r="C3319" t="s">
        <v>7</v>
      </c>
      <c r="D3319" t="s">
        <v>14</v>
      </c>
      <c r="E3319" t="s">
        <v>4533</v>
      </c>
      <c r="F3319" t="s">
        <v>4538</v>
      </c>
    </row>
    <row r="3320" spans="1:6" x14ac:dyDescent="0.25">
      <c r="A3320" t="str">
        <f>"2457082239"</f>
        <v>2457082239</v>
      </c>
      <c r="B3320" t="s">
        <v>4539</v>
      </c>
      <c r="C3320" t="s">
        <v>7</v>
      </c>
      <c r="D3320" t="s">
        <v>14</v>
      </c>
      <c r="E3320" t="s">
        <v>4533</v>
      </c>
      <c r="F3320" t="s">
        <v>4540</v>
      </c>
    </row>
    <row r="3321" spans="1:6" x14ac:dyDescent="0.25">
      <c r="A3321" t="str">
        <f>"2457092043"</f>
        <v>2457092043</v>
      </c>
      <c r="B3321" t="s">
        <v>4541</v>
      </c>
      <c r="C3321" t="s">
        <v>7</v>
      </c>
      <c r="D3321" t="s">
        <v>12</v>
      </c>
      <c r="E3321" t="s">
        <v>4533</v>
      </c>
      <c r="F3321" t="s">
        <v>4542</v>
      </c>
    </row>
    <row r="3322" spans="1:6" x14ac:dyDescent="0.25">
      <c r="A3322" t="str">
        <f>"245732933710"</f>
        <v>245732933710</v>
      </c>
      <c r="B3322" t="s">
        <v>4543</v>
      </c>
      <c r="C3322" t="s">
        <v>7</v>
      </c>
      <c r="D3322" t="s">
        <v>14</v>
      </c>
      <c r="E3322" t="s">
        <v>4533</v>
      </c>
    </row>
    <row r="3323" spans="1:6" x14ac:dyDescent="0.25">
      <c r="A3323" t="str">
        <f>"245734625662"</f>
        <v>245734625662</v>
      </c>
      <c r="B3323" t="s">
        <v>4544</v>
      </c>
      <c r="C3323" t="s">
        <v>7</v>
      </c>
      <c r="D3323" t="s">
        <v>14</v>
      </c>
      <c r="E3323" t="s">
        <v>4533</v>
      </c>
    </row>
    <row r="3324" spans="1:6" x14ac:dyDescent="0.25">
      <c r="A3324" t="str">
        <f>"245800021433"</f>
        <v>245800021433</v>
      </c>
      <c r="B3324" t="s">
        <v>4545</v>
      </c>
      <c r="C3324" t="s">
        <v>7</v>
      </c>
      <c r="D3324" t="s">
        <v>14</v>
      </c>
      <c r="E3324" t="s">
        <v>4533</v>
      </c>
    </row>
    <row r="3325" spans="1:6" x14ac:dyDescent="0.25">
      <c r="A3325" t="str">
        <f>"245800941127"</f>
        <v>245800941127</v>
      </c>
      <c r="B3325" t="s">
        <v>4546</v>
      </c>
      <c r="C3325" t="s">
        <v>7</v>
      </c>
      <c r="D3325" t="s">
        <v>14</v>
      </c>
      <c r="E3325" t="s">
        <v>4533</v>
      </c>
    </row>
    <row r="3326" spans="1:6" x14ac:dyDescent="0.25">
      <c r="A3326" t="str">
        <f>"245801410591"</f>
        <v>245801410591</v>
      </c>
      <c r="B3326" t="s">
        <v>4547</v>
      </c>
      <c r="C3326" t="s">
        <v>7</v>
      </c>
      <c r="D3326" t="s">
        <v>12</v>
      </c>
      <c r="E3326" t="s">
        <v>4533</v>
      </c>
    </row>
    <row r="3327" spans="1:6" x14ac:dyDescent="0.25">
      <c r="A3327" t="str">
        <f>"2458016630"</f>
        <v>2458016630</v>
      </c>
      <c r="B3327" t="s">
        <v>4548</v>
      </c>
      <c r="C3327" t="s">
        <v>7</v>
      </c>
      <c r="D3327" t="s">
        <v>12</v>
      </c>
      <c r="E3327" t="s">
        <v>4533</v>
      </c>
      <c r="F3327" t="s">
        <v>4549</v>
      </c>
    </row>
    <row r="3328" spans="1:6" x14ac:dyDescent="0.25">
      <c r="A3328" t="str">
        <f>"245802874500"</f>
        <v>245802874500</v>
      </c>
      <c r="B3328" t="s">
        <v>4550</v>
      </c>
      <c r="C3328" t="s">
        <v>7</v>
      </c>
      <c r="D3328" t="s">
        <v>14</v>
      </c>
      <c r="E3328" t="s">
        <v>4533</v>
      </c>
    </row>
    <row r="3329" spans="1:6" x14ac:dyDescent="0.25">
      <c r="A3329" t="str">
        <f>"245900256799"</f>
        <v>245900256799</v>
      </c>
      <c r="B3329" t="s">
        <v>4551</v>
      </c>
      <c r="C3329" t="s">
        <v>7</v>
      </c>
      <c r="D3329" t="s">
        <v>14</v>
      </c>
      <c r="E3329" t="s">
        <v>4533</v>
      </c>
    </row>
    <row r="3330" spans="1:6" x14ac:dyDescent="0.25">
      <c r="A3330" t="str">
        <f>"245906851787"</f>
        <v>245906851787</v>
      </c>
      <c r="B3330" t="s">
        <v>4552</v>
      </c>
      <c r="C3330" t="s">
        <v>7</v>
      </c>
      <c r="D3330" t="s">
        <v>14</v>
      </c>
      <c r="E3330" t="s">
        <v>4533</v>
      </c>
    </row>
    <row r="3331" spans="1:6" x14ac:dyDescent="0.25">
      <c r="A3331" t="str">
        <f>"246003514415"</f>
        <v>246003514415</v>
      </c>
      <c r="B3331" t="s">
        <v>4553</v>
      </c>
      <c r="C3331" t="s">
        <v>7</v>
      </c>
      <c r="D3331" t="s">
        <v>14</v>
      </c>
      <c r="E3331" t="s">
        <v>4533</v>
      </c>
    </row>
    <row r="3332" spans="1:6" x14ac:dyDescent="0.25">
      <c r="A3332" t="str">
        <f>"2460062120"</f>
        <v>2460062120</v>
      </c>
      <c r="B3332" t="s">
        <v>4554</v>
      </c>
      <c r="C3332" t="s">
        <v>7</v>
      </c>
      <c r="D3332" t="s">
        <v>8</v>
      </c>
      <c r="E3332" t="s">
        <v>4533</v>
      </c>
      <c r="F3332" t="s">
        <v>4555</v>
      </c>
    </row>
    <row r="3333" spans="1:6" x14ac:dyDescent="0.25">
      <c r="A3333" t="str">
        <f>"2460078095"</f>
        <v>2460078095</v>
      </c>
      <c r="B3333" t="s">
        <v>4556</v>
      </c>
      <c r="C3333" t="s">
        <v>7</v>
      </c>
      <c r="D3333" t="s">
        <v>12</v>
      </c>
      <c r="E3333" t="s">
        <v>4533</v>
      </c>
      <c r="F3333" t="s">
        <v>4557</v>
      </c>
    </row>
    <row r="3334" spans="1:6" x14ac:dyDescent="0.25">
      <c r="A3334" t="str">
        <f>"2460200732"</f>
        <v>2460200732</v>
      </c>
      <c r="B3334" t="s">
        <v>4558</v>
      </c>
      <c r="C3334" t="s">
        <v>7</v>
      </c>
      <c r="D3334" t="s">
        <v>12</v>
      </c>
      <c r="E3334" t="s">
        <v>4533</v>
      </c>
      <c r="F3334" t="s">
        <v>4559</v>
      </c>
    </row>
    <row r="3335" spans="1:6" x14ac:dyDescent="0.25">
      <c r="A3335" t="str">
        <f>"2460251769"</f>
        <v>2460251769</v>
      </c>
      <c r="B3335" t="s">
        <v>4560</v>
      </c>
      <c r="C3335" t="s">
        <v>7</v>
      </c>
      <c r="D3335" t="s">
        <v>33</v>
      </c>
      <c r="E3335" t="s">
        <v>4533</v>
      </c>
      <c r="F3335" t="s">
        <v>4561</v>
      </c>
    </row>
    <row r="3336" spans="1:6" x14ac:dyDescent="0.25">
      <c r="A3336" t="str">
        <f>"2461028058"</f>
        <v>2461028058</v>
      </c>
      <c r="B3336" t="s">
        <v>4562</v>
      </c>
      <c r="C3336" t="s">
        <v>7</v>
      </c>
      <c r="D3336" t="s">
        <v>33</v>
      </c>
      <c r="E3336" t="s">
        <v>4533</v>
      </c>
      <c r="F3336" t="s">
        <v>4563</v>
      </c>
    </row>
    <row r="3337" spans="1:6" x14ac:dyDescent="0.25">
      <c r="A3337" t="str">
        <f>"2461045960"</f>
        <v>2461045960</v>
      </c>
      <c r="B3337" t="s">
        <v>4564</v>
      </c>
      <c r="C3337" t="s">
        <v>7</v>
      </c>
      <c r="D3337" t="s">
        <v>33</v>
      </c>
      <c r="E3337" t="s">
        <v>4533</v>
      </c>
      <c r="F3337" t="s">
        <v>4565</v>
      </c>
    </row>
    <row r="3338" spans="1:6" x14ac:dyDescent="0.25">
      <c r="A3338" t="str">
        <f>"246111684559"</f>
        <v>246111684559</v>
      </c>
      <c r="B3338" t="s">
        <v>4566</v>
      </c>
      <c r="C3338" t="s">
        <v>7</v>
      </c>
      <c r="D3338" t="s">
        <v>14</v>
      </c>
      <c r="E3338" t="s">
        <v>4533</v>
      </c>
    </row>
    <row r="3339" spans="1:6" x14ac:dyDescent="0.25">
      <c r="A3339" t="str">
        <f>"246114500288"</f>
        <v>246114500288</v>
      </c>
      <c r="B3339" t="s">
        <v>4567</v>
      </c>
      <c r="C3339" t="s">
        <v>7</v>
      </c>
      <c r="D3339" t="s">
        <v>14</v>
      </c>
      <c r="E3339" t="s">
        <v>4533</v>
      </c>
    </row>
    <row r="3340" spans="1:6" x14ac:dyDescent="0.25">
      <c r="A3340" t="str">
        <f>"2462017002"</f>
        <v>2462017002</v>
      </c>
      <c r="B3340" t="s">
        <v>4568</v>
      </c>
      <c r="C3340" t="s">
        <v>7</v>
      </c>
      <c r="D3340" t="s">
        <v>14</v>
      </c>
      <c r="E3340" t="s">
        <v>4533</v>
      </c>
      <c r="F3340" t="s">
        <v>4569</v>
      </c>
    </row>
    <row r="3341" spans="1:6" x14ac:dyDescent="0.25">
      <c r="A3341" t="str">
        <f>"2462040844"</f>
        <v>2462040844</v>
      </c>
      <c r="B3341" t="s">
        <v>4570</v>
      </c>
      <c r="C3341" t="s">
        <v>7</v>
      </c>
      <c r="D3341" t="s">
        <v>14</v>
      </c>
      <c r="E3341" t="s">
        <v>4533</v>
      </c>
      <c r="F3341" t="s">
        <v>4571</v>
      </c>
    </row>
    <row r="3342" spans="1:6" x14ac:dyDescent="0.25">
      <c r="A3342" t="str">
        <f>"246208172586"</f>
        <v>246208172586</v>
      </c>
      <c r="B3342" t="s">
        <v>4572</v>
      </c>
      <c r="C3342" t="s">
        <v>7</v>
      </c>
      <c r="D3342" t="s">
        <v>14</v>
      </c>
      <c r="E3342" t="s">
        <v>4533</v>
      </c>
    </row>
    <row r="3343" spans="1:6" x14ac:dyDescent="0.25">
      <c r="A3343" t="str">
        <f>"246211819915"</f>
        <v>246211819915</v>
      </c>
      <c r="B3343" t="s">
        <v>4573</v>
      </c>
      <c r="C3343" t="s">
        <v>7</v>
      </c>
      <c r="D3343" t="s">
        <v>14</v>
      </c>
      <c r="E3343" t="s">
        <v>4533</v>
      </c>
    </row>
    <row r="3344" spans="1:6" x14ac:dyDescent="0.25">
      <c r="A3344" t="str">
        <f>"246212096306"</f>
        <v>246212096306</v>
      </c>
      <c r="B3344" t="s">
        <v>4574</v>
      </c>
      <c r="C3344" t="s">
        <v>7</v>
      </c>
      <c r="D3344" t="s">
        <v>14</v>
      </c>
      <c r="E3344" t="s">
        <v>4533</v>
      </c>
    </row>
    <row r="3345" spans="1:6" x14ac:dyDescent="0.25">
      <c r="A3345" t="str">
        <f>"2462218044"</f>
        <v>2462218044</v>
      </c>
      <c r="B3345" t="s">
        <v>4575</v>
      </c>
      <c r="C3345" t="s">
        <v>7</v>
      </c>
      <c r="D3345" t="s">
        <v>14</v>
      </c>
      <c r="E3345" t="s">
        <v>4533</v>
      </c>
      <c r="F3345" t="s">
        <v>4576</v>
      </c>
    </row>
    <row r="3346" spans="1:6" x14ac:dyDescent="0.25">
      <c r="A3346" t="str">
        <f>"2462222481"</f>
        <v>2462222481</v>
      </c>
      <c r="B3346" t="s">
        <v>4577</v>
      </c>
      <c r="C3346" t="s">
        <v>7</v>
      </c>
      <c r="D3346" t="s">
        <v>33</v>
      </c>
      <c r="E3346" t="s">
        <v>4533</v>
      </c>
      <c r="F3346" t="s">
        <v>4578</v>
      </c>
    </row>
    <row r="3347" spans="1:6" x14ac:dyDescent="0.25">
      <c r="A3347" t="str">
        <f>"2463063548"</f>
        <v>2463063548</v>
      </c>
      <c r="B3347" t="s">
        <v>4579</v>
      </c>
      <c r="C3347" t="s">
        <v>7</v>
      </c>
      <c r="D3347" t="s">
        <v>12</v>
      </c>
      <c r="E3347" t="s">
        <v>4533</v>
      </c>
      <c r="F3347" t="s">
        <v>4580</v>
      </c>
    </row>
    <row r="3348" spans="1:6" x14ac:dyDescent="0.25">
      <c r="A3348" t="str">
        <f>"2463078777"</f>
        <v>2463078777</v>
      </c>
      <c r="B3348" t="s">
        <v>4581</v>
      </c>
      <c r="C3348" t="s">
        <v>7</v>
      </c>
      <c r="D3348" t="s">
        <v>12</v>
      </c>
      <c r="E3348" t="s">
        <v>4533</v>
      </c>
      <c r="F3348" t="s">
        <v>4582</v>
      </c>
    </row>
    <row r="3349" spans="1:6" x14ac:dyDescent="0.25">
      <c r="A3349" t="str">
        <f>"2463102363"</f>
        <v>2463102363</v>
      </c>
      <c r="B3349" t="s">
        <v>4583</v>
      </c>
      <c r="C3349" t="s">
        <v>7</v>
      </c>
      <c r="D3349" t="s">
        <v>12</v>
      </c>
      <c r="E3349" t="s">
        <v>4533</v>
      </c>
      <c r="F3349" t="s">
        <v>4584</v>
      </c>
    </row>
    <row r="3350" spans="1:6" x14ac:dyDescent="0.25">
      <c r="A3350" t="str">
        <f>"245011621472"</f>
        <v>245011621472</v>
      </c>
      <c r="B3350" t="s">
        <v>4585</v>
      </c>
      <c r="C3350" t="s">
        <v>7</v>
      </c>
      <c r="D3350" t="s">
        <v>14</v>
      </c>
      <c r="E3350" t="s">
        <v>4533</v>
      </c>
    </row>
    <row r="3351" spans="1:6" x14ac:dyDescent="0.25">
      <c r="A3351" t="str">
        <f>"245200892608"</f>
        <v>245200892608</v>
      </c>
      <c r="B3351" t="s">
        <v>4586</v>
      </c>
      <c r="C3351" t="s">
        <v>7</v>
      </c>
      <c r="D3351" t="s">
        <v>14</v>
      </c>
      <c r="E3351" t="s">
        <v>4533</v>
      </c>
    </row>
    <row r="3352" spans="1:6" x14ac:dyDescent="0.25">
      <c r="A3352" t="str">
        <f>"2452048107"</f>
        <v>2452048107</v>
      </c>
      <c r="B3352" t="s">
        <v>4587</v>
      </c>
      <c r="C3352" t="s">
        <v>7</v>
      </c>
      <c r="D3352" t="s">
        <v>33</v>
      </c>
      <c r="E3352" t="s">
        <v>4533</v>
      </c>
      <c r="F3352" t="s">
        <v>4588</v>
      </c>
    </row>
    <row r="3353" spans="1:6" x14ac:dyDescent="0.25">
      <c r="A3353" t="str">
        <f>"2452048393"</f>
        <v>2452048393</v>
      </c>
      <c r="B3353" t="s">
        <v>4589</v>
      </c>
      <c r="C3353" t="s">
        <v>7</v>
      </c>
      <c r="D3353" t="s">
        <v>14</v>
      </c>
      <c r="E3353" t="s">
        <v>4533</v>
      </c>
      <c r="F3353" t="s">
        <v>4590</v>
      </c>
    </row>
    <row r="3354" spans="1:6" x14ac:dyDescent="0.25">
      <c r="A3354" t="str">
        <f>"245208694929"</f>
        <v>245208694929</v>
      </c>
      <c r="B3354" t="s">
        <v>4591</v>
      </c>
      <c r="C3354" t="s">
        <v>7</v>
      </c>
      <c r="D3354" t="s">
        <v>14</v>
      </c>
      <c r="E3354" t="s">
        <v>4533</v>
      </c>
    </row>
    <row r="3355" spans="1:6" x14ac:dyDescent="0.25">
      <c r="A3355" t="str">
        <f>"245300221201"</f>
        <v>245300221201</v>
      </c>
      <c r="B3355" t="s">
        <v>4592</v>
      </c>
      <c r="C3355" t="s">
        <v>7</v>
      </c>
      <c r="D3355" t="s">
        <v>14</v>
      </c>
      <c r="E3355" t="s">
        <v>4533</v>
      </c>
    </row>
    <row r="3356" spans="1:6" x14ac:dyDescent="0.25">
      <c r="A3356" t="str">
        <f>"2453013900"</f>
        <v>2453013900</v>
      </c>
      <c r="B3356" t="s">
        <v>4593</v>
      </c>
      <c r="C3356" t="s">
        <v>7</v>
      </c>
      <c r="D3356" t="s">
        <v>14</v>
      </c>
      <c r="E3356" t="s">
        <v>4533</v>
      </c>
      <c r="F3356" t="s">
        <v>4594</v>
      </c>
    </row>
    <row r="3357" spans="1:6" x14ac:dyDescent="0.25">
      <c r="A3357" t="str">
        <f>"245304184423"</f>
        <v>245304184423</v>
      </c>
      <c r="B3357" t="s">
        <v>4595</v>
      </c>
      <c r="C3357" t="s">
        <v>7</v>
      </c>
      <c r="D3357" t="s">
        <v>14</v>
      </c>
      <c r="E3357" t="s">
        <v>4533</v>
      </c>
    </row>
    <row r="3358" spans="1:6" x14ac:dyDescent="0.25">
      <c r="A3358" t="str">
        <f>"245306416341"</f>
        <v>245306416341</v>
      </c>
      <c r="B3358" t="s">
        <v>4596</v>
      </c>
      <c r="C3358" t="s">
        <v>7</v>
      </c>
      <c r="D3358" t="s">
        <v>8</v>
      </c>
      <c r="E3358" t="s">
        <v>4533</v>
      </c>
    </row>
    <row r="3359" spans="1:6" x14ac:dyDescent="0.25">
      <c r="A3359" t="str">
        <f>"245404519923"</f>
        <v>245404519923</v>
      </c>
      <c r="B3359" t="s">
        <v>4597</v>
      </c>
      <c r="C3359" t="s">
        <v>7</v>
      </c>
      <c r="D3359" t="s">
        <v>14</v>
      </c>
      <c r="E3359" t="s">
        <v>4533</v>
      </c>
    </row>
    <row r="3360" spans="1:6" x14ac:dyDescent="0.25">
      <c r="A3360" t="str">
        <f>"245505488100"</f>
        <v>245505488100</v>
      </c>
      <c r="B3360" t="s">
        <v>4598</v>
      </c>
      <c r="C3360" t="s">
        <v>7</v>
      </c>
      <c r="D3360" t="s">
        <v>14</v>
      </c>
      <c r="E3360" t="s">
        <v>4533</v>
      </c>
    </row>
    <row r="3361" spans="1:6" x14ac:dyDescent="0.25">
      <c r="A3361" t="str">
        <f>"245600455338"</f>
        <v>245600455338</v>
      </c>
      <c r="B3361" t="s">
        <v>4599</v>
      </c>
      <c r="C3361" t="s">
        <v>7</v>
      </c>
      <c r="D3361" t="s">
        <v>14</v>
      </c>
      <c r="E3361" t="s">
        <v>4533</v>
      </c>
    </row>
    <row r="3362" spans="1:6" x14ac:dyDescent="0.25">
      <c r="A3362" t="str">
        <f>"2456013257"</f>
        <v>2456013257</v>
      </c>
      <c r="B3362" t="s">
        <v>4600</v>
      </c>
      <c r="C3362" t="s">
        <v>7</v>
      </c>
      <c r="D3362" t="s">
        <v>33</v>
      </c>
      <c r="E3362" t="s">
        <v>4533</v>
      </c>
      <c r="F3362" t="s">
        <v>4601</v>
      </c>
    </row>
    <row r="3363" spans="1:6" x14ac:dyDescent="0.25">
      <c r="A3363" t="str">
        <f>"245606033300"</f>
        <v>245606033300</v>
      </c>
      <c r="B3363" t="s">
        <v>4602</v>
      </c>
      <c r="C3363" t="s">
        <v>7</v>
      </c>
      <c r="D3363" t="s">
        <v>14</v>
      </c>
      <c r="E3363" t="s">
        <v>4533</v>
      </c>
    </row>
    <row r="3364" spans="1:6" x14ac:dyDescent="0.25">
      <c r="A3364" t="str">
        <f>"245608952275"</f>
        <v>245608952275</v>
      </c>
      <c r="B3364" t="s">
        <v>4603</v>
      </c>
      <c r="C3364" t="s">
        <v>7</v>
      </c>
      <c r="D3364" t="s">
        <v>14</v>
      </c>
      <c r="E3364" t="s">
        <v>4533</v>
      </c>
    </row>
    <row r="3365" spans="1:6" x14ac:dyDescent="0.25">
      <c r="A3365" t="str">
        <f>"245700091324"</f>
        <v>245700091324</v>
      </c>
      <c r="B3365" t="s">
        <v>4604</v>
      </c>
      <c r="C3365" t="s">
        <v>7</v>
      </c>
      <c r="D3365" t="s">
        <v>14</v>
      </c>
      <c r="E3365" t="s">
        <v>4533</v>
      </c>
    </row>
    <row r="3366" spans="1:6" x14ac:dyDescent="0.25">
      <c r="A3366" t="str">
        <f>"2457038215"</f>
        <v>2457038215</v>
      </c>
      <c r="B3366" t="s">
        <v>4605</v>
      </c>
      <c r="C3366" t="s">
        <v>7</v>
      </c>
      <c r="D3366" t="s">
        <v>14</v>
      </c>
      <c r="E3366" t="s">
        <v>4533</v>
      </c>
      <c r="F3366" t="s">
        <v>4606</v>
      </c>
    </row>
    <row r="3367" spans="1:6" x14ac:dyDescent="0.25">
      <c r="A3367" t="str">
        <f>"2457091459"</f>
        <v>2457091459</v>
      </c>
      <c r="B3367" t="s">
        <v>4607</v>
      </c>
      <c r="C3367" t="s">
        <v>7</v>
      </c>
      <c r="D3367" t="s">
        <v>33</v>
      </c>
      <c r="E3367" t="s">
        <v>4533</v>
      </c>
      <c r="F3367" t="s">
        <v>4608</v>
      </c>
    </row>
    <row r="3368" spans="1:6" x14ac:dyDescent="0.25">
      <c r="A3368" t="str">
        <f>"245713419299"</f>
        <v>245713419299</v>
      </c>
      <c r="B3368" t="s">
        <v>4609</v>
      </c>
      <c r="C3368" t="s">
        <v>7</v>
      </c>
      <c r="D3368" t="s">
        <v>14</v>
      </c>
      <c r="E3368" t="s">
        <v>4533</v>
      </c>
    </row>
    <row r="3369" spans="1:6" x14ac:dyDescent="0.25">
      <c r="A3369" t="str">
        <f>"245719440508"</f>
        <v>245719440508</v>
      </c>
      <c r="B3369" t="s">
        <v>4610</v>
      </c>
      <c r="C3369" t="s">
        <v>7</v>
      </c>
      <c r="D3369" t="s">
        <v>14</v>
      </c>
      <c r="E3369" t="s">
        <v>4533</v>
      </c>
    </row>
    <row r="3370" spans="1:6" x14ac:dyDescent="0.25">
      <c r="A3370" t="str">
        <f>"245733481979"</f>
        <v>245733481979</v>
      </c>
      <c r="B3370" t="s">
        <v>4611</v>
      </c>
      <c r="C3370" t="s">
        <v>7</v>
      </c>
      <c r="D3370" t="s">
        <v>14</v>
      </c>
      <c r="E3370" t="s">
        <v>4533</v>
      </c>
    </row>
    <row r="3371" spans="1:6" x14ac:dyDescent="0.25">
      <c r="A3371" t="str">
        <f>"245903573926"</f>
        <v>245903573926</v>
      </c>
      <c r="B3371" t="s">
        <v>4612</v>
      </c>
      <c r="C3371" t="s">
        <v>7</v>
      </c>
      <c r="D3371" t="s">
        <v>14</v>
      </c>
      <c r="E3371" t="s">
        <v>4533</v>
      </c>
    </row>
    <row r="3372" spans="1:6" x14ac:dyDescent="0.25">
      <c r="A3372" t="str">
        <f>"246000418985"</f>
        <v>246000418985</v>
      </c>
      <c r="B3372" t="s">
        <v>4613</v>
      </c>
      <c r="C3372" t="s">
        <v>7</v>
      </c>
      <c r="D3372" t="s">
        <v>12</v>
      </c>
      <c r="E3372" t="s">
        <v>4533</v>
      </c>
    </row>
    <row r="3373" spans="1:6" x14ac:dyDescent="0.25">
      <c r="A3373" t="str">
        <f>"246003413625"</f>
        <v>246003413625</v>
      </c>
      <c r="B3373" t="s">
        <v>4614</v>
      </c>
      <c r="C3373" t="s">
        <v>7</v>
      </c>
      <c r="D3373" t="s">
        <v>14</v>
      </c>
      <c r="E3373" t="s">
        <v>4533</v>
      </c>
    </row>
    <row r="3374" spans="1:6" x14ac:dyDescent="0.25">
      <c r="A3374" t="str">
        <f>"246005836295"</f>
        <v>246005836295</v>
      </c>
      <c r="B3374" t="s">
        <v>4615</v>
      </c>
      <c r="C3374" t="s">
        <v>7</v>
      </c>
      <c r="D3374" t="s">
        <v>14</v>
      </c>
      <c r="E3374" t="s">
        <v>4533</v>
      </c>
    </row>
    <row r="3375" spans="1:6" x14ac:dyDescent="0.25">
      <c r="A3375" t="str">
        <f>"246006141151"</f>
        <v>246006141151</v>
      </c>
      <c r="B3375" t="s">
        <v>4616</v>
      </c>
      <c r="C3375" t="s">
        <v>7</v>
      </c>
      <c r="D3375" t="s">
        <v>14</v>
      </c>
      <c r="E3375" t="s">
        <v>4533</v>
      </c>
    </row>
    <row r="3376" spans="1:6" x14ac:dyDescent="0.25">
      <c r="A3376" t="str">
        <f>"2460065321"</f>
        <v>2460065321</v>
      </c>
      <c r="B3376" t="s">
        <v>4617</v>
      </c>
      <c r="C3376" t="s">
        <v>7</v>
      </c>
      <c r="D3376" t="s">
        <v>14</v>
      </c>
      <c r="E3376" t="s">
        <v>4533</v>
      </c>
      <c r="F3376" t="s">
        <v>4618</v>
      </c>
    </row>
    <row r="3377" spans="1:6" x14ac:dyDescent="0.25">
      <c r="A3377" t="str">
        <f>"246006651804"</f>
        <v>246006651804</v>
      </c>
      <c r="B3377" t="s">
        <v>4619</v>
      </c>
      <c r="C3377" t="s">
        <v>7</v>
      </c>
      <c r="D3377" t="s">
        <v>14</v>
      </c>
      <c r="E3377" t="s">
        <v>4533</v>
      </c>
    </row>
    <row r="3378" spans="1:6" x14ac:dyDescent="0.25">
      <c r="A3378" t="str">
        <f>"2460081348"</f>
        <v>2460081348</v>
      </c>
      <c r="B3378" t="s">
        <v>3226</v>
      </c>
      <c r="C3378" t="s">
        <v>7</v>
      </c>
      <c r="D3378" t="s">
        <v>14</v>
      </c>
      <c r="E3378" t="s">
        <v>4533</v>
      </c>
      <c r="F3378" t="s">
        <v>4620</v>
      </c>
    </row>
    <row r="3379" spans="1:6" x14ac:dyDescent="0.25">
      <c r="A3379" t="str">
        <f>"2460106592"</f>
        <v>2460106592</v>
      </c>
      <c r="B3379" t="s">
        <v>4621</v>
      </c>
      <c r="C3379" t="s">
        <v>7</v>
      </c>
      <c r="D3379" t="s">
        <v>33</v>
      </c>
      <c r="E3379" t="s">
        <v>4533</v>
      </c>
      <c r="F3379" t="s">
        <v>4622</v>
      </c>
    </row>
    <row r="3380" spans="1:6" x14ac:dyDescent="0.25">
      <c r="A3380" t="str">
        <f>"246011535948"</f>
        <v>246011535948</v>
      </c>
      <c r="B3380" t="s">
        <v>4623</v>
      </c>
      <c r="C3380" t="s">
        <v>7</v>
      </c>
      <c r="D3380" t="s">
        <v>14</v>
      </c>
      <c r="E3380" t="s">
        <v>4533</v>
      </c>
    </row>
    <row r="3381" spans="1:6" x14ac:dyDescent="0.25">
      <c r="A3381" t="str">
        <f>"2460245194"</f>
        <v>2460245194</v>
      </c>
      <c r="B3381" t="s">
        <v>4624</v>
      </c>
      <c r="C3381" t="s">
        <v>7</v>
      </c>
      <c r="D3381" t="s">
        <v>12</v>
      </c>
      <c r="E3381" t="s">
        <v>4533</v>
      </c>
      <c r="F3381" t="s">
        <v>4625</v>
      </c>
    </row>
    <row r="3382" spans="1:6" x14ac:dyDescent="0.25">
      <c r="A3382" t="str">
        <f>"246103711336"</f>
        <v>246103711336</v>
      </c>
      <c r="B3382" t="s">
        <v>4626</v>
      </c>
      <c r="C3382" t="s">
        <v>7</v>
      </c>
      <c r="D3382" t="s">
        <v>14</v>
      </c>
      <c r="E3382" t="s">
        <v>4533</v>
      </c>
    </row>
    <row r="3383" spans="1:6" x14ac:dyDescent="0.25">
      <c r="A3383" t="str">
        <f>"2461216439"</f>
        <v>2461216439</v>
      </c>
      <c r="B3383" t="s">
        <v>4627</v>
      </c>
      <c r="C3383" t="s">
        <v>7</v>
      </c>
      <c r="D3383" t="s">
        <v>12</v>
      </c>
      <c r="E3383" t="s">
        <v>4533</v>
      </c>
      <c r="F3383" t="s">
        <v>4628</v>
      </c>
    </row>
    <row r="3384" spans="1:6" x14ac:dyDescent="0.25">
      <c r="A3384" t="str">
        <f>"246190002460"</f>
        <v>246190002460</v>
      </c>
      <c r="B3384" t="s">
        <v>4629</v>
      </c>
      <c r="C3384" t="s">
        <v>7</v>
      </c>
      <c r="D3384" t="s">
        <v>14</v>
      </c>
      <c r="E3384" t="s">
        <v>4533</v>
      </c>
    </row>
    <row r="3385" spans="1:6" x14ac:dyDescent="0.25">
      <c r="A3385" t="str">
        <f>"246200115498"</f>
        <v>246200115498</v>
      </c>
      <c r="B3385" t="s">
        <v>4630</v>
      </c>
      <c r="C3385" t="s">
        <v>7</v>
      </c>
      <c r="D3385" t="s">
        <v>12</v>
      </c>
      <c r="E3385" t="s">
        <v>4533</v>
      </c>
    </row>
    <row r="3386" spans="1:6" x14ac:dyDescent="0.25">
      <c r="A3386" t="str">
        <f>"2462044976"</f>
        <v>2462044976</v>
      </c>
      <c r="B3386" t="s">
        <v>4631</v>
      </c>
      <c r="C3386" t="s">
        <v>7</v>
      </c>
      <c r="D3386" t="s">
        <v>12</v>
      </c>
      <c r="E3386" t="s">
        <v>4533</v>
      </c>
      <c r="F3386" t="s">
        <v>4632</v>
      </c>
    </row>
    <row r="3387" spans="1:6" x14ac:dyDescent="0.25">
      <c r="A3387" t="str">
        <f>"2462048138"</f>
        <v>2462048138</v>
      </c>
      <c r="B3387" t="s">
        <v>4633</v>
      </c>
      <c r="C3387" t="s">
        <v>7</v>
      </c>
      <c r="D3387" t="s">
        <v>33</v>
      </c>
      <c r="E3387" t="s">
        <v>4533</v>
      </c>
      <c r="F3387" t="s">
        <v>4634</v>
      </c>
    </row>
    <row r="3388" spans="1:6" x14ac:dyDescent="0.25">
      <c r="A3388" t="str">
        <f>"246214162593"</f>
        <v>246214162593</v>
      </c>
      <c r="B3388" t="s">
        <v>4635</v>
      </c>
      <c r="C3388" t="s">
        <v>7</v>
      </c>
      <c r="D3388" t="s">
        <v>12</v>
      </c>
      <c r="E3388" t="s">
        <v>4533</v>
      </c>
    </row>
    <row r="3389" spans="1:6" x14ac:dyDescent="0.25">
      <c r="A3389" t="str">
        <f>"2462225764"</f>
        <v>2462225764</v>
      </c>
      <c r="B3389" t="s">
        <v>4636</v>
      </c>
      <c r="C3389" t="s">
        <v>7</v>
      </c>
      <c r="D3389" t="s">
        <v>33</v>
      </c>
      <c r="E3389" t="s">
        <v>4533</v>
      </c>
      <c r="F3389" t="s">
        <v>4637</v>
      </c>
    </row>
    <row r="3390" spans="1:6" x14ac:dyDescent="0.25">
      <c r="A3390" t="str">
        <f>"2463032691"</f>
        <v>2463032691</v>
      </c>
      <c r="B3390" t="s">
        <v>4638</v>
      </c>
      <c r="C3390" t="s">
        <v>7</v>
      </c>
      <c r="D3390" t="s">
        <v>12</v>
      </c>
      <c r="E3390" t="s">
        <v>4533</v>
      </c>
      <c r="F3390" t="s">
        <v>4639</v>
      </c>
    </row>
    <row r="3391" spans="1:6" x14ac:dyDescent="0.25">
      <c r="A3391" t="str">
        <f>"2463045186"</f>
        <v>2463045186</v>
      </c>
      <c r="B3391" t="s">
        <v>4640</v>
      </c>
      <c r="C3391" t="s">
        <v>7</v>
      </c>
      <c r="D3391" t="s">
        <v>14</v>
      </c>
      <c r="E3391" t="s">
        <v>4533</v>
      </c>
      <c r="F3391" t="s">
        <v>4641</v>
      </c>
    </row>
    <row r="3392" spans="1:6" x14ac:dyDescent="0.25">
      <c r="A3392" t="str">
        <f>"246305414960"</f>
        <v>246305414960</v>
      </c>
      <c r="B3392" t="s">
        <v>4642</v>
      </c>
      <c r="C3392" t="s">
        <v>7</v>
      </c>
      <c r="D3392" t="s">
        <v>14</v>
      </c>
      <c r="E3392" t="s">
        <v>4533</v>
      </c>
    </row>
    <row r="3393" spans="1:6" x14ac:dyDescent="0.25">
      <c r="A3393" t="str">
        <f>"246306000539"</f>
        <v>246306000539</v>
      </c>
      <c r="B3393" t="s">
        <v>4643</v>
      </c>
      <c r="C3393" t="s">
        <v>7</v>
      </c>
      <c r="D3393" t="s">
        <v>12</v>
      </c>
      <c r="E3393" t="s">
        <v>4533</v>
      </c>
    </row>
    <row r="3394" spans="1:6" x14ac:dyDescent="0.25">
      <c r="A3394" t="str">
        <f>"1901115584"</f>
        <v>1901115584</v>
      </c>
      <c r="B3394" t="s">
        <v>4644</v>
      </c>
      <c r="C3394" t="s">
        <v>7</v>
      </c>
      <c r="D3394" t="s">
        <v>33</v>
      </c>
      <c r="E3394" t="s">
        <v>4533</v>
      </c>
      <c r="F3394" t="s">
        <v>4645</v>
      </c>
    </row>
    <row r="3395" spans="1:6" x14ac:dyDescent="0.25">
      <c r="A3395" t="str">
        <f>"190116493820"</f>
        <v>190116493820</v>
      </c>
      <c r="B3395" t="s">
        <v>4646</v>
      </c>
      <c r="C3395" t="s">
        <v>7</v>
      </c>
      <c r="D3395" t="s">
        <v>14</v>
      </c>
      <c r="E3395" t="s">
        <v>4533</v>
      </c>
    </row>
    <row r="3396" spans="1:6" x14ac:dyDescent="0.25">
      <c r="A3396" t="str">
        <f>"2451000381"</f>
        <v>2451000381</v>
      </c>
      <c r="B3396" t="s">
        <v>4647</v>
      </c>
      <c r="C3396" t="s">
        <v>7</v>
      </c>
      <c r="D3396" t="s">
        <v>14</v>
      </c>
      <c r="E3396" t="s">
        <v>4533</v>
      </c>
      <c r="F3396" t="s">
        <v>4648</v>
      </c>
    </row>
    <row r="3397" spans="1:6" x14ac:dyDescent="0.25">
      <c r="A3397" t="str">
        <f>"245200688480"</f>
        <v>245200688480</v>
      </c>
      <c r="B3397" t="s">
        <v>4649</v>
      </c>
      <c r="C3397" t="s">
        <v>7</v>
      </c>
      <c r="D3397" t="s">
        <v>14</v>
      </c>
      <c r="E3397" t="s">
        <v>4533</v>
      </c>
    </row>
    <row r="3398" spans="1:6" x14ac:dyDescent="0.25">
      <c r="A3398" t="str">
        <f>"2452050410"</f>
        <v>2452050410</v>
      </c>
      <c r="B3398" t="s">
        <v>4650</v>
      </c>
      <c r="C3398" t="s">
        <v>7</v>
      </c>
      <c r="D3398" t="s">
        <v>14</v>
      </c>
      <c r="E3398" t="s">
        <v>4533</v>
      </c>
      <c r="F3398" t="s">
        <v>4651</v>
      </c>
    </row>
    <row r="3399" spans="1:6" x14ac:dyDescent="0.25">
      <c r="A3399" t="str">
        <f>"245211780409"</f>
        <v>245211780409</v>
      </c>
      <c r="B3399" t="s">
        <v>4652</v>
      </c>
      <c r="C3399" t="s">
        <v>7</v>
      </c>
      <c r="D3399" t="s">
        <v>12</v>
      </c>
      <c r="E3399" t="s">
        <v>4533</v>
      </c>
    </row>
    <row r="3400" spans="1:6" x14ac:dyDescent="0.25">
      <c r="A3400" t="str">
        <f>"245306609720"</f>
        <v>245306609720</v>
      </c>
      <c r="B3400" t="s">
        <v>4653</v>
      </c>
      <c r="C3400" t="s">
        <v>7</v>
      </c>
      <c r="D3400" t="s">
        <v>14</v>
      </c>
      <c r="E3400" t="s">
        <v>4533</v>
      </c>
    </row>
    <row r="3401" spans="1:6" x14ac:dyDescent="0.25">
      <c r="A3401" t="str">
        <f>"245400012498"</f>
        <v>245400012498</v>
      </c>
      <c r="B3401" t="s">
        <v>4654</v>
      </c>
      <c r="C3401" t="s">
        <v>7</v>
      </c>
      <c r="D3401" t="s">
        <v>14</v>
      </c>
      <c r="E3401" t="s">
        <v>4533</v>
      </c>
    </row>
    <row r="3402" spans="1:6" x14ac:dyDescent="0.25">
      <c r="A3402" t="str">
        <f>"245508115636"</f>
        <v>245508115636</v>
      </c>
      <c r="B3402" t="s">
        <v>4655</v>
      </c>
      <c r="C3402" t="s">
        <v>7</v>
      </c>
      <c r="D3402" t="s">
        <v>14</v>
      </c>
      <c r="E3402" t="s">
        <v>4533</v>
      </c>
    </row>
    <row r="3403" spans="1:6" x14ac:dyDescent="0.25">
      <c r="A3403" t="str">
        <f>"2456000071"</f>
        <v>2456000071</v>
      </c>
      <c r="B3403" t="s">
        <v>4656</v>
      </c>
      <c r="C3403" t="s">
        <v>7</v>
      </c>
      <c r="D3403" t="s">
        <v>12</v>
      </c>
      <c r="E3403" t="s">
        <v>4533</v>
      </c>
      <c r="F3403" t="s">
        <v>4657</v>
      </c>
    </row>
    <row r="3404" spans="1:6" x14ac:dyDescent="0.25">
      <c r="A3404" t="str">
        <f>"2456013289"</f>
        <v>2456013289</v>
      </c>
      <c r="B3404" t="s">
        <v>4658</v>
      </c>
      <c r="C3404" t="s">
        <v>7</v>
      </c>
      <c r="D3404" t="s">
        <v>14</v>
      </c>
      <c r="E3404" t="s">
        <v>4533</v>
      </c>
      <c r="F3404" t="s">
        <v>4659</v>
      </c>
    </row>
    <row r="3405" spans="1:6" x14ac:dyDescent="0.25">
      <c r="A3405" t="str">
        <f>"245605345410"</f>
        <v>245605345410</v>
      </c>
      <c r="B3405" t="s">
        <v>4660</v>
      </c>
      <c r="C3405" t="s">
        <v>7</v>
      </c>
      <c r="D3405" t="s">
        <v>14</v>
      </c>
      <c r="E3405" t="s">
        <v>4533</v>
      </c>
    </row>
    <row r="3406" spans="1:6" x14ac:dyDescent="0.25">
      <c r="A3406" t="str">
        <f>"2457070988"</f>
        <v>2457070988</v>
      </c>
      <c r="B3406" t="s">
        <v>4661</v>
      </c>
      <c r="C3406" t="s">
        <v>7</v>
      </c>
      <c r="D3406" t="s">
        <v>14</v>
      </c>
      <c r="E3406" t="s">
        <v>4533</v>
      </c>
      <c r="F3406" t="s">
        <v>4662</v>
      </c>
    </row>
    <row r="3407" spans="1:6" x14ac:dyDescent="0.25">
      <c r="A3407" t="str">
        <f>"2457090769"</f>
        <v>2457090769</v>
      </c>
      <c r="B3407" t="s">
        <v>4663</v>
      </c>
      <c r="C3407" t="s">
        <v>7</v>
      </c>
      <c r="D3407" t="s">
        <v>14</v>
      </c>
      <c r="E3407" t="s">
        <v>4533</v>
      </c>
      <c r="F3407" t="s">
        <v>4664</v>
      </c>
    </row>
    <row r="3408" spans="1:6" x14ac:dyDescent="0.25">
      <c r="A3408" t="str">
        <f>"2457091586"</f>
        <v>2457091586</v>
      </c>
      <c r="B3408" t="s">
        <v>4665</v>
      </c>
      <c r="C3408" t="s">
        <v>7</v>
      </c>
      <c r="D3408" t="s">
        <v>33</v>
      </c>
      <c r="E3408" t="s">
        <v>4533</v>
      </c>
      <c r="F3408" t="s">
        <v>4666</v>
      </c>
    </row>
    <row r="3409" spans="1:6" x14ac:dyDescent="0.25">
      <c r="A3409" t="str">
        <f>"245800226470"</f>
        <v>245800226470</v>
      </c>
      <c r="B3409" t="s">
        <v>4667</v>
      </c>
      <c r="C3409" t="s">
        <v>7</v>
      </c>
      <c r="D3409" t="s">
        <v>14</v>
      </c>
      <c r="E3409" t="s">
        <v>4533</v>
      </c>
    </row>
    <row r="3410" spans="1:6" x14ac:dyDescent="0.25">
      <c r="A3410" t="str">
        <f>"2458016060"</f>
        <v>2458016060</v>
      </c>
      <c r="B3410" t="s">
        <v>4668</v>
      </c>
      <c r="C3410" t="s">
        <v>7</v>
      </c>
      <c r="D3410" t="s">
        <v>14</v>
      </c>
      <c r="E3410" t="s">
        <v>4533</v>
      </c>
      <c r="F3410" t="s">
        <v>4669</v>
      </c>
    </row>
    <row r="3411" spans="1:6" x14ac:dyDescent="0.25">
      <c r="A3411" t="str">
        <f>"245803024111"</f>
        <v>245803024111</v>
      </c>
      <c r="B3411" t="s">
        <v>4670</v>
      </c>
      <c r="C3411" t="s">
        <v>7</v>
      </c>
      <c r="D3411" t="s">
        <v>14</v>
      </c>
      <c r="E3411" t="s">
        <v>4533</v>
      </c>
    </row>
    <row r="3412" spans="1:6" x14ac:dyDescent="0.25">
      <c r="A3412" t="str">
        <f>"245803154030"</f>
        <v>245803154030</v>
      </c>
      <c r="B3412" t="s">
        <v>4671</v>
      </c>
      <c r="C3412" t="s">
        <v>7</v>
      </c>
      <c r="D3412" t="s">
        <v>12</v>
      </c>
      <c r="E3412" t="s">
        <v>4533</v>
      </c>
    </row>
    <row r="3413" spans="1:6" x14ac:dyDescent="0.25">
      <c r="A3413" t="str">
        <f>"2459000217"</f>
        <v>2459000217</v>
      </c>
      <c r="B3413" t="s">
        <v>4672</v>
      </c>
      <c r="C3413" t="s">
        <v>7</v>
      </c>
      <c r="D3413" t="s">
        <v>14</v>
      </c>
      <c r="E3413" t="s">
        <v>4533</v>
      </c>
      <c r="F3413" t="s">
        <v>4673</v>
      </c>
    </row>
    <row r="3414" spans="1:6" x14ac:dyDescent="0.25">
      <c r="A3414" t="str">
        <f>"246004529862"</f>
        <v>246004529862</v>
      </c>
      <c r="B3414" t="s">
        <v>4674</v>
      </c>
      <c r="C3414" t="s">
        <v>7</v>
      </c>
      <c r="D3414" t="s">
        <v>14</v>
      </c>
      <c r="E3414" t="s">
        <v>4533</v>
      </c>
    </row>
    <row r="3415" spans="1:6" x14ac:dyDescent="0.25">
      <c r="A3415" t="str">
        <f>"2460101971"</f>
        <v>2460101971</v>
      </c>
      <c r="B3415" t="s">
        <v>4675</v>
      </c>
      <c r="C3415" t="s">
        <v>7</v>
      </c>
      <c r="D3415" t="s">
        <v>14</v>
      </c>
      <c r="E3415" t="s">
        <v>4533</v>
      </c>
      <c r="F3415" t="s">
        <v>4676</v>
      </c>
    </row>
    <row r="3416" spans="1:6" x14ac:dyDescent="0.25">
      <c r="A3416" t="str">
        <f>"2460222158"</f>
        <v>2460222158</v>
      </c>
      <c r="B3416" t="s">
        <v>4677</v>
      </c>
      <c r="C3416" t="s">
        <v>7</v>
      </c>
      <c r="D3416" t="s">
        <v>8</v>
      </c>
      <c r="E3416" t="s">
        <v>4533</v>
      </c>
      <c r="F3416" t="s">
        <v>4678</v>
      </c>
    </row>
    <row r="3417" spans="1:6" x14ac:dyDescent="0.25">
      <c r="A3417" t="str">
        <f>"2460253572"</f>
        <v>2460253572</v>
      </c>
      <c r="B3417" t="s">
        <v>4679</v>
      </c>
      <c r="C3417" t="s">
        <v>7</v>
      </c>
      <c r="D3417" t="s">
        <v>33</v>
      </c>
      <c r="E3417" t="s">
        <v>4533</v>
      </c>
      <c r="F3417" t="s">
        <v>4680</v>
      </c>
    </row>
    <row r="3418" spans="1:6" x14ac:dyDescent="0.25">
      <c r="A3418" t="str">
        <f>"246105487369"</f>
        <v>246105487369</v>
      </c>
      <c r="B3418" t="s">
        <v>4681</v>
      </c>
      <c r="C3418" t="s">
        <v>7</v>
      </c>
      <c r="D3418" t="s">
        <v>12</v>
      </c>
      <c r="E3418" t="s">
        <v>4533</v>
      </c>
    </row>
    <row r="3419" spans="1:6" x14ac:dyDescent="0.25">
      <c r="A3419" t="str">
        <f>"246108143398"</f>
        <v>246108143398</v>
      </c>
      <c r="B3419" t="s">
        <v>4682</v>
      </c>
      <c r="C3419" t="s">
        <v>7</v>
      </c>
      <c r="D3419" t="s">
        <v>14</v>
      </c>
      <c r="E3419" t="s">
        <v>4533</v>
      </c>
    </row>
    <row r="3420" spans="1:6" x14ac:dyDescent="0.25">
      <c r="A3420" t="str">
        <f>"246200023430"</f>
        <v>246200023430</v>
      </c>
      <c r="B3420" t="s">
        <v>4683</v>
      </c>
      <c r="C3420" t="s">
        <v>7</v>
      </c>
      <c r="D3420" t="s">
        <v>14</v>
      </c>
      <c r="E3420" t="s">
        <v>4533</v>
      </c>
    </row>
    <row r="3421" spans="1:6" x14ac:dyDescent="0.25">
      <c r="A3421" t="str">
        <f>"2462066546"</f>
        <v>2462066546</v>
      </c>
      <c r="B3421" t="s">
        <v>4684</v>
      </c>
      <c r="C3421" t="s">
        <v>7</v>
      </c>
      <c r="D3421" t="s">
        <v>33</v>
      </c>
      <c r="E3421" t="s">
        <v>4533</v>
      </c>
      <c r="F3421" t="s">
        <v>4685</v>
      </c>
    </row>
    <row r="3422" spans="1:6" x14ac:dyDescent="0.25">
      <c r="A3422" t="str">
        <f>"246207506772"</f>
        <v>246207506772</v>
      </c>
      <c r="B3422" t="s">
        <v>4686</v>
      </c>
      <c r="C3422" t="s">
        <v>7</v>
      </c>
      <c r="D3422" t="s">
        <v>14</v>
      </c>
      <c r="E3422" t="s">
        <v>4533</v>
      </c>
    </row>
    <row r="3423" spans="1:6" x14ac:dyDescent="0.25">
      <c r="A3423" t="str">
        <f>"246213801085"</f>
        <v>246213801085</v>
      </c>
      <c r="B3423" t="s">
        <v>4687</v>
      </c>
      <c r="C3423" t="s">
        <v>7</v>
      </c>
      <c r="D3423" t="s">
        <v>14</v>
      </c>
      <c r="E3423" t="s">
        <v>4533</v>
      </c>
    </row>
    <row r="3424" spans="1:6" x14ac:dyDescent="0.25">
      <c r="A3424" t="str">
        <f>"246215928577"</f>
        <v>246215928577</v>
      </c>
      <c r="B3424" t="s">
        <v>4688</v>
      </c>
      <c r="C3424" t="s">
        <v>7</v>
      </c>
      <c r="D3424" t="s">
        <v>14</v>
      </c>
      <c r="E3424" t="s">
        <v>4533</v>
      </c>
    </row>
    <row r="3425" spans="1:6" x14ac:dyDescent="0.25">
      <c r="A3425" t="str">
        <f>"2462220156"</f>
        <v>2462220156</v>
      </c>
      <c r="B3425" t="s">
        <v>4689</v>
      </c>
      <c r="C3425" t="s">
        <v>7</v>
      </c>
      <c r="D3425" t="s">
        <v>14</v>
      </c>
      <c r="E3425" t="s">
        <v>4533</v>
      </c>
      <c r="F3425" t="s">
        <v>4690</v>
      </c>
    </row>
    <row r="3426" spans="1:6" x14ac:dyDescent="0.25">
      <c r="A3426" t="str">
        <f>"246300450002"</f>
        <v>246300450002</v>
      </c>
      <c r="B3426" t="s">
        <v>4691</v>
      </c>
      <c r="C3426" t="s">
        <v>7</v>
      </c>
      <c r="D3426" t="s">
        <v>12</v>
      </c>
      <c r="E3426" t="s">
        <v>4533</v>
      </c>
    </row>
    <row r="3427" spans="1:6" x14ac:dyDescent="0.25">
      <c r="A3427" t="str">
        <f>"2463007430"</f>
        <v>2463007430</v>
      </c>
      <c r="B3427" t="s">
        <v>4692</v>
      </c>
      <c r="C3427" t="s">
        <v>7</v>
      </c>
      <c r="D3427" t="s">
        <v>12</v>
      </c>
      <c r="E3427" t="s">
        <v>4533</v>
      </c>
      <c r="F3427" t="s">
        <v>4693</v>
      </c>
    </row>
    <row r="3428" spans="1:6" x14ac:dyDescent="0.25">
      <c r="A3428" t="str">
        <f>"246302558650"</f>
        <v>246302558650</v>
      </c>
      <c r="B3428" t="s">
        <v>4694</v>
      </c>
      <c r="C3428" t="s">
        <v>7</v>
      </c>
      <c r="D3428" t="s">
        <v>14</v>
      </c>
      <c r="E3428" t="s">
        <v>4533</v>
      </c>
    </row>
    <row r="3429" spans="1:6" x14ac:dyDescent="0.25">
      <c r="A3429" t="str">
        <f>"246304628938"</f>
        <v>246304628938</v>
      </c>
      <c r="B3429" t="s">
        <v>4695</v>
      </c>
      <c r="C3429" t="s">
        <v>7</v>
      </c>
      <c r="D3429" t="s">
        <v>12</v>
      </c>
      <c r="E3429" t="s">
        <v>4533</v>
      </c>
    </row>
    <row r="3430" spans="1:6" x14ac:dyDescent="0.25">
      <c r="A3430" t="str">
        <f>"2463069282"</f>
        <v>2463069282</v>
      </c>
      <c r="B3430" t="s">
        <v>4696</v>
      </c>
      <c r="C3430" t="s">
        <v>7</v>
      </c>
      <c r="D3430" t="s">
        <v>14</v>
      </c>
      <c r="E3430" t="s">
        <v>4533</v>
      </c>
      <c r="F3430" t="s">
        <v>4697</v>
      </c>
    </row>
    <row r="3431" spans="1:6" x14ac:dyDescent="0.25">
      <c r="A3431" t="str">
        <f>"2463106086"</f>
        <v>2463106086</v>
      </c>
      <c r="B3431" t="s">
        <v>4698</v>
      </c>
      <c r="C3431" t="s">
        <v>7</v>
      </c>
      <c r="D3431" t="s">
        <v>33</v>
      </c>
      <c r="E3431" t="s">
        <v>4533</v>
      </c>
      <c r="F3431" t="s">
        <v>4699</v>
      </c>
    </row>
    <row r="3432" spans="1:6" x14ac:dyDescent="0.25">
      <c r="A3432" t="str">
        <f>"2463121006"</f>
        <v>2463121006</v>
      </c>
      <c r="B3432" t="s">
        <v>4700</v>
      </c>
      <c r="C3432" t="s">
        <v>7</v>
      </c>
      <c r="D3432" t="s">
        <v>12</v>
      </c>
      <c r="E3432" t="s">
        <v>4533</v>
      </c>
      <c r="F3432" t="s">
        <v>4701</v>
      </c>
    </row>
    <row r="3433" spans="1:6" x14ac:dyDescent="0.25">
      <c r="A3433" t="str">
        <f>"2463124247"</f>
        <v>2463124247</v>
      </c>
      <c r="B3433" t="s">
        <v>4702</v>
      </c>
      <c r="C3433" t="s">
        <v>7</v>
      </c>
      <c r="D3433" t="s">
        <v>33</v>
      </c>
      <c r="E3433" t="s">
        <v>4533</v>
      </c>
      <c r="F3433" t="s">
        <v>4703</v>
      </c>
    </row>
    <row r="3434" spans="1:6" x14ac:dyDescent="0.25">
      <c r="A3434" t="str">
        <f>"246312469760"</f>
        <v>246312469760</v>
      </c>
      <c r="B3434" t="s">
        <v>4704</v>
      </c>
      <c r="C3434" t="s">
        <v>7</v>
      </c>
      <c r="D3434" t="s">
        <v>14</v>
      </c>
      <c r="E3434" t="s">
        <v>4533</v>
      </c>
    </row>
    <row r="3435" spans="1:6" x14ac:dyDescent="0.25">
      <c r="A3435" t="str">
        <f>"171401211706"</f>
        <v>171401211706</v>
      </c>
      <c r="B3435" t="s">
        <v>4705</v>
      </c>
      <c r="C3435" t="s">
        <v>7</v>
      </c>
      <c r="D3435" t="s">
        <v>14</v>
      </c>
      <c r="E3435" t="s">
        <v>4533</v>
      </c>
    </row>
    <row r="3436" spans="1:6" x14ac:dyDescent="0.25">
      <c r="A3436" t="str">
        <f>"2463109016"</f>
        <v>2463109016</v>
      </c>
      <c r="B3436" t="s">
        <v>4706</v>
      </c>
      <c r="C3436" t="s">
        <v>7</v>
      </c>
      <c r="D3436" t="s">
        <v>12</v>
      </c>
      <c r="E3436" t="s">
        <v>4533</v>
      </c>
      <c r="F3436" t="s">
        <v>4707</v>
      </c>
    </row>
    <row r="3437" spans="1:6" x14ac:dyDescent="0.25">
      <c r="A3437" t="str">
        <f>"2463244992"</f>
        <v>2463244992</v>
      </c>
      <c r="B3437" t="s">
        <v>4708</v>
      </c>
      <c r="C3437" t="s">
        <v>7</v>
      </c>
      <c r="D3437" t="s">
        <v>33</v>
      </c>
      <c r="E3437" t="s">
        <v>4533</v>
      </c>
      <c r="F3437" t="s">
        <v>4709</v>
      </c>
    </row>
    <row r="3438" spans="1:6" x14ac:dyDescent="0.25">
      <c r="A3438" t="str">
        <f>"2463245026"</f>
        <v>2463245026</v>
      </c>
      <c r="B3438" t="s">
        <v>4710</v>
      </c>
      <c r="C3438" t="s">
        <v>7</v>
      </c>
      <c r="D3438" t="s">
        <v>14</v>
      </c>
      <c r="E3438" t="s">
        <v>4533</v>
      </c>
      <c r="F3438" t="s">
        <v>4711</v>
      </c>
    </row>
    <row r="3439" spans="1:6" x14ac:dyDescent="0.25">
      <c r="A3439" t="str">
        <f>"2464027334"</f>
        <v>2464027334</v>
      </c>
      <c r="B3439" t="s">
        <v>4712</v>
      </c>
      <c r="C3439" t="s">
        <v>7</v>
      </c>
      <c r="D3439" t="s">
        <v>12</v>
      </c>
      <c r="E3439" t="s">
        <v>4533</v>
      </c>
      <c r="F3439" t="s">
        <v>4713</v>
      </c>
    </row>
    <row r="3440" spans="1:6" x14ac:dyDescent="0.25">
      <c r="A3440" t="str">
        <f>"2464048408"</f>
        <v>2464048408</v>
      </c>
      <c r="B3440" t="s">
        <v>4714</v>
      </c>
      <c r="C3440" t="s">
        <v>7</v>
      </c>
      <c r="D3440" t="s">
        <v>12</v>
      </c>
      <c r="E3440" t="s">
        <v>4533</v>
      </c>
      <c r="F3440" t="s">
        <v>4715</v>
      </c>
    </row>
    <row r="3441" spans="1:6" x14ac:dyDescent="0.25">
      <c r="A3441" t="str">
        <f>"246412633149"</f>
        <v>246412633149</v>
      </c>
      <c r="B3441" t="s">
        <v>4716</v>
      </c>
      <c r="C3441" t="s">
        <v>7</v>
      </c>
      <c r="D3441" t="s">
        <v>14</v>
      </c>
      <c r="E3441" t="s">
        <v>4533</v>
      </c>
    </row>
    <row r="3442" spans="1:6" x14ac:dyDescent="0.25">
      <c r="A3442" t="str">
        <f>"2464127160"</f>
        <v>2464127160</v>
      </c>
      <c r="B3442" t="s">
        <v>4717</v>
      </c>
      <c r="C3442" t="s">
        <v>7</v>
      </c>
      <c r="D3442" t="s">
        <v>12</v>
      </c>
      <c r="E3442" t="s">
        <v>4533</v>
      </c>
      <c r="F3442" t="s">
        <v>4718</v>
      </c>
    </row>
    <row r="3443" spans="1:6" x14ac:dyDescent="0.25">
      <c r="A3443" t="str">
        <f>"2464132339"</f>
        <v>2464132339</v>
      </c>
      <c r="B3443" t="s">
        <v>4719</v>
      </c>
      <c r="C3443" t="s">
        <v>7</v>
      </c>
      <c r="D3443" t="s">
        <v>33</v>
      </c>
      <c r="E3443" t="s">
        <v>4533</v>
      </c>
      <c r="F3443" t="s">
        <v>4720</v>
      </c>
    </row>
    <row r="3444" spans="1:6" x14ac:dyDescent="0.25">
      <c r="A3444" t="str">
        <f>"2464136319"</f>
        <v>2464136319</v>
      </c>
      <c r="B3444" t="s">
        <v>4721</v>
      </c>
      <c r="C3444" t="s">
        <v>7</v>
      </c>
      <c r="D3444" t="s">
        <v>14</v>
      </c>
      <c r="E3444" t="s">
        <v>4533</v>
      </c>
      <c r="F3444" t="s">
        <v>4722</v>
      </c>
    </row>
    <row r="3445" spans="1:6" x14ac:dyDescent="0.25">
      <c r="A3445" t="str">
        <f>"2464148498"</f>
        <v>2464148498</v>
      </c>
      <c r="B3445" t="s">
        <v>4723</v>
      </c>
      <c r="C3445" t="s">
        <v>7</v>
      </c>
      <c r="D3445" t="s">
        <v>33</v>
      </c>
      <c r="E3445" t="s">
        <v>4533</v>
      </c>
      <c r="F3445" t="s">
        <v>4724</v>
      </c>
    </row>
    <row r="3446" spans="1:6" x14ac:dyDescent="0.25">
      <c r="A3446" t="str">
        <f>"2464152085"</f>
        <v>2464152085</v>
      </c>
      <c r="B3446" t="s">
        <v>4725</v>
      </c>
      <c r="C3446" t="s">
        <v>7</v>
      </c>
      <c r="D3446" t="s">
        <v>33</v>
      </c>
      <c r="E3446" t="s">
        <v>4533</v>
      </c>
      <c r="F3446" t="s">
        <v>4726</v>
      </c>
    </row>
    <row r="3447" spans="1:6" x14ac:dyDescent="0.25">
      <c r="A3447" t="str">
        <f>"246416666346"</f>
        <v>246416666346</v>
      </c>
      <c r="B3447" t="s">
        <v>4727</v>
      </c>
      <c r="C3447" t="s">
        <v>7</v>
      </c>
      <c r="D3447" t="s">
        <v>14</v>
      </c>
      <c r="E3447" t="s">
        <v>4533</v>
      </c>
    </row>
    <row r="3448" spans="1:6" x14ac:dyDescent="0.25">
      <c r="A3448" t="str">
        <f>"2464204689"</f>
        <v>2464204689</v>
      </c>
      <c r="B3448" t="s">
        <v>4728</v>
      </c>
      <c r="C3448" t="s">
        <v>7</v>
      </c>
      <c r="D3448" t="s">
        <v>14</v>
      </c>
      <c r="E3448" t="s">
        <v>4533</v>
      </c>
      <c r="F3448" t="s">
        <v>4729</v>
      </c>
    </row>
    <row r="3449" spans="1:6" x14ac:dyDescent="0.25">
      <c r="A3449" t="str">
        <f>"2464234147"</f>
        <v>2464234147</v>
      </c>
      <c r="B3449" t="s">
        <v>4730</v>
      </c>
      <c r="C3449" t="s">
        <v>7</v>
      </c>
      <c r="D3449" t="s">
        <v>33</v>
      </c>
      <c r="E3449" t="s">
        <v>4533</v>
      </c>
      <c r="F3449" t="s">
        <v>4731</v>
      </c>
    </row>
    <row r="3450" spans="1:6" x14ac:dyDescent="0.25">
      <c r="A3450" t="str">
        <f>"246500648909"</f>
        <v>246500648909</v>
      </c>
      <c r="B3450" t="s">
        <v>4732</v>
      </c>
      <c r="C3450" t="s">
        <v>7</v>
      </c>
      <c r="D3450" t="s">
        <v>14</v>
      </c>
      <c r="E3450" t="s">
        <v>4533</v>
      </c>
    </row>
    <row r="3451" spans="1:6" x14ac:dyDescent="0.25">
      <c r="A3451" t="str">
        <f>"246501012601"</f>
        <v>246501012601</v>
      </c>
      <c r="B3451" t="s">
        <v>4733</v>
      </c>
      <c r="C3451" t="s">
        <v>7</v>
      </c>
      <c r="D3451" t="s">
        <v>14</v>
      </c>
      <c r="E3451" t="s">
        <v>4533</v>
      </c>
    </row>
    <row r="3452" spans="1:6" x14ac:dyDescent="0.25">
      <c r="A3452" t="str">
        <f>"2465014708"</f>
        <v>2465014708</v>
      </c>
      <c r="B3452" t="s">
        <v>4734</v>
      </c>
      <c r="C3452" t="s">
        <v>7</v>
      </c>
      <c r="D3452" t="s">
        <v>98</v>
      </c>
      <c r="E3452" t="s">
        <v>4533</v>
      </c>
      <c r="F3452" t="s">
        <v>4735</v>
      </c>
    </row>
    <row r="3453" spans="1:6" x14ac:dyDescent="0.25">
      <c r="A3453" t="str">
        <f>"2465029422"</f>
        <v>2465029422</v>
      </c>
      <c r="B3453" t="s">
        <v>4736</v>
      </c>
      <c r="C3453" t="s">
        <v>7</v>
      </c>
      <c r="D3453" t="s">
        <v>12</v>
      </c>
      <c r="E3453" t="s">
        <v>4533</v>
      </c>
      <c r="F3453" t="s">
        <v>4737</v>
      </c>
    </row>
    <row r="3454" spans="1:6" x14ac:dyDescent="0.25">
      <c r="A3454" t="str">
        <f>"246506032922"</f>
        <v>246506032922</v>
      </c>
      <c r="B3454" t="s">
        <v>4738</v>
      </c>
      <c r="C3454" t="s">
        <v>7</v>
      </c>
      <c r="D3454" t="s">
        <v>14</v>
      </c>
      <c r="E3454" t="s">
        <v>4533</v>
      </c>
    </row>
    <row r="3455" spans="1:6" x14ac:dyDescent="0.25">
      <c r="A3455" t="str">
        <f>"2465065928"</f>
        <v>2465065928</v>
      </c>
      <c r="B3455" t="s">
        <v>4739</v>
      </c>
      <c r="C3455" t="s">
        <v>7</v>
      </c>
      <c r="D3455" t="s">
        <v>33</v>
      </c>
      <c r="E3455" t="s">
        <v>4533</v>
      </c>
      <c r="F3455" t="s">
        <v>4740</v>
      </c>
    </row>
    <row r="3456" spans="1:6" x14ac:dyDescent="0.25">
      <c r="A3456" t="str">
        <f>"2465082610"</f>
        <v>2465082610</v>
      </c>
      <c r="B3456" t="s">
        <v>4741</v>
      </c>
      <c r="C3456" t="s">
        <v>7</v>
      </c>
      <c r="D3456" t="s">
        <v>14</v>
      </c>
      <c r="E3456" t="s">
        <v>4533</v>
      </c>
      <c r="F3456" t="s">
        <v>4742</v>
      </c>
    </row>
    <row r="3457" spans="1:6" x14ac:dyDescent="0.25">
      <c r="A3457" t="str">
        <f>"2465105105"</f>
        <v>2465105105</v>
      </c>
      <c r="B3457" t="s">
        <v>4743</v>
      </c>
      <c r="C3457" t="s">
        <v>7</v>
      </c>
      <c r="D3457" t="s">
        <v>14</v>
      </c>
      <c r="E3457" t="s">
        <v>4533</v>
      </c>
      <c r="F3457" t="s">
        <v>4744</v>
      </c>
    </row>
    <row r="3458" spans="1:6" x14ac:dyDescent="0.25">
      <c r="A3458" t="str">
        <f>"2465124130"</f>
        <v>2465124130</v>
      </c>
      <c r="B3458" t="s">
        <v>4745</v>
      </c>
      <c r="C3458" t="s">
        <v>7</v>
      </c>
      <c r="D3458" t="s">
        <v>12</v>
      </c>
      <c r="E3458" t="s">
        <v>4533</v>
      </c>
      <c r="F3458" t="s">
        <v>4746</v>
      </c>
    </row>
    <row r="3459" spans="1:6" x14ac:dyDescent="0.25">
      <c r="A3459" t="str">
        <f>"2465125038"</f>
        <v>2465125038</v>
      </c>
      <c r="B3459" t="s">
        <v>4747</v>
      </c>
      <c r="C3459" t="s">
        <v>7</v>
      </c>
      <c r="D3459" t="s">
        <v>14</v>
      </c>
      <c r="E3459" t="s">
        <v>4533</v>
      </c>
      <c r="F3459" t="s">
        <v>4748</v>
      </c>
    </row>
    <row r="3460" spans="1:6" x14ac:dyDescent="0.25">
      <c r="A3460" t="str">
        <f>"2465137516"</f>
        <v>2465137516</v>
      </c>
      <c r="B3460" t="s">
        <v>4749</v>
      </c>
      <c r="C3460" t="s">
        <v>7</v>
      </c>
      <c r="D3460" t="s">
        <v>14</v>
      </c>
      <c r="E3460" t="s">
        <v>4533</v>
      </c>
      <c r="F3460" t="s">
        <v>4750</v>
      </c>
    </row>
    <row r="3461" spans="1:6" x14ac:dyDescent="0.25">
      <c r="A3461" t="str">
        <f>"246514109600"</f>
        <v>246514109600</v>
      </c>
      <c r="B3461" t="s">
        <v>4751</v>
      </c>
      <c r="C3461" t="s">
        <v>7</v>
      </c>
      <c r="D3461" t="s">
        <v>14</v>
      </c>
      <c r="E3461" t="s">
        <v>4533</v>
      </c>
    </row>
    <row r="3462" spans="1:6" x14ac:dyDescent="0.25">
      <c r="A3462" t="str">
        <f>"246514968472"</f>
        <v>246514968472</v>
      </c>
      <c r="B3462" t="s">
        <v>4752</v>
      </c>
      <c r="C3462" t="s">
        <v>7</v>
      </c>
      <c r="D3462" t="s">
        <v>14</v>
      </c>
      <c r="E3462" t="s">
        <v>4533</v>
      </c>
    </row>
    <row r="3463" spans="1:6" x14ac:dyDescent="0.25">
      <c r="A3463" t="str">
        <f>"246516068501"</f>
        <v>246516068501</v>
      </c>
      <c r="B3463" t="s">
        <v>4753</v>
      </c>
      <c r="C3463" t="s">
        <v>7</v>
      </c>
      <c r="D3463" t="s">
        <v>14</v>
      </c>
      <c r="E3463" t="s">
        <v>4533</v>
      </c>
    </row>
    <row r="3464" spans="1:6" x14ac:dyDescent="0.25">
      <c r="A3464" t="str">
        <f>"2465176297"</f>
        <v>2465176297</v>
      </c>
      <c r="B3464" t="s">
        <v>4754</v>
      </c>
      <c r="C3464" t="s">
        <v>7</v>
      </c>
      <c r="D3464" t="s">
        <v>33</v>
      </c>
      <c r="E3464" t="s">
        <v>4533</v>
      </c>
      <c r="F3464" t="s">
        <v>4755</v>
      </c>
    </row>
    <row r="3465" spans="1:6" x14ac:dyDescent="0.25">
      <c r="A3465" t="str">
        <f>"2465179989"</f>
        <v>2465179989</v>
      </c>
      <c r="B3465" t="s">
        <v>4756</v>
      </c>
      <c r="C3465" t="s">
        <v>7</v>
      </c>
      <c r="D3465" t="s">
        <v>12</v>
      </c>
      <c r="E3465" t="s">
        <v>4533</v>
      </c>
      <c r="F3465" t="s">
        <v>4757</v>
      </c>
    </row>
    <row r="3466" spans="1:6" x14ac:dyDescent="0.25">
      <c r="A3466" t="str">
        <f>"246518718191"</f>
        <v>246518718191</v>
      </c>
      <c r="B3466" t="s">
        <v>4758</v>
      </c>
      <c r="C3466" t="s">
        <v>7</v>
      </c>
      <c r="D3466" t="s">
        <v>14</v>
      </c>
      <c r="E3466" t="s">
        <v>4533</v>
      </c>
    </row>
    <row r="3467" spans="1:6" x14ac:dyDescent="0.25">
      <c r="A3467" t="str">
        <f>"246520358002"</f>
        <v>246520358002</v>
      </c>
      <c r="B3467" t="s">
        <v>4759</v>
      </c>
      <c r="C3467" t="s">
        <v>7</v>
      </c>
      <c r="D3467" t="s">
        <v>14</v>
      </c>
      <c r="E3467" t="s">
        <v>4533</v>
      </c>
    </row>
    <row r="3468" spans="1:6" x14ac:dyDescent="0.25">
      <c r="A3468" t="str">
        <f>"246522580027"</f>
        <v>246522580027</v>
      </c>
      <c r="B3468" t="s">
        <v>4760</v>
      </c>
      <c r="C3468" t="s">
        <v>7</v>
      </c>
      <c r="D3468" t="s">
        <v>14</v>
      </c>
      <c r="E3468" t="s">
        <v>4533</v>
      </c>
    </row>
    <row r="3469" spans="1:6" x14ac:dyDescent="0.25">
      <c r="A3469" t="str">
        <f>"2465229911"</f>
        <v>2465229911</v>
      </c>
      <c r="B3469" t="s">
        <v>4761</v>
      </c>
      <c r="C3469" t="s">
        <v>7</v>
      </c>
      <c r="D3469" t="s">
        <v>674</v>
      </c>
      <c r="E3469" t="s">
        <v>4533</v>
      </c>
      <c r="F3469" t="s">
        <v>4762</v>
      </c>
    </row>
    <row r="3470" spans="1:6" x14ac:dyDescent="0.25">
      <c r="A3470" t="str">
        <f>"246524003868"</f>
        <v>246524003868</v>
      </c>
      <c r="B3470" t="s">
        <v>4763</v>
      </c>
      <c r="C3470" t="s">
        <v>7</v>
      </c>
      <c r="D3470" t="s">
        <v>14</v>
      </c>
      <c r="E3470" t="s">
        <v>4533</v>
      </c>
    </row>
    <row r="3471" spans="1:6" x14ac:dyDescent="0.25">
      <c r="A3471" t="str">
        <f>"2465244878"</f>
        <v>2465244878</v>
      </c>
      <c r="B3471" t="s">
        <v>4764</v>
      </c>
      <c r="C3471" t="s">
        <v>7</v>
      </c>
      <c r="D3471" t="s">
        <v>12</v>
      </c>
      <c r="E3471" t="s">
        <v>4533</v>
      </c>
      <c r="F3471" t="s">
        <v>4765</v>
      </c>
    </row>
    <row r="3472" spans="1:6" x14ac:dyDescent="0.25">
      <c r="A3472" t="str">
        <f>"2465263278"</f>
        <v>2465263278</v>
      </c>
      <c r="B3472" t="s">
        <v>4766</v>
      </c>
      <c r="C3472" t="s">
        <v>7</v>
      </c>
      <c r="D3472" t="s">
        <v>14</v>
      </c>
      <c r="E3472" t="s">
        <v>4533</v>
      </c>
      <c r="F3472" t="s">
        <v>4767</v>
      </c>
    </row>
    <row r="3473" spans="1:6" x14ac:dyDescent="0.25">
      <c r="A3473" t="str">
        <f>"246527965221"</f>
        <v>246527965221</v>
      </c>
      <c r="B3473" t="s">
        <v>4768</v>
      </c>
      <c r="C3473" t="s">
        <v>7</v>
      </c>
      <c r="D3473" t="s">
        <v>14</v>
      </c>
      <c r="E3473" t="s">
        <v>4533</v>
      </c>
    </row>
    <row r="3474" spans="1:6" x14ac:dyDescent="0.25">
      <c r="A3474" t="str">
        <f>"246528505548"</f>
        <v>246528505548</v>
      </c>
      <c r="B3474" t="s">
        <v>4769</v>
      </c>
      <c r="C3474" t="s">
        <v>7</v>
      </c>
      <c r="D3474" t="s">
        <v>14</v>
      </c>
      <c r="E3474" t="s">
        <v>4533</v>
      </c>
    </row>
    <row r="3475" spans="1:6" x14ac:dyDescent="0.25">
      <c r="A3475" t="str">
        <f>"2465350146"</f>
        <v>2465350146</v>
      </c>
      <c r="B3475" t="s">
        <v>3179</v>
      </c>
      <c r="C3475" t="s">
        <v>7</v>
      </c>
      <c r="D3475" t="s">
        <v>33</v>
      </c>
      <c r="E3475" t="s">
        <v>4533</v>
      </c>
      <c r="F3475" t="s">
        <v>4770</v>
      </c>
    </row>
    <row r="3476" spans="1:6" x14ac:dyDescent="0.25">
      <c r="A3476" t="str">
        <f>"2465363730"</f>
        <v>2465363730</v>
      </c>
      <c r="B3476" t="s">
        <v>4771</v>
      </c>
      <c r="C3476" t="s">
        <v>7</v>
      </c>
      <c r="D3476" t="s">
        <v>33</v>
      </c>
      <c r="E3476" t="s">
        <v>4533</v>
      </c>
      <c r="F3476" t="s">
        <v>4772</v>
      </c>
    </row>
    <row r="3477" spans="1:6" x14ac:dyDescent="0.25">
      <c r="A3477" t="str">
        <f>"2465365223"</f>
        <v>2465365223</v>
      </c>
      <c r="B3477" t="s">
        <v>4773</v>
      </c>
      <c r="C3477" t="s">
        <v>7</v>
      </c>
      <c r="D3477" t="s">
        <v>14</v>
      </c>
      <c r="E3477" t="s">
        <v>4533</v>
      </c>
      <c r="F3477" t="s">
        <v>4774</v>
      </c>
    </row>
    <row r="3478" spans="1:6" x14ac:dyDescent="0.25">
      <c r="A3478" t="str">
        <f>"246600017946"</f>
        <v>246600017946</v>
      </c>
      <c r="B3478" t="s">
        <v>4775</v>
      </c>
      <c r="C3478" t="s">
        <v>7</v>
      </c>
      <c r="D3478" t="s">
        <v>14</v>
      </c>
      <c r="E3478" t="s">
        <v>4533</v>
      </c>
    </row>
    <row r="3479" spans="1:6" x14ac:dyDescent="0.25">
      <c r="A3479" t="str">
        <f>"246605544463"</f>
        <v>246605544463</v>
      </c>
      <c r="B3479" t="s">
        <v>4776</v>
      </c>
      <c r="C3479" t="s">
        <v>7</v>
      </c>
      <c r="D3479" t="s">
        <v>33</v>
      </c>
      <c r="E3479" t="s">
        <v>4533</v>
      </c>
    </row>
    <row r="3480" spans="1:6" x14ac:dyDescent="0.25">
      <c r="A3480" t="str">
        <f>"246606318918"</f>
        <v>246606318918</v>
      </c>
      <c r="B3480" t="s">
        <v>4777</v>
      </c>
      <c r="C3480" t="s">
        <v>7</v>
      </c>
      <c r="D3480" t="s">
        <v>12</v>
      </c>
      <c r="E3480" t="s">
        <v>4533</v>
      </c>
    </row>
    <row r="3481" spans="1:6" x14ac:dyDescent="0.25">
      <c r="A3481" t="str">
        <f>"2466067639"</f>
        <v>2466067639</v>
      </c>
      <c r="B3481" t="s">
        <v>4778</v>
      </c>
      <c r="C3481" t="s">
        <v>7</v>
      </c>
      <c r="D3481" t="s">
        <v>12</v>
      </c>
      <c r="E3481" t="s">
        <v>4533</v>
      </c>
      <c r="F3481" t="s">
        <v>4779</v>
      </c>
    </row>
    <row r="3482" spans="1:6" x14ac:dyDescent="0.25">
      <c r="A3482" t="str">
        <f>"2466099285"</f>
        <v>2466099285</v>
      </c>
      <c r="B3482" t="s">
        <v>4780</v>
      </c>
      <c r="C3482" t="s">
        <v>7</v>
      </c>
      <c r="D3482" t="s">
        <v>14</v>
      </c>
      <c r="E3482" t="s">
        <v>4533</v>
      </c>
      <c r="F3482" t="s">
        <v>4781</v>
      </c>
    </row>
    <row r="3483" spans="1:6" x14ac:dyDescent="0.25">
      <c r="A3483" t="str">
        <f>"2466163879"</f>
        <v>2466163879</v>
      </c>
      <c r="B3483" t="s">
        <v>4782</v>
      </c>
      <c r="C3483" t="s">
        <v>7</v>
      </c>
      <c r="D3483" t="s">
        <v>12</v>
      </c>
      <c r="E3483" t="s">
        <v>4533</v>
      </c>
      <c r="F3483" t="s">
        <v>4783</v>
      </c>
    </row>
    <row r="3484" spans="1:6" x14ac:dyDescent="0.25">
      <c r="A3484" t="str">
        <f>"2466192460"</f>
        <v>2466192460</v>
      </c>
      <c r="B3484" t="s">
        <v>4784</v>
      </c>
      <c r="C3484" t="s">
        <v>7</v>
      </c>
      <c r="D3484" t="s">
        <v>12</v>
      </c>
      <c r="E3484" t="s">
        <v>4533</v>
      </c>
      <c r="F3484" t="s">
        <v>4785</v>
      </c>
    </row>
    <row r="3485" spans="1:6" x14ac:dyDescent="0.25">
      <c r="A3485" t="str">
        <f>"2466276960"</f>
        <v>2466276960</v>
      </c>
      <c r="B3485" t="s">
        <v>4786</v>
      </c>
      <c r="C3485" t="s">
        <v>7</v>
      </c>
      <c r="D3485" t="s">
        <v>33</v>
      </c>
      <c r="E3485" t="s">
        <v>4533</v>
      </c>
      <c r="F3485" t="s">
        <v>4787</v>
      </c>
    </row>
    <row r="3486" spans="1:6" x14ac:dyDescent="0.25">
      <c r="A3486" t="str">
        <f>"2466293469"</f>
        <v>2466293469</v>
      </c>
      <c r="B3486" t="s">
        <v>4788</v>
      </c>
      <c r="C3486" t="s">
        <v>7</v>
      </c>
      <c r="D3486" t="s">
        <v>33</v>
      </c>
      <c r="E3486" t="s">
        <v>4533</v>
      </c>
      <c r="F3486" t="s">
        <v>4789</v>
      </c>
    </row>
    <row r="3487" spans="1:6" x14ac:dyDescent="0.25">
      <c r="A3487" t="str">
        <f>"2466299894"</f>
        <v>2466299894</v>
      </c>
      <c r="B3487" t="s">
        <v>4790</v>
      </c>
      <c r="C3487" t="s">
        <v>7</v>
      </c>
      <c r="D3487" t="s">
        <v>12</v>
      </c>
      <c r="E3487" t="s">
        <v>4533</v>
      </c>
      <c r="F3487" t="s">
        <v>4791</v>
      </c>
    </row>
    <row r="3488" spans="1:6" x14ac:dyDescent="0.25">
      <c r="A3488" t="str">
        <f>"1901098378"</f>
        <v>1901098378</v>
      </c>
      <c r="B3488" t="s">
        <v>4792</v>
      </c>
      <c r="C3488" t="s">
        <v>7</v>
      </c>
      <c r="D3488" t="s">
        <v>14</v>
      </c>
      <c r="E3488" t="s">
        <v>4533</v>
      </c>
      <c r="F3488" t="s">
        <v>4793</v>
      </c>
    </row>
    <row r="3489" spans="1:6" x14ac:dyDescent="0.25">
      <c r="A3489" t="str">
        <f>"191101657130"</f>
        <v>191101657130</v>
      </c>
      <c r="B3489" t="s">
        <v>4794</v>
      </c>
      <c r="C3489" t="s">
        <v>7</v>
      </c>
      <c r="D3489" t="s">
        <v>12</v>
      </c>
      <c r="E3489" t="s">
        <v>4533</v>
      </c>
    </row>
    <row r="3490" spans="1:6" x14ac:dyDescent="0.25">
      <c r="A3490" t="str">
        <f>"246309932138"</f>
        <v>246309932138</v>
      </c>
      <c r="B3490" t="s">
        <v>4795</v>
      </c>
      <c r="C3490" t="s">
        <v>7</v>
      </c>
      <c r="D3490" t="s">
        <v>14</v>
      </c>
      <c r="E3490" t="s">
        <v>4533</v>
      </c>
    </row>
    <row r="3491" spans="1:6" x14ac:dyDescent="0.25">
      <c r="A3491" t="str">
        <f>"246311168008"</f>
        <v>246311168008</v>
      </c>
      <c r="B3491" t="s">
        <v>4796</v>
      </c>
      <c r="C3491" t="s">
        <v>7</v>
      </c>
      <c r="D3491" t="s">
        <v>14</v>
      </c>
      <c r="E3491" t="s">
        <v>4533</v>
      </c>
    </row>
    <row r="3492" spans="1:6" x14ac:dyDescent="0.25">
      <c r="A3492" t="str">
        <f>"2463116084"</f>
        <v>2463116084</v>
      </c>
      <c r="B3492" t="s">
        <v>4797</v>
      </c>
      <c r="C3492" t="s">
        <v>7</v>
      </c>
      <c r="D3492" t="s">
        <v>12</v>
      </c>
      <c r="E3492" t="s">
        <v>4533</v>
      </c>
      <c r="F3492" t="s">
        <v>4798</v>
      </c>
    </row>
    <row r="3493" spans="1:6" x14ac:dyDescent="0.25">
      <c r="A3493" t="str">
        <f>"246313478615"</f>
        <v>246313478615</v>
      </c>
      <c r="B3493" t="s">
        <v>4799</v>
      </c>
      <c r="C3493" t="s">
        <v>7</v>
      </c>
      <c r="D3493" t="s">
        <v>12</v>
      </c>
      <c r="E3493" t="s">
        <v>4533</v>
      </c>
    </row>
    <row r="3494" spans="1:6" x14ac:dyDescent="0.25">
      <c r="A3494" t="str">
        <f>"246318960438"</f>
        <v>246318960438</v>
      </c>
      <c r="B3494" t="s">
        <v>4800</v>
      </c>
      <c r="C3494" t="s">
        <v>7</v>
      </c>
      <c r="D3494" t="s">
        <v>12</v>
      </c>
      <c r="E3494" t="s">
        <v>4533</v>
      </c>
    </row>
    <row r="3495" spans="1:6" x14ac:dyDescent="0.25">
      <c r="A3495" t="str">
        <f>"2463227404"</f>
        <v>2463227404</v>
      </c>
      <c r="B3495" t="s">
        <v>4801</v>
      </c>
      <c r="C3495" t="s">
        <v>7</v>
      </c>
      <c r="D3495" t="s">
        <v>33</v>
      </c>
      <c r="E3495" t="s">
        <v>4533</v>
      </c>
      <c r="F3495" t="s">
        <v>4802</v>
      </c>
    </row>
    <row r="3496" spans="1:6" x14ac:dyDescent="0.25">
      <c r="A3496" t="str">
        <f>"246400299468"</f>
        <v>246400299468</v>
      </c>
      <c r="B3496" t="s">
        <v>4803</v>
      </c>
      <c r="C3496" t="s">
        <v>7</v>
      </c>
      <c r="D3496" t="s">
        <v>12</v>
      </c>
      <c r="E3496" t="s">
        <v>4533</v>
      </c>
    </row>
    <row r="3497" spans="1:6" x14ac:dyDescent="0.25">
      <c r="A3497" t="str">
        <f>"246400334063"</f>
        <v>246400334063</v>
      </c>
      <c r="B3497" t="s">
        <v>4804</v>
      </c>
      <c r="C3497" t="s">
        <v>7</v>
      </c>
      <c r="D3497" t="s">
        <v>14</v>
      </c>
      <c r="E3497" t="s">
        <v>4533</v>
      </c>
    </row>
    <row r="3498" spans="1:6" x14ac:dyDescent="0.25">
      <c r="A3498" t="str">
        <f>"2464024615"</f>
        <v>2464024615</v>
      </c>
      <c r="B3498" t="s">
        <v>4805</v>
      </c>
      <c r="C3498" t="s">
        <v>7</v>
      </c>
      <c r="D3498" t="s">
        <v>12</v>
      </c>
      <c r="E3498" t="s">
        <v>4533</v>
      </c>
      <c r="F3498" t="s">
        <v>4806</v>
      </c>
    </row>
    <row r="3499" spans="1:6" x14ac:dyDescent="0.25">
      <c r="A3499" t="str">
        <f>"2464035991"</f>
        <v>2464035991</v>
      </c>
      <c r="B3499" t="s">
        <v>4807</v>
      </c>
      <c r="C3499" t="s">
        <v>7</v>
      </c>
      <c r="D3499" t="s">
        <v>33</v>
      </c>
      <c r="E3499" t="s">
        <v>4533</v>
      </c>
      <c r="F3499" t="s">
        <v>4808</v>
      </c>
    </row>
    <row r="3500" spans="1:6" x14ac:dyDescent="0.25">
      <c r="A3500" t="str">
        <f>"2464076613"</f>
        <v>2464076613</v>
      </c>
      <c r="B3500" t="s">
        <v>4809</v>
      </c>
      <c r="C3500" t="s">
        <v>7</v>
      </c>
      <c r="D3500" t="s">
        <v>674</v>
      </c>
      <c r="E3500" t="s">
        <v>4533</v>
      </c>
      <c r="F3500" t="s">
        <v>4810</v>
      </c>
    </row>
    <row r="3501" spans="1:6" x14ac:dyDescent="0.25">
      <c r="A3501" t="str">
        <f>"2464100778"</f>
        <v>2464100778</v>
      </c>
      <c r="B3501" t="s">
        <v>4811</v>
      </c>
      <c r="C3501" t="s">
        <v>7</v>
      </c>
      <c r="D3501" t="s">
        <v>14</v>
      </c>
      <c r="E3501" t="s">
        <v>4533</v>
      </c>
      <c r="F3501" t="s">
        <v>4812</v>
      </c>
    </row>
    <row r="3502" spans="1:6" x14ac:dyDescent="0.25">
      <c r="A3502" t="str">
        <f>"2464138161"</f>
        <v>2464138161</v>
      </c>
      <c r="B3502" t="s">
        <v>4813</v>
      </c>
      <c r="C3502" t="s">
        <v>7</v>
      </c>
      <c r="D3502" t="s">
        <v>14</v>
      </c>
      <c r="E3502" t="s">
        <v>4533</v>
      </c>
      <c r="F3502" t="s">
        <v>4814</v>
      </c>
    </row>
    <row r="3503" spans="1:6" x14ac:dyDescent="0.25">
      <c r="A3503" t="str">
        <f>"246413822702"</f>
        <v>246413822702</v>
      </c>
      <c r="B3503" t="s">
        <v>4815</v>
      </c>
      <c r="C3503" t="s">
        <v>7</v>
      </c>
      <c r="D3503" t="s">
        <v>33</v>
      </c>
      <c r="E3503" t="s">
        <v>4533</v>
      </c>
    </row>
    <row r="3504" spans="1:6" x14ac:dyDescent="0.25">
      <c r="A3504" t="str">
        <f>"246415325287"</f>
        <v>246415325287</v>
      </c>
      <c r="B3504" t="s">
        <v>4816</v>
      </c>
      <c r="C3504" t="s">
        <v>7</v>
      </c>
      <c r="D3504" t="s">
        <v>12</v>
      </c>
      <c r="E3504" t="s">
        <v>4533</v>
      </c>
    </row>
    <row r="3505" spans="1:6" x14ac:dyDescent="0.25">
      <c r="A3505" t="str">
        <f>"2464224396"</f>
        <v>2464224396</v>
      </c>
      <c r="B3505" t="s">
        <v>4817</v>
      </c>
      <c r="C3505" t="s">
        <v>7</v>
      </c>
      <c r="D3505" t="s">
        <v>14</v>
      </c>
      <c r="E3505" t="s">
        <v>4533</v>
      </c>
      <c r="F3505" t="s">
        <v>4818</v>
      </c>
    </row>
    <row r="3506" spans="1:6" x14ac:dyDescent="0.25">
      <c r="A3506" t="str">
        <f>"2464254070"</f>
        <v>2464254070</v>
      </c>
      <c r="B3506" t="s">
        <v>4819</v>
      </c>
      <c r="C3506" t="s">
        <v>7</v>
      </c>
      <c r="D3506" t="s">
        <v>12</v>
      </c>
      <c r="E3506" t="s">
        <v>4533</v>
      </c>
      <c r="F3506" t="s">
        <v>4820</v>
      </c>
    </row>
    <row r="3507" spans="1:6" x14ac:dyDescent="0.25">
      <c r="A3507" t="str">
        <f>"2464255154"</f>
        <v>2464255154</v>
      </c>
      <c r="B3507" t="s">
        <v>4821</v>
      </c>
      <c r="C3507" t="s">
        <v>7</v>
      </c>
      <c r="D3507" t="s">
        <v>33</v>
      </c>
      <c r="E3507" t="s">
        <v>4533</v>
      </c>
      <c r="F3507" t="s">
        <v>4822</v>
      </c>
    </row>
    <row r="3508" spans="1:6" x14ac:dyDescent="0.25">
      <c r="A3508" t="str">
        <f>"2464263927"</f>
        <v>2464263927</v>
      </c>
      <c r="B3508" t="s">
        <v>4823</v>
      </c>
      <c r="C3508" t="s">
        <v>7</v>
      </c>
      <c r="D3508" t="s">
        <v>14</v>
      </c>
      <c r="E3508" t="s">
        <v>4533</v>
      </c>
      <c r="F3508" t="s">
        <v>4824</v>
      </c>
    </row>
    <row r="3509" spans="1:6" x14ac:dyDescent="0.25">
      <c r="A3509" t="str">
        <f>"246503797497"</f>
        <v>246503797497</v>
      </c>
      <c r="B3509" t="s">
        <v>4825</v>
      </c>
      <c r="C3509" t="s">
        <v>7</v>
      </c>
      <c r="D3509" t="s">
        <v>33</v>
      </c>
      <c r="E3509" t="s">
        <v>4533</v>
      </c>
    </row>
    <row r="3510" spans="1:6" x14ac:dyDescent="0.25">
      <c r="A3510" t="str">
        <f>"2465047767"</f>
        <v>2465047767</v>
      </c>
      <c r="B3510" t="s">
        <v>4826</v>
      </c>
      <c r="C3510" t="s">
        <v>7</v>
      </c>
      <c r="D3510" t="s">
        <v>12</v>
      </c>
      <c r="E3510" t="s">
        <v>4533</v>
      </c>
      <c r="F3510" t="s">
        <v>4827</v>
      </c>
    </row>
    <row r="3511" spans="1:6" x14ac:dyDescent="0.25">
      <c r="A3511" t="str">
        <f>"2465054700"</f>
        <v>2465054700</v>
      </c>
      <c r="B3511" t="s">
        <v>709</v>
      </c>
      <c r="C3511" t="s">
        <v>7</v>
      </c>
      <c r="D3511" t="s">
        <v>14</v>
      </c>
      <c r="E3511" t="s">
        <v>4533</v>
      </c>
      <c r="F3511" t="s">
        <v>4828</v>
      </c>
    </row>
    <row r="3512" spans="1:6" x14ac:dyDescent="0.25">
      <c r="A3512" t="str">
        <f>"2465059071"</f>
        <v>2465059071</v>
      </c>
      <c r="B3512" t="s">
        <v>4829</v>
      </c>
      <c r="C3512" t="s">
        <v>7</v>
      </c>
      <c r="D3512" t="s">
        <v>12</v>
      </c>
      <c r="E3512" t="s">
        <v>4533</v>
      </c>
      <c r="F3512" t="s">
        <v>4830</v>
      </c>
    </row>
    <row r="3513" spans="1:6" x14ac:dyDescent="0.25">
      <c r="A3513" t="str">
        <f>"2465075228"</f>
        <v>2465075228</v>
      </c>
      <c r="B3513" t="s">
        <v>4831</v>
      </c>
      <c r="C3513" t="s">
        <v>7</v>
      </c>
      <c r="D3513" t="s">
        <v>33</v>
      </c>
      <c r="E3513" t="s">
        <v>4533</v>
      </c>
      <c r="F3513" t="s">
        <v>4832</v>
      </c>
    </row>
    <row r="3514" spans="1:6" x14ac:dyDescent="0.25">
      <c r="A3514" t="str">
        <f>"246508197422"</f>
        <v>246508197422</v>
      </c>
      <c r="B3514" t="s">
        <v>4833</v>
      </c>
      <c r="C3514" t="s">
        <v>7</v>
      </c>
      <c r="D3514" t="s">
        <v>14</v>
      </c>
      <c r="E3514" t="s">
        <v>4533</v>
      </c>
    </row>
    <row r="3515" spans="1:6" x14ac:dyDescent="0.25">
      <c r="A3515" t="str">
        <f>"246511412341"</f>
        <v>246511412341</v>
      </c>
      <c r="B3515" t="s">
        <v>4834</v>
      </c>
      <c r="C3515" t="s">
        <v>7</v>
      </c>
      <c r="D3515" t="s">
        <v>14</v>
      </c>
      <c r="E3515" t="s">
        <v>4533</v>
      </c>
    </row>
    <row r="3516" spans="1:6" x14ac:dyDescent="0.25">
      <c r="A3516" t="str">
        <f>"2465120551"</f>
        <v>2465120551</v>
      </c>
      <c r="B3516" t="s">
        <v>4835</v>
      </c>
      <c r="C3516" t="s">
        <v>7</v>
      </c>
      <c r="D3516" t="s">
        <v>12</v>
      </c>
      <c r="E3516" t="s">
        <v>4533</v>
      </c>
      <c r="F3516" t="s">
        <v>4836</v>
      </c>
    </row>
    <row r="3517" spans="1:6" x14ac:dyDescent="0.25">
      <c r="A3517" t="str">
        <f>"2465131095"</f>
        <v>2465131095</v>
      </c>
      <c r="B3517" t="s">
        <v>4837</v>
      </c>
      <c r="C3517" t="s">
        <v>7</v>
      </c>
      <c r="D3517" t="s">
        <v>33</v>
      </c>
      <c r="E3517" t="s">
        <v>4533</v>
      </c>
      <c r="F3517" t="s">
        <v>4838</v>
      </c>
    </row>
    <row r="3518" spans="1:6" x14ac:dyDescent="0.25">
      <c r="A3518" t="str">
        <f>"246514105116"</f>
        <v>246514105116</v>
      </c>
      <c r="B3518" t="s">
        <v>4839</v>
      </c>
      <c r="C3518" t="s">
        <v>7</v>
      </c>
      <c r="D3518" t="s">
        <v>14</v>
      </c>
      <c r="E3518" t="s">
        <v>4533</v>
      </c>
    </row>
    <row r="3519" spans="1:6" x14ac:dyDescent="0.25">
      <c r="A3519" t="str">
        <f>"246517580342"</f>
        <v>246517580342</v>
      </c>
      <c r="B3519" t="s">
        <v>4840</v>
      </c>
      <c r="C3519" t="s">
        <v>7</v>
      </c>
      <c r="D3519" t="s">
        <v>14</v>
      </c>
      <c r="E3519" t="s">
        <v>4533</v>
      </c>
    </row>
    <row r="3520" spans="1:6" x14ac:dyDescent="0.25">
      <c r="A3520" t="str">
        <f>"2465179957"</f>
        <v>2465179957</v>
      </c>
      <c r="B3520" t="s">
        <v>4841</v>
      </c>
      <c r="C3520" t="s">
        <v>7</v>
      </c>
      <c r="D3520" t="s">
        <v>12</v>
      </c>
      <c r="E3520" t="s">
        <v>4533</v>
      </c>
      <c r="F3520" t="s">
        <v>4842</v>
      </c>
    </row>
    <row r="3521" spans="1:6" x14ac:dyDescent="0.25">
      <c r="A3521" t="str">
        <f>"2465183720"</f>
        <v>2465183720</v>
      </c>
      <c r="B3521" t="s">
        <v>3810</v>
      </c>
      <c r="C3521" t="s">
        <v>7</v>
      </c>
      <c r="D3521" t="s">
        <v>33</v>
      </c>
      <c r="E3521" t="s">
        <v>4533</v>
      </c>
      <c r="F3521" t="s">
        <v>4843</v>
      </c>
    </row>
    <row r="3522" spans="1:6" x14ac:dyDescent="0.25">
      <c r="A3522" t="str">
        <f>"2465188140"</f>
        <v>2465188140</v>
      </c>
      <c r="B3522" t="s">
        <v>4844</v>
      </c>
      <c r="C3522" t="s">
        <v>7</v>
      </c>
      <c r="D3522" t="s">
        <v>33</v>
      </c>
      <c r="E3522" t="s">
        <v>4533</v>
      </c>
      <c r="F3522" t="s">
        <v>4845</v>
      </c>
    </row>
    <row r="3523" spans="1:6" x14ac:dyDescent="0.25">
      <c r="A3523" t="str">
        <f>"2465214094"</f>
        <v>2465214094</v>
      </c>
      <c r="B3523" t="s">
        <v>4846</v>
      </c>
      <c r="C3523" t="s">
        <v>7</v>
      </c>
      <c r="D3523" t="s">
        <v>12</v>
      </c>
      <c r="E3523" t="s">
        <v>4533</v>
      </c>
      <c r="F3523" t="s">
        <v>4847</v>
      </c>
    </row>
    <row r="3524" spans="1:6" x14ac:dyDescent="0.25">
      <c r="A3524" t="str">
        <f>"246522604990"</f>
        <v>246522604990</v>
      </c>
      <c r="B3524" t="s">
        <v>4848</v>
      </c>
      <c r="C3524" t="s">
        <v>7</v>
      </c>
      <c r="D3524" t="s">
        <v>14</v>
      </c>
      <c r="E3524" t="s">
        <v>4533</v>
      </c>
    </row>
    <row r="3525" spans="1:6" x14ac:dyDescent="0.25">
      <c r="A3525" t="str">
        <f>"2465249731"</f>
        <v>2465249731</v>
      </c>
      <c r="B3525" t="s">
        <v>4849</v>
      </c>
      <c r="C3525" t="s">
        <v>7</v>
      </c>
      <c r="D3525" t="s">
        <v>12</v>
      </c>
      <c r="E3525" t="s">
        <v>4533</v>
      </c>
      <c r="F3525" t="s">
        <v>4850</v>
      </c>
    </row>
    <row r="3526" spans="1:6" x14ac:dyDescent="0.25">
      <c r="A3526" t="str">
        <f>"2465274664"</f>
        <v>2465274664</v>
      </c>
      <c r="B3526" t="s">
        <v>4851</v>
      </c>
      <c r="C3526" t="s">
        <v>7</v>
      </c>
      <c r="D3526" t="s">
        <v>14</v>
      </c>
      <c r="E3526" t="s">
        <v>4533</v>
      </c>
      <c r="F3526" t="s">
        <v>4852</v>
      </c>
    </row>
    <row r="3527" spans="1:6" x14ac:dyDescent="0.25">
      <c r="A3527" t="str">
        <f>"2465297735"</f>
        <v>2465297735</v>
      </c>
      <c r="B3527" t="s">
        <v>4853</v>
      </c>
      <c r="C3527" t="s">
        <v>7</v>
      </c>
      <c r="D3527" t="s">
        <v>33</v>
      </c>
      <c r="E3527" t="s">
        <v>4533</v>
      </c>
      <c r="F3527" t="s">
        <v>4854</v>
      </c>
    </row>
    <row r="3528" spans="1:6" x14ac:dyDescent="0.25">
      <c r="A3528" t="str">
        <f>"2465300963"</f>
        <v>2465300963</v>
      </c>
      <c r="B3528" t="s">
        <v>4855</v>
      </c>
      <c r="C3528" t="s">
        <v>7</v>
      </c>
      <c r="D3528" t="s">
        <v>8</v>
      </c>
      <c r="E3528" t="s">
        <v>4533</v>
      </c>
      <c r="F3528" t="s">
        <v>4856</v>
      </c>
    </row>
    <row r="3529" spans="1:6" x14ac:dyDescent="0.25">
      <c r="A3529" t="str">
        <f>"2465326175"</f>
        <v>2465326175</v>
      </c>
      <c r="B3529" t="s">
        <v>4857</v>
      </c>
      <c r="C3529" t="s">
        <v>7</v>
      </c>
      <c r="D3529" t="s">
        <v>33</v>
      </c>
      <c r="E3529" t="s">
        <v>4533</v>
      </c>
      <c r="F3529" t="s">
        <v>4858</v>
      </c>
    </row>
    <row r="3530" spans="1:6" x14ac:dyDescent="0.25">
      <c r="A3530" t="str">
        <f>"2465328334"</f>
        <v>2465328334</v>
      </c>
      <c r="B3530" t="s">
        <v>4859</v>
      </c>
      <c r="C3530" t="s">
        <v>7</v>
      </c>
      <c r="D3530" t="s">
        <v>33</v>
      </c>
      <c r="E3530" t="s">
        <v>4533</v>
      </c>
      <c r="F3530" t="s">
        <v>4860</v>
      </c>
    </row>
    <row r="3531" spans="1:6" x14ac:dyDescent="0.25">
      <c r="A3531" t="str">
        <f>"2465335532"</f>
        <v>2465335532</v>
      </c>
      <c r="B3531" t="s">
        <v>4861</v>
      </c>
      <c r="C3531" t="s">
        <v>7</v>
      </c>
      <c r="D3531" t="s">
        <v>14</v>
      </c>
      <c r="E3531" t="s">
        <v>4533</v>
      </c>
      <c r="F3531" t="s">
        <v>4862</v>
      </c>
    </row>
    <row r="3532" spans="1:6" x14ac:dyDescent="0.25">
      <c r="A3532" t="str">
        <f>"2465337226"</f>
        <v>2465337226</v>
      </c>
      <c r="B3532" t="s">
        <v>4863</v>
      </c>
      <c r="C3532" t="s">
        <v>7</v>
      </c>
      <c r="D3532" t="s">
        <v>14</v>
      </c>
      <c r="E3532" t="s">
        <v>4533</v>
      </c>
      <c r="F3532" t="s">
        <v>4864</v>
      </c>
    </row>
    <row r="3533" spans="1:6" x14ac:dyDescent="0.25">
      <c r="A3533" t="str">
        <f>"2465346573"</f>
        <v>2465346573</v>
      </c>
      <c r="B3533" t="s">
        <v>4865</v>
      </c>
      <c r="C3533" t="s">
        <v>7</v>
      </c>
      <c r="D3533" t="s">
        <v>33</v>
      </c>
      <c r="E3533" t="s">
        <v>4533</v>
      </c>
      <c r="F3533" t="s">
        <v>4772</v>
      </c>
    </row>
    <row r="3534" spans="1:6" x14ac:dyDescent="0.25">
      <c r="A3534" t="str">
        <f>"246601474198"</f>
        <v>246601474198</v>
      </c>
      <c r="B3534" t="s">
        <v>4866</v>
      </c>
      <c r="C3534" t="s">
        <v>7</v>
      </c>
      <c r="D3534" t="s">
        <v>14</v>
      </c>
      <c r="E3534" t="s">
        <v>4533</v>
      </c>
    </row>
    <row r="3535" spans="1:6" x14ac:dyDescent="0.25">
      <c r="A3535" t="str">
        <f>"2466022532"</f>
        <v>2466022532</v>
      </c>
      <c r="B3535" t="s">
        <v>4867</v>
      </c>
      <c r="C3535" t="s">
        <v>7</v>
      </c>
      <c r="D3535" t="s">
        <v>12</v>
      </c>
      <c r="E3535" t="s">
        <v>4533</v>
      </c>
      <c r="F3535" t="s">
        <v>4868</v>
      </c>
    </row>
    <row r="3536" spans="1:6" x14ac:dyDescent="0.25">
      <c r="A3536" t="str">
        <f>"246605561229"</f>
        <v>246605561229</v>
      </c>
      <c r="B3536" t="s">
        <v>4869</v>
      </c>
      <c r="C3536" t="s">
        <v>7</v>
      </c>
      <c r="D3536" t="s">
        <v>8</v>
      </c>
      <c r="E3536" t="s">
        <v>4533</v>
      </c>
    </row>
    <row r="3537" spans="1:6" x14ac:dyDescent="0.25">
      <c r="A3537" t="str">
        <f>"2466091367"</f>
        <v>2466091367</v>
      </c>
      <c r="B3537" t="s">
        <v>4870</v>
      </c>
      <c r="C3537" t="s">
        <v>7</v>
      </c>
      <c r="D3537" t="s">
        <v>12</v>
      </c>
      <c r="E3537" t="s">
        <v>4533</v>
      </c>
      <c r="F3537" t="s">
        <v>4871</v>
      </c>
    </row>
    <row r="3538" spans="1:6" x14ac:dyDescent="0.25">
      <c r="A3538" t="str">
        <f>"2466150735"</f>
        <v>2466150735</v>
      </c>
      <c r="B3538" t="s">
        <v>4449</v>
      </c>
      <c r="C3538" t="s">
        <v>7</v>
      </c>
      <c r="D3538" t="s">
        <v>33</v>
      </c>
      <c r="E3538" t="s">
        <v>4533</v>
      </c>
      <c r="F3538" t="s">
        <v>4872</v>
      </c>
    </row>
    <row r="3539" spans="1:6" x14ac:dyDescent="0.25">
      <c r="A3539" t="str">
        <f>"2466191410"</f>
        <v>2466191410</v>
      </c>
      <c r="B3539" t="s">
        <v>4873</v>
      </c>
      <c r="C3539" t="s">
        <v>7</v>
      </c>
      <c r="D3539" t="s">
        <v>12</v>
      </c>
      <c r="E3539" t="s">
        <v>4533</v>
      </c>
      <c r="F3539" t="s">
        <v>4874</v>
      </c>
    </row>
    <row r="3540" spans="1:6" x14ac:dyDescent="0.25">
      <c r="A3540" t="str">
        <f>"2466235932"</f>
        <v>2466235932</v>
      </c>
      <c r="B3540" t="s">
        <v>4875</v>
      </c>
      <c r="C3540" t="s">
        <v>7</v>
      </c>
      <c r="D3540" t="s">
        <v>33</v>
      </c>
      <c r="E3540" t="s">
        <v>4533</v>
      </c>
      <c r="F3540" t="s">
        <v>4876</v>
      </c>
    </row>
    <row r="3541" spans="1:6" x14ac:dyDescent="0.25">
      <c r="A3541" t="str">
        <f>"2466242986"</f>
        <v>2466242986</v>
      </c>
      <c r="B3541" t="s">
        <v>4877</v>
      </c>
      <c r="C3541" t="s">
        <v>7</v>
      </c>
      <c r="D3541" t="s">
        <v>14</v>
      </c>
      <c r="E3541" t="s">
        <v>4533</v>
      </c>
      <c r="F3541" t="s">
        <v>4878</v>
      </c>
    </row>
    <row r="3542" spans="1:6" x14ac:dyDescent="0.25">
      <c r="A3542" t="str">
        <f>"2466245835"</f>
        <v>2466245835</v>
      </c>
      <c r="B3542" t="s">
        <v>4879</v>
      </c>
      <c r="C3542" t="s">
        <v>7</v>
      </c>
      <c r="D3542" t="s">
        <v>12</v>
      </c>
      <c r="E3542" t="s">
        <v>4533</v>
      </c>
      <c r="F3542" t="s">
        <v>4880</v>
      </c>
    </row>
    <row r="3543" spans="1:6" x14ac:dyDescent="0.25">
      <c r="A3543" t="str">
        <f>"2466257728"</f>
        <v>2466257728</v>
      </c>
      <c r="B3543" t="s">
        <v>4881</v>
      </c>
      <c r="C3543" t="s">
        <v>7</v>
      </c>
      <c r="D3543" t="s">
        <v>12</v>
      </c>
      <c r="E3543" t="s">
        <v>4533</v>
      </c>
      <c r="F3543" t="s">
        <v>4882</v>
      </c>
    </row>
    <row r="3544" spans="1:6" x14ac:dyDescent="0.25">
      <c r="A3544" t="str">
        <f>"2466277562"</f>
        <v>2466277562</v>
      </c>
      <c r="B3544" t="s">
        <v>4883</v>
      </c>
      <c r="C3544" t="s">
        <v>7</v>
      </c>
      <c r="D3544" t="s">
        <v>12</v>
      </c>
      <c r="E3544" t="s">
        <v>4533</v>
      </c>
      <c r="F3544" t="s">
        <v>4884</v>
      </c>
    </row>
    <row r="3545" spans="1:6" x14ac:dyDescent="0.25">
      <c r="A3545" t="str">
        <f>"2466285228"</f>
        <v>2466285228</v>
      </c>
      <c r="B3545" t="s">
        <v>4885</v>
      </c>
      <c r="C3545" t="s">
        <v>7</v>
      </c>
      <c r="D3545" t="s">
        <v>14</v>
      </c>
      <c r="E3545" t="s">
        <v>4533</v>
      </c>
      <c r="F3545" t="s">
        <v>4886</v>
      </c>
    </row>
    <row r="3546" spans="1:6" x14ac:dyDescent="0.25">
      <c r="A3546" t="str">
        <f>"2466301487"</f>
        <v>2466301487</v>
      </c>
      <c r="B3546" t="s">
        <v>4887</v>
      </c>
      <c r="C3546" t="s">
        <v>7</v>
      </c>
      <c r="D3546" t="s">
        <v>33</v>
      </c>
      <c r="E3546" t="s">
        <v>4533</v>
      </c>
      <c r="F3546" t="s">
        <v>4888</v>
      </c>
    </row>
    <row r="3547" spans="1:6" x14ac:dyDescent="0.25">
      <c r="A3547" t="str">
        <f>"246900003253"</f>
        <v>246900003253</v>
      </c>
      <c r="B3547" t="s">
        <v>4889</v>
      </c>
      <c r="C3547" t="s">
        <v>7</v>
      </c>
      <c r="D3547" t="s">
        <v>14</v>
      </c>
      <c r="E3547" t="s">
        <v>4533</v>
      </c>
    </row>
    <row r="3548" spans="1:6" x14ac:dyDescent="0.25">
      <c r="A3548" t="str">
        <f>"2463206644"</f>
        <v>2463206644</v>
      </c>
      <c r="B3548" t="s">
        <v>4890</v>
      </c>
      <c r="C3548" t="s">
        <v>7</v>
      </c>
      <c r="D3548" t="s">
        <v>14</v>
      </c>
      <c r="E3548" t="s">
        <v>4533</v>
      </c>
      <c r="F3548" t="s">
        <v>4891</v>
      </c>
    </row>
    <row r="3549" spans="1:6" x14ac:dyDescent="0.25">
      <c r="A3549" t="str">
        <f>"2463244248"</f>
        <v>2463244248</v>
      </c>
      <c r="B3549" t="s">
        <v>4892</v>
      </c>
      <c r="C3549" t="s">
        <v>7</v>
      </c>
      <c r="D3549" t="s">
        <v>12</v>
      </c>
      <c r="E3549" t="s">
        <v>4533</v>
      </c>
      <c r="F3549" t="s">
        <v>4893</v>
      </c>
    </row>
    <row r="3550" spans="1:6" x14ac:dyDescent="0.25">
      <c r="A3550" t="str">
        <f>"246402776109"</f>
        <v>246402776109</v>
      </c>
      <c r="B3550" t="s">
        <v>4894</v>
      </c>
      <c r="C3550" t="s">
        <v>7</v>
      </c>
      <c r="D3550" t="s">
        <v>14</v>
      </c>
      <c r="E3550" t="s">
        <v>4533</v>
      </c>
    </row>
    <row r="3551" spans="1:6" x14ac:dyDescent="0.25">
      <c r="A3551" t="str">
        <f>"2464037244"</f>
        <v>2464037244</v>
      </c>
      <c r="B3551" t="s">
        <v>4895</v>
      </c>
      <c r="C3551" t="s">
        <v>7</v>
      </c>
      <c r="D3551" t="s">
        <v>33</v>
      </c>
      <c r="E3551" t="s">
        <v>4533</v>
      </c>
      <c r="F3551" t="s">
        <v>4896</v>
      </c>
    </row>
    <row r="3552" spans="1:6" x14ac:dyDescent="0.25">
      <c r="A3552" t="str">
        <f>"246405382913"</f>
        <v>246405382913</v>
      </c>
      <c r="B3552" t="s">
        <v>4897</v>
      </c>
      <c r="C3552" t="s">
        <v>7</v>
      </c>
      <c r="D3552" t="s">
        <v>33</v>
      </c>
      <c r="E3552" t="s">
        <v>4533</v>
      </c>
    </row>
    <row r="3553" spans="1:6" x14ac:dyDescent="0.25">
      <c r="A3553" t="str">
        <f>"246411310113"</f>
        <v>246411310113</v>
      </c>
      <c r="B3553" t="s">
        <v>4898</v>
      </c>
      <c r="C3553" t="s">
        <v>7</v>
      </c>
      <c r="D3553" t="s">
        <v>12</v>
      </c>
      <c r="E3553" t="s">
        <v>4533</v>
      </c>
    </row>
    <row r="3554" spans="1:6" x14ac:dyDescent="0.25">
      <c r="A3554" t="str">
        <f>"246411423660"</f>
        <v>246411423660</v>
      </c>
      <c r="B3554" t="s">
        <v>4899</v>
      </c>
      <c r="C3554" t="s">
        <v>7</v>
      </c>
      <c r="D3554" t="s">
        <v>12</v>
      </c>
      <c r="E3554" t="s">
        <v>4533</v>
      </c>
    </row>
    <row r="3555" spans="1:6" x14ac:dyDescent="0.25">
      <c r="A3555" t="str">
        <f>"2464117108"</f>
        <v>2464117108</v>
      </c>
      <c r="B3555" t="s">
        <v>4900</v>
      </c>
      <c r="C3555" t="s">
        <v>7</v>
      </c>
      <c r="D3555" t="s">
        <v>12</v>
      </c>
      <c r="E3555" t="s">
        <v>4533</v>
      </c>
      <c r="F3555" t="s">
        <v>4901</v>
      </c>
    </row>
    <row r="3556" spans="1:6" x14ac:dyDescent="0.25">
      <c r="A3556" t="str">
        <f>"2464123084"</f>
        <v>2464123084</v>
      </c>
      <c r="B3556" t="s">
        <v>755</v>
      </c>
      <c r="C3556" t="s">
        <v>7</v>
      </c>
      <c r="D3556" t="s">
        <v>12</v>
      </c>
      <c r="E3556" t="s">
        <v>4533</v>
      </c>
      <c r="F3556" t="s">
        <v>4902</v>
      </c>
    </row>
    <row r="3557" spans="1:6" x14ac:dyDescent="0.25">
      <c r="A3557" t="str">
        <f>"2464133357"</f>
        <v>2464133357</v>
      </c>
      <c r="B3557" t="s">
        <v>4903</v>
      </c>
      <c r="C3557" t="s">
        <v>7</v>
      </c>
      <c r="D3557" t="s">
        <v>12</v>
      </c>
      <c r="E3557" t="s">
        <v>4533</v>
      </c>
      <c r="F3557" t="s">
        <v>4904</v>
      </c>
    </row>
    <row r="3558" spans="1:6" x14ac:dyDescent="0.25">
      <c r="A3558" t="str">
        <f>"2464150850"</f>
        <v>2464150850</v>
      </c>
      <c r="B3558" t="s">
        <v>4600</v>
      </c>
      <c r="C3558" t="s">
        <v>7</v>
      </c>
      <c r="D3558" t="s">
        <v>28</v>
      </c>
      <c r="E3558" t="s">
        <v>4533</v>
      </c>
      <c r="F3558" t="s">
        <v>4905</v>
      </c>
    </row>
    <row r="3559" spans="1:6" x14ac:dyDescent="0.25">
      <c r="A3559" t="str">
        <f>"2464165126"</f>
        <v>2464165126</v>
      </c>
      <c r="B3559" t="s">
        <v>4906</v>
      </c>
      <c r="C3559" t="s">
        <v>7</v>
      </c>
      <c r="D3559" t="s">
        <v>33</v>
      </c>
      <c r="E3559" t="s">
        <v>4533</v>
      </c>
      <c r="F3559" t="s">
        <v>4907</v>
      </c>
    </row>
    <row r="3560" spans="1:6" x14ac:dyDescent="0.25">
      <c r="A3560" t="str">
        <f>"2464203614"</f>
        <v>2464203614</v>
      </c>
      <c r="B3560" t="s">
        <v>4908</v>
      </c>
      <c r="C3560" t="s">
        <v>7</v>
      </c>
      <c r="D3560" t="s">
        <v>12</v>
      </c>
      <c r="E3560" t="s">
        <v>4533</v>
      </c>
      <c r="F3560" t="s">
        <v>4909</v>
      </c>
    </row>
    <row r="3561" spans="1:6" x14ac:dyDescent="0.25">
      <c r="A3561" t="str">
        <f>"2464204382"</f>
        <v>2464204382</v>
      </c>
      <c r="B3561" t="s">
        <v>4910</v>
      </c>
      <c r="C3561" t="s">
        <v>7</v>
      </c>
      <c r="D3561" t="s">
        <v>12</v>
      </c>
      <c r="E3561" t="s">
        <v>4533</v>
      </c>
      <c r="F3561" t="s">
        <v>4911</v>
      </c>
    </row>
    <row r="3562" spans="1:6" x14ac:dyDescent="0.25">
      <c r="A3562" t="str">
        <f>"2464205700"</f>
        <v>2464205700</v>
      </c>
      <c r="B3562" t="s">
        <v>4912</v>
      </c>
      <c r="C3562" t="s">
        <v>7</v>
      </c>
      <c r="D3562" t="s">
        <v>12</v>
      </c>
      <c r="E3562" t="s">
        <v>4533</v>
      </c>
      <c r="F3562" t="s">
        <v>4913</v>
      </c>
    </row>
    <row r="3563" spans="1:6" x14ac:dyDescent="0.25">
      <c r="A3563" t="str">
        <f>"2464222367"</f>
        <v>2464222367</v>
      </c>
      <c r="B3563" t="s">
        <v>4914</v>
      </c>
      <c r="C3563" t="s">
        <v>7</v>
      </c>
      <c r="D3563" t="s">
        <v>33</v>
      </c>
      <c r="E3563" t="s">
        <v>4533</v>
      </c>
      <c r="F3563" t="s">
        <v>4915</v>
      </c>
    </row>
    <row r="3564" spans="1:6" x14ac:dyDescent="0.25">
      <c r="A3564" t="str">
        <f>"2464261126"</f>
        <v>2464261126</v>
      </c>
      <c r="B3564" t="s">
        <v>4916</v>
      </c>
      <c r="C3564" t="s">
        <v>7</v>
      </c>
      <c r="D3564" t="s">
        <v>33</v>
      </c>
      <c r="E3564" t="s">
        <v>4533</v>
      </c>
      <c r="F3564" t="s">
        <v>4917</v>
      </c>
    </row>
    <row r="3565" spans="1:6" x14ac:dyDescent="0.25">
      <c r="A3565" t="str">
        <f>"246500188627"</f>
        <v>246500188627</v>
      </c>
      <c r="B3565" t="s">
        <v>4918</v>
      </c>
      <c r="C3565" t="s">
        <v>7</v>
      </c>
      <c r="D3565" t="s">
        <v>12</v>
      </c>
      <c r="E3565" t="s">
        <v>4533</v>
      </c>
    </row>
    <row r="3566" spans="1:6" x14ac:dyDescent="0.25">
      <c r="A3566" t="str">
        <f>"246500561912"</f>
        <v>246500561912</v>
      </c>
      <c r="B3566" t="s">
        <v>4919</v>
      </c>
      <c r="C3566" t="s">
        <v>7</v>
      </c>
      <c r="D3566" t="s">
        <v>33</v>
      </c>
      <c r="E3566" t="s">
        <v>4533</v>
      </c>
    </row>
    <row r="3567" spans="1:6" x14ac:dyDescent="0.25">
      <c r="A3567" t="str">
        <f>"246502814083"</f>
        <v>246502814083</v>
      </c>
      <c r="B3567" t="s">
        <v>4920</v>
      </c>
      <c r="C3567" t="s">
        <v>7</v>
      </c>
      <c r="D3567" t="s">
        <v>14</v>
      </c>
      <c r="E3567" t="s">
        <v>4533</v>
      </c>
    </row>
    <row r="3568" spans="1:6" x14ac:dyDescent="0.25">
      <c r="A3568" t="str">
        <f>"2465074680"</f>
        <v>2465074680</v>
      </c>
      <c r="B3568" t="s">
        <v>4921</v>
      </c>
      <c r="C3568" t="s">
        <v>7</v>
      </c>
      <c r="D3568" t="s">
        <v>12</v>
      </c>
      <c r="E3568" t="s">
        <v>4533</v>
      </c>
      <c r="F3568" t="s">
        <v>4847</v>
      </c>
    </row>
    <row r="3569" spans="1:6" x14ac:dyDescent="0.25">
      <c r="A3569" t="str">
        <f>"2465078148"</f>
        <v>2465078148</v>
      </c>
      <c r="B3569" t="s">
        <v>4922</v>
      </c>
      <c r="C3569" t="s">
        <v>7</v>
      </c>
      <c r="D3569" t="s">
        <v>14</v>
      </c>
      <c r="E3569" t="s">
        <v>4533</v>
      </c>
      <c r="F3569" t="s">
        <v>4923</v>
      </c>
    </row>
    <row r="3570" spans="1:6" x14ac:dyDescent="0.25">
      <c r="A3570" t="str">
        <f>"2465088160"</f>
        <v>2465088160</v>
      </c>
      <c r="B3570" t="s">
        <v>4924</v>
      </c>
      <c r="C3570" t="s">
        <v>7</v>
      </c>
      <c r="D3570" t="s">
        <v>14</v>
      </c>
      <c r="E3570" t="s">
        <v>4533</v>
      </c>
      <c r="F3570" t="s">
        <v>4925</v>
      </c>
    </row>
    <row r="3571" spans="1:6" x14ac:dyDescent="0.25">
      <c r="A3571" t="str">
        <f>"2465120150"</f>
        <v>2465120150</v>
      </c>
      <c r="B3571" t="s">
        <v>4926</v>
      </c>
      <c r="C3571" t="s">
        <v>7</v>
      </c>
      <c r="D3571" t="s">
        <v>33</v>
      </c>
      <c r="E3571" t="s">
        <v>4533</v>
      </c>
      <c r="F3571" t="s">
        <v>4927</v>
      </c>
    </row>
    <row r="3572" spans="1:6" x14ac:dyDescent="0.25">
      <c r="A3572" t="str">
        <f>"246512071253"</f>
        <v>246512071253</v>
      </c>
      <c r="B3572" t="s">
        <v>4928</v>
      </c>
      <c r="C3572" t="s">
        <v>7</v>
      </c>
      <c r="D3572" t="s">
        <v>12</v>
      </c>
      <c r="E3572" t="s">
        <v>4533</v>
      </c>
    </row>
    <row r="3573" spans="1:6" x14ac:dyDescent="0.25">
      <c r="A3573" t="str">
        <f>"2465121509"</f>
        <v>2465121509</v>
      </c>
      <c r="B3573" t="s">
        <v>4929</v>
      </c>
      <c r="C3573" t="s">
        <v>7</v>
      </c>
      <c r="D3573" t="s">
        <v>463</v>
      </c>
      <c r="E3573" t="s">
        <v>4533</v>
      </c>
      <c r="F3573" t="s">
        <v>4930</v>
      </c>
    </row>
    <row r="3574" spans="1:6" x14ac:dyDescent="0.25">
      <c r="A3574" t="str">
        <f>"246514695472"</f>
        <v>246514695472</v>
      </c>
      <c r="B3574" t="s">
        <v>4931</v>
      </c>
      <c r="C3574" t="s">
        <v>7</v>
      </c>
      <c r="D3574" t="s">
        <v>14</v>
      </c>
      <c r="E3574" t="s">
        <v>4533</v>
      </c>
    </row>
    <row r="3575" spans="1:6" x14ac:dyDescent="0.25">
      <c r="A3575" t="str">
        <f>"2465155240"</f>
        <v>2465155240</v>
      </c>
      <c r="B3575" t="s">
        <v>4932</v>
      </c>
      <c r="C3575" t="s">
        <v>7</v>
      </c>
      <c r="D3575" t="s">
        <v>14</v>
      </c>
      <c r="E3575" t="s">
        <v>4533</v>
      </c>
      <c r="F3575" t="s">
        <v>4933</v>
      </c>
    </row>
    <row r="3576" spans="1:6" x14ac:dyDescent="0.25">
      <c r="A3576" t="str">
        <f>"2465160843"</f>
        <v>2465160843</v>
      </c>
      <c r="B3576" t="s">
        <v>4934</v>
      </c>
      <c r="C3576" t="s">
        <v>7</v>
      </c>
      <c r="D3576" t="s">
        <v>12</v>
      </c>
      <c r="E3576" t="s">
        <v>4533</v>
      </c>
      <c r="F3576" t="s">
        <v>4935</v>
      </c>
    </row>
    <row r="3577" spans="1:6" x14ac:dyDescent="0.25">
      <c r="A3577" t="str">
        <f>"2465170961"</f>
        <v>2465170961</v>
      </c>
      <c r="B3577" t="s">
        <v>4936</v>
      </c>
      <c r="C3577" t="s">
        <v>7</v>
      </c>
      <c r="D3577" t="s">
        <v>146</v>
      </c>
      <c r="E3577" t="s">
        <v>4533</v>
      </c>
      <c r="F3577" t="s">
        <v>4937</v>
      </c>
    </row>
    <row r="3578" spans="1:6" x14ac:dyDescent="0.25">
      <c r="A3578" t="str">
        <f>"2465174518"</f>
        <v>2465174518</v>
      </c>
      <c r="B3578" t="s">
        <v>4938</v>
      </c>
      <c r="C3578" t="s">
        <v>7</v>
      </c>
      <c r="D3578" t="s">
        <v>14</v>
      </c>
      <c r="E3578" t="s">
        <v>4533</v>
      </c>
      <c r="F3578" t="s">
        <v>4939</v>
      </c>
    </row>
    <row r="3579" spans="1:6" x14ac:dyDescent="0.25">
      <c r="A3579" t="str">
        <f>"2465184820"</f>
        <v>2465184820</v>
      </c>
      <c r="B3579" t="s">
        <v>709</v>
      </c>
      <c r="C3579" t="s">
        <v>7</v>
      </c>
      <c r="D3579" t="s">
        <v>33</v>
      </c>
      <c r="E3579" t="s">
        <v>4533</v>
      </c>
      <c r="F3579" t="s">
        <v>4940</v>
      </c>
    </row>
    <row r="3580" spans="1:6" x14ac:dyDescent="0.25">
      <c r="A3580" t="str">
        <f>"2465255816"</f>
        <v>2465255816</v>
      </c>
      <c r="B3580" t="s">
        <v>4941</v>
      </c>
      <c r="C3580" t="s">
        <v>7</v>
      </c>
      <c r="D3580" t="s">
        <v>674</v>
      </c>
      <c r="E3580" t="s">
        <v>4533</v>
      </c>
      <c r="F3580" t="s">
        <v>4942</v>
      </c>
    </row>
    <row r="3581" spans="1:6" x14ac:dyDescent="0.25">
      <c r="A3581" t="str">
        <f>"2465285955"</f>
        <v>2465285955</v>
      </c>
      <c r="B3581" t="s">
        <v>4943</v>
      </c>
      <c r="C3581" t="s">
        <v>7</v>
      </c>
      <c r="D3581" t="s">
        <v>12</v>
      </c>
      <c r="E3581" t="s">
        <v>4533</v>
      </c>
      <c r="F3581" t="s">
        <v>4944</v>
      </c>
    </row>
    <row r="3582" spans="1:6" x14ac:dyDescent="0.25">
      <c r="A3582" t="str">
        <f>"2465343702"</f>
        <v>2465343702</v>
      </c>
      <c r="B3582" t="s">
        <v>4945</v>
      </c>
      <c r="C3582" t="s">
        <v>7</v>
      </c>
      <c r="D3582" t="s">
        <v>14</v>
      </c>
      <c r="E3582" t="s">
        <v>4533</v>
      </c>
      <c r="F3582" t="s">
        <v>4946</v>
      </c>
    </row>
    <row r="3583" spans="1:6" x14ac:dyDescent="0.25">
      <c r="A3583" t="str">
        <f>"2465364614"</f>
        <v>2465364614</v>
      </c>
      <c r="B3583" t="s">
        <v>4947</v>
      </c>
      <c r="C3583" t="s">
        <v>7</v>
      </c>
      <c r="D3583" t="s">
        <v>14</v>
      </c>
      <c r="E3583" t="s">
        <v>4533</v>
      </c>
      <c r="F3583" t="s">
        <v>4948</v>
      </c>
    </row>
    <row r="3584" spans="1:6" x14ac:dyDescent="0.25">
      <c r="A3584" t="str">
        <f>"246605634727"</f>
        <v>246605634727</v>
      </c>
      <c r="B3584" t="s">
        <v>4949</v>
      </c>
      <c r="C3584" t="s">
        <v>7</v>
      </c>
      <c r="D3584" t="s">
        <v>14</v>
      </c>
      <c r="E3584" t="s">
        <v>4533</v>
      </c>
    </row>
    <row r="3585" spans="1:6" x14ac:dyDescent="0.25">
      <c r="A3585" t="str">
        <f>"2466167070"</f>
        <v>2466167070</v>
      </c>
      <c r="B3585" t="s">
        <v>4950</v>
      </c>
      <c r="C3585" t="s">
        <v>7</v>
      </c>
      <c r="D3585" t="s">
        <v>12</v>
      </c>
      <c r="E3585" t="s">
        <v>4533</v>
      </c>
      <c r="F3585" t="s">
        <v>4951</v>
      </c>
    </row>
    <row r="3586" spans="1:6" x14ac:dyDescent="0.25">
      <c r="A3586" t="str">
        <f>"2466191442"</f>
        <v>2466191442</v>
      </c>
      <c r="B3586" t="s">
        <v>4952</v>
      </c>
      <c r="C3586" t="s">
        <v>7</v>
      </c>
      <c r="D3586" t="s">
        <v>12</v>
      </c>
      <c r="E3586" t="s">
        <v>4533</v>
      </c>
      <c r="F3586" t="s">
        <v>4953</v>
      </c>
    </row>
    <row r="3587" spans="1:6" x14ac:dyDescent="0.25">
      <c r="A3587" t="str">
        <f>"2466191474"</f>
        <v>2466191474</v>
      </c>
      <c r="B3587" t="s">
        <v>4954</v>
      </c>
      <c r="C3587" t="s">
        <v>7</v>
      </c>
      <c r="D3587" t="s">
        <v>14</v>
      </c>
      <c r="E3587" t="s">
        <v>4533</v>
      </c>
      <c r="F3587" t="s">
        <v>4955</v>
      </c>
    </row>
    <row r="3588" spans="1:6" x14ac:dyDescent="0.25">
      <c r="A3588" t="str">
        <f>"2466194034"</f>
        <v>2466194034</v>
      </c>
      <c r="B3588" t="s">
        <v>4956</v>
      </c>
      <c r="C3588" t="s">
        <v>7</v>
      </c>
      <c r="D3588" t="s">
        <v>12</v>
      </c>
      <c r="E3588" t="s">
        <v>4533</v>
      </c>
      <c r="F3588" t="s">
        <v>4957</v>
      </c>
    </row>
    <row r="3589" spans="1:6" x14ac:dyDescent="0.25">
      <c r="A3589" t="str">
        <f>"2466225518"</f>
        <v>2466225518</v>
      </c>
      <c r="B3589" t="s">
        <v>4958</v>
      </c>
      <c r="C3589" t="s">
        <v>7</v>
      </c>
      <c r="D3589" t="s">
        <v>674</v>
      </c>
      <c r="E3589" t="s">
        <v>4533</v>
      </c>
      <c r="F3589" t="s">
        <v>4812</v>
      </c>
    </row>
    <row r="3590" spans="1:6" x14ac:dyDescent="0.25">
      <c r="A3590" t="str">
        <f>"2466226818"</f>
        <v>2466226818</v>
      </c>
      <c r="B3590" t="s">
        <v>4959</v>
      </c>
      <c r="C3590" t="s">
        <v>7</v>
      </c>
      <c r="D3590" t="s">
        <v>14</v>
      </c>
      <c r="E3590" t="s">
        <v>4533</v>
      </c>
      <c r="F3590" t="s">
        <v>4960</v>
      </c>
    </row>
    <row r="3591" spans="1:6" x14ac:dyDescent="0.25">
      <c r="A3591" t="str">
        <f>"2466240964"</f>
        <v>2466240964</v>
      </c>
      <c r="B3591" t="s">
        <v>4961</v>
      </c>
      <c r="C3591" t="s">
        <v>7</v>
      </c>
      <c r="D3591" t="s">
        <v>12</v>
      </c>
      <c r="E3591" t="s">
        <v>4533</v>
      </c>
      <c r="F3591" t="s">
        <v>4962</v>
      </c>
    </row>
    <row r="3592" spans="1:6" x14ac:dyDescent="0.25">
      <c r="A3592" t="str">
        <f>"2466258129"</f>
        <v>2466258129</v>
      </c>
      <c r="B3592" t="s">
        <v>4963</v>
      </c>
      <c r="C3592" t="s">
        <v>7</v>
      </c>
      <c r="D3592" t="s">
        <v>12</v>
      </c>
      <c r="E3592" t="s">
        <v>4533</v>
      </c>
      <c r="F3592" t="s">
        <v>4927</v>
      </c>
    </row>
    <row r="3593" spans="1:6" x14ac:dyDescent="0.25">
      <c r="A3593" t="str">
        <f>"2466273455"</f>
        <v>2466273455</v>
      </c>
      <c r="B3593" t="s">
        <v>4964</v>
      </c>
      <c r="C3593" t="s">
        <v>7</v>
      </c>
      <c r="D3593" t="s">
        <v>14</v>
      </c>
      <c r="E3593" t="s">
        <v>4533</v>
      </c>
      <c r="F3593" t="s">
        <v>4965</v>
      </c>
    </row>
    <row r="3594" spans="1:6" x14ac:dyDescent="0.25">
      <c r="A3594" t="str">
        <f>"2466281985"</f>
        <v>2466281985</v>
      </c>
      <c r="B3594" t="s">
        <v>4966</v>
      </c>
      <c r="C3594" t="s">
        <v>7</v>
      </c>
      <c r="D3594" t="s">
        <v>12</v>
      </c>
      <c r="E3594" t="s">
        <v>4533</v>
      </c>
      <c r="F3594" t="s">
        <v>4967</v>
      </c>
    </row>
    <row r="3595" spans="1:6" x14ac:dyDescent="0.25">
      <c r="A3595" t="str">
        <f>"2466284129"</f>
        <v>2466284129</v>
      </c>
      <c r="B3595" t="s">
        <v>4968</v>
      </c>
      <c r="C3595" t="s">
        <v>7</v>
      </c>
      <c r="D3595" t="s">
        <v>12</v>
      </c>
      <c r="E3595" t="s">
        <v>4533</v>
      </c>
      <c r="F3595" t="s">
        <v>4969</v>
      </c>
    </row>
    <row r="3596" spans="1:6" x14ac:dyDescent="0.25">
      <c r="A3596" t="str">
        <f>"2466285549"</f>
        <v>2466285549</v>
      </c>
      <c r="B3596" t="s">
        <v>4970</v>
      </c>
      <c r="C3596" t="s">
        <v>7</v>
      </c>
      <c r="D3596" t="s">
        <v>12</v>
      </c>
      <c r="E3596" t="s">
        <v>4533</v>
      </c>
      <c r="F3596" t="s">
        <v>4971</v>
      </c>
    </row>
    <row r="3597" spans="1:6" x14ac:dyDescent="0.25">
      <c r="A3597" t="str">
        <f>"2466285700"</f>
        <v>2466285700</v>
      </c>
      <c r="B3597" t="s">
        <v>4972</v>
      </c>
      <c r="C3597" t="s">
        <v>7</v>
      </c>
      <c r="D3597" t="s">
        <v>12</v>
      </c>
      <c r="E3597" t="s">
        <v>4533</v>
      </c>
      <c r="F3597" t="s">
        <v>4973</v>
      </c>
    </row>
    <row r="3598" spans="1:6" x14ac:dyDescent="0.25">
      <c r="A3598" t="str">
        <f>"2466292546"</f>
        <v>2466292546</v>
      </c>
      <c r="B3598" t="s">
        <v>4974</v>
      </c>
      <c r="C3598" t="s">
        <v>7</v>
      </c>
      <c r="D3598" t="s">
        <v>14</v>
      </c>
      <c r="E3598" t="s">
        <v>4533</v>
      </c>
      <c r="F3598" t="s">
        <v>4975</v>
      </c>
    </row>
    <row r="3599" spans="1:6" x14ac:dyDescent="0.25">
      <c r="A3599" t="str">
        <f>"2466298869"</f>
        <v>2466298869</v>
      </c>
      <c r="B3599" t="s">
        <v>4976</v>
      </c>
      <c r="C3599" t="s">
        <v>7</v>
      </c>
      <c r="D3599" t="s">
        <v>33</v>
      </c>
      <c r="E3599" t="s">
        <v>4533</v>
      </c>
      <c r="F3599" t="s">
        <v>4977</v>
      </c>
    </row>
    <row r="3600" spans="1:6" x14ac:dyDescent="0.25">
      <c r="A3600" t="str">
        <f>"340905010440"</f>
        <v>340905010440</v>
      </c>
      <c r="B3600" t="s">
        <v>4978</v>
      </c>
      <c r="C3600" t="s">
        <v>7</v>
      </c>
      <c r="D3600" t="s">
        <v>14</v>
      </c>
      <c r="E3600" t="s">
        <v>4533</v>
      </c>
    </row>
    <row r="3601" spans="1:6" x14ac:dyDescent="0.25">
      <c r="A3601" t="str">
        <f>"143406323920"</f>
        <v>143406323920</v>
      </c>
      <c r="B3601" t="s">
        <v>4979</v>
      </c>
      <c r="C3601" t="s">
        <v>7</v>
      </c>
      <c r="D3601" t="s">
        <v>14</v>
      </c>
      <c r="E3601" t="s">
        <v>4533</v>
      </c>
    </row>
    <row r="3602" spans="1:6" x14ac:dyDescent="0.25">
      <c r="A3602" t="str">
        <f>"190114932166"</f>
        <v>190114932166</v>
      </c>
      <c r="B3602" t="s">
        <v>4980</v>
      </c>
      <c r="C3602" t="s">
        <v>7</v>
      </c>
      <c r="D3602" t="s">
        <v>14</v>
      </c>
      <c r="E3602" t="s">
        <v>4533</v>
      </c>
    </row>
    <row r="3603" spans="1:6" x14ac:dyDescent="0.25">
      <c r="A3603" t="str">
        <f>"772997924388"</f>
        <v>772997924388</v>
      </c>
      <c r="B3603" t="s">
        <v>4981</v>
      </c>
      <c r="C3603" t="s">
        <v>7</v>
      </c>
      <c r="D3603" t="s">
        <v>33</v>
      </c>
      <c r="E3603" t="s">
        <v>4533</v>
      </c>
    </row>
    <row r="3604" spans="1:6" x14ac:dyDescent="0.25">
      <c r="A3604" t="str">
        <f>"701724634796"</f>
        <v>701724634796</v>
      </c>
      <c r="B3604" t="s">
        <v>4982</v>
      </c>
      <c r="C3604" t="s">
        <v>7</v>
      </c>
      <c r="D3604" t="s">
        <v>33</v>
      </c>
      <c r="E3604" t="s">
        <v>4533</v>
      </c>
    </row>
    <row r="3605" spans="1:6" x14ac:dyDescent="0.25">
      <c r="A3605" t="str">
        <f>"5405023164"</f>
        <v>5405023164</v>
      </c>
      <c r="B3605" t="s">
        <v>4983</v>
      </c>
      <c r="C3605" t="s">
        <v>7</v>
      </c>
      <c r="D3605" t="s">
        <v>8</v>
      </c>
      <c r="E3605" t="s">
        <v>4533</v>
      </c>
      <c r="F3605" t="s">
        <v>4984</v>
      </c>
    </row>
    <row r="3606" spans="1:6" x14ac:dyDescent="0.25">
      <c r="A3606" t="str">
        <f>"540630320680"</f>
        <v>540630320680</v>
      </c>
      <c r="B3606" t="s">
        <v>4985</v>
      </c>
      <c r="C3606" t="s">
        <v>7</v>
      </c>
      <c r="D3606" t="s">
        <v>14</v>
      </c>
      <c r="E3606" t="s">
        <v>4533</v>
      </c>
    </row>
    <row r="3607" spans="1:6" x14ac:dyDescent="0.25">
      <c r="A3607" t="str">
        <f>"190206747163"</f>
        <v>190206747163</v>
      </c>
      <c r="B3607" t="s">
        <v>4986</v>
      </c>
      <c r="C3607" t="s">
        <v>7</v>
      </c>
      <c r="D3607" t="s">
        <v>14</v>
      </c>
      <c r="E3607" t="s">
        <v>4533</v>
      </c>
    </row>
    <row r="3608" spans="1:6" x14ac:dyDescent="0.25">
      <c r="A3608" t="str">
        <f>"220912315528"</f>
        <v>220912315528</v>
      </c>
      <c r="B3608" t="s">
        <v>4987</v>
      </c>
      <c r="C3608" t="s">
        <v>7</v>
      </c>
      <c r="D3608" t="s">
        <v>12</v>
      </c>
      <c r="E3608" t="s">
        <v>4533</v>
      </c>
    </row>
    <row r="3609" spans="1:6" x14ac:dyDescent="0.25">
      <c r="A3609" t="str">
        <f>"2407014402"</f>
        <v>2407014402</v>
      </c>
      <c r="B3609" t="s">
        <v>4988</v>
      </c>
      <c r="C3609" t="s">
        <v>7</v>
      </c>
      <c r="D3609" t="s">
        <v>14</v>
      </c>
      <c r="E3609" t="s">
        <v>4533</v>
      </c>
      <c r="F3609" t="s">
        <v>4989</v>
      </c>
    </row>
    <row r="3610" spans="1:6" x14ac:dyDescent="0.25">
      <c r="A3610" t="str">
        <f>"242000015160"</f>
        <v>242000015160</v>
      </c>
      <c r="B3610" t="s">
        <v>4990</v>
      </c>
      <c r="C3610" t="s">
        <v>7</v>
      </c>
      <c r="D3610" t="s">
        <v>14</v>
      </c>
      <c r="E3610" t="s">
        <v>4533</v>
      </c>
    </row>
    <row r="3611" spans="1:6" x14ac:dyDescent="0.25">
      <c r="A3611" t="str">
        <f>"243600291407"</f>
        <v>243600291407</v>
      </c>
      <c r="B3611" t="s">
        <v>4991</v>
      </c>
      <c r="C3611" t="s">
        <v>7</v>
      </c>
      <c r="D3611" t="s">
        <v>14</v>
      </c>
      <c r="E3611" t="s">
        <v>4533</v>
      </c>
    </row>
    <row r="3612" spans="1:6" x14ac:dyDescent="0.25">
      <c r="A3612" t="str">
        <f>"243904310242"</f>
        <v>243904310242</v>
      </c>
      <c r="B3612" t="s">
        <v>4992</v>
      </c>
      <c r="C3612" t="s">
        <v>7</v>
      </c>
      <c r="D3612" t="s">
        <v>14</v>
      </c>
      <c r="E3612" t="s">
        <v>4533</v>
      </c>
    </row>
    <row r="3613" spans="1:6" x14ac:dyDescent="0.25">
      <c r="A3613" t="str">
        <f>"244315068674"</f>
        <v>244315068674</v>
      </c>
      <c r="B3613" t="s">
        <v>4993</v>
      </c>
      <c r="C3613" t="s">
        <v>7</v>
      </c>
      <c r="D3613" t="s">
        <v>14</v>
      </c>
      <c r="E3613" t="s">
        <v>4533</v>
      </c>
    </row>
    <row r="3614" spans="1:6" x14ac:dyDescent="0.25">
      <c r="A3614" t="str">
        <f>"245200495632"</f>
        <v>245200495632</v>
      </c>
      <c r="B3614" t="s">
        <v>4994</v>
      </c>
      <c r="C3614" t="s">
        <v>7</v>
      </c>
      <c r="D3614" t="s">
        <v>14</v>
      </c>
      <c r="E3614" t="s">
        <v>4533</v>
      </c>
    </row>
    <row r="3615" spans="1:6" x14ac:dyDescent="0.25">
      <c r="A3615" t="str">
        <f>"245406919300"</f>
        <v>245406919300</v>
      </c>
      <c r="B3615" t="s">
        <v>4995</v>
      </c>
      <c r="C3615" t="s">
        <v>7</v>
      </c>
      <c r="D3615" t="s">
        <v>14</v>
      </c>
      <c r="E3615" t="s">
        <v>4533</v>
      </c>
    </row>
    <row r="3616" spans="1:6" x14ac:dyDescent="0.25">
      <c r="A3616" t="str">
        <f>"2460053975"</f>
        <v>2460053975</v>
      </c>
      <c r="B3616" t="s">
        <v>4996</v>
      </c>
      <c r="C3616" t="s">
        <v>7</v>
      </c>
      <c r="D3616" t="s">
        <v>8</v>
      </c>
      <c r="E3616" t="s">
        <v>4533</v>
      </c>
      <c r="F3616" t="s">
        <v>4997</v>
      </c>
    </row>
    <row r="3617" spans="1:6" x14ac:dyDescent="0.25">
      <c r="A3617" t="str">
        <f>"2460200926"</f>
        <v>2460200926</v>
      </c>
      <c r="B3617" t="s">
        <v>4998</v>
      </c>
      <c r="C3617" t="s">
        <v>7</v>
      </c>
      <c r="D3617" t="s">
        <v>33</v>
      </c>
      <c r="E3617" t="s">
        <v>4533</v>
      </c>
      <c r="F3617" t="s">
        <v>4999</v>
      </c>
    </row>
    <row r="3618" spans="1:6" x14ac:dyDescent="0.25">
      <c r="A3618" t="str">
        <f>"246200285281"</f>
        <v>246200285281</v>
      </c>
      <c r="B3618" t="s">
        <v>5000</v>
      </c>
      <c r="C3618" t="s">
        <v>7</v>
      </c>
      <c r="D3618" t="s">
        <v>14</v>
      </c>
      <c r="E3618" t="s">
        <v>4533</v>
      </c>
    </row>
    <row r="3619" spans="1:6" x14ac:dyDescent="0.25">
      <c r="A3619" t="str">
        <f>"2463110131"</f>
        <v>2463110131</v>
      </c>
      <c r="B3619" t="s">
        <v>5001</v>
      </c>
      <c r="C3619" t="s">
        <v>7</v>
      </c>
      <c r="D3619" t="s">
        <v>14</v>
      </c>
      <c r="E3619" t="s">
        <v>4533</v>
      </c>
      <c r="F3619" t="s">
        <v>5002</v>
      </c>
    </row>
    <row r="3620" spans="1:6" x14ac:dyDescent="0.25">
      <c r="A3620" t="str">
        <f>"2463258547"</f>
        <v>2463258547</v>
      </c>
      <c r="B3620" t="s">
        <v>5003</v>
      </c>
      <c r="C3620" t="s">
        <v>7</v>
      </c>
      <c r="D3620" t="s">
        <v>12</v>
      </c>
      <c r="E3620" t="s">
        <v>4533</v>
      </c>
      <c r="F3620" t="s">
        <v>5004</v>
      </c>
    </row>
    <row r="3621" spans="1:6" x14ac:dyDescent="0.25">
      <c r="A3621" t="str">
        <f>"246410929800"</f>
        <v>246410929800</v>
      </c>
      <c r="B3621" t="s">
        <v>5005</v>
      </c>
      <c r="C3621" t="s">
        <v>7</v>
      </c>
      <c r="D3621" t="s">
        <v>14</v>
      </c>
      <c r="E3621" t="s">
        <v>4533</v>
      </c>
    </row>
    <row r="3622" spans="1:6" x14ac:dyDescent="0.25">
      <c r="A3622" t="str">
        <f>"2464153723"</f>
        <v>2464153723</v>
      </c>
      <c r="B3622" t="s">
        <v>5006</v>
      </c>
      <c r="C3622" t="s">
        <v>7</v>
      </c>
      <c r="D3622" t="s">
        <v>12</v>
      </c>
      <c r="E3622" t="s">
        <v>4533</v>
      </c>
      <c r="F3622" t="s">
        <v>5007</v>
      </c>
    </row>
    <row r="3623" spans="1:6" x14ac:dyDescent="0.25">
      <c r="A3623" t="str">
        <f>"2465008567"</f>
        <v>2465008567</v>
      </c>
      <c r="B3623" t="s">
        <v>5008</v>
      </c>
      <c r="C3623" t="s">
        <v>7</v>
      </c>
      <c r="D3623" t="s">
        <v>8</v>
      </c>
      <c r="E3623" t="s">
        <v>4533</v>
      </c>
      <c r="F3623" t="s">
        <v>5009</v>
      </c>
    </row>
    <row r="3624" spans="1:6" x14ac:dyDescent="0.25">
      <c r="A3624" t="str">
        <f>"246501249738"</f>
        <v>246501249738</v>
      </c>
      <c r="B3624" t="s">
        <v>5010</v>
      </c>
      <c r="C3624" t="s">
        <v>7</v>
      </c>
      <c r="D3624" t="s">
        <v>14</v>
      </c>
      <c r="E3624" t="s">
        <v>4533</v>
      </c>
    </row>
    <row r="3625" spans="1:6" x14ac:dyDescent="0.25">
      <c r="A3625" t="str">
        <f>"246501374432"</f>
        <v>246501374432</v>
      </c>
      <c r="B3625" t="s">
        <v>5011</v>
      </c>
      <c r="C3625" t="s">
        <v>7</v>
      </c>
      <c r="D3625" t="s">
        <v>12</v>
      </c>
      <c r="E3625" t="s">
        <v>4533</v>
      </c>
    </row>
    <row r="3626" spans="1:6" x14ac:dyDescent="0.25">
      <c r="A3626" t="str">
        <f>"246506208767"</f>
        <v>246506208767</v>
      </c>
      <c r="B3626" t="s">
        <v>5012</v>
      </c>
      <c r="C3626" t="s">
        <v>7</v>
      </c>
      <c r="D3626" t="s">
        <v>14</v>
      </c>
      <c r="E3626" t="s">
        <v>4533</v>
      </c>
    </row>
    <row r="3627" spans="1:6" x14ac:dyDescent="0.25">
      <c r="A3627" t="str">
        <f>"2465069369"</f>
        <v>2465069369</v>
      </c>
      <c r="B3627" t="s">
        <v>5013</v>
      </c>
      <c r="C3627" t="s">
        <v>7</v>
      </c>
      <c r="D3627" t="s">
        <v>14</v>
      </c>
      <c r="E3627" t="s">
        <v>4533</v>
      </c>
      <c r="F3627" t="s">
        <v>5014</v>
      </c>
    </row>
    <row r="3628" spans="1:6" x14ac:dyDescent="0.25">
      <c r="A3628" t="str">
        <f>"2465126909"</f>
        <v>2465126909</v>
      </c>
      <c r="B3628" t="s">
        <v>5015</v>
      </c>
      <c r="C3628" t="s">
        <v>7</v>
      </c>
      <c r="D3628" t="s">
        <v>33</v>
      </c>
      <c r="E3628" t="s">
        <v>4533</v>
      </c>
      <c r="F3628" t="s">
        <v>5016</v>
      </c>
    </row>
    <row r="3629" spans="1:6" x14ac:dyDescent="0.25">
      <c r="A3629" t="str">
        <f>"246513271801"</f>
        <v>246513271801</v>
      </c>
      <c r="B3629" t="s">
        <v>5017</v>
      </c>
      <c r="C3629" t="s">
        <v>7</v>
      </c>
      <c r="D3629" t="s">
        <v>33</v>
      </c>
      <c r="E3629" t="s">
        <v>4533</v>
      </c>
    </row>
    <row r="3630" spans="1:6" x14ac:dyDescent="0.25">
      <c r="A3630" t="str">
        <f>"2465163957"</f>
        <v>2465163957</v>
      </c>
      <c r="B3630" t="s">
        <v>5018</v>
      </c>
      <c r="C3630" t="s">
        <v>7</v>
      </c>
      <c r="D3630" t="s">
        <v>14</v>
      </c>
      <c r="E3630" t="s">
        <v>4533</v>
      </c>
      <c r="F3630" t="s">
        <v>5019</v>
      </c>
    </row>
    <row r="3631" spans="1:6" x14ac:dyDescent="0.25">
      <c r="A3631" t="str">
        <f>"246519741940"</f>
        <v>246519741940</v>
      </c>
      <c r="B3631" t="s">
        <v>5020</v>
      </c>
      <c r="C3631" t="s">
        <v>7</v>
      </c>
      <c r="D3631" t="s">
        <v>14</v>
      </c>
      <c r="E3631" t="s">
        <v>4533</v>
      </c>
    </row>
    <row r="3632" spans="1:6" x14ac:dyDescent="0.25">
      <c r="A3632" t="str">
        <f>"2465251280"</f>
        <v>2465251280</v>
      </c>
      <c r="B3632" t="s">
        <v>5021</v>
      </c>
      <c r="C3632" t="s">
        <v>7</v>
      </c>
      <c r="D3632" t="s">
        <v>14</v>
      </c>
      <c r="E3632" t="s">
        <v>4533</v>
      </c>
      <c r="F3632" t="s">
        <v>5022</v>
      </c>
    </row>
    <row r="3633" spans="1:6" x14ac:dyDescent="0.25">
      <c r="A3633" t="str">
        <f>"2465285024"</f>
        <v>2465285024</v>
      </c>
      <c r="B3633" t="s">
        <v>5023</v>
      </c>
      <c r="C3633" t="s">
        <v>7</v>
      </c>
      <c r="D3633" t="s">
        <v>14</v>
      </c>
      <c r="E3633" t="s">
        <v>4533</v>
      </c>
      <c r="F3633" t="s">
        <v>5024</v>
      </c>
    </row>
    <row r="3634" spans="1:6" x14ac:dyDescent="0.25">
      <c r="A3634" t="str">
        <f>"2465297083"</f>
        <v>2465297083</v>
      </c>
      <c r="B3634" t="s">
        <v>5025</v>
      </c>
      <c r="C3634" t="s">
        <v>7</v>
      </c>
      <c r="D3634" t="s">
        <v>33</v>
      </c>
      <c r="E3634" t="s">
        <v>4533</v>
      </c>
      <c r="F3634" t="s">
        <v>5026</v>
      </c>
    </row>
    <row r="3635" spans="1:6" x14ac:dyDescent="0.25">
      <c r="A3635" t="str">
        <f>"2466062430"</f>
        <v>2466062430</v>
      </c>
      <c r="B3635" t="s">
        <v>5027</v>
      </c>
      <c r="C3635" t="s">
        <v>7</v>
      </c>
      <c r="D3635" t="s">
        <v>12</v>
      </c>
      <c r="E3635" t="s">
        <v>4533</v>
      </c>
      <c r="F3635" t="s">
        <v>5028</v>
      </c>
    </row>
    <row r="3636" spans="1:6" x14ac:dyDescent="0.25">
      <c r="A3636" t="str">
        <f>"2466074844"</f>
        <v>2466074844</v>
      </c>
      <c r="B3636" t="s">
        <v>5029</v>
      </c>
      <c r="C3636" t="s">
        <v>7</v>
      </c>
      <c r="D3636" t="s">
        <v>12</v>
      </c>
      <c r="E3636" t="s">
        <v>4533</v>
      </c>
      <c r="F3636" t="s">
        <v>5030</v>
      </c>
    </row>
    <row r="3637" spans="1:6" x14ac:dyDescent="0.25">
      <c r="A3637" t="str">
        <f>"2466079137"</f>
        <v>2466079137</v>
      </c>
      <c r="B3637" t="s">
        <v>5031</v>
      </c>
      <c r="C3637" t="s">
        <v>7</v>
      </c>
      <c r="D3637" t="s">
        <v>98</v>
      </c>
      <c r="E3637" t="s">
        <v>4533</v>
      </c>
      <c r="F3637" t="s">
        <v>5032</v>
      </c>
    </row>
    <row r="3638" spans="1:6" x14ac:dyDescent="0.25">
      <c r="A3638" t="str">
        <f>"2466134476"</f>
        <v>2466134476</v>
      </c>
      <c r="B3638" t="s">
        <v>5033</v>
      </c>
      <c r="C3638" t="s">
        <v>7</v>
      </c>
      <c r="D3638" t="s">
        <v>463</v>
      </c>
      <c r="E3638" t="s">
        <v>4533</v>
      </c>
      <c r="F3638" t="s">
        <v>5034</v>
      </c>
    </row>
    <row r="3639" spans="1:6" x14ac:dyDescent="0.25">
      <c r="A3639" t="str">
        <f>"650113973947"</f>
        <v>650113973947</v>
      </c>
      <c r="B3639" t="s">
        <v>5035</v>
      </c>
      <c r="C3639" t="s">
        <v>7</v>
      </c>
      <c r="D3639" t="s">
        <v>12</v>
      </c>
      <c r="E3639" t="s">
        <v>4533</v>
      </c>
    </row>
    <row r="3640" spans="1:6" x14ac:dyDescent="0.25">
      <c r="A3640" t="str">
        <f>"381301853003"</f>
        <v>381301853003</v>
      </c>
      <c r="B3640" t="s">
        <v>5036</v>
      </c>
      <c r="C3640" t="s">
        <v>7</v>
      </c>
      <c r="D3640" t="s">
        <v>14</v>
      </c>
      <c r="E3640" t="s">
        <v>4533</v>
      </c>
    </row>
    <row r="3641" spans="1:6" x14ac:dyDescent="0.25">
      <c r="A3641" t="str">
        <f>"840100610649"</f>
        <v>840100610649</v>
      </c>
      <c r="B3641" t="s">
        <v>5037</v>
      </c>
      <c r="C3641" t="s">
        <v>7</v>
      </c>
      <c r="D3641" t="s">
        <v>14</v>
      </c>
      <c r="E3641" t="s">
        <v>4533</v>
      </c>
    </row>
    <row r="3642" spans="1:6" x14ac:dyDescent="0.25">
      <c r="A3642" t="str">
        <f>"381710994340"</f>
        <v>381710994340</v>
      </c>
      <c r="B3642" t="s">
        <v>5038</v>
      </c>
      <c r="C3642" t="s">
        <v>7</v>
      </c>
      <c r="D3642" t="s">
        <v>33</v>
      </c>
      <c r="E3642" t="s">
        <v>4533</v>
      </c>
    </row>
    <row r="3643" spans="1:6" x14ac:dyDescent="0.25">
      <c r="A3643" t="str">
        <f>"8401005730"</f>
        <v>8401005730</v>
      </c>
      <c r="B3643" t="s">
        <v>5039</v>
      </c>
      <c r="C3643" t="s">
        <v>7</v>
      </c>
      <c r="D3643" t="s">
        <v>33</v>
      </c>
      <c r="E3643" t="s">
        <v>4533</v>
      </c>
      <c r="F3643" t="s">
        <v>5040</v>
      </c>
    </row>
    <row r="3644" spans="1:6" x14ac:dyDescent="0.25">
      <c r="A3644" t="str">
        <f>"301002410940"</f>
        <v>301002410940</v>
      </c>
      <c r="B3644" t="s">
        <v>5041</v>
      </c>
      <c r="C3644" t="s">
        <v>7</v>
      </c>
      <c r="D3644" t="s">
        <v>14</v>
      </c>
      <c r="E3644" t="s">
        <v>4533</v>
      </c>
    </row>
    <row r="3645" spans="1:6" x14ac:dyDescent="0.25">
      <c r="A3645" t="str">
        <f>"880300005718"</f>
        <v>880300005718</v>
      </c>
      <c r="B3645" t="s">
        <v>5042</v>
      </c>
      <c r="C3645" t="s">
        <v>7</v>
      </c>
      <c r="D3645" t="s">
        <v>14</v>
      </c>
      <c r="E3645" t="s">
        <v>4533</v>
      </c>
    </row>
    <row r="3646" spans="1:6" x14ac:dyDescent="0.25">
      <c r="A3646" t="str">
        <f>"3801124081"</f>
        <v>3801124081</v>
      </c>
      <c r="B3646" t="s">
        <v>5043</v>
      </c>
      <c r="C3646" t="s">
        <v>7</v>
      </c>
      <c r="D3646" t="s">
        <v>33</v>
      </c>
      <c r="E3646" t="s">
        <v>4533</v>
      </c>
      <c r="F3646" t="s">
        <v>5044</v>
      </c>
    </row>
    <row r="3647" spans="1:6" x14ac:dyDescent="0.25">
      <c r="A3647" t="str">
        <f>"240400086620"</f>
        <v>240400086620</v>
      </c>
      <c r="B3647" t="s">
        <v>5045</v>
      </c>
      <c r="C3647" t="s">
        <v>7</v>
      </c>
      <c r="D3647" t="s">
        <v>14</v>
      </c>
      <c r="E3647" t="s">
        <v>4533</v>
      </c>
    </row>
    <row r="3648" spans="1:6" x14ac:dyDescent="0.25">
      <c r="A3648" t="str">
        <f>"2404013200"</f>
        <v>2404013200</v>
      </c>
      <c r="B3648" t="s">
        <v>5046</v>
      </c>
      <c r="C3648" t="s">
        <v>7</v>
      </c>
      <c r="D3648" t="s">
        <v>12</v>
      </c>
      <c r="E3648" t="s">
        <v>4533</v>
      </c>
      <c r="F3648" t="s">
        <v>5047</v>
      </c>
    </row>
    <row r="3649" spans="1:6" x14ac:dyDescent="0.25">
      <c r="A3649" t="str">
        <f>"2404014669"</f>
        <v>2404014669</v>
      </c>
      <c r="B3649" t="s">
        <v>5048</v>
      </c>
      <c r="C3649" t="s">
        <v>7</v>
      </c>
      <c r="D3649" t="s">
        <v>12</v>
      </c>
      <c r="E3649" t="s">
        <v>4533</v>
      </c>
      <c r="F3649" t="s">
        <v>5049</v>
      </c>
    </row>
    <row r="3650" spans="1:6" x14ac:dyDescent="0.25">
      <c r="A3650" t="str">
        <f>"240404364357"</f>
        <v>240404364357</v>
      </c>
      <c r="B3650" t="s">
        <v>5050</v>
      </c>
      <c r="C3650" t="s">
        <v>7</v>
      </c>
      <c r="D3650" t="s">
        <v>14</v>
      </c>
      <c r="E3650" t="s">
        <v>4533</v>
      </c>
    </row>
    <row r="3651" spans="1:6" x14ac:dyDescent="0.25">
      <c r="A3651" t="str">
        <f>"240500743044"</f>
        <v>240500743044</v>
      </c>
      <c r="B3651" t="s">
        <v>5051</v>
      </c>
      <c r="C3651" t="s">
        <v>7</v>
      </c>
      <c r="D3651" t="s">
        <v>14</v>
      </c>
      <c r="E3651" t="s">
        <v>4533</v>
      </c>
    </row>
    <row r="3652" spans="1:6" x14ac:dyDescent="0.25">
      <c r="A3652" t="str">
        <f>"240700294519"</f>
        <v>240700294519</v>
      </c>
      <c r="B3652" t="s">
        <v>5052</v>
      </c>
      <c r="C3652" t="s">
        <v>7</v>
      </c>
      <c r="D3652" t="s">
        <v>14</v>
      </c>
      <c r="E3652" t="s">
        <v>4533</v>
      </c>
    </row>
    <row r="3653" spans="1:6" x14ac:dyDescent="0.25">
      <c r="A3653" t="str">
        <f>"2407061709"</f>
        <v>2407061709</v>
      </c>
      <c r="B3653" t="s">
        <v>5053</v>
      </c>
      <c r="C3653" t="s">
        <v>7</v>
      </c>
      <c r="D3653" t="s">
        <v>12</v>
      </c>
      <c r="E3653" t="s">
        <v>4533</v>
      </c>
      <c r="F3653" t="s">
        <v>5054</v>
      </c>
    </row>
    <row r="3654" spans="1:6" x14ac:dyDescent="0.25">
      <c r="A3654" t="str">
        <f>"2408001477"</f>
        <v>2408001477</v>
      </c>
      <c r="B3654" t="s">
        <v>5055</v>
      </c>
      <c r="C3654" t="s">
        <v>7</v>
      </c>
      <c r="D3654" t="s">
        <v>14</v>
      </c>
      <c r="E3654" t="s">
        <v>4533</v>
      </c>
      <c r="F3654" t="s">
        <v>5056</v>
      </c>
    </row>
    <row r="3655" spans="1:6" x14ac:dyDescent="0.25">
      <c r="A3655" t="str">
        <f>"241000057715"</f>
        <v>241000057715</v>
      </c>
      <c r="B3655" t="s">
        <v>5057</v>
      </c>
      <c r="C3655" t="s">
        <v>7</v>
      </c>
      <c r="D3655" t="s">
        <v>14</v>
      </c>
      <c r="E3655" t="s">
        <v>4533</v>
      </c>
    </row>
    <row r="3656" spans="1:6" x14ac:dyDescent="0.25">
      <c r="A3656" t="str">
        <f>"241000642096"</f>
        <v>241000642096</v>
      </c>
      <c r="B3656" t="s">
        <v>5058</v>
      </c>
      <c r="C3656" t="s">
        <v>7</v>
      </c>
      <c r="D3656" t="s">
        <v>14</v>
      </c>
      <c r="E3656" t="s">
        <v>4533</v>
      </c>
    </row>
    <row r="3657" spans="1:6" x14ac:dyDescent="0.25">
      <c r="A3657" t="str">
        <f>"2411023463"</f>
        <v>2411023463</v>
      </c>
      <c r="B3657" t="s">
        <v>5059</v>
      </c>
      <c r="C3657" t="s">
        <v>7</v>
      </c>
      <c r="D3657" t="s">
        <v>12</v>
      </c>
      <c r="E3657" t="s">
        <v>4533</v>
      </c>
      <c r="F3657" t="s">
        <v>5060</v>
      </c>
    </row>
    <row r="3658" spans="1:6" x14ac:dyDescent="0.25">
      <c r="A3658" t="str">
        <f>"241102446100"</f>
        <v>241102446100</v>
      </c>
      <c r="B3658" t="s">
        <v>5061</v>
      </c>
      <c r="C3658" t="s">
        <v>7</v>
      </c>
      <c r="D3658" t="s">
        <v>14</v>
      </c>
      <c r="E3658" t="s">
        <v>4533</v>
      </c>
    </row>
    <row r="3659" spans="1:6" x14ac:dyDescent="0.25">
      <c r="A3659" t="str">
        <f>"2411028542"</f>
        <v>2411028542</v>
      </c>
      <c r="B3659" t="s">
        <v>4554</v>
      </c>
      <c r="C3659" t="s">
        <v>7</v>
      </c>
      <c r="D3659" t="s">
        <v>12</v>
      </c>
      <c r="E3659" t="s">
        <v>4533</v>
      </c>
      <c r="F3659" t="s">
        <v>5062</v>
      </c>
    </row>
    <row r="3660" spans="1:6" x14ac:dyDescent="0.25">
      <c r="A3660" t="str">
        <f>"2411030380"</f>
        <v>2411030380</v>
      </c>
      <c r="B3660" t="s">
        <v>5063</v>
      </c>
      <c r="C3660" t="s">
        <v>7</v>
      </c>
      <c r="D3660" t="s">
        <v>98</v>
      </c>
      <c r="E3660" t="s">
        <v>4533</v>
      </c>
      <c r="F3660" t="s">
        <v>5064</v>
      </c>
    </row>
    <row r="3661" spans="1:6" x14ac:dyDescent="0.25">
      <c r="A3661" t="str">
        <f>"2411032605"</f>
        <v>2411032605</v>
      </c>
      <c r="B3661" t="s">
        <v>5065</v>
      </c>
      <c r="C3661" t="s">
        <v>7</v>
      </c>
      <c r="D3661" t="s">
        <v>14</v>
      </c>
      <c r="E3661" t="s">
        <v>4533</v>
      </c>
      <c r="F3661" t="s">
        <v>5066</v>
      </c>
    </row>
    <row r="3662" spans="1:6" x14ac:dyDescent="0.25">
      <c r="A3662" t="str">
        <f>"2411032820"</f>
        <v>2411032820</v>
      </c>
      <c r="B3662" t="s">
        <v>5067</v>
      </c>
      <c r="C3662" t="s">
        <v>7</v>
      </c>
      <c r="D3662" t="s">
        <v>12</v>
      </c>
      <c r="E3662" t="s">
        <v>4533</v>
      </c>
      <c r="F3662" t="s">
        <v>5068</v>
      </c>
    </row>
    <row r="3663" spans="1:6" x14ac:dyDescent="0.25">
      <c r="A3663" t="str">
        <f>"241401416680"</f>
        <v>241401416680</v>
      </c>
      <c r="B3663" t="s">
        <v>5069</v>
      </c>
      <c r="C3663" t="s">
        <v>7</v>
      </c>
      <c r="D3663" t="s">
        <v>14</v>
      </c>
      <c r="E3663" t="s">
        <v>4533</v>
      </c>
    </row>
    <row r="3664" spans="1:6" x14ac:dyDescent="0.25">
      <c r="A3664" t="str">
        <f>"242001761531"</f>
        <v>242001761531</v>
      </c>
      <c r="B3664" t="s">
        <v>5070</v>
      </c>
      <c r="C3664" t="s">
        <v>7</v>
      </c>
      <c r="D3664" t="s">
        <v>14</v>
      </c>
      <c r="E3664" t="s">
        <v>4533</v>
      </c>
    </row>
    <row r="3665" spans="1:6" x14ac:dyDescent="0.25">
      <c r="A3665" t="str">
        <f>"242303442147"</f>
        <v>242303442147</v>
      </c>
      <c r="B3665" t="s">
        <v>5071</v>
      </c>
      <c r="C3665" t="s">
        <v>7</v>
      </c>
      <c r="D3665" t="s">
        <v>14</v>
      </c>
      <c r="E3665" t="s">
        <v>4533</v>
      </c>
    </row>
    <row r="3666" spans="1:6" x14ac:dyDescent="0.25">
      <c r="A3666" t="str">
        <f>"242303815053"</f>
        <v>242303815053</v>
      </c>
      <c r="B3666" t="s">
        <v>5072</v>
      </c>
      <c r="C3666" t="s">
        <v>7</v>
      </c>
      <c r="D3666" t="s">
        <v>14</v>
      </c>
      <c r="E3666" t="s">
        <v>4533</v>
      </c>
    </row>
    <row r="3667" spans="1:6" x14ac:dyDescent="0.25">
      <c r="A3667" t="str">
        <f>"243001008009"</f>
        <v>243001008009</v>
      </c>
      <c r="B3667" t="s">
        <v>5073</v>
      </c>
      <c r="C3667" t="s">
        <v>7</v>
      </c>
      <c r="D3667" t="s">
        <v>14</v>
      </c>
      <c r="E3667" t="s">
        <v>4533</v>
      </c>
    </row>
    <row r="3668" spans="1:6" x14ac:dyDescent="0.25">
      <c r="A3668" t="str">
        <f>"243600015076"</f>
        <v>243600015076</v>
      </c>
      <c r="B3668" t="s">
        <v>5074</v>
      </c>
      <c r="C3668" t="s">
        <v>7</v>
      </c>
      <c r="D3668" t="s">
        <v>14</v>
      </c>
      <c r="E3668" t="s">
        <v>4533</v>
      </c>
    </row>
    <row r="3669" spans="1:6" x14ac:dyDescent="0.25">
      <c r="A3669" t="str">
        <f>"2439001011"</f>
        <v>2439001011</v>
      </c>
      <c r="B3669" t="s">
        <v>5075</v>
      </c>
      <c r="C3669" t="s">
        <v>7</v>
      </c>
      <c r="D3669" t="s">
        <v>14</v>
      </c>
      <c r="E3669" t="s">
        <v>4533</v>
      </c>
      <c r="F3669" t="s">
        <v>5076</v>
      </c>
    </row>
    <row r="3670" spans="1:6" x14ac:dyDescent="0.25">
      <c r="A3670" t="str">
        <f>"243903510658"</f>
        <v>243903510658</v>
      </c>
      <c r="B3670" t="s">
        <v>5077</v>
      </c>
      <c r="C3670" t="s">
        <v>7</v>
      </c>
      <c r="D3670" t="s">
        <v>14</v>
      </c>
      <c r="E3670" t="s">
        <v>4533</v>
      </c>
    </row>
    <row r="3671" spans="1:6" x14ac:dyDescent="0.25">
      <c r="A3671" t="str">
        <f>"244000090475"</f>
        <v>244000090475</v>
      </c>
      <c r="B3671" t="s">
        <v>5078</v>
      </c>
      <c r="C3671" t="s">
        <v>7</v>
      </c>
      <c r="D3671" t="s">
        <v>14</v>
      </c>
      <c r="E3671" t="s">
        <v>4533</v>
      </c>
    </row>
    <row r="3672" spans="1:6" x14ac:dyDescent="0.25">
      <c r="A3672" t="str">
        <f>"244001778916"</f>
        <v>244001778916</v>
      </c>
      <c r="B3672" t="s">
        <v>5079</v>
      </c>
      <c r="C3672" t="s">
        <v>7</v>
      </c>
      <c r="D3672" t="s">
        <v>14</v>
      </c>
      <c r="E3672" t="s">
        <v>4533</v>
      </c>
    </row>
    <row r="3673" spans="1:6" x14ac:dyDescent="0.25">
      <c r="A3673" t="str">
        <f>"244001906526"</f>
        <v>244001906526</v>
      </c>
      <c r="B3673" t="s">
        <v>5080</v>
      </c>
      <c r="C3673" t="s">
        <v>7</v>
      </c>
      <c r="D3673" t="s">
        <v>14</v>
      </c>
      <c r="E3673" t="s">
        <v>4533</v>
      </c>
    </row>
    <row r="3674" spans="1:6" x14ac:dyDescent="0.25">
      <c r="A3674" t="str">
        <f>"2443047925"</f>
        <v>2443047925</v>
      </c>
      <c r="B3674" t="s">
        <v>5081</v>
      </c>
      <c r="C3674" t="s">
        <v>7</v>
      </c>
      <c r="D3674" t="s">
        <v>14</v>
      </c>
      <c r="E3674" t="s">
        <v>4533</v>
      </c>
      <c r="F3674" t="s">
        <v>5082</v>
      </c>
    </row>
    <row r="3675" spans="1:6" x14ac:dyDescent="0.25">
      <c r="A3675" t="str">
        <f>"244313093548"</f>
        <v>244313093548</v>
      </c>
      <c r="B3675" t="s">
        <v>5083</v>
      </c>
      <c r="C3675" t="s">
        <v>7</v>
      </c>
      <c r="D3675" t="s">
        <v>14</v>
      </c>
      <c r="E3675" t="s">
        <v>4533</v>
      </c>
    </row>
    <row r="3676" spans="1:6" x14ac:dyDescent="0.25">
      <c r="A3676" t="str">
        <f>"244603106750"</f>
        <v>244603106750</v>
      </c>
      <c r="B3676" t="s">
        <v>5084</v>
      </c>
      <c r="C3676" t="s">
        <v>7</v>
      </c>
      <c r="D3676" t="s">
        <v>14</v>
      </c>
      <c r="E3676" t="s">
        <v>4533</v>
      </c>
    </row>
    <row r="3677" spans="1:6" x14ac:dyDescent="0.25">
      <c r="A3677" t="str">
        <f>"244700079741"</f>
        <v>244700079741</v>
      </c>
      <c r="B3677" t="s">
        <v>5085</v>
      </c>
      <c r="C3677" t="s">
        <v>7</v>
      </c>
      <c r="D3677" t="s">
        <v>14</v>
      </c>
      <c r="E3677" t="s">
        <v>4533</v>
      </c>
    </row>
    <row r="3678" spans="1:6" x14ac:dyDescent="0.25">
      <c r="A3678" t="str">
        <f>"244705077762"</f>
        <v>244705077762</v>
      </c>
      <c r="B3678" t="s">
        <v>5086</v>
      </c>
      <c r="C3678" t="s">
        <v>7</v>
      </c>
      <c r="D3678" t="s">
        <v>14</v>
      </c>
      <c r="E3678" t="s">
        <v>4533</v>
      </c>
    </row>
    <row r="3679" spans="1:6" x14ac:dyDescent="0.25">
      <c r="A3679" t="str">
        <f>"2448001642"</f>
        <v>2448001642</v>
      </c>
      <c r="B3679" t="s">
        <v>2741</v>
      </c>
      <c r="C3679" t="s">
        <v>7</v>
      </c>
      <c r="D3679" t="s">
        <v>14</v>
      </c>
      <c r="E3679" t="s">
        <v>4533</v>
      </c>
      <c r="F3679" t="s">
        <v>5087</v>
      </c>
    </row>
    <row r="3680" spans="1:6" x14ac:dyDescent="0.25">
      <c r="A3680" t="str">
        <f>"244800168018"</f>
        <v>244800168018</v>
      </c>
      <c r="B3680" t="s">
        <v>5088</v>
      </c>
      <c r="C3680" t="s">
        <v>7</v>
      </c>
      <c r="D3680" t="s">
        <v>14</v>
      </c>
      <c r="E3680" t="s">
        <v>4533</v>
      </c>
    </row>
    <row r="3681" spans="1:6" x14ac:dyDescent="0.25">
      <c r="A3681" t="str">
        <f>"244803401495"</f>
        <v>244803401495</v>
      </c>
      <c r="B3681" t="s">
        <v>5089</v>
      </c>
      <c r="C3681" t="s">
        <v>7</v>
      </c>
      <c r="D3681" t="s">
        <v>14</v>
      </c>
      <c r="E3681" t="s">
        <v>4533</v>
      </c>
    </row>
    <row r="3682" spans="1:6" x14ac:dyDescent="0.25">
      <c r="A3682" t="str">
        <f>"2450002668"</f>
        <v>2450002668</v>
      </c>
      <c r="B3682" t="s">
        <v>5090</v>
      </c>
      <c r="C3682" t="s">
        <v>7</v>
      </c>
      <c r="D3682" t="s">
        <v>14</v>
      </c>
      <c r="E3682" t="s">
        <v>4533</v>
      </c>
      <c r="F3682" t="s">
        <v>5091</v>
      </c>
    </row>
    <row r="3683" spans="1:6" x14ac:dyDescent="0.25">
      <c r="A3683" t="str">
        <f>"245002461864"</f>
        <v>245002461864</v>
      </c>
      <c r="B3683" t="s">
        <v>5092</v>
      </c>
      <c r="C3683" t="s">
        <v>7</v>
      </c>
      <c r="D3683" t="s">
        <v>14</v>
      </c>
      <c r="E3683" t="s">
        <v>4533</v>
      </c>
    </row>
    <row r="3684" spans="1:6" x14ac:dyDescent="0.25">
      <c r="A3684" t="str">
        <f>"7714454242"</f>
        <v>7714454242</v>
      </c>
      <c r="B3684" t="s">
        <v>5093</v>
      </c>
      <c r="C3684" t="s">
        <v>7</v>
      </c>
      <c r="D3684" t="s">
        <v>14</v>
      </c>
      <c r="E3684" t="s">
        <v>4533</v>
      </c>
      <c r="F3684" t="s">
        <v>5094</v>
      </c>
    </row>
    <row r="3685" spans="1:6" x14ac:dyDescent="0.25">
      <c r="A3685" t="str">
        <f>"240302317421"</f>
        <v>240302317421</v>
      </c>
      <c r="B3685" t="s">
        <v>5095</v>
      </c>
      <c r="C3685" t="s">
        <v>7</v>
      </c>
      <c r="D3685" t="s">
        <v>14</v>
      </c>
      <c r="E3685" t="s">
        <v>4533</v>
      </c>
    </row>
    <row r="3686" spans="1:6" x14ac:dyDescent="0.25">
      <c r="A3686" t="str">
        <f>"240400046040"</f>
        <v>240400046040</v>
      </c>
      <c r="B3686" t="s">
        <v>5096</v>
      </c>
      <c r="C3686" t="s">
        <v>7</v>
      </c>
      <c r="D3686" t="s">
        <v>12</v>
      </c>
      <c r="E3686" t="s">
        <v>4533</v>
      </c>
    </row>
    <row r="3687" spans="1:6" x14ac:dyDescent="0.25">
      <c r="A3687" t="str">
        <f>"240402774407"</f>
        <v>240402774407</v>
      </c>
      <c r="B3687" t="s">
        <v>5097</v>
      </c>
      <c r="C3687" t="s">
        <v>7</v>
      </c>
      <c r="D3687" t="s">
        <v>14</v>
      </c>
      <c r="E3687" t="s">
        <v>4533</v>
      </c>
    </row>
    <row r="3688" spans="1:6" x14ac:dyDescent="0.25">
      <c r="A3688" t="str">
        <f>"240402853458"</f>
        <v>240402853458</v>
      </c>
      <c r="B3688" t="s">
        <v>5098</v>
      </c>
      <c r="C3688" t="s">
        <v>7</v>
      </c>
      <c r="D3688" t="s">
        <v>14</v>
      </c>
      <c r="E3688" t="s">
        <v>4533</v>
      </c>
    </row>
    <row r="3689" spans="1:6" x14ac:dyDescent="0.25">
      <c r="A3689" t="str">
        <f>"240702225430"</f>
        <v>240702225430</v>
      </c>
      <c r="B3689" t="s">
        <v>5099</v>
      </c>
      <c r="C3689" t="s">
        <v>7</v>
      </c>
      <c r="D3689" t="s">
        <v>14</v>
      </c>
      <c r="E3689" t="s">
        <v>4533</v>
      </c>
    </row>
    <row r="3690" spans="1:6" x14ac:dyDescent="0.25">
      <c r="A3690" t="str">
        <f>"2407065990"</f>
        <v>2407065990</v>
      </c>
      <c r="B3690" t="s">
        <v>5100</v>
      </c>
      <c r="C3690" t="s">
        <v>7</v>
      </c>
      <c r="D3690" t="s">
        <v>12</v>
      </c>
      <c r="E3690" t="s">
        <v>4533</v>
      </c>
      <c r="F3690" t="s">
        <v>4989</v>
      </c>
    </row>
    <row r="3691" spans="1:6" x14ac:dyDescent="0.25">
      <c r="A3691" t="str">
        <f>"240781018225"</f>
        <v>240781018225</v>
      </c>
      <c r="B3691" t="s">
        <v>5101</v>
      </c>
      <c r="C3691" t="s">
        <v>7</v>
      </c>
      <c r="D3691" t="s">
        <v>14</v>
      </c>
      <c r="E3691" t="s">
        <v>4533</v>
      </c>
    </row>
    <row r="3692" spans="1:6" x14ac:dyDescent="0.25">
      <c r="A3692" t="str">
        <f>"241001398700"</f>
        <v>241001398700</v>
      </c>
      <c r="B3692" t="s">
        <v>5102</v>
      </c>
      <c r="C3692" t="s">
        <v>7</v>
      </c>
      <c r="D3692" t="s">
        <v>14</v>
      </c>
      <c r="E3692" t="s">
        <v>4533</v>
      </c>
    </row>
    <row r="3693" spans="1:6" x14ac:dyDescent="0.25">
      <c r="A3693" t="str">
        <f>"2411033817"</f>
        <v>2411033817</v>
      </c>
      <c r="B3693" t="s">
        <v>5103</v>
      </c>
      <c r="C3693" t="s">
        <v>7</v>
      </c>
      <c r="D3693" t="s">
        <v>14</v>
      </c>
      <c r="E3693" t="s">
        <v>4533</v>
      </c>
      <c r="F3693" t="s">
        <v>5104</v>
      </c>
    </row>
    <row r="3694" spans="1:6" x14ac:dyDescent="0.25">
      <c r="A3694" t="str">
        <f>"241105591057"</f>
        <v>241105591057</v>
      </c>
      <c r="B3694" t="s">
        <v>5105</v>
      </c>
      <c r="C3694" t="s">
        <v>7</v>
      </c>
      <c r="D3694" t="s">
        <v>12</v>
      </c>
      <c r="E3694" t="s">
        <v>4533</v>
      </c>
    </row>
    <row r="3695" spans="1:6" x14ac:dyDescent="0.25">
      <c r="A3695" t="str">
        <f>"242002178435"</f>
        <v>242002178435</v>
      </c>
      <c r="B3695" t="s">
        <v>4395</v>
      </c>
      <c r="C3695" t="s">
        <v>7</v>
      </c>
      <c r="D3695" t="s">
        <v>14</v>
      </c>
      <c r="E3695" t="s">
        <v>4533</v>
      </c>
    </row>
    <row r="3696" spans="1:6" x14ac:dyDescent="0.25">
      <c r="A3696" t="str">
        <f>"242303559850"</f>
        <v>242303559850</v>
      </c>
      <c r="B3696" t="s">
        <v>5106</v>
      </c>
      <c r="C3696" t="s">
        <v>7</v>
      </c>
      <c r="D3696" t="s">
        <v>14</v>
      </c>
      <c r="E3696" t="s">
        <v>4533</v>
      </c>
    </row>
    <row r="3697" spans="1:6" x14ac:dyDescent="0.25">
      <c r="A3697" t="str">
        <f>"242304002903"</f>
        <v>242304002903</v>
      </c>
      <c r="B3697" t="s">
        <v>5107</v>
      </c>
      <c r="C3697" t="s">
        <v>7</v>
      </c>
      <c r="D3697" t="s">
        <v>14</v>
      </c>
      <c r="E3697" t="s">
        <v>4533</v>
      </c>
    </row>
    <row r="3698" spans="1:6" x14ac:dyDescent="0.25">
      <c r="A3698" t="str">
        <f>"242600018639"</f>
        <v>242600018639</v>
      </c>
      <c r="B3698" t="s">
        <v>5108</v>
      </c>
      <c r="C3698" t="s">
        <v>7</v>
      </c>
      <c r="D3698" t="s">
        <v>14</v>
      </c>
      <c r="E3698" t="s">
        <v>4533</v>
      </c>
    </row>
    <row r="3699" spans="1:6" x14ac:dyDescent="0.25">
      <c r="A3699" t="str">
        <f>"242803232733"</f>
        <v>242803232733</v>
      </c>
      <c r="B3699" t="s">
        <v>5109</v>
      </c>
      <c r="C3699" t="s">
        <v>7</v>
      </c>
      <c r="D3699" t="s">
        <v>14</v>
      </c>
      <c r="E3699" t="s">
        <v>4533</v>
      </c>
    </row>
    <row r="3700" spans="1:6" x14ac:dyDescent="0.25">
      <c r="A3700" t="str">
        <f>"242903764900"</f>
        <v>242903764900</v>
      </c>
      <c r="B3700" t="s">
        <v>5110</v>
      </c>
      <c r="C3700" t="s">
        <v>7</v>
      </c>
      <c r="D3700" t="s">
        <v>14</v>
      </c>
      <c r="E3700" t="s">
        <v>4533</v>
      </c>
    </row>
    <row r="3701" spans="1:6" x14ac:dyDescent="0.25">
      <c r="A3701" t="str">
        <f>"243000000335"</f>
        <v>243000000335</v>
      </c>
      <c r="B3701" t="s">
        <v>5111</v>
      </c>
      <c r="C3701" t="s">
        <v>7</v>
      </c>
      <c r="D3701" t="s">
        <v>14</v>
      </c>
      <c r="E3701" t="s">
        <v>4533</v>
      </c>
    </row>
    <row r="3702" spans="1:6" x14ac:dyDescent="0.25">
      <c r="A3702" t="str">
        <f>"243903153170"</f>
        <v>243903153170</v>
      </c>
      <c r="B3702" t="s">
        <v>5112</v>
      </c>
      <c r="C3702" t="s">
        <v>7</v>
      </c>
      <c r="D3702" t="s">
        <v>14</v>
      </c>
      <c r="E3702" t="s">
        <v>4533</v>
      </c>
    </row>
    <row r="3703" spans="1:6" x14ac:dyDescent="0.25">
      <c r="A3703" t="str">
        <f>"244201699620"</f>
        <v>244201699620</v>
      </c>
      <c r="B3703" t="s">
        <v>5113</v>
      </c>
      <c r="C3703" t="s">
        <v>7</v>
      </c>
      <c r="D3703" t="s">
        <v>14</v>
      </c>
      <c r="E3703" t="s">
        <v>4533</v>
      </c>
    </row>
    <row r="3704" spans="1:6" x14ac:dyDescent="0.25">
      <c r="A3704" t="str">
        <f>"244302293538"</f>
        <v>244302293538</v>
      </c>
      <c r="B3704" t="s">
        <v>5114</v>
      </c>
      <c r="C3704" t="s">
        <v>7</v>
      </c>
      <c r="D3704" t="s">
        <v>14</v>
      </c>
      <c r="E3704" t="s">
        <v>4533</v>
      </c>
    </row>
    <row r="3705" spans="1:6" x14ac:dyDescent="0.25">
      <c r="A3705" t="str">
        <f>"2443031570"</f>
        <v>2443031570</v>
      </c>
      <c r="B3705" t="s">
        <v>5115</v>
      </c>
      <c r="C3705" t="s">
        <v>7</v>
      </c>
      <c r="D3705" t="s">
        <v>14</v>
      </c>
      <c r="E3705" t="s">
        <v>4533</v>
      </c>
      <c r="F3705" t="s">
        <v>5116</v>
      </c>
    </row>
    <row r="3706" spans="1:6" x14ac:dyDescent="0.25">
      <c r="A3706" t="str">
        <f>"244311519284"</f>
        <v>244311519284</v>
      </c>
      <c r="B3706" t="s">
        <v>5117</v>
      </c>
      <c r="C3706" t="s">
        <v>7</v>
      </c>
      <c r="D3706" t="s">
        <v>14</v>
      </c>
      <c r="E3706" t="s">
        <v>4533</v>
      </c>
    </row>
    <row r="3707" spans="1:6" x14ac:dyDescent="0.25">
      <c r="A3707" t="str">
        <f>"244402270277"</f>
        <v>244402270277</v>
      </c>
      <c r="B3707" t="s">
        <v>5118</v>
      </c>
      <c r="C3707" t="s">
        <v>7</v>
      </c>
      <c r="D3707" t="s">
        <v>14</v>
      </c>
      <c r="E3707" t="s">
        <v>4533</v>
      </c>
    </row>
    <row r="3708" spans="1:6" x14ac:dyDescent="0.25">
      <c r="A3708" t="str">
        <f>"244601564306"</f>
        <v>244601564306</v>
      </c>
      <c r="B3708" t="s">
        <v>5119</v>
      </c>
      <c r="C3708" t="s">
        <v>7</v>
      </c>
      <c r="D3708" t="s">
        <v>14</v>
      </c>
      <c r="E3708" t="s">
        <v>4533</v>
      </c>
    </row>
    <row r="3709" spans="1:6" x14ac:dyDescent="0.25">
      <c r="A3709" t="str">
        <f>"244800100771"</f>
        <v>244800100771</v>
      </c>
      <c r="B3709" t="s">
        <v>5120</v>
      </c>
      <c r="C3709" t="s">
        <v>7</v>
      </c>
      <c r="D3709" t="s">
        <v>14</v>
      </c>
      <c r="E3709" t="s">
        <v>4533</v>
      </c>
    </row>
    <row r="3710" spans="1:6" x14ac:dyDescent="0.25">
      <c r="A3710" t="str">
        <f>"245005783436"</f>
        <v>245005783436</v>
      </c>
      <c r="B3710" t="s">
        <v>5121</v>
      </c>
      <c r="C3710" t="s">
        <v>7</v>
      </c>
      <c r="D3710" t="s">
        <v>14</v>
      </c>
      <c r="E3710" t="s">
        <v>4533</v>
      </c>
    </row>
    <row r="3711" spans="1:6" x14ac:dyDescent="0.25">
      <c r="A3711" t="str">
        <f>"245010739305"</f>
        <v>245010739305</v>
      </c>
      <c r="B3711" t="s">
        <v>5122</v>
      </c>
      <c r="C3711" t="s">
        <v>7</v>
      </c>
      <c r="D3711" t="s">
        <v>12</v>
      </c>
      <c r="E3711" t="s">
        <v>4533</v>
      </c>
    </row>
    <row r="3712" spans="1:6" x14ac:dyDescent="0.25">
      <c r="A3712" t="str">
        <f>"245012127756"</f>
        <v>245012127756</v>
      </c>
      <c r="B3712" t="s">
        <v>5123</v>
      </c>
      <c r="C3712" t="s">
        <v>7</v>
      </c>
      <c r="D3712" t="s">
        <v>14</v>
      </c>
      <c r="E3712" t="s">
        <v>4533</v>
      </c>
    </row>
    <row r="3713" spans="1:6" x14ac:dyDescent="0.25">
      <c r="A3713" t="str">
        <f>"240405250112"</f>
        <v>240405250112</v>
      </c>
      <c r="B3713" t="s">
        <v>5124</v>
      </c>
      <c r="C3713" t="s">
        <v>7</v>
      </c>
      <c r="D3713" t="s">
        <v>14</v>
      </c>
      <c r="E3713" t="s">
        <v>4533</v>
      </c>
    </row>
    <row r="3714" spans="1:6" x14ac:dyDescent="0.25">
      <c r="A3714" t="str">
        <f>"240780544031"</f>
        <v>240780544031</v>
      </c>
      <c r="B3714" t="s">
        <v>5125</v>
      </c>
      <c r="C3714" t="s">
        <v>7</v>
      </c>
      <c r="D3714" t="s">
        <v>14</v>
      </c>
      <c r="E3714" t="s">
        <v>4533</v>
      </c>
    </row>
    <row r="3715" spans="1:6" x14ac:dyDescent="0.25">
      <c r="A3715" t="str">
        <f>"241101275149"</f>
        <v>241101275149</v>
      </c>
      <c r="B3715" t="s">
        <v>5126</v>
      </c>
      <c r="C3715" t="s">
        <v>7</v>
      </c>
      <c r="D3715" t="s">
        <v>14</v>
      </c>
      <c r="E3715" t="s">
        <v>4533</v>
      </c>
    </row>
    <row r="3716" spans="1:6" x14ac:dyDescent="0.25">
      <c r="A3716" t="str">
        <f>"2411023456"</f>
        <v>2411023456</v>
      </c>
      <c r="B3716" t="s">
        <v>5127</v>
      </c>
      <c r="C3716" t="s">
        <v>7</v>
      </c>
      <c r="D3716" t="s">
        <v>12</v>
      </c>
      <c r="E3716" t="s">
        <v>4533</v>
      </c>
      <c r="F3716" t="s">
        <v>4827</v>
      </c>
    </row>
    <row r="3717" spans="1:6" x14ac:dyDescent="0.25">
      <c r="A3717" t="str">
        <f>"2411031094"</f>
        <v>2411031094</v>
      </c>
      <c r="B3717" t="s">
        <v>5128</v>
      </c>
      <c r="C3717" t="s">
        <v>7</v>
      </c>
      <c r="D3717" t="s">
        <v>33</v>
      </c>
      <c r="E3717" t="s">
        <v>4533</v>
      </c>
      <c r="F3717" t="s">
        <v>5129</v>
      </c>
    </row>
    <row r="3718" spans="1:6" x14ac:dyDescent="0.25">
      <c r="A3718" t="str">
        <f>"2411031496"</f>
        <v>2411031496</v>
      </c>
      <c r="B3718" t="s">
        <v>5130</v>
      </c>
      <c r="C3718" t="s">
        <v>7</v>
      </c>
      <c r="D3718" t="s">
        <v>33</v>
      </c>
      <c r="E3718" t="s">
        <v>4533</v>
      </c>
      <c r="F3718" t="s">
        <v>5131</v>
      </c>
    </row>
    <row r="3719" spans="1:6" x14ac:dyDescent="0.25">
      <c r="A3719" t="str">
        <f>"241103870545"</f>
        <v>241103870545</v>
      </c>
      <c r="B3719" t="s">
        <v>5132</v>
      </c>
      <c r="C3719" t="s">
        <v>7</v>
      </c>
      <c r="D3719" t="s">
        <v>12</v>
      </c>
      <c r="E3719" t="s">
        <v>4533</v>
      </c>
    </row>
    <row r="3720" spans="1:6" x14ac:dyDescent="0.25">
      <c r="A3720" t="str">
        <f>"241700190871"</f>
        <v>241700190871</v>
      </c>
      <c r="B3720" t="s">
        <v>5133</v>
      </c>
      <c r="C3720" t="s">
        <v>7</v>
      </c>
      <c r="D3720" t="s">
        <v>14</v>
      </c>
      <c r="E3720" t="s">
        <v>4533</v>
      </c>
    </row>
    <row r="3721" spans="1:6" x14ac:dyDescent="0.25">
      <c r="A3721" t="str">
        <f>"241700284054"</f>
        <v>241700284054</v>
      </c>
      <c r="B3721" t="s">
        <v>5134</v>
      </c>
      <c r="C3721" t="s">
        <v>7</v>
      </c>
      <c r="D3721" t="s">
        <v>14</v>
      </c>
      <c r="E3721" t="s">
        <v>4533</v>
      </c>
    </row>
    <row r="3722" spans="1:6" x14ac:dyDescent="0.25">
      <c r="A3722" t="str">
        <f>"242000053590"</f>
        <v>242000053590</v>
      </c>
      <c r="B3722" t="s">
        <v>5135</v>
      </c>
      <c r="C3722" t="s">
        <v>7</v>
      </c>
      <c r="D3722" t="s">
        <v>14</v>
      </c>
      <c r="E3722" t="s">
        <v>4533</v>
      </c>
    </row>
    <row r="3723" spans="1:6" x14ac:dyDescent="0.25">
      <c r="A3723" t="str">
        <f>"242001603790"</f>
        <v>242001603790</v>
      </c>
      <c r="B3723" t="s">
        <v>5136</v>
      </c>
      <c r="C3723" t="s">
        <v>7</v>
      </c>
      <c r="D3723" t="s">
        <v>33</v>
      </c>
      <c r="E3723" t="s">
        <v>4533</v>
      </c>
    </row>
    <row r="3724" spans="1:6" x14ac:dyDescent="0.25">
      <c r="A3724" t="str">
        <f>"2420072202"</f>
        <v>2420072202</v>
      </c>
      <c r="B3724" t="s">
        <v>4782</v>
      </c>
      <c r="C3724" t="s">
        <v>7</v>
      </c>
      <c r="D3724" t="s">
        <v>14</v>
      </c>
      <c r="E3724" t="s">
        <v>4533</v>
      </c>
      <c r="F3724" t="s">
        <v>5137</v>
      </c>
    </row>
    <row r="3725" spans="1:6" x14ac:dyDescent="0.25">
      <c r="A3725" t="str">
        <f>"242304435368"</f>
        <v>242304435368</v>
      </c>
      <c r="B3725" t="s">
        <v>5138</v>
      </c>
      <c r="C3725" t="s">
        <v>7</v>
      </c>
      <c r="D3725" t="s">
        <v>14</v>
      </c>
      <c r="E3725" t="s">
        <v>4533</v>
      </c>
    </row>
    <row r="3726" spans="1:6" x14ac:dyDescent="0.25">
      <c r="A3726" t="str">
        <f>"242601711500"</f>
        <v>242601711500</v>
      </c>
      <c r="B3726" t="s">
        <v>5139</v>
      </c>
      <c r="C3726" t="s">
        <v>7</v>
      </c>
      <c r="D3726" t="s">
        <v>14</v>
      </c>
      <c r="E3726" t="s">
        <v>4533</v>
      </c>
    </row>
    <row r="3727" spans="1:6" x14ac:dyDescent="0.25">
      <c r="A3727" t="str">
        <f>"242700011570"</f>
        <v>242700011570</v>
      </c>
      <c r="B3727" t="s">
        <v>5140</v>
      </c>
      <c r="C3727" t="s">
        <v>7</v>
      </c>
      <c r="D3727" t="s">
        <v>14</v>
      </c>
      <c r="E3727" t="s">
        <v>4533</v>
      </c>
    </row>
    <row r="3728" spans="1:6" x14ac:dyDescent="0.25">
      <c r="A3728" t="str">
        <f>"243300044051"</f>
        <v>243300044051</v>
      </c>
      <c r="B3728" t="s">
        <v>5141</v>
      </c>
      <c r="C3728" t="s">
        <v>7</v>
      </c>
      <c r="D3728" t="s">
        <v>14</v>
      </c>
      <c r="E3728" t="s">
        <v>4533</v>
      </c>
    </row>
    <row r="3729" spans="1:6" x14ac:dyDescent="0.25">
      <c r="A3729" t="str">
        <f>"243400069878"</f>
        <v>243400069878</v>
      </c>
      <c r="B3729" t="s">
        <v>5142</v>
      </c>
      <c r="C3729" t="s">
        <v>7</v>
      </c>
      <c r="D3729" t="s">
        <v>14</v>
      </c>
      <c r="E3729" t="s">
        <v>4533</v>
      </c>
    </row>
    <row r="3730" spans="1:6" x14ac:dyDescent="0.25">
      <c r="A3730" t="str">
        <f>"244200287609"</f>
        <v>244200287609</v>
      </c>
      <c r="B3730" t="s">
        <v>5143</v>
      </c>
      <c r="C3730" t="s">
        <v>7</v>
      </c>
      <c r="D3730" t="s">
        <v>14</v>
      </c>
      <c r="E3730" t="s">
        <v>4533</v>
      </c>
    </row>
    <row r="3731" spans="1:6" x14ac:dyDescent="0.25">
      <c r="A3731" t="str">
        <f>"244202504697"</f>
        <v>244202504697</v>
      </c>
      <c r="B3731" t="s">
        <v>5144</v>
      </c>
      <c r="C3731" t="s">
        <v>7</v>
      </c>
      <c r="D3731" t="s">
        <v>14</v>
      </c>
      <c r="E3731" t="s">
        <v>4533</v>
      </c>
    </row>
    <row r="3732" spans="1:6" x14ac:dyDescent="0.25">
      <c r="A3732" t="str">
        <f>"2443021966"</f>
        <v>2443021966</v>
      </c>
      <c r="B3732" t="s">
        <v>479</v>
      </c>
      <c r="C3732" t="s">
        <v>7</v>
      </c>
      <c r="D3732" t="s">
        <v>12</v>
      </c>
      <c r="E3732" t="s">
        <v>4533</v>
      </c>
      <c r="F3732" t="s">
        <v>5145</v>
      </c>
    </row>
    <row r="3733" spans="1:6" x14ac:dyDescent="0.25">
      <c r="A3733" t="str">
        <f>"2443025336"</f>
        <v>2443025336</v>
      </c>
      <c r="B3733" t="s">
        <v>5146</v>
      </c>
      <c r="C3733" t="s">
        <v>7</v>
      </c>
      <c r="D3733" t="s">
        <v>12</v>
      </c>
      <c r="E3733" t="s">
        <v>4533</v>
      </c>
      <c r="F3733" t="s">
        <v>5147</v>
      </c>
    </row>
    <row r="3734" spans="1:6" x14ac:dyDescent="0.25">
      <c r="A3734" t="str">
        <f>"2443049390"</f>
        <v>2443049390</v>
      </c>
      <c r="B3734" t="s">
        <v>5148</v>
      </c>
      <c r="C3734" t="s">
        <v>7</v>
      </c>
      <c r="D3734" t="s">
        <v>14</v>
      </c>
      <c r="E3734" t="s">
        <v>4533</v>
      </c>
      <c r="F3734" t="s">
        <v>5149</v>
      </c>
    </row>
    <row r="3735" spans="1:6" x14ac:dyDescent="0.25">
      <c r="A3735" t="str">
        <f>"244313593879"</f>
        <v>244313593879</v>
      </c>
      <c r="B3735" t="s">
        <v>5150</v>
      </c>
      <c r="C3735" t="s">
        <v>7</v>
      </c>
      <c r="D3735" t="s">
        <v>14</v>
      </c>
      <c r="E3735" t="s">
        <v>4533</v>
      </c>
    </row>
    <row r="3736" spans="1:6" x14ac:dyDescent="0.25">
      <c r="A3736" t="str">
        <f>"244800944302"</f>
        <v>244800944302</v>
      </c>
      <c r="B3736" t="s">
        <v>5151</v>
      </c>
      <c r="C3736" t="s">
        <v>7</v>
      </c>
      <c r="D3736" t="s">
        <v>14</v>
      </c>
      <c r="E3736" t="s">
        <v>4533</v>
      </c>
    </row>
    <row r="3737" spans="1:6" x14ac:dyDescent="0.25">
      <c r="A3737" t="str">
        <f>"244803349703"</f>
        <v>244803349703</v>
      </c>
      <c r="B3737" t="s">
        <v>5152</v>
      </c>
      <c r="C3737" t="s">
        <v>7</v>
      </c>
      <c r="D3737" t="s">
        <v>14</v>
      </c>
      <c r="E3737" t="s">
        <v>4533</v>
      </c>
    </row>
    <row r="3738" spans="1:6" x14ac:dyDescent="0.25">
      <c r="A3738" t="str">
        <f>"245000266498"</f>
        <v>245000266498</v>
      </c>
      <c r="B3738" t="s">
        <v>5153</v>
      </c>
      <c r="C3738" t="s">
        <v>7</v>
      </c>
      <c r="D3738" t="s">
        <v>14</v>
      </c>
      <c r="E3738" t="s">
        <v>4533</v>
      </c>
    </row>
    <row r="3739" spans="1:6" x14ac:dyDescent="0.25">
      <c r="A3739" t="str">
        <f>"245007032026"</f>
        <v>245007032026</v>
      </c>
      <c r="B3739" t="s">
        <v>5154</v>
      </c>
      <c r="C3739" t="s">
        <v>7</v>
      </c>
      <c r="D3739" t="s">
        <v>14</v>
      </c>
      <c r="E3739" t="s">
        <v>4533</v>
      </c>
    </row>
    <row r="3740" spans="1:6" x14ac:dyDescent="0.25">
      <c r="A3740" t="str">
        <f>"9718165037"</f>
        <v>9718165037</v>
      </c>
      <c r="B3740" t="s">
        <v>5155</v>
      </c>
      <c r="C3740" t="s">
        <v>7</v>
      </c>
      <c r="D3740" t="s">
        <v>12</v>
      </c>
      <c r="E3740" t="s">
        <v>4533</v>
      </c>
      <c r="F3740" t="s">
        <v>5156</v>
      </c>
    </row>
    <row r="3741" spans="1:6" x14ac:dyDescent="0.25">
      <c r="A3741" t="str">
        <f>"245904895299"</f>
        <v>245904895299</v>
      </c>
      <c r="B3741" t="s">
        <v>5157</v>
      </c>
      <c r="C3741" t="s">
        <v>7</v>
      </c>
      <c r="D3741" t="s">
        <v>14</v>
      </c>
      <c r="E3741" t="s">
        <v>5158</v>
      </c>
    </row>
    <row r="3742" spans="1:6" x14ac:dyDescent="0.25">
      <c r="A3742" t="str">
        <f>"250101699858"</f>
        <v>250101699858</v>
      </c>
      <c r="B3742" t="s">
        <v>5159</v>
      </c>
      <c r="C3742" t="s">
        <v>7</v>
      </c>
      <c r="D3742" t="s">
        <v>14</v>
      </c>
      <c r="E3742" t="s">
        <v>5158</v>
      </c>
    </row>
    <row r="3743" spans="1:6" x14ac:dyDescent="0.25">
      <c r="A3743" t="str">
        <f>"250106863029"</f>
        <v>250106863029</v>
      </c>
      <c r="B3743" t="s">
        <v>5160</v>
      </c>
      <c r="C3743" t="s">
        <v>7</v>
      </c>
      <c r="D3743" t="s">
        <v>12</v>
      </c>
      <c r="E3743" t="s">
        <v>5158</v>
      </c>
    </row>
    <row r="3744" spans="1:6" x14ac:dyDescent="0.25">
      <c r="A3744" t="str">
        <f>"250202671175"</f>
        <v>250202671175</v>
      </c>
      <c r="B3744" t="s">
        <v>5161</v>
      </c>
      <c r="C3744" t="s">
        <v>7</v>
      </c>
      <c r="D3744" t="s">
        <v>14</v>
      </c>
      <c r="E3744" t="s">
        <v>5158</v>
      </c>
    </row>
    <row r="3745" spans="1:6" x14ac:dyDescent="0.25">
      <c r="A3745" t="str">
        <f>"2502064241"</f>
        <v>2502064241</v>
      </c>
      <c r="B3745" t="s">
        <v>5162</v>
      </c>
      <c r="C3745" t="s">
        <v>7</v>
      </c>
      <c r="D3745" t="s">
        <v>674</v>
      </c>
      <c r="E3745" t="s">
        <v>5158</v>
      </c>
      <c r="F3745" t="s">
        <v>5163</v>
      </c>
    </row>
    <row r="3746" spans="1:6" x14ac:dyDescent="0.25">
      <c r="A3746" t="str">
        <f>"250306510729"</f>
        <v>250306510729</v>
      </c>
      <c r="B3746" t="s">
        <v>5164</v>
      </c>
      <c r="C3746" t="s">
        <v>7</v>
      </c>
      <c r="D3746" t="s">
        <v>14</v>
      </c>
      <c r="E3746" t="s">
        <v>5158</v>
      </c>
    </row>
    <row r="3747" spans="1:6" x14ac:dyDescent="0.25">
      <c r="A3747" t="str">
        <f>"250361832300"</f>
        <v>250361832300</v>
      </c>
      <c r="B3747" t="s">
        <v>5165</v>
      </c>
      <c r="C3747" t="s">
        <v>7</v>
      </c>
      <c r="D3747" t="s">
        <v>14</v>
      </c>
      <c r="E3747" t="s">
        <v>5158</v>
      </c>
    </row>
    <row r="3748" spans="1:6" x14ac:dyDescent="0.25">
      <c r="A3748" t="str">
        <f>"250362146713"</f>
        <v>250362146713</v>
      </c>
      <c r="B3748" t="s">
        <v>5166</v>
      </c>
      <c r="C3748" t="s">
        <v>7</v>
      </c>
      <c r="D3748" t="s">
        <v>14</v>
      </c>
      <c r="E3748" t="s">
        <v>5158</v>
      </c>
    </row>
    <row r="3749" spans="1:6" x14ac:dyDescent="0.25">
      <c r="A3749" t="str">
        <f>"250600017162"</f>
        <v>250600017162</v>
      </c>
      <c r="B3749" t="s">
        <v>5167</v>
      </c>
      <c r="C3749" t="s">
        <v>7</v>
      </c>
      <c r="D3749" t="s">
        <v>14</v>
      </c>
      <c r="E3749" t="s">
        <v>5158</v>
      </c>
    </row>
    <row r="3750" spans="1:6" x14ac:dyDescent="0.25">
      <c r="A3750" t="str">
        <f>"250100242811"</f>
        <v>250100242811</v>
      </c>
      <c r="B3750" t="s">
        <v>5168</v>
      </c>
      <c r="C3750" t="s">
        <v>7</v>
      </c>
      <c r="D3750" t="s">
        <v>14</v>
      </c>
      <c r="E3750" t="s">
        <v>5158</v>
      </c>
    </row>
    <row r="3751" spans="1:6" x14ac:dyDescent="0.25">
      <c r="A3751" t="str">
        <f>"2501017376"</f>
        <v>2501017376</v>
      </c>
      <c r="B3751" t="s">
        <v>5169</v>
      </c>
      <c r="C3751" t="s">
        <v>7</v>
      </c>
      <c r="D3751" t="s">
        <v>14</v>
      </c>
      <c r="E3751" t="s">
        <v>5158</v>
      </c>
      <c r="F3751" t="s">
        <v>5170</v>
      </c>
    </row>
    <row r="3752" spans="1:6" x14ac:dyDescent="0.25">
      <c r="A3752" t="str">
        <f>"250102160184"</f>
        <v>250102160184</v>
      </c>
      <c r="B3752" t="s">
        <v>5171</v>
      </c>
      <c r="C3752" t="s">
        <v>7</v>
      </c>
      <c r="D3752" t="s">
        <v>14</v>
      </c>
      <c r="E3752" t="s">
        <v>5158</v>
      </c>
    </row>
    <row r="3753" spans="1:6" x14ac:dyDescent="0.25">
      <c r="A3753" t="str">
        <f>"250105536300"</f>
        <v>250105536300</v>
      </c>
      <c r="B3753" t="s">
        <v>5172</v>
      </c>
      <c r="C3753" t="s">
        <v>7</v>
      </c>
      <c r="D3753" t="s">
        <v>14</v>
      </c>
      <c r="E3753" t="s">
        <v>5158</v>
      </c>
    </row>
    <row r="3754" spans="1:6" x14ac:dyDescent="0.25">
      <c r="A3754" t="str">
        <f>"250203682356"</f>
        <v>250203682356</v>
      </c>
      <c r="B3754" t="s">
        <v>5173</v>
      </c>
      <c r="C3754" t="s">
        <v>7</v>
      </c>
      <c r="D3754" t="s">
        <v>12</v>
      </c>
      <c r="E3754" t="s">
        <v>5158</v>
      </c>
    </row>
    <row r="3755" spans="1:6" x14ac:dyDescent="0.25">
      <c r="A3755" t="str">
        <f>"250206540504"</f>
        <v>250206540504</v>
      </c>
      <c r="B3755" t="s">
        <v>5174</v>
      </c>
      <c r="C3755" t="s">
        <v>7</v>
      </c>
      <c r="D3755" t="s">
        <v>14</v>
      </c>
      <c r="E3755" t="s">
        <v>5158</v>
      </c>
    </row>
    <row r="3756" spans="1:6" x14ac:dyDescent="0.25">
      <c r="A3756" t="str">
        <f>"2502076247"</f>
        <v>2502076247</v>
      </c>
      <c r="B3756" t="s">
        <v>5175</v>
      </c>
      <c r="C3756" t="s">
        <v>7</v>
      </c>
      <c r="D3756" t="s">
        <v>14</v>
      </c>
      <c r="E3756" t="s">
        <v>5158</v>
      </c>
      <c r="F3756" t="s">
        <v>5176</v>
      </c>
    </row>
    <row r="3757" spans="1:6" x14ac:dyDescent="0.25">
      <c r="A3757" t="str">
        <f>"250211693136"</f>
        <v>250211693136</v>
      </c>
      <c r="B3757" t="s">
        <v>5177</v>
      </c>
      <c r="C3757" t="s">
        <v>7</v>
      </c>
      <c r="D3757" t="s">
        <v>14</v>
      </c>
      <c r="E3757" t="s">
        <v>5158</v>
      </c>
    </row>
    <row r="3758" spans="1:6" x14ac:dyDescent="0.25">
      <c r="A3758" t="str">
        <f>"250300873395"</f>
        <v>250300873395</v>
      </c>
      <c r="B3758" t="s">
        <v>5178</v>
      </c>
      <c r="C3758" t="s">
        <v>7</v>
      </c>
      <c r="D3758" t="s">
        <v>14</v>
      </c>
      <c r="E3758" t="s">
        <v>5158</v>
      </c>
    </row>
    <row r="3759" spans="1:6" x14ac:dyDescent="0.25">
      <c r="A3759" t="str">
        <f>"250306528300"</f>
        <v>250306528300</v>
      </c>
      <c r="B3759" t="s">
        <v>5179</v>
      </c>
      <c r="C3759" t="s">
        <v>7</v>
      </c>
      <c r="D3759" t="s">
        <v>14</v>
      </c>
      <c r="E3759" t="s">
        <v>5158</v>
      </c>
    </row>
    <row r="3760" spans="1:6" x14ac:dyDescent="0.25">
      <c r="A3760" t="str">
        <f>"250306676820"</f>
        <v>250306676820</v>
      </c>
      <c r="B3760" t="s">
        <v>5180</v>
      </c>
      <c r="C3760" t="s">
        <v>7</v>
      </c>
      <c r="D3760" t="s">
        <v>14</v>
      </c>
      <c r="E3760" t="s">
        <v>5158</v>
      </c>
    </row>
    <row r="3761" spans="1:6" x14ac:dyDescent="0.25">
      <c r="A3761" t="str">
        <f>"250362175778"</f>
        <v>250362175778</v>
      </c>
      <c r="B3761" t="s">
        <v>5181</v>
      </c>
      <c r="C3761" t="s">
        <v>7</v>
      </c>
      <c r="D3761" t="s">
        <v>14</v>
      </c>
      <c r="E3761" t="s">
        <v>5158</v>
      </c>
    </row>
    <row r="3762" spans="1:6" x14ac:dyDescent="0.25">
      <c r="A3762" t="str">
        <f>"250500344166"</f>
        <v>250500344166</v>
      </c>
      <c r="B3762" t="s">
        <v>5182</v>
      </c>
      <c r="C3762" t="s">
        <v>7</v>
      </c>
      <c r="D3762" t="s">
        <v>14</v>
      </c>
      <c r="E3762" t="s">
        <v>5158</v>
      </c>
    </row>
    <row r="3763" spans="1:6" x14ac:dyDescent="0.25">
      <c r="A3763" t="str">
        <f>"250550648307"</f>
        <v>250550648307</v>
      </c>
      <c r="B3763" t="s">
        <v>5183</v>
      </c>
      <c r="C3763" t="s">
        <v>7</v>
      </c>
      <c r="D3763" t="s">
        <v>14</v>
      </c>
      <c r="E3763" t="s">
        <v>5158</v>
      </c>
    </row>
    <row r="3764" spans="1:6" x14ac:dyDescent="0.25">
      <c r="A3764" t="str">
        <f>"250550656266"</f>
        <v>250550656266</v>
      </c>
      <c r="B3764" t="s">
        <v>5184</v>
      </c>
      <c r="C3764" t="s">
        <v>7</v>
      </c>
      <c r="D3764" t="s">
        <v>14</v>
      </c>
      <c r="E3764" t="s">
        <v>5158</v>
      </c>
    </row>
    <row r="3765" spans="1:6" x14ac:dyDescent="0.25">
      <c r="A3765" t="str">
        <f>"250600031505"</f>
        <v>250600031505</v>
      </c>
      <c r="B3765" t="s">
        <v>5185</v>
      </c>
      <c r="C3765" t="s">
        <v>7</v>
      </c>
      <c r="D3765" t="s">
        <v>14</v>
      </c>
      <c r="E3765" t="s">
        <v>5158</v>
      </c>
    </row>
    <row r="3766" spans="1:6" x14ac:dyDescent="0.25">
      <c r="A3766" t="str">
        <f>"250104991402"</f>
        <v>250104991402</v>
      </c>
      <c r="B3766" t="s">
        <v>5186</v>
      </c>
      <c r="C3766" t="s">
        <v>7</v>
      </c>
      <c r="D3766" t="s">
        <v>674</v>
      </c>
      <c r="E3766" t="s">
        <v>5158</v>
      </c>
    </row>
    <row r="3767" spans="1:6" x14ac:dyDescent="0.25">
      <c r="A3767" t="str">
        <f>"250200631843"</f>
        <v>250200631843</v>
      </c>
      <c r="B3767" t="s">
        <v>5187</v>
      </c>
      <c r="C3767" t="s">
        <v>7</v>
      </c>
      <c r="D3767" t="s">
        <v>14</v>
      </c>
      <c r="E3767" t="s">
        <v>5158</v>
      </c>
    </row>
    <row r="3768" spans="1:6" x14ac:dyDescent="0.25">
      <c r="A3768" t="str">
        <f>"250202451772"</f>
        <v>250202451772</v>
      </c>
      <c r="B3768" t="s">
        <v>5188</v>
      </c>
      <c r="C3768" t="s">
        <v>7</v>
      </c>
      <c r="D3768" t="s">
        <v>14</v>
      </c>
      <c r="E3768" t="s">
        <v>5158</v>
      </c>
    </row>
    <row r="3769" spans="1:6" x14ac:dyDescent="0.25">
      <c r="A3769" t="str">
        <f>"2502033483"</f>
        <v>2502033483</v>
      </c>
      <c r="B3769" t="s">
        <v>5189</v>
      </c>
      <c r="C3769" t="s">
        <v>7</v>
      </c>
      <c r="D3769" t="s">
        <v>12</v>
      </c>
      <c r="E3769" t="s">
        <v>5158</v>
      </c>
      <c r="F3769" t="s">
        <v>5190</v>
      </c>
    </row>
    <row r="3770" spans="1:6" x14ac:dyDescent="0.25">
      <c r="A3770" t="str">
        <f>"2502034889"</f>
        <v>2502034889</v>
      </c>
      <c r="B3770" t="s">
        <v>604</v>
      </c>
      <c r="C3770" t="s">
        <v>7</v>
      </c>
      <c r="D3770" t="s">
        <v>33</v>
      </c>
      <c r="E3770" t="s">
        <v>5158</v>
      </c>
      <c r="F3770" t="s">
        <v>5191</v>
      </c>
    </row>
    <row r="3771" spans="1:6" x14ac:dyDescent="0.25">
      <c r="A3771" t="str">
        <f>"2502056748"</f>
        <v>2502056748</v>
      </c>
      <c r="B3771" t="s">
        <v>5192</v>
      </c>
      <c r="C3771" t="s">
        <v>7</v>
      </c>
      <c r="D3771" t="s">
        <v>33</v>
      </c>
      <c r="E3771" t="s">
        <v>5158</v>
      </c>
      <c r="F3771" t="s">
        <v>5193</v>
      </c>
    </row>
    <row r="3772" spans="1:6" x14ac:dyDescent="0.25">
      <c r="A3772" t="str">
        <f>"2502074049"</f>
        <v>2502074049</v>
      </c>
      <c r="B3772" t="s">
        <v>5194</v>
      </c>
      <c r="C3772" t="s">
        <v>7</v>
      </c>
      <c r="D3772" t="s">
        <v>12</v>
      </c>
      <c r="E3772" t="s">
        <v>5158</v>
      </c>
      <c r="F3772" t="s">
        <v>5195</v>
      </c>
    </row>
    <row r="3773" spans="1:6" x14ac:dyDescent="0.25">
      <c r="A3773" t="str">
        <f>"2502079030"</f>
        <v>2502079030</v>
      </c>
      <c r="B3773" t="s">
        <v>5196</v>
      </c>
      <c r="C3773" t="s">
        <v>7</v>
      </c>
      <c r="D3773" t="s">
        <v>189</v>
      </c>
      <c r="E3773" t="s">
        <v>5158</v>
      </c>
      <c r="F3773" t="s">
        <v>5197</v>
      </c>
    </row>
    <row r="3774" spans="1:6" x14ac:dyDescent="0.25">
      <c r="A3774" t="str">
        <f>"250212119358"</f>
        <v>250212119358</v>
      </c>
      <c r="B3774" t="s">
        <v>5198</v>
      </c>
      <c r="C3774" t="s">
        <v>7</v>
      </c>
      <c r="D3774" t="s">
        <v>14</v>
      </c>
      <c r="E3774" t="s">
        <v>5158</v>
      </c>
    </row>
    <row r="3775" spans="1:6" x14ac:dyDescent="0.25">
      <c r="A3775" t="str">
        <f>"2503037522"</f>
        <v>2503037522</v>
      </c>
      <c r="B3775" t="s">
        <v>5199</v>
      </c>
      <c r="C3775" t="s">
        <v>7</v>
      </c>
      <c r="D3775" t="s">
        <v>12</v>
      </c>
      <c r="E3775" t="s">
        <v>5158</v>
      </c>
      <c r="F3775" t="s">
        <v>5200</v>
      </c>
    </row>
    <row r="3776" spans="1:6" x14ac:dyDescent="0.25">
      <c r="A3776" t="str">
        <f>"250306442902"</f>
        <v>250306442902</v>
      </c>
      <c r="B3776" t="s">
        <v>5201</v>
      </c>
      <c r="C3776" t="s">
        <v>7</v>
      </c>
      <c r="D3776" t="s">
        <v>14</v>
      </c>
      <c r="E3776" t="s">
        <v>5158</v>
      </c>
    </row>
    <row r="3777" spans="1:6" x14ac:dyDescent="0.25">
      <c r="A3777" t="str">
        <f>"250306689681"</f>
        <v>250306689681</v>
      </c>
      <c r="B3777" t="s">
        <v>5202</v>
      </c>
      <c r="C3777" t="s">
        <v>7</v>
      </c>
      <c r="D3777" t="s">
        <v>14</v>
      </c>
      <c r="E3777" t="s">
        <v>5158</v>
      </c>
    </row>
    <row r="3778" spans="1:6" x14ac:dyDescent="0.25">
      <c r="A3778" t="str">
        <f>"250306774584"</f>
        <v>250306774584</v>
      </c>
      <c r="B3778" t="s">
        <v>5203</v>
      </c>
      <c r="C3778" t="s">
        <v>7</v>
      </c>
      <c r="D3778" t="s">
        <v>14</v>
      </c>
      <c r="E3778" t="s">
        <v>5158</v>
      </c>
    </row>
    <row r="3779" spans="1:6" x14ac:dyDescent="0.25">
      <c r="A3779" t="str">
        <f>"250500552470"</f>
        <v>250500552470</v>
      </c>
      <c r="B3779" t="s">
        <v>5204</v>
      </c>
      <c r="C3779" t="s">
        <v>7</v>
      </c>
      <c r="D3779" t="s">
        <v>14</v>
      </c>
      <c r="E3779" t="s">
        <v>5158</v>
      </c>
    </row>
    <row r="3780" spans="1:6" x14ac:dyDescent="0.25">
      <c r="A3780" t="str">
        <f>"2505015147"</f>
        <v>2505015147</v>
      </c>
      <c r="B3780" t="s">
        <v>5205</v>
      </c>
      <c r="C3780" t="s">
        <v>7</v>
      </c>
      <c r="D3780" t="s">
        <v>33</v>
      </c>
      <c r="E3780" t="s">
        <v>5158</v>
      </c>
      <c r="F3780" t="s">
        <v>5206</v>
      </c>
    </row>
    <row r="3781" spans="1:6" x14ac:dyDescent="0.25">
      <c r="A3781" t="str">
        <f>"250800697444"</f>
        <v>250800697444</v>
      </c>
      <c r="B3781" t="s">
        <v>5207</v>
      </c>
      <c r="C3781" t="s">
        <v>7</v>
      </c>
      <c r="D3781" t="s">
        <v>14</v>
      </c>
      <c r="E3781" t="s">
        <v>5158</v>
      </c>
    </row>
    <row r="3782" spans="1:6" x14ac:dyDescent="0.25">
      <c r="A3782" t="str">
        <f>"250800743429"</f>
        <v>250800743429</v>
      </c>
      <c r="B3782" t="s">
        <v>5208</v>
      </c>
      <c r="C3782" t="s">
        <v>7</v>
      </c>
      <c r="D3782" t="s">
        <v>14</v>
      </c>
      <c r="E3782" t="s">
        <v>5158</v>
      </c>
    </row>
    <row r="3783" spans="1:6" x14ac:dyDescent="0.25">
      <c r="A3783" t="str">
        <f>"250801684889"</f>
        <v>250801684889</v>
      </c>
      <c r="B3783" t="s">
        <v>5209</v>
      </c>
      <c r="C3783" t="s">
        <v>7</v>
      </c>
      <c r="D3783" t="s">
        <v>14</v>
      </c>
      <c r="E3783" t="s">
        <v>5158</v>
      </c>
    </row>
    <row r="3784" spans="1:6" x14ac:dyDescent="0.25">
      <c r="A3784" t="str">
        <f>"250805922887"</f>
        <v>250805922887</v>
      </c>
      <c r="B3784" t="s">
        <v>5210</v>
      </c>
      <c r="C3784" t="s">
        <v>7</v>
      </c>
      <c r="D3784" t="s">
        <v>12</v>
      </c>
      <c r="E3784" t="s">
        <v>5158</v>
      </c>
    </row>
    <row r="3785" spans="1:6" x14ac:dyDescent="0.25">
      <c r="A3785" t="str">
        <f>"250812616270"</f>
        <v>250812616270</v>
      </c>
      <c r="B3785" t="s">
        <v>5211</v>
      </c>
      <c r="C3785" t="s">
        <v>7</v>
      </c>
      <c r="D3785" t="s">
        <v>189</v>
      </c>
      <c r="E3785" t="s">
        <v>5158</v>
      </c>
    </row>
    <row r="3786" spans="1:6" x14ac:dyDescent="0.25">
      <c r="A3786" t="str">
        <f>"2508132240"</f>
        <v>2508132240</v>
      </c>
      <c r="B3786" t="s">
        <v>5212</v>
      </c>
      <c r="C3786" t="s">
        <v>7</v>
      </c>
      <c r="D3786" t="s">
        <v>33</v>
      </c>
      <c r="E3786" t="s">
        <v>5158</v>
      </c>
      <c r="F3786" t="s">
        <v>5213</v>
      </c>
    </row>
    <row r="3787" spans="1:6" x14ac:dyDescent="0.25">
      <c r="A3787" t="str">
        <f>"2508133212"</f>
        <v>2508133212</v>
      </c>
      <c r="B3787" t="s">
        <v>5214</v>
      </c>
      <c r="C3787" t="s">
        <v>7</v>
      </c>
      <c r="D3787" t="s">
        <v>189</v>
      </c>
      <c r="E3787" t="s">
        <v>5158</v>
      </c>
      <c r="F3787" t="s">
        <v>5215</v>
      </c>
    </row>
    <row r="3788" spans="1:6" x14ac:dyDescent="0.25">
      <c r="A3788" t="str">
        <f>"2508141929"</f>
        <v>2508141929</v>
      </c>
      <c r="B3788" t="s">
        <v>5216</v>
      </c>
      <c r="C3788" t="s">
        <v>7</v>
      </c>
      <c r="D3788" t="s">
        <v>189</v>
      </c>
      <c r="E3788" t="s">
        <v>5158</v>
      </c>
      <c r="F3788" t="s">
        <v>5217</v>
      </c>
    </row>
    <row r="3789" spans="1:6" x14ac:dyDescent="0.25">
      <c r="A3789" t="str">
        <f>"250814598997"</f>
        <v>250814598997</v>
      </c>
      <c r="B3789" t="s">
        <v>5218</v>
      </c>
      <c r="C3789" t="s">
        <v>7</v>
      </c>
      <c r="D3789" t="s">
        <v>14</v>
      </c>
      <c r="E3789" t="s">
        <v>5158</v>
      </c>
    </row>
    <row r="3790" spans="1:6" x14ac:dyDescent="0.25">
      <c r="A3790" t="str">
        <f>"250901129504"</f>
        <v>250901129504</v>
      </c>
      <c r="B3790" t="s">
        <v>5219</v>
      </c>
      <c r="C3790" t="s">
        <v>7</v>
      </c>
      <c r="D3790" t="s">
        <v>14</v>
      </c>
      <c r="E3790" t="s">
        <v>5158</v>
      </c>
    </row>
    <row r="3791" spans="1:6" x14ac:dyDescent="0.25">
      <c r="A3791" t="str">
        <f>"251000167432"</f>
        <v>251000167432</v>
      </c>
      <c r="B3791" t="s">
        <v>5220</v>
      </c>
      <c r="C3791" t="s">
        <v>7</v>
      </c>
      <c r="D3791" t="s">
        <v>14</v>
      </c>
      <c r="E3791" t="s">
        <v>5158</v>
      </c>
    </row>
    <row r="3792" spans="1:6" x14ac:dyDescent="0.25">
      <c r="A3792" t="str">
        <f>"251009776661"</f>
        <v>251009776661</v>
      </c>
      <c r="B3792" t="s">
        <v>5221</v>
      </c>
      <c r="C3792" t="s">
        <v>7</v>
      </c>
      <c r="D3792" t="s">
        <v>14</v>
      </c>
      <c r="E3792" t="s">
        <v>5158</v>
      </c>
    </row>
    <row r="3793" spans="1:6" x14ac:dyDescent="0.25">
      <c r="A3793" t="str">
        <f>"251100107194"</f>
        <v>251100107194</v>
      </c>
      <c r="B3793" t="s">
        <v>5222</v>
      </c>
      <c r="C3793" t="s">
        <v>7</v>
      </c>
      <c r="D3793" t="s">
        <v>12</v>
      </c>
      <c r="E3793" t="s">
        <v>5158</v>
      </c>
    </row>
    <row r="3794" spans="1:6" x14ac:dyDescent="0.25">
      <c r="A3794" t="str">
        <f>"251100476064"</f>
        <v>251100476064</v>
      </c>
      <c r="B3794" t="s">
        <v>5223</v>
      </c>
      <c r="C3794" t="s">
        <v>7</v>
      </c>
      <c r="D3794" t="s">
        <v>14</v>
      </c>
      <c r="E3794" t="s">
        <v>5158</v>
      </c>
    </row>
    <row r="3795" spans="1:6" x14ac:dyDescent="0.25">
      <c r="A3795" t="str">
        <f>"2511010429"</f>
        <v>2511010429</v>
      </c>
      <c r="B3795" t="s">
        <v>5224</v>
      </c>
      <c r="C3795" t="s">
        <v>7</v>
      </c>
      <c r="D3795" t="s">
        <v>14</v>
      </c>
      <c r="E3795" t="s">
        <v>5158</v>
      </c>
      <c r="F3795" t="s">
        <v>5225</v>
      </c>
    </row>
    <row r="3796" spans="1:6" x14ac:dyDescent="0.25">
      <c r="A3796" t="str">
        <f>"251102294768"</f>
        <v>251102294768</v>
      </c>
      <c r="B3796" t="s">
        <v>5226</v>
      </c>
      <c r="C3796" t="s">
        <v>7</v>
      </c>
      <c r="D3796" t="s">
        <v>14</v>
      </c>
      <c r="E3796" t="s">
        <v>5158</v>
      </c>
    </row>
    <row r="3797" spans="1:6" x14ac:dyDescent="0.25">
      <c r="A3797" t="str">
        <f>"2511044682"</f>
        <v>2511044682</v>
      </c>
      <c r="B3797" t="s">
        <v>5227</v>
      </c>
      <c r="C3797" t="s">
        <v>7</v>
      </c>
      <c r="D3797" t="s">
        <v>14</v>
      </c>
      <c r="E3797" t="s">
        <v>5158</v>
      </c>
      <c r="F3797" t="s">
        <v>5228</v>
      </c>
    </row>
    <row r="3798" spans="1:6" x14ac:dyDescent="0.25">
      <c r="A3798" t="str">
        <f>"251109533366"</f>
        <v>251109533366</v>
      </c>
      <c r="B3798" t="s">
        <v>5229</v>
      </c>
      <c r="C3798" t="s">
        <v>7</v>
      </c>
      <c r="D3798" t="s">
        <v>14</v>
      </c>
      <c r="E3798" t="s">
        <v>5158</v>
      </c>
    </row>
    <row r="3799" spans="1:6" x14ac:dyDescent="0.25">
      <c r="A3799" t="str">
        <f>"2511096296"</f>
        <v>2511096296</v>
      </c>
      <c r="B3799" t="s">
        <v>5230</v>
      </c>
      <c r="C3799" t="s">
        <v>7</v>
      </c>
      <c r="D3799" t="s">
        <v>12</v>
      </c>
      <c r="E3799" t="s">
        <v>5158</v>
      </c>
      <c r="F3799" t="s">
        <v>5231</v>
      </c>
    </row>
    <row r="3800" spans="1:6" x14ac:dyDescent="0.25">
      <c r="A3800" t="str">
        <f>"2511096835"</f>
        <v>2511096835</v>
      </c>
      <c r="B3800" t="s">
        <v>5232</v>
      </c>
      <c r="C3800" t="s">
        <v>7</v>
      </c>
      <c r="D3800" t="s">
        <v>12</v>
      </c>
      <c r="E3800" t="s">
        <v>5158</v>
      </c>
      <c r="F3800" t="s">
        <v>5233</v>
      </c>
    </row>
    <row r="3801" spans="1:6" x14ac:dyDescent="0.25">
      <c r="A3801" t="str">
        <f>"2511100792"</f>
        <v>2511100792</v>
      </c>
      <c r="B3801" t="s">
        <v>5234</v>
      </c>
      <c r="C3801" t="s">
        <v>7</v>
      </c>
      <c r="D3801" t="s">
        <v>12</v>
      </c>
      <c r="E3801" t="s">
        <v>5158</v>
      </c>
      <c r="F3801" t="s">
        <v>5235</v>
      </c>
    </row>
    <row r="3802" spans="1:6" x14ac:dyDescent="0.25">
      <c r="A3802" t="str">
        <f>"2511121626"</f>
        <v>2511121626</v>
      </c>
      <c r="B3802" t="s">
        <v>5236</v>
      </c>
      <c r="C3802" t="s">
        <v>7</v>
      </c>
      <c r="D3802" t="s">
        <v>189</v>
      </c>
      <c r="E3802" t="s">
        <v>5158</v>
      </c>
      <c r="F3802" t="s">
        <v>5237</v>
      </c>
    </row>
    <row r="3803" spans="1:6" x14ac:dyDescent="0.25">
      <c r="A3803" t="str">
        <f>"2511122122"</f>
        <v>2511122122</v>
      </c>
      <c r="B3803" t="s">
        <v>5238</v>
      </c>
      <c r="C3803" t="s">
        <v>7</v>
      </c>
      <c r="D3803" t="s">
        <v>189</v>
      </c>
      <c r="E3803" t="s">
        <v>5158</v>
      </c>
      <c r="F3803" t="s">
        <v>5239</v>
      </c>
    </row>
    <row r="3804" spans="1:6" x14ac:dyDescent="0.25">
      <c r="A3804" t="str">
        <f>"251202073120"</f>
        <v>251202073120</v>
      </c>
      <c r="B3804" t="s">
        <v>5240</v>
      </c>
      <c r="C3804" t="s">
        <v>7</v>
      </c>
      <c r="D3804" t="s">
        <v>14</v>
      </c>
      <c r="E3804" t="s">
        <v>5158</v>
      </c>
    </row>
    <row r="3805" spans="1:6" x14ac:dyDescent="0.25">
      <c r="A3805" t="str">
        <f>"251400002812"</f>
        <v>251400002812</v>
      </c>
      <c r="B3805" t="s">
        <v>5241</v>
      </c>
      <c r="C3805" t="s">
        <v>7</v>
      </c>
      <c r="D3805" t="s">
        <v>14</v>
      </c>
      <c r="E3805" t="s">
        <v>5158</v>
      </c>
    </row>
    <row r="3806" spans="1:6" x14ac:dyDescent="0.25">
      <c r="A3806" t="str">
        <f>"251500602267"</f>
        <v>251500602267</v>
      </c>
      <c r="B3806" t="s">
        <v>5242</v>
      </c>
      <c r="C3806" t="s">
        <v>7</v>
      </c>
      <c r="D3806" t="s">
        <v>14</v>
      </c>
      <c r="E3806" t="s">
        <v>5158</v>
      </c>
    </row>
    <row r="3807" spans="1:6" x14ac:dyDescent="0.25">
      <c r="A3807" t="str">
        <f>"251502607542"</f>
        <v>251502607542</v>
      </c>
      <c r="B3807" t="s">
        <v>5243</v>
      </c>
      <c r="C3807" t="s">
        <v>7</v>
      </c>
      <c r="D3807" t="s">
        <v>14</v>
      </c>
      <c r="E3807" t="s">
        <v>5158</v>
      </c>
    </row>
    <row r="3808" spans="1:6" x14ac:dyDescent="0.25">
      <c r="A3808" t="str">
        <f>"251502778788"</f>
        <v>251502778788</v>
      </c>
      <c r="B3808" t="s">
        <v>5244</v>
      </c>
      <c r="C3808" t="s">
        <v>7</v>
      </c>
      <c r="D3808" t="s">
        <v>14</v>
      </c>
      <c r="E3808" t="s">
        <v>5158</v>
      </c>
    </row>
    <row r="3809" spans="1:6" x14ac:dyDescent="0.25">
      <c r="A3809" t="str">
        <f>"251502892956"</f>
        <v>251502892956</v>
      </c>
      <c r="B3809" t="s">
        <v>5245</v>
      </c>
      <c r="C3809" t="s">
        <v>7</v>
      </c>
      <c r="D3809" t="s">
        <v>12</v>
      </c>
      <c r="E3809" t="s">
        <v>5158</v>
      </c>
    </row>
    <row r="3810" spans="1:6" x14ac:dyDescent="0.25">
      <c r="A3810" t="str">
        <f>"251700035086"</f>
        <v>251700035086</v>
      </c>
      <c r="B3810" t="s">
        <v>5246</v>
      </c>
      <c r="C3810" t="s">
        <v>7</v>
      </c>
      <c r="D3810" t="s">
        <v>14</v>
      </c>
      <c r="E3810" t="s">
        <v>5158</v>
      </c>
    </row>
    <row r="3811" spans="1:6" x14ac:dyDescent="0.25">
      <c r="A3811" t="str">
        <f>"251701780968"</f>
        <v>251701780968</v>
      </c>
      <c r="B3811" t="s">
        <v>5247</v>
      </c>
      <c r="C3811" t="s">
        <v>7</v>
      </c>
      <c r="D3811" t="s">
        <v>14</v>
      </c>
      <c r="E3811" t="s">
        <v>5158</v>
      </c>
    </row>
    <row r="3812" spans="1:6" x14ac:dyDescent="0.25">
      <c r="A3812" t="str">
        <f>"252102228510"</f>
        <v>252102228510</v>
      </c>
      <c r="B3812" t="s">
        <v>5248</v>
      </c>
      <c r="C3812" t="s">
        <v>7</v>
      </c>
      <c r="D3812" t="s">
        <v>14</v>
      </c>
      <c r="E3812" t="s">
        <v>5158</v>
      </c>
    </row>
    <row r="3813" spans="1:6" x14ac:dyDescent="0.25">
      <c r="A3813" t="str">
        <f>"252103649373"</f>
        <v>252103649373</v>
      </c>
      <c r="B3813" t="s">
        <v>5249</v>
      </c>
      <c r="C3813" t="s">
        <v>7</v>
      </c>
      <c r="D3813" t="s">
        <v>14</v>
      </c>
      <c r="E3813" t="s">
        <v>5158</v>
      </c>
    </row>
    <row r="3814" spans="1:6" x14ac:dyDescent="0.25">
      <c r="A3814" t="str">
        <f>"252200844179"</f>
        <v>252200844179</v>
      </c>
      <c r="B3814" t="s">
        <v>5250</v>
      </c>
      <c r="C3814" t="s">
        <v>7</v>
      </c>
      <c r="D3814" t="s">
        <v>14</v>
      </c>
      <c r="E3814" t="s">
        <v>5158</v>
      </c>
    </row>
    <row r="3815" spans="1:6" x14ac:dyDescent="0.25">
      <c r="A3815" t="str">
        <f>"252202451423"</f>
        <v>252202451423</v>
      </c>
      <c r="B3815" t="s">
        <v>5251</v>
      </c>
      <c r="C3815" t="s">
        <v>7</v>
      </c>
      <c r="D3815" t="s">
        <v>14</v>
      </c>
      <c r="E3815" t="s">
        <v>5158</v>
      </c>
    </row>
    <row r="3816" spans="1:6" x14ac:dyDescent="0.25">
      <c r="A3816" t="str">
        <f>"252500846547"</f>
        <v>252500846547</v>
      </c>
      <c r="B3816" t="s">
        <v>5252</v>
      </c>
      <c r="C3816" t="s">
        <v>7</v>
      </c>
      <c r="D3816" t="s">
        <v>14</v>
      </c>
      <c r="E3816" t="s">
        <v>5158</v>
      </c>
    </row>
    <row r="3817" spans="1:6" x14ac:dyDescent="0.25">
      <c r="A3817" t="str">
        <f>"252501746753"</f>
        <v>252501746753</v>
      </c>
      <c r="B3817" t="s">
        <v>5253</v>
      </c>
      <c r="C3817" t="s">
        <v>7</v>
      </c>
      <c r="D3817" t="s">
        <v>14</v>
      </c>
      <c r="E3817" t="s">
        <v>5158</v>
      </c>
    </row>
    <row r="3818" spans="1:6" x14ac:dyDescent="0.25">
      <c r="A3818" t="str">
        <f>"252533331470"</f>
        <v>252533331470</v>
      </c>
      <c r="B3818" t="s">
        <v>5254</v>
      </c>
      <c r="C3818" t="s">
        <v>7</v>
      </c>
      <c r="D3818" t="s">
        <v>14</v>
      </c>
      <c r="E3818" t="s">
        <v>5158</v>
      </c>
    </row>
    <row r="3819" spans="1:6" x14ac:dyDescent="0.25">
      <c r="A3819" t="str">
        <f>"250610679359"</f>
        <v>250610679359</v>
      </c>
      <c r="B3819" t="s">
        <v>5255</v>
      </c>
      <c r="C3819" t="s">
        <v>7</v>
      </c>
      <c r="D3819" t="s">
        <v>14</v>
      </c>
      <c r="E3819" t="s">
        <v>5158</v>
      </c>
    </row>
    <row r="3820" spans="1:6" x14ac:dyDescent="0.25">
      <c r="A3820" t="str">
        <f>"250702228349"</f>
        <v>250702228349</v>
      </c>
      <c r="B3820" t="s">
        <v>5256</v>
      </c>
      <c r="C3820" t="s">
        <v>7</v>
      </c>
      <c r="D3820" t="s">
        <v>14</v>
      </c>
      <c r="E3820" t="s">
        <v>5158</v>
      </c>
    </row>
    <row r="3821" spans="1:6" x14ac:dyDescent="0.25">
      <c r="A3821" t="str">
        <f>"250703486825"</f>
        <v>250703486825</v>
      </c>
      <c r="B3821" t="s">
        <v>5257</v>
      </c>
      <c r="C3821" t="s">
        <v>7</v>
      </c>
      <c r="D3821" t="s">
        <v>14</v>
      </c>
      <c r="E3821" t="s">
        <v>5158</v>
      </c>
    </row>
    <row r="3822" spans="1:6" x14ac:dyDescent="0.25">
      <c r="A3822" t="str">
        <f>"250800167503"</f>
        <v>250800167503</v>
      </c>
      <c r="B3822" t="s">
        <v>5258</v>
      </c>
      <c r="C3822" t="s">
        <v>7</v>
      </c>
      <c r="D3822" t="s">
        <v>14</v>
      </c>
      <c r="E3822" t="s">
        <v>5158</v>
      </c>
    </row>
    <row r="3823" spans="1:6" x14ac:dyDescent="0.25">
      <c r="A3823" t="str">
        <f>"2508053870"</f>
        <v>2508053870</v>
      </c>
      <c r="B3823" t="s">
        <v>5259</v>
      </c>
      <c r="C3823" t="s">
        <v>7</v>
      </c>
      <c r="D3823" t="s">
        <v>12</v>
      </c>
      <c r="E3823" t="s">
        <v>5158</v>
      </c>
      <c r="F3823" t="s">
        <v>5260</v>
      </c>
    </row>
    <row r="3824" spans="1:6" x14ac:dyDescent="0.25">
      <c r="A3824" t="str">
        <f>"2508097028"</f>
        <v>2508097028</v>
      </c>
      <c r="B3824" t="s">
        <v>5261</v>
      </c>
      <c r="C3824" t="s">
        <v>7</v>
      </c>
      <c r="D3824" t="s">
        <v>463</v>
      </c>
      <c r="E3824" t="s">
        <v>5158</v>
      </c>
      <c r="F3824" t="s">
        <v>5262</v>
      </c>
    </row>
    <row r="3825" spans="1:6" x14ac:dyDescent="0.25">
      <c r="A3825" t="str">
        <f>"2508099353"</f>
        <v>2508099353</v>
      </c>
      <c r="B3825" t="s">
        <v>5263</v>
      </c>
      <c r="C3825" t="s">
        <v>7</v>
      </c>
      <c r="D3825" t="s">
        <v>189</v>
      </c>
      <c r="E3825" t="s">
        <v>5158</v>
      </c>
      <c r="F3825" t="s">
        <v>5264</v>
      </c>
    </row>
    <row r="3826" spans="1:6" x14ac:dyDescent="0.25">
      <c r="A3826" t="str">
        <f>"2508119056"</f>
        <v>2508119056</v>
      </c>
      <c r="B3826" t="s">
        <v>5265</v>
      </c>
      <c r="C3826" t="s">
        <v>7</v>
      </c>
      <c r="D3826" t="s">
        <v>33</v>
      </c>
      <c r="E3826" t="s">
        <v>5158</v>
      </c>
      <c r="F3826" t="s">
        <v>5266</v>
      </c>
    </row>
    <row r="3827" spans="1:6" x14ac:dyDescent="0.25">
      <c r="A3827" t="str">
        <f>"2508140749"</f>
        <v>2508140749</v>
      </c>
      <c r="B3827" t="s">
        <v>5267</v>
      </c>
      <c r="C3827" t="s">
        <v>7</v>
      </c>
      <c r="D3827" t="s">
        <v>674</v>
      </c>
      <c r="E3827" t="s">
        <v>5158</v>
      </c>
      <c r="F3827" t="s">
        <v>5268</v>
      </c>
    </row>
    <row r="3828" spans="1:6" x14ac:dyDescent="0.25">
      <c r="A3828" t="str">
        <f>"2508141118"</f>
        <v>2508141118</v>
      </c>
      <c r="B3828" t="s">
        <v>5269</v>
      </c>
      <c r="C3828" t="s">
        <v>7</v>
      </c>
      <c r="D3828" t="s">
        <v>189</v>
      </c>
      <c r="E3828" t="s">
        <v>5158</v>
      </c>
      <c r="F3828" t="s">
        <v>5270</v>
      </c>
    </row>
    <row r="3829" spans="1:6" x14ac:dyDescent="0.25">
      <c r="A3829" t="str">
        <f>"2508151885"</f>
        <v>2508151885</v>
      </c>
      <c r="B3829" t="s">
        <v>5271</v>
      </c>
      <c r="C3829" t="s">
        <v>7</v>
      </c>
      <c r="D3829" t="s">
        <v>189</v>
      </c>
      <c r="E3829" t="s">
        <v>5158</v>
      </c>
      <c r="F3829" t="s">
        <v>5272</v>
      </c>
    </row>
    <row r="3830" spans="1:6" x14ac:dyDescent="0.25">
      <c r="A3830" t="str">
        <f>"250818431100"</f>
        <v>250818431100</v>
      </c>
      <c r="B3830" t="s">
        <v>5273</v>
      </c>
      <c r="C3830" t="s">
        <v>7</v>
      </c>
      <c r="D3830" t="s">
        <v>14</v>
      </c>
      <c r="E3830" t="s">
        <v>5158</v>
      </c>
    </row>
    <row r="3831" spans="1:6" x14ac:dyDescent="0.25">
      <c r="A3831" t="str">
        <f>"250819095620"</f>
        <v>250819095620</v>
      </c>
      <c r="B3831" t="s">
        <v>5274</v>
      </c>
      <c r="C3831" t="s">
        <v>7</v>
      </c>
      <c r="D3831" t="s">
        <v>14</v>
      </c>
      <c r="E3831" t="s">
        <v>5158</v>
      </c>
    </row>
    <row r="3832" spans="1:6" x14ac:dyDescent="0.25">
      <c r="A3832" t="str">
        <f>"250905451991"</f>
        <v>250905451991</v>
      </c>
      <c r="B3832" t="s">
        <v>5275</v>
      </c>
      <c r="C3832" t="s">
        <v>7</v>
      </c>
      <c r="D3832" t="s">
        <v>14</v>
      </c>
      <c r="E3832" t="s">
        <v>5158</v>
      </c>
    </row>
    <row r="3833" spans="1:6" x14ac:dyDescent="0.25">
      <c r="A3833" t="str">
        <f>"251001409660"</f>
        <v>251001409660</v>
      </c>
      <c r="B3833" t="s">
        <v>5276</v>
      </c>
      <c r="C3833" t="s">
        <v>7</v>
      </c>
      <c r="D3833" t="s">
        <v>14</v>
      </c>
      <c r="E3833" t="s">
        <v>5158</v>
      </c>
    </row>
    <row r="3834" spans="1:6" x14ac:dyDescent="0.25">
      <c r="A3834" t="str">
        <f>"2511068316"</f>
        <v>2511068316</v>
      </c>
      <c r="B3834" t="s">
        <v>5277</v>
      </c>
      <c r="C3834" t="s">
        <v>7</v>
      </c>
      <c r="D3834" t="s">
        <v>14</v>
      </c>
      <c r="E3834" t="s">
        <v>5158</v>
      </c>
      <c r="F3834" t="s">
        <v>5278</v>
      </c>
    </row>
    <row r="3835" spans="1:6" x14ac:dyDescent="0.25">
      <c r="A3835" t="str">
        <f>"2511088055"</f>
        <v>2511088055</v>
      </c>
      <c r="B3835" t="s">
        <v>5279</v>
      </c>
      <c r="C3835" t="s">
        <v>7</v>
      </c>
      <c r="D3835" t="s">
        <v>12</v>
      </c>
      <c r="E3835" t="s">
        <v>5158</v>
      </c>
      <c r="F3835" t="s">
        <v>5280</v>
      </c>
    </row>
    <row r="3836" spans="1:6" x14ac:dyDescent="0.25">
      <c r="A3836" t="str">
        <f>"251109025002"</f>
        <v>251109025002</v>
      </c>
      <c r="B3836" t="s">
        <v>5281</v>
      </c>
      <c r="C3836" t="s">
        <v>7</v>
      </c>
      <c r="D3836" t="s">
        <v>12</v>
      </c>
      <c r="E3836" t="s">
        <v>5158</v>
      </c>
    </row>
    <row r="3837" spans="1:6" x14ac:dyDescent="0.25">
      <c r="A3837" t="str">
        <f>"2511127441"</f>
        <v>2511127441</v>
      </c>
      <c r="B3837" t="s">
        <v>5282</v>
      </c>
      <c r="C3837" t="s">
        <v>7</v>
      </c>
      <c r="D3837" t="s">
        <v>674</v>
      </c>
      <c r="E3837" t="s">
        <v>5158</v>
      </c>
      <c r="F3837" t="s">
        <v>5283</v>
      </c>
    </row>
    <row r="3838" spans="1:6" x14ac:dyDescent="0.25">
      <c r="A3838" t="str">
        <f>"2511130317"</f>
        <v>2511130317</v>
      </c>
      <c r="B3838" t="s">
        <v>5284</v>
      </c>
      <c r="C3838" t="s">
        <v>7</v>
      </c>
      <c r="D3838" t="s">
        <v>28</v>
      </c>
      <c r="E3838" t="s">
        <v>5158</v>
      </c>
      <c r="F3838" t="s">
        <v>5285</v>
      </c>
    </row>
    <row r="3839" spans="1:6" x14ac:dyDescent="0.25">
      <c r="A3839" t="str">
        <f>"251133265735"</f>
        <v>251133265735</v>
      </c>
      <c r="B3839" t="s">
        <v>5286</v>
      </c>
      <c r="C3839" t="s">
        <v>7</v>
      </c>
      <c r="D3839" t="s">
        <v>12</v>
      </c>
      <c r="E3839" t="s">
        <v>5158</v>
      </c>
    </row>
    <row r="3840" spans="1:6" x14ac:dyDescent="0.25">
      <c r="A3840" t="str">
        <f>"251201211434"</f>
        <v>251201211434</v>
      </c>
      <c r="B3840" t="s">
        <v>5287</v>
      </c>
      <c r="C3840" t="s">
        <v>7</v>
      </c>
      <c r="D3840" t="s">
        <v>14</v>
      </c>
      <c r="E3840" t="s">
        <v>5158</v>
      </c>
    </row>
    <row r="3841" spans="1:6" x14ac:dyDescent="0.25">
      <c r="A3841" t="str">
        <f>"251504212571"</f>
        <v>251504212571</v>
      </c>
      <c r="B3841" t="s">
        <v>5288</v>
      </c>
      <c r="C3841" t="s">
        <v>7</v>
      </c>
      <c r="D3841" t="s">
        <v>14</v>
      </c>
      <c r="E3841" t="s">
        <v>5158</v>
      </c>
    </row>
    <row r="3842" spans="1:6" x14ac:dyDescent="0.25">
      <c r="A3842" t="str">
        <f>"251607741175"</f>
        <v>251607741175</v>
      </c>
      <c r="B3842" t="s">
        <v>5289</v>
      </c>
      <c r="C3842" t="s">
        <v>7</v>
      </c>
      <c r="D3842" t="s">
        <v>14</v>
      </c>
      <c r="E3842" t="s">
        <v>5158</v>
      </c>
    </row>
    <row r="3843" spans="1:6" x14ac:dyDescent="0.25">
      <c r="A3843" t="str">
        <f>"251700141479"</f>
        <v>251700141479</v>
      </c>
      <c r="B3843" t="s">
        <v>5290</v>
      </c>
      <c r="C3843" t="s">
        <v>7</v>
      </c>
      <c r="D3843" t="s">
        <v>14</v>
      </c>
      <c r="E3843" t="s">
        <v>5158</v>
      </c>
    </row>
    <row r="3844" spans="1:6" x14ac:dyDescent="0.25">
      <c r="A3844" t="str">
        <f>"2518000814"</f>
        <v>2518000814</v>
      </c>
      <c r="B3844" t="s">
        <v>5291</v>
      </c>
      <c r="C3844" t="s">
        <v>7</v>
      </c>
      <c r="D3844" t="s">
        <v>14</v>
      </c>
      <c r="E3844" t="s">
        <v>5158</v>
      </c>
      <c r="F3844" t="s">
        <v>5292</v>
      </c>
    </row>
    <row r="3845" spans="1:6" x14ac:dyDescent="0.25">
      <c r="A3845" t="str">
        <f>"251811380708"</f>
        <v>251811380708</v>
      </c>
      <c r="B3845" t="s">
        <v>5293</v>
      </c>
      <c r="C3845" t="s">
        <v>7</v>
      </c>
      <c r="D3845" t="s">
        <v>14</v>
      </c>
      <c r="E3845" t="s">
        <v>5158</v>
      </c>
    </row>
    <row r="3846" spans="1:6" x14ac:dyDescent="0.25">
      <c r="A3846" t="str">
        <f>"252002186707"</f>
        <v>252002186707</v>
      </c>
      <c r="B3846" t="s">
        <v>5294</v>
      </c>
      <c r="C3846" t="s">
        <v>7</v>
      </c>
      <c r="D3846" t="s">
        <v>14</v>
      </c>
      <c r="E3846" t="s">
        <v>5158</v>
      </c>
    </row>
    <row r="3847" spans="1:6" x14ac:dyDescent="0.25">
      <c r="A3847" t="str">
        <f>"252150152170"</f>
        <v>252150152170</v>
      </c>
      <c r="B3847" t="s">
        <v>5295</v>
      </c>
      <c r="C3847" t="s">
        <v>7</v>
      </c>
      <c r="D3847" t="s">
        <v>14</v>
      </c>
      <c r="E3847" t="s">
        <v>5158</v>
      </c>
    </row>
    <row r="3848" spans="1:6" x14ac:dyDescent="0.25">
      <c r="A3848" t="str">
        <f>"252200044750"</f>
        <v>252200044750</v>
      </c>
      <c r="B3848" t="s">
        <v>5296</v>
      </c>
      <c r="C3848" t="s">
        <v>7</v>
      </c>
      <c r="D3848" t="s">
        <v>14</v>
      </c>
      <c r="E3848" t="s">
        <v>5158</v>
      </c>
    </row>
    <row r="3849" spans="1:6" x14ac:dyDescent="0.25">
      <c r="A3849" t="str">
        <f>"252201263787"</f>
        <v>252201263787</v>
      </c>
      <c r="B3849" t="s">
        <v>5297</v>
      </c>
      <c r="C3849" t="s">
        <v>7</v>
      </c>
      <c r="D3849" t="s">
        <v>14</v>
      </c>
      <c r="E3849" t="s">
        <v>5158</v>
      </c>
    </row>
    <row r="3850" spans="1:6" x14ac:dyDescent="0.25">
      <c r="A3850" t="str">
        <f>"252202203244"</f>
        <v>252202203244</v>
      </c>
      <c r="B3850" t="s">
        <v>5298</v>
      </c>
      <c r="C3850" t="s">
        <v>7</v>
      </c>
      <c r="D3850" t="s">
        <v>14</v>
      </c>
      <c r="E3850" t="s">
        <v>5158</v>
      </c>
    </row>
    <row r="3851" spans="1:6" x14ac:dyDescent="0.25">
      <c r="A3851" t="str">
        <f>"252401864880"</f>
        <v>252401864880</v>
      </c>
      <c r="B3851" t="s">
        <v>5299</v>
      </c>
      <c r="C3851" t="s">
        <v>7</v>
      </c>
      <c r="D3851" t="s">
        <v>14</v>
      </c>
      <c r="E3851" t="s">
        <v>5158</v>
      </c>
    </row>
    <row r="3852" spans="1:6" x14ac:dyDescent="0.25">
      <c r="A3852" t="str">
        <f>"252402165980"</f>
        <v>252402165980</v>
      </c>
      <c r="B3852" t="s">
        <v>5300</v>
      </c>
      <c r="C3852" t="s">
        <v>7</v>
      </c>
      <c r="D3852" t="s">
        <v>14</v>
      </c>
      <c r="E3852" t="s">
        <v>5158</v>
      </c>
    </row>
    <row r="3853" spans="1:6" x14ac:dyDescent="0.25">
      <c r="A3853" t="str">
        <f>"252600095904"</f>
        <v>252600095904</v>
      </c>
      <c r="B3853" t="s">
        <v>5301</v>
      </c>
      <c r="C3853" t="s">
        <v>7</v>
      </c>
      <c r="D3853" t="s">
        <v>14</v>
      </c>
      <c r="E3853" t="s">
        <v>5158</v>
      </c>
    </row>
    <row r="3854" spans="1:6" x14ac:dyDescent="0.25">
      <c r="A3854" t="str">
        <f>"252600116093"</f>
        <v>252600116093</v>
      </c>
      <c r="B3854" t="s">
        <v>5302</v>
      </c>
      <c r="C3854" t="s">
        <v>7</v>
      </c>
      <c r="D3854" t="s">
        <v>14</v>
      </c>
      <c r="E3854" t="s">
        <v>5158</v>
      </c>
    </row>
    <row r="3855" spans="1:6" x14ac:dyDescent="0.25">
      <c r="A3855" t="str">
        <f>"252600163181"</f>
        <v>252600163181</v>
      </c>
      <c r="B3855" t="s">
        <v>5303</v>
      </c>
      <c r="C3855" t="s">
        <v>7</v>
      </c>
      <c r="D3855" t="s">
        <v>14</v>
      </c>
      <c r="E3855" t="s">
        <v>5158</v>
      </c>
    </row>
    <row r="3856" spans="1:6" x14ac:dyDescent="0.25">
      <c r="A3856" t="str">
        <f>"711303275001"</f>
        <v>711303275001</v>
      </c>
      <c r="B3856" t="s">
        <v>5304</v>
      </c>
      <c r="C3856" t="s">
        <v>7</v>
      </c>
      <c r="D3856" t="s">
        <v>14</v>
      </c>
      <c r="E3856" t="s">
        <v>5158</v>
      </c>
    </row>
    <row r="3857" spans="1:6" x14ac:dyDescent="0.25">
      <c r="A3857" t="str">
        <f>"250800223444"</f>
        <v>250800223444</v>
      </c>
      <c r="B3857" t="s">
        <v>5305</v>
      </c>
      <c r="C3857" t="s">
        <v>7</v>
      </c>
      <c r="D3857" t="s">
        <v>12</v>
      </c>
      <c r="E3857" t="s">
        <v>5158</v>
      </c>
    </row>
    <row r="3858" spans="1:6" x14ac:dyDescent="0.25">
      <c r="A3858" t="str">
        <f>"250801731031"</f>
        <v>250801731031</v>
      </c>
      <c r="B3858" t="s">
        <v>5306</v>
      </c>
      <c r="C3858" t="s">
        <v>7</v>
      </c>
      <c r="D3858" t="s">
        <v>14</v>
      </c>
      <c r="E3858" t="s">
        <v>5158</v>
      </c>
    </row>
    <row r="3859" spans="1:6" x14ac:dyDescent="0.25">
      <c r="A3859" t="str">
        <f>"250805360902"</f>
        <v>250805360902</v>
      </c>
      <c r="B3859" t="s">
        <v>5307</v>
      </c>
      <c r="C3859" t="s">
        <v>7</v>
      </c>
      <c r="D3859" t="s">
        <v>14</v>
      </c>
      <c r="E3859" t="s">
        <v>5158</v>
      </c>
    </row>
    <row r="3860" spans="1:6" x14ac:dyDescent="0.25">
      <c r="A3860" t="str">
        <f>"250805835659"</f>
        <v>250805835659</v>
      </c>
      <c r="B3860" t="s">
        <v>5308</v>
      </c>
      <c r="C3860" t="s">
        <v>7</v>
      </c>
      <c r="D3860" t="s">
        <v>14</v>
      </c>
      <c r="E3860" t="s">
        <v>5158</v>
      </c>
    </row>
    <row r="3861" spans="1:6" x14ac:dyDescent="0.25">
      <c r="A3861" t="str">
        <f>"2508071446"</f>
        <v>2508071446</v>
      </c>
      <c r="B3861" t="s">
        <v>5309</v>
      </c>
      <c r="C3861" t="s">
        <v>7</v>
      </c>
      <c r="D3861" t="s">
        <v>33</v>
      </c>
      <c r="E3861" t="s">
        <v>5158</v>
      </c>
      <c r="F3861" t="s">
        <v>5310</v>
      </c>
    </row>
    <row r="3862" spans="1:6" x14ac:dyDescent="0.25">
      <c r="A3862" t="str">
        <f>"2508111681"</f>
        <v>2508111681</v>
      </c>
      <c r="B3862" t="s">
        <v>5311</v>
      </c>
      <c r="C3862" t="s">
        <v>7</v>
      </c>
      <c r="D3862" t="s">
        <v>189</v>
      </c>
      <c r="E3862" t="s">
        <v>5158</v>
      </c>
      <c r="F3862" t="s">
        <v>5312</v>
      </c>
    </row>
    <row r="3863" spans="1:6" x14ac:dyDescent="0.25">
      <c r="A3863" t="str">
        <f>"2508119151"</f>
        <v>2508119151</v>
      </c>
      <c r="B3863" t="s">
        <v>5313</v>
      </c>
      <c r="C3863" t="s">
        <v>7</v>
      </c>
      <c r="D3863" t="s">
        <v>189</v>
      </c>
      <c r="E3863" t="s">
        <v>5158</v>
      </c>
      <c r="F3863" t="s">
        <v>5314</v>
      </c>
    </row>
    <row r="3864" spans="1:6" x14ac:dyDescent="0.25">
      <c r="A3864" t="str">
        <f>"2508135019"</f>
        <v>2508135019</v>
      </c>
      <c r="B3864" t="s">
        <v>5315</v>
      </c>
      <c r="C3864" t="s">
        <v>7</v>
      </c>
      <c r="D3864" t="s">
        <v>33</v>
      </c>
      <c r="E3864" t="s">
        <v>5158</v>
      </c>
      <c r="F3864" t="s">
        <v>5316</v>
      </c>
    </row>
    <row r="3865" spans="1:6" x14ac:dyDescent="0.25">
      <c r="A3865" t="str">
        <f>"250818975893"</f>
        <v>250818975893</v>
      </c>
      <c r="B3865" t="s">
        <v>5317</v>
      </c>
      <c r="C3865" t="s">
        <v>7</v>
      </c>
      <c r="D3865" t="s">
        <v>12</v>
      </c>
      <c r="E3865" t="s">
        <v>5158</v>
      </c>
    </row>
    <row r="3866" spans="1:6" x14ac:dyDescent="0.25">
      <c r="A3866" t="str">
        <f>"250901432282"</f>
        <v>250901432282</v>
      </c>
      <c r="B3866" t="s">
        <v>5318</v>
      </c>
      <c r="C3866" t="s">
        <v>7</v>
      </c>
      <c r="D3866" t="s">
        <v>14</v>
      </c>
      <c r="E3866" t="s">
        <v>5158</v>
      </c>
    </row>
    <row r="3867" spans="1:6" x14ac:dyDescent="0.25">
      <c r="A3867" t="str">
        <f>"250905983844"</f>
        <v>250905983844</v>
      </c>
      <c r="B3867" t="s">
        <v>5319</v>
      </c>
      <c r="C3867" t="s">
        <v>7</v>
      </c>
      <c r="D3867" t="s">
        <v>14</v>
      </c>
      <c r="E3867" t="s">
        <v>5158</v>
      </c>
    </row>
    <row r="3868" spans="1:6" x14ac:dyDescent="0.25">
      <c r="A3868" t="str">
        <f>"251001900437"</f>
        <v>251001900437</v>
      </c>
      <c r="B3868" t="s">
        <v>5320</v>
      </c>
      <c r="C3868" t="s">
        <v>7</v>
      </c>
      <c r="D3868" t="s">
        <v>14</v>
      </c>
      <c r="E3868" t="s">
        <v>5158</v>
      </c>
    </row>
    <row r="3869" spans="1:6" x14ac:dyDescent="0.25">
      <c r="A3869" t="str">
        <f>"251002395561"</f>
        <v>251002395561</v>
      </c>
      <c r="B3869" t="s">
        <v>5321</v>
      </c>
      <c r="C3869" t="s">
        <v>7</v>
      </c>
      <c r="D3869" t="s">
        <v>14</v>
      </c>
      <c r="E3869" t="s">
        <v>5158</v>
      </c>
    </row>
    <row r="3870" spans="1:6" x14ac:dyDescent="0.25">
      <c r="A3870" t="str">
        <f>"251008854155"</f>
        <v>251008854155</v>
      </c>
      <c r="B3870" t="s">
        <v>5322</v>
      </c>
      <c r="C3870" t="s">
        <v>7</v>
      </c>
      <c r="D3870" t="s">
        <v>12</v>
      </c>
      <c r="E3870" t="s">
        <v>5158</v>
      </c>
    </row>
    <row r="3871" spans="1:6" x14ac:dyDescent="0.25">
      <c r="A3871" t="str">
        <f>"251133134796"</f>
        <v>251133134796</v>
      </c>
      <c r="B3871" t="s">
        <v>5323</v>
      </c>
      <c r="C3871" t="s">
        <v>7</v>
      </c>
      <c r="D3871" t="s">
        <v>14</v>
      </c>
      <c r="E3871" t="s">
        <v>5158</v>
      </c>
    </row>
    <row r="3872" spans="1:6" x14ac:dyDescent="0.25">
      <c r="A3872" t="str">
        <f>"251134239086"</f>
        <v>251134239086</v>
      </c>
      <c r="B3872" t="s">
        <v>5324</v>
      </c>
      <c r="C3872" t="s">
        <v>7</v>
      </c>
      <c r="D3872" t="s">
        <v>14</v>
      </c>
      <c r="E3872" t="s">
        <v>5158</v>
      </c>
    </row>
    <row r="3873" spans="1:5" x14ac:dyDescent="0.25">
      <c r="A3873" t="str">
        <f>"251134484761"</f>
        <v>251134484761</v>
      </c>
      <c r="B3873" t="s">
        <v>5325</v>
      </c>
      <c r="C3873" t="s">
        <v>7</v>
      </c>
      <c r="D3873" t="s">
        <v>14</v>
      </c>
      <c r="E3873" t="s">
        <v>5158</v>
      </c>
    </row>
    <row r="3874" spans="1:5" x14ac:dyDescent="0.25">
      <c r="A3874" t="str">
        <f>"251200043201"</f>
        <v>251200043201</v>
      </c>
      <c r="B3874" t="s">
        <v>5326</v>
      </c>
      <c r="C3874" t="s">
        <v>7</v>
      </c>
      <c r="D3874" t="s">
        <v>14</v>
      </c>
      <c r="E3874" t="s">
        <v>5158</v>
      </c>
    </row>
    <row r="3875" spans="1:5" x14ac:dyDescent="0.25">
      <c r="A3875" t="str">
        <f>"251200659640"</f>
        <v>251200659640</v>
      </c>
      <c r="B3875" t="s">
        <v>5327</v>
      </c>
      <c r="C3875" t="s">
        <v>7</v>
      </c>
      <c r="D3875" t="s">
        <v>14</v>
      </c>
      <c r="E3875" t="s">
        <v>5158</v>
      </c>
    </row>
    <row r="3876" spans="1:5" x14ac:dyDescent="0.25">
      <c r="A3876" t="str">
        <f>"251400016942"</f>
        <v>251400016942</v>
      </c>
      <c r="B3876" t="s">
        <v>5328</v>
      </c>
      <c r="C3876" t="s">
        <v>7</v>
      </c>
      <c r="D3876" t="s">
        <v>14</v>
      </c>
      <c r="E3876" t="s">
        <v>5158</v>
      </c>
    </row>
    <row r="3877" spans="1:5" x14ac:dyDescent="0.25">
      <c r="A3877" t="str">
        <f>"251500123994"</f>
        <v>251500123994</v>
      </c>
      <c r="B3877" t="s">
        <v>5329</v>
      </c>
      <c r="C3877" t="s">
        <v>7</v>
      </c>
      <c r="D3877" t="s">
        <v>14</v>
      </c>
      <c r="E3877" t="s">
        <v>5158</v>
      </c>
    </row>
    <row r="3878" spans="1:5" x14ac:dyDescent="0.25">
      <c r="A3878" t="str">
        <f>"251600097191"</f>
        <v>251600097191</v>
      </c>
      <c r="B3878" t="s">
        <v>5330</v>
      </c>
      <c r="C3878" t="s">
        <v>7</v>
      </c>
      <c r="D3878" t="s">
        <v>14</v>
      </c>
      <c r="E3878" t="s">
        <v>5158</v>
      </c>
    </row>
    <row r="3879" spans="1:5" x14ac:dyDescent="0.25">
      <c r="A3879" t="str">
        <f>"251701117430"</f>
        <v>251701117430</v>
      </c>
      <c r="B3879" t="s">
        <v>5331</v>
      </c>
      <c r="C3879" t="s">
        <v>7</v>
      </c>
      <c r="D3879" t="s">
        <v>14</v>
      </c>
      <c r="E3879" t="s">
        <v>5158</v>
      </c>
    </row>
    <row r="3880" spans="1:5" x14ac:dyDescent="0.25">
      <c r="A3880" t="str">
        <f>"251703567113"</f>
        <v>251703567113</v>
      </c>
      <c r="B3880" t="s">
        <v>5332</v>
      </c>
      <c r="C3880" t="s">
        <v>7</v>
      </c>
      <c r="D3880" t="s">
        <v>14</v>
      </c>
      <c r="E3880" t="s">
        <v>5158</v>
      </c>
    </row>
    <row r="3881" spans="1:5" x14ac:dyDescent="0.25">
      <c r="A3881" t="str">
        <f>"251801245587"</f>
        <v>251801245587</v>
      </c>
      <c r="B3881" t="s">
        <v>5333</v>
      </c>
      <c r="C3881" t="s">
        <v>7</v>
      </c>
      <c r="D3881" t="s">
        <v>14</v>
      </c>
      <c r="E3881" t="s">
        <v>5158</v>
      </c>
    </row>
    <row r="3882" spans="1:5" x14ac:dyDescent="0.25">
      <c r="A3882" t="str">
        <f>"252033002734"</f>
        <v>252033002734</v>
      </c>
      <c r="B3882" t="s">
        <v>5334</v>
      </c>
      <c r="C3882" t="s">
        <v>7</v>
      </c>
      <c r="D3882" t="s">
        <v>14</v>
      </c>
      <c r="E3882" t="s">
        <v>5158</v>
      </c>
    </row>
    <row r="3883" spans="1:5" x14ac:dyDescent="0.25">
      <c r="A3883" t="str">
        <f>"252200093927"</f>
        <v>252200093927</v>
      </c>
      <c r="B3883" t="s">
        <v>5335</v>
      </c>
      <c r="C3883" t="s">
        <v>7</v>
      </c>
      <c r="D3883" t="s">
        <v>14</v>
      </c>
      <c r="E3883" t="s">
        <v>5158</v>
      </c>
    </row>
    <row r="3884" spans="1:5" x14ac:dyDescent="0.25">
      <c r="A3884" t="str">
        <f>"252533192875"</f>
        <v>252533192875</v>
      </c>
      <c r="B3884" t="s">
        <v>5336</v>
      </c>
      <c r="C3884" t="s">
        <v>7</v>
      </c>
      <c r="D3884" t="s">
        <v>14</v>
      </c>
      <c r="E3884" t="s">
        <v>5158</v>
      </c>
    </row>
    <row r="3885" spans="1:5" x14ac:dyDescent="0.25">
      <c r="A3885" t="str">
        <f>"252603107682"</f>
        <v>252603107682</v>
      </c>
      <c r="B3885" t="s">
        <v>5337</v>
      </c>
      <c r="C3885" t="s">
        <v>7</v>
      </c>
      <c r="D3885" t="s">
        <v>14</v>
      </c>
      <c r="E3885" t="s">
        <v>5158</v>
      </c>
    </row>
    <row r="3886" spans="1:5" x14ac:dyDescent="0.25">
      <c r="A3886" t="str">
        <f>"253000102340"</f>
        <v>253000102340</v>
      </c>
      <c r="B3886" t="s">
        <v>5338</v>
      </c>
      <c r="C3886" t="s">
        <v>7</v>
      </c>
      <c r="D3886" t="s">
        <v>14</v>
      </c>
      <c r="E3886" t="s">
        <v>5158</v>
      </c>
    </row>
    <row r="3887" spans="1:5" x14ac:dyDescent="0.25">
      <c r="A3887" t="str">
        <f>"343608980585"</f>
        <v>343608980585</v>
      </c>
      <c r="B3887" t="s">
        <v>5339</v>
      </c>
      <c r="C3887" t="s">
        <v>7</v>
      </c>
      <c r="D3887" t="s">
        <v>14</v>
      </c>
      <c r="E3887" t="s">
        <v>5158</v>
      </c>
    </row>
    <row r="3888" spans="1:5" x14ac:dyDescent="0.25">
      <c r="A3888" t="str">
        <f>"253000074005"</f>
        <v>253000074005</v>
      </c>
      <c r="B3888" t="s">
        <v>5340</v>
      </c>
      <c r="C3888" t="s">
        <v>7</v>
      </c>
      <c r="D3888" t="s">
        <v>14</v>
      </c>
      <c r="E3888" t="s">
        <v>5158</v>
      </c>
    </row>
    <row r="3889" spans="1:6" x14ac:dyDescent="0.25">
      <c r="A3889" t="str">
        <f>"253000540489"</f>
        <v>253000540489</v>
      </c>
      <c r="B3889" t="s">
        <v>5341</v>
      </c>
      <c r="C3889" t="s">
        <v>7</v>
      </c>
      <c r="D3889" t="s">
        <v>14</v>
      </c>
      <c r="E3889" t="s">
        <v>5158</v>
      </c>
    </row>
    <row r="3890" spans="1:6" x14ac:dyDescent="0.25">
      <c r="A3890" t="str">
        <f>"253003436101"</f>
        <v>253003436101</v>
      </c>
      <c r="B3890" t="s">
        <v>5342</v>
      </c>
      <c r="C3890" t="s">
        <v>7</v>
      </c>
      <c r="D3890" t="s">
        <v>14</v>
      </c>
      <c r="E3890" t="s">
        <v>5158</v>
      </c>
    </row>
    <row r="3891" spans="1:6" x14ac:dyDescent="0.25">
      <c r="A3891" t="str">
        <f>"2533011183"</f>
        <v>2533011183</v>
      </c>
      <c r="B3891" t="s">
        <v>5343</v>
      </c>
      <c r="C3891" t="s">
        <v>7</v>
      </c>
      <c r="D3891" t="s">
        <v>14</v>
      </c>
      <c r="E3891" t="s">
        <v>5158</v>
      </c>
      <c r="F3891" t="s">
        <v>5344</v>
      </c>
    </row>
    <row r="3892" spans="1:6" x14ac:dyDescent="0.25">
      <c r="A3892" t="str">
        <f>"253301506555"</f>
        <v>253301506555</v>
      </c>
      <c r="B3892" t="s">
        <v>5345</v>
      </c>
      <c r="C3892" t="s">
        <v>7</v>
      </c>
      <c r="D3892" t="s">
        <v>12</v>
      </c>
      <c r="E3892" t="s">
        <v>5158</v>
      </c>
    </row>
    <row r="3893" spans="1:6" x14ac:dyDescent="0.25">
      <c r="A3893" t="str">
        <f>"253304509628"</f>
        <v>253304509628</v>
      </c>
      <c r="B3893" t="s">
        <v>5346</v>
      </c>
      <c r="C3893" t="s">
        <v>7</v>
      </c>
      <c r="D3893" t="s">
        <v>14</v>
      </c>
      <c r="E3893" t="s">
        <v>5158</v>
      </c>
    </row>
    <row r="3894" spans="1:6" x14ac:dyDescent="0.25">
      <c r="A3894" t="str">
        <f>"253400075807"</f>
        <v>253400075807</v>
      </c>
      <c r="B3894" t="s">
        <v>5347</v>
      </c>
      <c r="C3894" t="s">
        <v>7</v>
      </c>
      <c r="D3894" t="s">
        <v>14</v>
      </c>
      <c r="E3894" t="s">
        <v>5158</v>
      </c>
    </row>
    <row r="3895" spans="1:6" x14ac:dyDescent="0.25">
      <c r="A3895" t="str">
        <f>"2534007937"</f>
        <v>2534007937</v>
      </c>
      <c r="B3895" t="s">
        <v>5348</v>
      </c>
      <c r="C3895" t="s">
        <v>7</v>
      </c>
      <c r="D3895" t="s">
        <v>33</v>
      </c>
      <c r="E3895" t="s">
        <v>5158</v>
      </c>
      <c r="F3895" t="s">
        <v>5349</v>
      </c>
    </row>
    <row r="3896" spans="1:6" x14ac:dyDescent="0.25">
      <c r="A3896" t="str">
        <f>"253402845385"</f>
        <v>253402845385</v>
      </c>
      <c r="B3896" t="s">
        <v>5350</v>
      </c>
      <c r="C3896" t="s">
        <v>7</v>
      </c>
      <c r="D3896" t="s">
        <v>14</v>
      </c>
      <c r="E3896" t="s">
        <v>5158</v>
      </c>
    </row>
    <row r="3897" spans="1:6" x14ac:dyDescent="0.25">
      <c r="A3897" t="str">
        <f>"253500045323"</f>
        <v>253500045323</v>
      </c>
      <c r="B3897" t="s">
        <v>5351</v>
      </c>
      <c r="C3897" t="s">
        <v>7</v>
      </c>
      <c r="D3897" t="s">
        <v>14</v>
      </c>
      <c r="E3897" t="s">
        <v>5158</v>
      </c>
    </row>
    <row r="3898" spans="1:6" x14ac:dyDescent="0.25">
      <c r="A3898" t="str">
        <f>"253501527707"</f>
        <v>253501527707</v>
      </c>
      <c r="B3898" t="s">
        <v>5352</v>
      </c>
      <c r="C3898" t="s">
        <v>7</v>
      </c>
      <c r="D3898" t="s">
        <v>14</v>
      </c>
      <c r="E3898" t="s">
        <v>5158</v>
      </c>
    </row>
    <row r="3899" spans="1:6" x14ac:dyDescent="0.25">
      <c r="A3899" t="str">
        <f>"253600025730"</f>
        <v>253600025730</v>
      </c>
      <c r="B3899" t="s">
        <v>5353</v>
      </c>
      <c r="C3899" t="s">
        <v>7</v>
      </c>
      <c r="D3899" t="s">
        <v>12</v>
      </c>
      <c r="E3899" t="s">
        <v>5158</v>
      </c>
    </row>
    <row r="3900" spans="1:6" x14ac:dyDescent="0.25">
      <c r="A3900" t="str">
        <f>"253600280673"</f>
        <v>253600280673</v>
      </c>
      <c r="B3900" t="s">
        <v>5354</v>
      </c>
      <c r="C3900" t="s">
        <v>7</v>
      </c>
      <c r="D3900" t="s">
        <v>28</v>
      </c>
      <c r="E3900" t="s">
        <v>5158</v>
      </c>
    </row>
    <row r="3901" spans="1:6" x14ac:dyDescent="0.25">
      <c r="A3901" t="str">
        <f>"253605719890"</f>
        <v>253605719890</v>
      </c>
      <c r="B3901" t="s">
        <v>5355</v>
      </c>
      <c r="C3901" t="s">
        <v>7</v>
      </c>
      <c r="D3901" t="s">
        <v>14</v>
      </c>
      <c r="E3901" t="s">
        <v>5158</v>
      </c>
    </row>
    <row r="3902" spans="1:6" x14ac:dyDescent="0.25">
      <c r="A3902" t="str">
        <f>"253606393553"</f>
        <v>253606393553</v>
      </c>
      <c r="B3902" t="s">
        <v>5356</v>
      </c>
      <c r="C3902" t="s">
        <v>7</v>
      </c>
      <c r="D3902" t="s">
        <v>12</v>
      </c>
      <c r="E3902" t="s">
        <v>5158</v>
      </c>
    </row>
    <row r="3903" spans="1:6" x14ac:dyDescent="0.25">
      <c r="A3903" t="str">
        <f>"2536105440"</f>
        <v>2536105440</v>
      </c>
      <c r="B3903" t="s">
        <v>5357</v>
      </c>
      <c r="C3903" t="s">
        <v>7</v>
      </c>
      <c r="D3903" t="s">
        <v>8</v>
      </c>
      <c r="E3903" t="s">
        <v>5158</v>
      </c>
      <c r="F3903" t="s">
        <v>5358</v>
      </c>
    </row>
    <row r="3904" spans="1:6" x14ac:dyDescent="0.25">
      <c r="A3904" t="str">
        <f>"2536126792"</f>
        <v>2536126792</v>
      </c>
      <c r="B3904" t="s">
        <v>5359</v>
      </c>
      <c r="C3904" t="s">
        <v>7</v>
      </c>
      <c r="D3904" t="s">
        <v>98</v>
      </c>
      <c r="E3904" t="s">
        <v>5158</v>
      </c>
      <c r="F3904" t="s">
        <v>5360</v>
      </c>
    </row>
    <row r="3905" spans="1:6" x14ac:dyDescent="0.25">
      <c r="A3905" t="str">
        <f>"253612874022"</f>
        <v>253612874022</v>
      </c>
      <c r="B3905" t="s">
        <v>5361</v>
      </c>
      <c r="C3905" t="s">
        <v>7</v>
      </c>
      <c r="D3905" t="s">
        <v>14</v>
      </c>
      <c r="E3905" t="s">
        <v>5158</v>
      </c>
    </row>
    <row r="3906" spans="1:6" x14ac:dyDescent="0.25">
      <c r="A3906" t="str">
        <f>"253616239430"</f>
        <v>253616239430</v>
      </c>
      <c r="B3906" t="s">
        <v>5362</v>
      </c>
      <c r="C3906" t="s">
        <v>7</v>
      </c>
      <c r="D3906" t="s">
        <v>14</v>
      </c>
      <c r="E3906" t="s">
        <v>5158</v>
      </c>
    </row>
    <row r="3907" spans="1:6" x14ac:dyDescent="0.25">
      <c r="A3907" t="str">
        <f>"2536194425"</f>
        <v>2536194425</v>
      </c>
      <c r="B3907" t="s">
        <v>5363</v>
      </c>
      <c r="C3907" t="s">
        <v>7</v>
      </c>
      <c r="D3907" t="s">
        <v>33</v>
      </c>
      <c r="E3907" t="s">
        <v>5158</v>
      </c>
      <c r="F3907" t="s">
        <v>5364</v>
      </c>
    </row>
    <row r="3908" spans="1:6" x14ac:dyDescent="0.25">
      <c r="A3908" t="str">
        <f>"2536221990"</f>
        <v>2536221990</v>
      </c>
      <c r="B3908" t="s">
        <v>5365</v>
      </c>
      <c r="C3908" t="s">
        <v>7</v>
      </c>
      <c r="D3908" t="s">
        <v>14</v>
      </c>
      <c r="E3908" t="s">
        <v>5158</v>
      </c>
      <c r="F3908" t="s">
        <v>5366</v>
      </c>
    </row>
    <row r="3909" spans="1:6" x14ac:dyDescent="0.25">
      <c r="A3909" t="str">
        <f>"2536226268"</f>
        <v>2536226268</v>
      </c>
      <c r="B3909" t="s">
        <v>5367</v>
      </c>
      <c r="C3909" t="s">
        <v>7</v>
      </c>
      <c r="D3909" t="s">
        <v>14</v>
      </c>
      <c r="E3909" t="s">
        <v>5158</v>
      </c>
      <c r="F3909" t="s">
        <v>5368</v>
      </c>
    </row>
    <row r="3910" spans="1:6" x14ac:dyDescent="0.25">
      <c r="A3910" t="str">
        <f>"2536253470"</f>
        <v>2536253470</v>
      </c>
      <c r="B3910" t="s">
        <v>5369</v>
      </c>
      <c r="C3910" t="s">
        <v>7</v>
      </c>
      <c r="D3910" t="s">
        <v>674</v>
      </c>
      <c r="E3910" t="s">
        <v>5158</v>
      </c>
      <c r="F3910" t="s">
        <v>5370</v>
      </c>
    </row>
    <row r="3911" spans="1:6" x14ac:dyDescent="0.25">
      <c r="A3911" t="str">
        <f>"2536268701"</f>
        <v>2536268701</v>
      </c>
      <c r="B3911" t="s">
        <v>5371</v>
      </c>
      <c r="C3911" t="s">
        <v>7</v>
      </c>
      <c r="D3911" t="s">
        <v>12</v>
      </c>
      <c r="E3911" t="s">
        <v>5158</v>
      </c>
      <c r="F3911" t="s">
        <v>5372</v>
      </c>
    </row>
    <row r="3912" spans="1:6" x14ac:dyDescent="0.25">
      <c r="A3912" t="str">
        <f>"2536280650"</f>
        <v>2536280650</v>
      </c>
      <c r="B3912" t="s">
        <v>5373</v>
      </c>
      <c r="C3912" t="s">
        <v>7</v>
      </c>
      <c r="D3912" t="s">
        <v>12</v>
      </c>
      <c r="E3912" t="s">
        <v>5158</v>
      </c>
      <c r="F3912" t="s">
        <v>5374</v>
      </c>
    </row>
    <row r="3913" spans="1:6" x14ac:dyDescent="0.25">
      <c r="A3913" t="str">
        <f>"2536328485"</f>
        <v>2536328485</v>
      </c>
      <c r="B3913" t="s">
        <v>2563</v>
      </c>
      <c r="C3913" t="s">
        <v>7</v>
      </c>
      <c r="D3913" t="s">
        <v>33</v>
      </c>
      <c r="E3913" t="s">
        <v>5158</v>
      </c>
      <c r="F3913" t="s">
        <v>5375</v>
      </c>
    </row>
    <row r="3914" spans="1:6" x14ac:dyDescent="0.25">
      <c r="A3914" t="str">
        <f>"2536348812"</f>
        <v>2536348812</v>
      </c>
      <c r="B3914" t="s">
        <v>5376</v>
      </c>
      <c r="C3914" t="s">
        <v>7</v>
      </c>
      <c r="D3914" t="s">
        <v>189</v>
      </c>
      <c r="E3914" t="s">
        <v>5158</v>
      </c>
      <c r="F3914" t="s">
        <v>5377</v>
      </c>
    </row>
    <row r="3915" spans="1:6" x14ac:dyDescent="0.25">
      <c r="A3915" t="str">
        <f>"253700519891"</f>
        <v>253700519891</v>
      </c>
      <c r="B3915" t="s">
        <v>5378</v>
      </c>
      <c r="C3915" t="s">
        <v>7</v>
      </c>
      <c r="D3915" t="s">
        <v>14</v>
      </c>
      <c r="E3915" t="s">
        <v>5158</v>
      </c>
    </row>
    <row r="3916" spans="1:6" x14ac:dyDescent="0.25">
      <c r="A3916" t="str">
        <f>"2537064468"</f>
        <v>2537064468</v>
      </c>
      <c r="B3916" t="s">
        <v>5379</v>
      </c>
      <c r="C3916" t="s">
        <v>7</v>
      </c>
      <c r="D3916" t="s">
        <v>674</v>
      </c>
      <c r="E3916" t="s">
        <v>5158</v>
      </c>
      <c r="F3916" t="s">
        <v>5380</v>
      </c>
    </row>
    <row r="3917" spans="1:6" x14ac:dyDescent="0.25">
      <c r="A3917" t="str">
        <f>"2537090482"</f>
        <v>2537090482</v>
      </c>
      <c r="B3917" t="s">
        <v>1834</v>
      </c>
      <c r="C3917" t="s">
        <v>7</v>
      </c>
      <c r="D3917" t="s">
        <v>33</v>
      </c>
      <c r="E3917" t="s">
        <v>5158</v>
      </c>
      <c r="F3917" t="s">
        <v>5381</v>
      </c>
    </row>
    <row r="3918" spans="1:6" x14ac:dyDescent="0.25">
      <c r="A3918" t="str">
        <f>"2537125569"</f>
        <v>2537125569</v>
      </c>
      <c r="B3918" t="s">
        <v>5382</v>
      </c>
      <c r="C3918" t="s">
        <v>7</v>
      </c>
      <c r="D3918" t="s">
        <v>189</v>
      </c>
      <c r="E3918" t="s">
        <v>5158</v>
      </c>
      <c r="F3918" t="s">
        <v>5383</v>
      </c>
    </row>
    <row r="3919" spans="1:6" x14ac:dyDescent="0.25">
      <c r="A3919" t="str">
        <f>"2537131410"</f>
        <v>2537131410</v>
      </c>
      <c r="B3919" t="s">
        <v>5384</v>
      </c>
      <c r="C3919" t="s">
        <v>7</v>
      </c>
      <c r="D3919" t="s">
        <v>189</v>
      </c>
      <c r="E3919" t="s">
        <v>5158</v>
      </c>
      <c r="F3919" t="s">
        <v>5385</v>
      </c>
    </row>
    <row r="3920" spans="1:6" x14ac:dyDescent="0.25">
      <c r="A3920" t="str">
        <f>"253716481040"</f>
        <v>253716481040</v>
      </c>
      <c r="B3920" t="s">
        <v>5386</v>
      </c>
      <c r="C3920" t="s">
        <v>7</v>
      </c>
      <c r="D3920" t="s">
        <v>14</v>
      </c>
      <c r="E3920" t="s">
        <v>5158</v>
      </c>
    </row>
    <row r="3921" spans="1:6" x14ac:dyDescent="0.25">
      <c r="A3921" t="str">
        <f>"253800437610"</f>
        <v>253800437610</v>
      </c>
      <c r="B3921" t="s">
        <v>5387</v>
      </c>
      <c r="C3921" t="s">
        <v>7</v>
      </c>
      <c r="D3921" t="s">
        <v>14</v>
      </c>
      <c r="E3921" t="s">
        <v>5158</v>
      </c>
    </row>
    <row r="3922" spans="1:6" x14ac:dyDescent="0.25">
      <c r="A3922" t="str">
        <f>"253801726301"</f>
        <v>253801726301</v>
      </c>
      <c r="B3922" t="s">
        <v>5388</v>
      </c>
      <c r="C3922" t="s">
        <v>7</v>
      </c>
      <c r="D3922" t="s">
        <v>8</v>
      </c>
      <c r="E3922" t="s">
        <v>5158</v>
      </c>
    </row>
    <row r="3923" spans="1:6" x14ac:dyDescent="0.25">
      <c r="A3923" t="str">
        <f>"253803783739"</f>
        <v>253803783739</v>
      </c>
      <c r="B3923" t="s">
        <v>5389</v>
      </c>
      <c r="C3923" t="s">
        <v>7</v>
      </c>
      <c r="D3923" t="s">
        <v>12</v>
      </c>
      <c r="E3923" t="s">
        <v>5158</v>
      </c>
    </row>
    <row r="3924" spans="1:6" x14ac:dyDescent="0.25">
      <c r="A3924" t="str">
        <f>"253806912012"</f>
        <v>253806912012</v>
      </c>
      <c r="B3924" t="s">
        <v>5390</v>
      </c>
      <c r="C3924" t="s">
        <v>7</v>
      </c>
      <c r="D3924" t="s">
        <v>12</v>
      </c>
      <c r="E3924" t="s">
        <v>5158</v>
      </c>
    </row>
    <row r="3925" spans="1:6" x14ac:dyDescent="0.25">
      <c r="A3925" t="str">
        <f>"2538078135"</f>
        <v>2538078135</v>
      </c>
      <c r="B3925" t="s">
        <v>5391</v>
      </c>
      <c r="C3925" t="s">
        <v>7</v>
      </c>
      <c r="D3925" t="s">
        <v>189</v>
      </c>
      <c r="E3925" t="s">
        <v>5158</v>
      </c>
      <c r="F3925" t="s">
        <v>5392</v>
      </c>
    </row>
    <row r="3926" spans="1:6" x14ac:dyDescent="0.25">
      <c r="A3926" t="str">
        <f>"2538091143"</f>
        <v>2538091143</v>
      </c>
      <c r="B3926" t="s">
        <v>2784</v>
      </c>
      <c r="C3926" t="s">
        <v>7</v>
      </c>
      <c r="D3926" t="s">
        <v>14</v>
      </c>
      <c r="E3926" t="s">
        <v>5158</v>
      </c>
      <c r="F3926" t="s">
        <v>5393</v>
      </c>
    </row>
    <row r="3927" spans="1:6" x14ac:dyDescent="0.25">
      <c r="A3927" t="str">
        <f>"2538102620"</f>
        <v>2538102620</v>
      </c>
      <c r="B3927" t="s">
        <v>5394</v>
      </c>
      <c r="C3927" t="s">
        <v>7</v>
      </c>
      <c r="D3927" t="s">
        <v>674</v>
      </c>
      <c r="E3927" t="s">
        <v>5158</v>
      </c>
      <c r="F3927" t="s">
        <v>5395</v>
      </c>
    </row>
    <row r="3928" spans="1:6" x14ac:dyDescent="0.25">
      <c r="A3928" t="str">
        <f>"2538114432"</f>
        <v>2538114432</v>
      </c>
      <c r="B3928" t="s">
        <v>5396</v>
      </c>
      <c r="C3928" t="s">
        <v>7</v>
      </c>
      <c r="D3928" t="s">
        <v>674</v>
      </c>
      <c r="E3928" t="s">
        <v>5158</v>
      </c>
      <c r="F3928" t="s">
        <v>5397</v>
      </c>
    </row>
    <row r="3929" spans="1:6" x14ac:dyDescent="0.25">
      <c r="A3929" t="str">
        <f>"253811627155"</f>
        <v>253811627155</v>
      </c>
      <c r="B3929" t="s">
        <v>5398</v>
      </c>
      <c r="C3929" t="s">
        <v>7</v>
      </c>
      <c r="D3929" t="s">
        <v>14</v>
      </c>
      <c r="E3929" t="s">
        <v>5158</v>
      </c>
    </row>
    <row r="3930" spans="1:6" x14ac:dyDescent="0.25">
      <c r="A3930" t="str">
        <f>"253901736575"</f>
        <v>253901736575</v>
      </c>
      <c r="B3930" t="s">
        <v>5399</v>
      </c>
      <c r="C3930" t="s">
        <v>7</v>
      </c>
      <c r="D3930" t="s">
        <v>14</v>
      </c>
      <c r="E3930" t="s">
        <v>5158</v>
      </c>
    </row>
    <row r="3931" spans="1:6" x14ac:dyDescent="0.25">
      <c r="A3931" t="str">
        <f>"253903088016"</f>
        <v>253903088016</v>
      </c>
      <c r="B3931" t="s">
        <v>5400</v>
      </c>
      <c r="C3931" t="s">
        <v>7</v>
      </c>
      <c r="D3931" t="s">
        <v>14</v>
      </c>
      <c r="E3931" t="s">
        <v>5158</v>
      </c>
    </row>
    <row r="3932" spans="1:6" x14ac:dyDescent="0.25">
      <c r="A3932" t="str">
        <f>"2539036226"</f>
        <v>2539036226</v>
      </c>
      <c r="B3932" t="s">
        <v>5401</v>
      </c>
      <c r="C3932" t="s">
        <v>7</v>
      </c>
      <c r="D3932" t="s">
        <v>14</v>
      </c>
      <c r="E3932" t="s">
        <v>5158</v>
      </c>
      <c r="F3932" t="s">
        <v>5402</v>
      </c>
    </row>
    <row r="3933" spans="1:6" x14ac:dyDescent="0.25">
      <c r="A3933" t="str">
        <f>"2539106064"</f>
        <v>2539106064</v>
      </c>
      <c r="B3933" t="s">
        <v>5403</v>
      </c>
      <c r="C3933" t="s">
        <v>7</v>
      </c>
      <c r="D3933" t="s">
        <v>33</v>
      </c>
      <c r="E3933" t="s">
        <v>5158</v>
      </c>
      <c r="F3933" t="s">
        <v>5404</v>
      </c>
    </row>
    <row r="3934" spans="1:6" x14ac:dyDescent="0.25">
      <c r="A3934" t="str">
        <f>"253910708239"</f>
        <v>253910708239</v>
      </c>
      <c r="B3934" t="s">
        <v>5405</v>
      </c>
      <c r="C3934" t="s">
        <v>7</v>
      </c>
      <c r="D3934" t="s">
        <v>189</v>
      </c>
      <c r="E3934" t="s">
        <v>5158</v>
      </c>
    </row>
    <row r="3935" spans="1:6" x14ac:dyDescent="0.25">
      <c r="A3935" t="str">
        <f>"253912386428"</f>
        <v>253912386428</v>
      </c>
      <c r="B3935" t="s">
        <v>5406</v>
      </c>
      <c r="C3935" t="s">
        <v>7</v>
      </c>
      <c r="D3935" t="s">
        <v>14</v>
      </c>
      <c r="E3935" t="s">
        <v>5158</v>
      </c>
    </row>
    <row r="3936" spans="1:6" x14ac:dyDescent="0.25">
      <c r="A3936" t="str">
        <f>"254000083668"</f>
        <v>254000083668</v>
      </c>
      <c r="B3936" t="s">
        <v>5407</v>
      </c>
      <c r="C3936" t="s">
        <v>7</v>
      </c>
      <c r="D3936" t="s">
        <v>12</v>
      </c>
      <c r="E3936" t="s">
        <v>5158</v>
      </c>
    </row>
    <row r="3937" spans="1:6" x14ac:dyDescent="0.25">
      <c r="A3937" t="str">
        <f>"2540055047"</f>
        <v>2540055047</v>
      </c>
      <c r="B3937" t="s">
        <v>5408</v>
      </c>
      <c r="C3937" t="s">
        <v>7</v>
      </c>
      <c r="D3937" t="s">
        <v>12</v>
      </c>
      <c r="E3937" t="s">
        <v>5158</v>
      </c>
      <c r="F3937" t="s">
        <v>5409</v>
      </c>
    </row>
    <row r="3938" spans="1:6" x14ac:dyDescent="0.25">
      <c r="A3938" t="str">
        <f>"254005696435"</f>
        <v>254005696435</v>
      </c>
      <c r="B3938" t="s">
        <v>5410</v>
      </c>
      <c r="C3938" t="s">
        <v>7</v>
      </c>
      <c r="D3938" t="s">
        <v>12</v>
      </c>
      <c r="E3938" t="s">
        <v>5158</v>
      </c>
    </row>
    <row r="3939" spans="1:6" x14ac:dyDescent="0.25">
      <c r="A3939" t="str">
        <f>"254009564736"</f>
        <v>254009564736</v>
      </c>
      <c r="B3939" t="s">
        <v>5411</v>
      </c>
      <c r="C3939" t="s">
        <v>7</v>
      </c>
      <c r="D3939" t="s">
        <v>14</v>
      </c>
      <c r="E3939" t="s">
        <v>5158</v>
      </c>
    </row>
    <row r="3940" spans="1:6" x14ac:dyDescent="0.25">
      <c r="A3940" t="str">
        <f>"2540117060"</f>
        <v>2540117060</v>
      </c>
      <c r="B3940" t="s">
        <v>5412</v>
      </c>
      <c r="C3940" t="s">
        <v>7</v>
      </c>
      <c r="D3940" t="s">
        <v>8</v>
      </c>
      <c r="E3940" t="s">
        <v>5158</v>
      </c>
      <c r="F3940" t="s">
        <v>5413</v>
      </c>
    </row>
    <row r="3941" spans="1:6" x14ac:dyDescent="0.25">
      <c r="A3941" t="str">
        <f>"2540152883"</f>
        <v>2540152883</v>
      </c>
      <c r="B3941" t="s">
        <v>5414</v>
      </c>
      <c r="C3941" t="s">
        <v>7</v>
      </c>
      <c r="D3941" t="s">
        <v>674</v>
      </c>
      <c r="E3941" t="s">
        <v>5158</v>
      </c>
      <c r="F3941" t="s">
        <v>5415</v>
      </c>
    </row>
    <row r="3942" spans="1:6" x14ac:dyDescent="0.25">
      <c r="A3942" t="str">
        <f>"2540162842"</f>
        <v>2540162842</v>
      </c>
      <c r="B3942" t="s">
        <v>5416</v>
      </c>
      <c r="C3942" t="s">
        <v>7</v>
      </c>
      <c r="D3942" t="s">
        <v>33</v>
      </c>
      <c r="E3942" t="s">
        <v>5158</v>
      </c>
      <c r="F3942" t="s">
        <v>5417</v>
      </c>
    </row>
    <row r="3943" spans="1:6" x14ac:dyDescent="0.25">
      <c r="A3943" t="str">
        <f>"2540175866"</f>
        <v>2540175866</v>
      </c>
      <c r="B3943" t="s">
        <v>5418</v>
      </c>
      <c r="C3943" t="s">
        <v>7</v>
      </c>
      <c r="D3943" t="s">
        <v>12</v>
      </c>
      <c r="E3943" t="s">
        <v>5158</v>
      </c>
      <c r="F3943" t="s">
        <v>5419</v>
      </c>
    </row>
    <row r="3944" spans="1:6" x14ac:dyDescent="0.25">
      <c r="A3944" t="str">
        <f>"2540247302"</f>
        <v>2540247302</v>
      </c>
      <c r="B3944" t="s">
        <v>5420</v>
      </c>
      <c r="C3944" t="s">
        <v>7</v>
      </c>
      <c r="D3944" t="s">
        <v>12</v>
      </c>
      <c r="E3944" t="s">
        <v>5158</v>
      </c>
      <c r="F3944" t="s">
        <v>5421</v>
      </c>
    </row>
    <row r="3945" spans="1:6" x14ac:dyDescent="0.25">
      <c r="A3945" t="str">
        <f>"2540253024"</f>
        <v>2540253024</v>
      </c>
      <c r="B3945" t="s">
        <v>5422</v>
      </c>
      <c r="C3945" t="s">
        <v>7</v>
      </c>
      <c r="D3945" t="s">
        <v>33</v>
      </c>
      <c r="E3945" t="s">
        <v>5158</v>
      </c>
      <c r="F3945" t="s">
        <v>5423</v>
      </c>
    </row>
    <row r="3946" spans="1:6" x14ac:dyDescent="0.25">
      <c r="A3946" t="str">
        <f>"2540260790"</f>
        <v>2540260790</v>
      </c>
      <c r="B3946" t="s">
        <v>5424</v>
      </c>
      <c r="C3946" t="s">
        <v>7</v>
      </c>
      <c r="D3946" t="s">
        <v>12</v>
      </c>
      <c r="E3946" t="s">
        <v>5158</v>
      </c>
      <c r="F3946" t="s">
        <v>5425</v>
      </c>
    </row>
    <row r="3947" spans="1:6" x14ac:dyDescent="0.25">
      <c r="A3947" t="str">
        <f>"2540263270"</f>
        <v>2540263270</v>
      </c>
      <c r="B3947" t="s">
        <v>5426</v>
      </c>
      <c r="C3947" t="s">
        <v>7</v>
      </c>
      <c r="D3947" t="s">
        <v>33</v>
      </c>
      <c r="E3947" t="s">
        <v>5158</v>
      </c>
      <c r="F3947" t="s">
        <v>5427</v>
      </c>
    </row>
    <row r="3948" spans="1:6" x14ac:dyDescent="0.25">
      <c r="A3948" t="str">
        <f>"2540263343"</f>
        <v>2540263343</v>
      </c>
      <c r="B3948" t="s">
        <v>5428</v>
      </c>
      <c r="C3948" t="s">
        <v>7</v>
      </c>
      <c r="D3948" t="s">
        <v>674</v>
      </c>
      <c r="E3948" t="s">
        <v>5158</v>
      </c>
      <c r="F3948" t="s">
        <v>5429</v>
      </c>
    </row>
    <row r="3949" spans="1:6" x14ac:dyDescent="0.25">
      <c r="A3949" t="str">
        <f>"2540267080"</f>
        <v>2540267080</v>
      </c>
      <c r="B3949" t="s">
        <v>5430</v>
      </c>
      <c r="C3949" t="s">
        <v>7</v>
      </c>
      <c r="D3949" t="s">
        <v>33</v>
      </c>
      <c r="E3949" t="s">
        <v>5158</v>
      </c>
      <c r="F3949" t="s">
        <v>5431</v>
      </c>
    </row>
    <row r="3950" spans="1:6" x14ac:dyDescent="0.25">
      <c r="A3950" t="str">
        <f>"2540267700"</f>
        <v>2540267700</v>
      </c>
      <c r="B3950" t="s">
        <v>5432</v>
      </c>
      <c r="C3950" t="s">
        <v>7</v>
      </c>
      <c r="D3950" t="s">
        <v>12</v>
      </c>
      <c r="E3950" t="s">
        <v>5158</v>
      </c>
      <c r="F3950" t="s">
        <v>5433</v>
      </c>
    </row>
    <row r="3951" spans="1:6" x14ac:dyDescent="0.25">
      <c r="A3951" t="str">
        <f>"2540286125"</f>
        <v>2540286125</v>
      </c>
      <c r="B3951" t="s">
        <v>5434</v>
      </c>
      <c r="C3951" t="s">
        <v>7</v>
      </c>
      <c r="D3951" t="s">
        <v>8</v>
      </c>
      <c r="E3951" t="s">
        <v>5158</v>
      </c>
      <c r="F3951" t="s">
        <v>5435</v>
      </c>
    </row>
    <row r="3952" spans="1:6" x14ac:dyDescent="0.25">
      <c r="A3952" t="str">
        <f>"2543023903"</f>
        <v>2543023903</v>
      </c>
      <c r="B3952" t="s">
        <v>5436</v>
      </c>
      <c r="C3952" t="s">
        <v>7</v>
      </c>
      <c r="D3952" t="s">
        <v>14</v>
      </c>
      <c r="E3952" t="s">
        <v>5158</v>
      </c>
      <c r="F3952" t="s">
        <v>5437</v>
      </c>
    </row>
    <row r="3953" spans="1:6" x14ac:dyDescent="0.25">
      <c r="A3953" t="str">
        <f>"253001947291"</f>
        <v>253001947291</v>
      </c>
      <c r="B3953" t="s">
        <v>5438</v>
      </c>
      <c r="C3953" t="s">
        <v>7</v>
      </c>
      <c r="D3953" t="s">
        <v>14</v>
      </c>
      <c r="E3953" t="s">
        <v>5158</v>
      </c>
    </row>
    <row r="3954" spans="1:6" x14ac:dyDescent="0.25">
      <c r="A3954" t="str">
        <f>"253002003232"</f>
        <v>253002003232</v>
      </c>
      <c r="B3954" t="s">
        <v>5439</v>
      </c>
      <c r="C3954" t="s">
        <v>7</v>
      </c>
      <c r="D3954" t="s">
        <v>14</v>
      </c>
      <c r="E3954" t="s">
        <v>5158</v>
      </c>
    </row>
    <row r="3955" spans="1:6" x14ac:dyDescent="0.25">
      <c r="A3955" t="str">
        <f>"253003562642"</f>
        <v>253003562642</v>
      </c>
      <c r="B3955" t="s">
        <v>5440</v>
      </c>
      <c r="C3955" t="s">
        <v>7</v>
      </c>
      <c r="D3955" t="s">
        <v>14</v>
      </c>
      <c r="E3955" t="s">
        <v>5158</v>
      </c>
    </row>
    <row r="3956" spans="1:6" x14ac:dyDescent="0.25">
      <c r="A3956" t="str">
        <f>"253102198521"</f>
        <v>253102198521</v>
      </c>
      <c r="B3956" t="s">
        <v>5441</v>
      </c>
      <c r="C3956" t="s">
        <v>7</v>
      </c>
      <c r="D3956" t="s">
        <v>14</v>
      </c>
      <c r="E3956" t="s">
        <v>5158</v>
      </c>
    </row>
    <row r="3957" spans="1:6" x14ac:dyDescent="0.25">
      <c r="A3957" t="str">
        <f>"253300042773"</f>
        <v>253300042773</v>
      </c>
      <c r="B3957" t="s">
        <v>5442</v>
      </c>
      <c r="C3957" t="s">
        <v>7</v>
      </c>
      <c r="D3957" t="s">
        <v>14</v>
      </c>
      <c r="E3957" t="s">
        <v>5158</v>
      </c>
    </row>
    <row r="3958" spans="1:6" x14ac:dyDescent="0.25">
      <c r="A3958" t="str">
        <f>"253301099532"</f>
        <v>253301099532</v>
      </c>
      <c r="B3958" t="s">
        <v>5443</v>
      </c>
      <c r="C3958" t="s">
        <v>7</v>
      </c>
      <c r="D3958" t="s">
        <v>14</v>
      </c>
      <c r="E3958" t="s">
        <v>5158</v>
      </c>
    </row>
    <row r="3959" spans="1:6" x14ac:dyDescent="0.25">
      <c r="A3959" t="str">
        <f>"253301790764"</f>
        <v>253301790764</v>
      </c>
      <c r="B3959" t="s">
        <v>5444</v>
      </c>
      <c r="C3959" t="s">
        <v>7</v>
      </c>
      <c r="D3959" t="s">
        <v>14</v>
      </c>
      <c r="E3959" t="s">
        <v>5158</v>
      </c>
    </row>
    <row r="3960" spans="1:6" x14ac:dyDescent="0.25">
      <c r="A3960" t="str">
        <f>"253402129991"</f>
        <v>253402129991</v>
      </c>
      <c r="B3960" t="s">
        <v>5445</v>
      </c>
      <c r="C3960" t="s">
        <v>7</v>
      </c>
      <c r="D3960" t="s">
        <v>14</v>
      </c>
      <c r="E3960" t="s">
        <v>5158</v>
      </c>
    </row>
    <row r="3961" spans="1:6" x14ac:dyDescent="0.25">
      <c r="A3961" t="str">
        <f>"253500007078"</f>
        <v>253500007078</v>
      </c>
      <c r="B3961" t="s">
        <v>5446</v>
      </c>
      <c r="C3961" t="s">
        <v>7</v>
      </c>
      <c r="D3961" t="s">
        <v>14</v>
      </c>
      <c r="E3961" t="s">
        <v>5158</v>
      </c>
    </row>
    <row r="3962" spans="1:6" x14ac:dyDescent="0.25">
      <c r="A3962" t="str">
        <f>"253501383678"</f>
        <v>253501383678</v>
      </c>
      <c r="B3962" t="s">
        <v>5447</v>
      </c>
      <c r="C3962" t="s">
        <v>7</v>
      </c>
      <c r="D3962" t="s">
        <v>14</v>
      </c>
      <c r="E3962" t="s">
        <v>5158</v>
      </c>
    </row>
    <row r="3963" spans="1:6" x14ac:dyDescent="0.25">
      <c r="A3963" t="str">
        <f>"253607312483"</f>
        <v>253607312483</v>
      </c>
      <c r="B3963" t="s">
        <v>5448</v>
      </c>
      <c r="C3963" t="s">
        <v>7</v>
      </c>
      <c r="D3963" t="s">
        <v>14</v>
      </c>
      <c r="E3963" t="s">
        <v>5158</v>
      </c>
    </row>
    <row r="3964" spans="1:6" x14ac:dyDescent="0.25">
      <c r="A3964" t="str">
        <f>"253613929436"</f>
        <v>253613929436</v>
      </c>
      <c r="B3964" t="s">
        <v>5449</v>
      </c>
      <c r="C3964" t="s">
        <v>7</v>
      </c>
      <c r="D3964" t="s">
        <v>14</v>
      </c>
      <c r="E3964" t="s">
        <v>5158</v>
      </c>
    </row>
    <row r="3965" spans="1:6" x14ac:dyDescent="0.25">
      <c r="A3965" t="str">
        <f>"2536153796"</f>
        <v>2536153796</v>
      </c>
      <c r="B3965" t="s">
        <v>5450</v>
      </c>
      <c r="C3965" t="s">
        <v>7</v>
      </c>
      <c r="D3965" t="s">
        <v>14</v>
      </c>
      <c r="E3965" t="s">
        <v>5158</v>
      </c>
      <c r="F3965" t="s">
        <v>5451</v>
      </c>
    </row>
    <row r="3966" spans="1:6" x14ac:dyDescent="0.25">
      <c r="A3966" t="str">
        <f>"253615443850"</f>
        <v>253615443850</v>
      </c>
      <c r="B3966" t="s">
        <v>5452</v>
      </c>
      <c r="C3966" t="s">
        <v>7</v>
      </c>
      <c r="D3966" t="s">
        <v>14</v>
      </c>
      <c r="E3966" t="s">
        <v>5158</v>
      </c>
    </row>
    <row r="3967" spans="1:6" x14ac:dyDescent="0.25">
      <c r="A3967" t="str">
        <f>"2536181803"</f>
        <v>2536181803</v>
      </c>
      <c r="B3967" t="s">
        <v>5453</v>
      </c>
      <c r="C3967" t="s">
        <v>7</v>
      </c>
      <c r="D3967" t="s">
        <v>674</v>
      </c>
      <c r="E3967" t="s">
        <v>5158</v>
      </c>
      <c r="F3967" t="s">
        <v>5454</v>
      </c>
    </row>
    <row r="3968" spans="1:6" x14ac:dyDescent="0.25">
      <c r="A3968" t="str">
        <f>"2536213501"</f>
        <v>2536213501</v>
      </c>
      <c r="B3968" t="s">
        <v>5455</v>
      </c>
      <c r="C3968" t="s">
        <v>7</v>
      </c>
      <c r="D3968" t="s">
        <v>12</v>
      </c>
      <c r="E3968" t="s">
        <v>5158</v>
      </c>
      <c r="F3968" t="s">
        <v>5456</v>
      </c>
    </row>
    <row r="3969" spans="1:6" x14ac:dyDescent="0.25">
      <c r="A3969" t="str">
        <f>"2536238256"</f>
        <v>2536238256</v>
      </c>
      <c r="B3969" t="s">
        <v>5457</v>
      </c>
      <c r="C3969" t="s">
        <v>7</v>
      </c>
      <c r="D3969" t="s">
        <v>33</v>
      </c>
      <c r="E3969" t="s">
        <v>5158</v>
      </c>
      <c r="F3969" t="s">
        <v>5458</v>
      </c>
    </row>
    <row r="3970" spans="1:6" x14ac:dyDescent="0.25">
      <c r="A3970" t="str">
        <f>"2536270500"</f>
        <v>2536270500</v>
      </c>
      <c r="B3970" t="s">
        <v>5459</v>
      </c>
      <c r="C3970" t="s">
        <v>7</v>
      </c>
      <c r="D3970" t="s">
        <v>12</v>
      </c>
      <c r="E3970" t="s">
        <v>5158</v>
      </c>
      <c r="F3970" t="s">
        <v>5460</v>
      </c>
    </row>
    <row r="3971" spans="1:6" x14ac:dyDescent="0.25">
      <c r="A3971" t="str">
        <f>"2536307326"</f>
        <v>2536307326</v>
      </c>
      <c r="B3971" t="s">
        <v>5461</v>
      </c>
      <c r="C3971" t="s">
        <v>7</v>
      </c>
      <c r="D3971" t="s">
        <v>189</v>
      </c>
      <c r="E3971" t="s">
        <v>5158</v>
      </c>
      <c r="F3971" t="s">
        <v>5462</v>
      </c>
    </row>
    <row r="3972" spans="1:6" x14ac:dyDescent="0.25">
      <c r="A3972" t="str">
        <f>"2536349439"</f>
        <v>2536349439</v>
      </c>
      <c r="B3972" t="s">
        <v>5463</v>
      </c>
      <c r="C3972" t="s">
        <v>7</v>
      </c>
      <c r="D3972" t="s">
        <v>189</v>
      </c>
      <c r="E3972" t="s">
        <v>5158</v>
      </c>
      <c r="F3972" t="s">
        <v>5464</v>
      </c>
    </row>
    <row r="3973" spans="1:6" x14ac:dyDescent="0.25">
      <c r="A3973" t="str">
        <f>"253707803968"</f>
        <v>253707803968</v>
      </c>
      <c r="B3973" t="s">
        <v>5465</v>
      </c>
      <c r="C3973" t="s">
        <v>7</v>
      </c>
      <c r="D3973" t="s">
        <v>12</v>
      </c>
      <c r="E3973" t="s">
        <v>5158</v>
      </c>
    </row>
    <row r="3974" spans="1:6" x14ac:dyDescent="0.25">
      <c r="A3974" t="str">
        <f>"2537083252"</f>
        <v>2537083252</v>
      </c>
      <c r="B3974" t="s">
        <v>5466</v>
      </c>
      <c r="C3974" t="s">
        <v>7</v>
      </c>
      <c r="D3974" t="s">
        <v>14</v>
      </c>
      <c r="E3974" t="s">
        <v>5158</v>
      </c>
      <c r="F3974" t="s">
        <v>5467</v>
      </c>
    </row>
    <row r="3975" spans="1:6" x14ac:dyDescent="0.25">
      <c r="A3975" t="str">
        <f>"2537090242"</f>
        <v>2537090242</v>
      </c>
      <c r="B3975" t="s">
        <v>5468</v>
      </c>
      <c r="C3975" t="s">
        <v>7</v>
      </c>
      <c r="D3975" t="s">
        <v>33</v>
      </c>
      <c r="E3975" t="s">
        <v>5158</v>
      </c>
      <c r="F3975" t="s">
        <v>5469</v>
      </c>
    </row>
    <row r="3976" spans="1:6" x14ac:dyDescent="0.25">
      <c r="A3976" t="str">
        <f>"253710979471"</f>
        <v>253710979471</v>
      </c>
      <c r="B3976" t="s">
        <v>5470</v>
      </c>
      <c r="C3976" t="s">
        <v>7</v>
      </c>
      <c r="D3976" t="s">
        <v>14</v>
      </c>
      <c r="E3976" t="s">
        <v>5158</v>
      </c>
    </row>
    <row r="3977" spans="1:6" x14ac:dyDescent="0.25">
      <c r="A3977" t="str">
        <f>"253804913860"</f>
        <v>253804913860</v>
      </c>
      <c r="B3977" t="s">
        <v>5471</v>
      </c>
      <c r="C3977" t="s">
        <v>7</v>
      </c>
      <c r="D3977" t="s">
        <v>8</v>
      </c>
      <c r="E3977" t="s">
        <v>5158</v>
      </c>
    </row>
    <row r="3978" spans="1:6" x14ac:dyDescent="0.25">
      <c r="A3978" t="str">
        <f>"253805751002"</f>
        <v>253805751002</v>
      </c>
      <c r="B3978" t="s">
        <v>5472</v>
      </c>
      <c r="C3978" t="s">
        <v>7</v>
      </c>
      <c r="D3978" t="s">
        <v>189</v>
      </c>
      <c r="E3978" t="s">
        <v>5158</v>
      </c>
    </row>
    <row r="3979" spans="1:6" x14ac:dyDescent="0.25">
      <c r="A3979" t="str">
        <f>"2538082100"</f>
        <v>2538082100</v>
      </c>
      <c r="B3979" t="s">
        <v>5473</v>
      </c>
      <c r="C3979" t="s">
        <v>7</v>
      </c>
      <c r="D3979" t="s">
        <v>33</v>
      </c>
      <c r="E3979" t="s">
        <v>5158</v>
      </c>
      <c r="F3979" t="s">
        <v>5474</v>
      </c>
    </row>
    <row r="3980" spans="1:6" x14ac:dyDescent="0.25">
      <c r="A3980" t="str">
        <f>"253810153720"</f>
        <v>253810153720</v>
      </c>
      <c r="B3980" t="s">
        <v>5475</v>
      </c>
      <c r="C3980" t="s">
        <v>7</v>
      </c>
      <c r="D3980" t="s">
        <v>14</v>
      </c>
      <c r="E3980" t="s">
        <v>5158</v>
      </c>
    </row>
    <row r="3981" spans="1:6" x14ac:dyDescent="0.25">
      <c r="A3981" t="str">
        <f>"2538147540"</f>
        <v>2538147540</v>
      </c>
      <c r="B3981" t="s">
        <v>5476</v>
      </c>
      <c r="C3981" t="s">
        <v>7</v>
      </c>
      <c r="D3981" t="s">
        <v>33</v>
      </c>
      <c r="E3981" t="s">
        <v>5158</v>
      </c>
      <c r="F3981" t="s">
        <v>5477</v>
      </c>
    </row>
    <row r="3982" spans="1:6" x14ac:dyDescent="0.25">
      <c r="A3982" t="str">
        <f>"253900095128"</f>
        <v>253900095128</v>
      </c>
      <c r="B3982" t="s">
        <v>5478</v>
      </c>
      <c r="C3982" t="s">
        <v>7</v>
      </c>
      <c r="D3982" t="s">
        <v>33</v>
      </c>
      <c r="E3982" t="s">
        <v>5158</v>
      </c>
    </row>
    <row r="3983" spans="1:6" x14ac:dyDescent="0.25">
      <c r="A3983" t="str">
        <f>"2539083339"</f>
        <v>2539083339</v>
      </c>
      <c r="B3983" t="s">
        <v>5479</v>
      </c>
      <c r="C3983" t="s">
        <v>7</v>
      </c>
      <c r="D3983" t="s">
        <v>14</v>
      </c>
      <c r="E3983" t="s">
        <v>5158</v>
      </c>
      <c r="F3983" t="s">
        <v>5480</v>
      </c>
    </row>
    <row r="3984" spans="1:6" x14ac:dyDescent="0.25">
      <c r="A3984" t="str">
        <f>"2539084540"</f>
        <v>2539084540</v>
      </c>
      <c r="B3984" t="s">
        <v>5481</v>
      </c>
      <c r="C3984" t="s">
        <v>7</v>
      </c>
      <c r="D3984" t="s">
        <v>8</v>
      </c>
      <c r="E3984" t="s">
        <v>5158</v>
      </c>
      <c r="F3984" t="s">
        <v>5482</v>
      </c>
    </row>
    <row r="3985" spans="1:6" x14ac:dyDescent="0.25">
      <c r="A3985" t="str">
        <f>"254007061913"</f>
        <v>254007061913</v>
      </c>
      <c r="B3985" t="s">
        <v>5483</v>
      </c>
      <c r="C3985" t="s">
        <v>7</v>
      </c>
      <c r="D3985" t="s">
        <v>33</v>
      </c>
      <c r="E3985" t="s">
        <v>5158</v>
      </c>
    </row>
    <row r="3986" spans="1:6" x14ac:dyDescent="0.25">
      <c r="A3986" t="str">
        <f>"254009661112"</f>
        <v>254009661112</v>
      </c>
      <c r="B3986" t="s">
        <v>5484</v>
      </c>
      <c r="C3986" t="s">
        <v>7</v>
      </c>
      <c r="D3986" t="s">
        <v>14</v>
      </c>
      <c r="E3986" t="s">
        <v>5158</v>
      </c>
    </row>
    <row r="3987" spans="1:6" x14ac:dyDescent="0.25">
      <c r="A3987" t="str">
        <f>"2540121589"</f>
        <v>2540121589</v>
      </c>
      <c r="B3987" t="s">
        <v>5485</v>
      </c>
      <c r="C3987" t="s">
        <v>7</v>
      </c>
      <c r="D3987" t="s">
        <v>33</v>
      </c>
      <c r="E3987" t="s">
        <v>5158</v>
      </c>
      <c r="F3987" t="s">
        <v>5486</v>
      </c>
    </row>
    <row r="3988" spans="1:6" x14ac:dyDescent="0.25">
      <c r="A3988" t="str">
        <f>"2540167061"</f>
        <v>2540167061</v>
      </c>
      <c r="B3988" t="s">
        <v>5487</v>
      </c>
      <c r="C3988" t="s">
        <v>7</v>
      </c>
      <c r="D3988" t="s">
        <v>8</v>
      </c>
      <c r="E3988" t="s">
        <v>5158</v>
      </c>
      <c r="F3988" t="s">
        <v>5488</v>
      </c>
    </row>
    <row r="3989" spans="1:6" x14ac:dyDescent="0.25">
      <c r="A3989" t="str">
        <f>"2540179998"</f>
        <v>2540179998</v>
      </c>
      <c r="B3989" t="s">
        <v>5489</v>
      </c>
      <c r="C3989" t="s">
        <v>7</v>
      </c>
      <c r="D3989" t="s">
        <v>189</v>
      </c>
      <c r="E3989" t="s">
        <v>5158</v>
      </c>
      <c r="F3989" t="s">
        <v>5490</v>
      </c>
    </row>
    <row r="3990" spans="1:6" x14ac:dyDescent="0.25">
      <c r="A3990" t="str">
        <f>"2540201643"</f>
        <v>2540201643</v>
      </c>
      <c r="B3990" t="s">
        <v>5491</v>
      </c>
      <c r="C3990" t="s">
        <v>7</v>
      </c>
      <c r="D3990" t="s">
        <v>12</v>
      </c>
      <c r="E3990" t="s">
        <v>5158</v>
      </c>
      <c r="F3990" t="s">
        <v>5492</v>
      </c>
    </row>
    <row r="3991" spans="1:6" x14ac:dyDescent="0.25">
      <c r="A3991" t="str">
        <f>"2540208705"</f>
        <v>2540208705</v>
      </c>
      <c r="B3991" t="s">
        <v>5493</v>
      </c>
      <c r="C3991" t="s">
        <v>7</v>
      </c>
      <c r="D3991" t="s">
        <v>33</v>
      </c>
      <c r="E3991" t="s">
        <v>5158</v>
      </c>
      <c r="F3991" t="s">
        <v>5494</v>
      </c>
    </row>
    <row r="3992" spans="1:6" x14ac:dyDescent="0.25">
      <c r="A3992" t="str">
        <f>"2540230740"</f>
        <v>2540230740</v>
      </c>
      <c r="B3992" t="s">
        <v>5495</v>
      </c>
      <c r="C3992" t="s">
        <v>7</v>
      </c>
      <c r="D3992" t="s">
        <v>189</v>
      </c>
      <c r="E3992" t="s">
        <v>5158</v>
      </c>
      <c r="F3992" t="s">
        <v>5496</v>
      </c>
    </row>
    <row r="3993" spans="1:6" x14ac:dyDescent="0.25">
      <c r="A3993" t="str">
        <f>"2540252969"</f>
        <v>2540252969</v>
      </c>
      <c r="B3993" t="s">
        <v>5497</v>
      </c>
      <c r="C3993" t="s">
        <v>7</v>
      </c>
      <c r="D3993" t="s">
        <v>33</v>
      </c>
      <c r="E3993" t="s">
        <v>5158</v>
      </c>
      <c r="F3993" t="s">
        <v>5498</v>
      </c>
    </row>
    <row r="3994" spans="1:6" x14ac:dyDescent="0.25">
      <c r="A3994" t="str">
        <f>"2540275910"</f>
        <v>2540275910</v>
      </c>
      <c r="B3994" t="s">
        <v>5499</v>
      </c>
      <c r="C3994" t="s">
        <v>7</v>
      </c>
      <c r="D3994" t="s">
        <v>189</v>
      </c>
      <c r="E3994" t="s">
        <v>5158</v>
      </c>
      <c r="F3994" t="s">
        <v>5500</v>
      </c>
    </row>
    <row r="3995" spans="1:6" x14ac:dyDescent="0.25">
      <c r="A3995" t="str">
        <f>"2540277635"</f>
        <v>2540277635</v>
      </c>
      <c r="B3995" t="s">
        <v>5501</v>
      </c>
      <c r="C3995" t="s">
        <v>7</v>
      </c>
      <c r="D3995" t="s">
        <v>189</v>
      </c>
      <c r="E3995" t="s">
        <v>5158</v>
      </c>
      <c r="F3995" t="s">
        <v>5502</v>
      </c>
    </row>
    <row r="3996" spans="1:6" x14ac:dyDescent="0.25">
      <c r="A3996" t="str">
        <f>"2540285795"</f>
        <v>2540285795</v>
      </c>
      <c r="B3996" t="s">
        <v>5503</v>
      </c>
      <c r="C3996" t="s">
        <v>7</v>
      </c>
      <c r="D3996" t="s">
        <v>674</v>
      </c>
      <c r="E3996" t="s">
        <v>5158</v>
      </c>
      <c r="F3996" t="s">
        <v>5504</v>
      </c>
    </row>
    <row r="3997" spans="1:6" x14ac:dyDescent="0.25">
      <c r="A3997" t="str">
        <f>"2540285971"</f>
        <v>2540285971</v>
      </c>
      <c r="B3997" t="s">
        <v>5505</v>
      </c>
      <c r="C3997" t="s">
        <v>7</v>
      </c>
      <c r="D3997" t="s">
        <v>8</v>
      </c>
      <c r="E3997" t="s">
        <v>5158</v>
      </c>
      <c r="F3997" t="s">
        <v>5506</v>
      </c>
    </row>
    <row r="3998" spans="1:6" x14ac:dyDescent="0.25">
      <c r="A3998" t="str">
        <f>"2543029422"</f>
        <v>2543029422</v>
      </c>
      <c r="B3998" t="s">
        <v>5507</v>
      </c>
      <c r="C3998" t="s">
        <v>7</v>
      </c>
      <c r="D3998" t="s">
        <v>12</v>
      </c>
      <c r="E3998" t="s">
        <v>5158</v>
      </c>
      <c r="F3998" t="s">
        <v>5508</v>
      </c>
    </row>
    <row r="3999" spans="1:6" x14ac:dyDescent="0.25">
      <c r="A3999" t="str">
        <f>"253100684981"</f>
        <v>253100684981</v>
      </c>
      <c r="B3999" t="s">
        <v>5509</v>
      </c>
      <c r="C3999" t="s">
        <v>7</v>
      </c>
      <c r="D3999" t="s">
        <v>14</v>
      </c>
      <c r="E3999" t="s">
        <v>5158</v>
      </c>
    </row>
    <row r="4000" spans="1:6" x14ac:dyDescent="0.25">
      <c r="A4000" t="str">
        <f>"253100738041"</f>
        <v>253100738041</v>
      </c>
      <c r="B4000" t="s">
        <v>5510</v>
      </c>
      <c r="C4000" t="s">
        <v>7</v>
      </c>
      <c r="D4000" t="s">
        <v>14</v>
      </c>
      <c r="E4000" t="s">
        <v>5158</v>
      </c>
    </row>
    <row r="4001" spans="1:6" x14ac:dyDescent="0.25">
      <c r="A4001" t="str">
        <f>"253200240027"</f>
        <v>253200240027</v>
      </c>
      <c r="B4001" t="s">
        <v>5511</v>
      </c>
      <c r="C4001" t="s">
        <v>7</v>
      </c>
      <c r="D4001" t="s">
        <v>14</v>
      </c>
      <c r="E4001" t="s">
        <v>5158</v>
      </c>
    </row>
    <row r="4002" spans="1:6" x14ac:dyDescent="0.25">
      <c r="A4002" t="str">
        <f>"253200341385"</f>
        <v>253200341385</v>
      </c>
      <c r="B4002" t="s">
        <v>5512</v>
      </c>
      <c r="C4002" t="s">
        <v>7</v>
      </c>
      <c r="D4002" t="s">
        <v>14</v>
      </c>
      <c r="E4002" t="s">
        <v>5158</v>
      </c>
    </row>
    <row r="4003" spans="1:6" x14ac:dyDescent="0.25">
      <c r="A4003" t="str">
        <f>"253300038209"</f>
        <v>253300038209</v>
      </c>
      <c r="B4003" t="s">
        <v>5513</v>
      </c>
      <c r="C4003" t="s">
        <v>7</v>
      </c>
      <c r="D4003" t="s">
        <v>14</v>
      </c>
      <c r="E4003" t="s">
        <v>5158</v>
      </c>
    </row>
    <row r="4004" spans="1:6" x14ac:dyDescent="0.25">
      <c r="A4004" t="str">
        <f>"253303785618"</f>
        <v>253303785618</v>
      </c>
      <c r="B4004" t="s">
        <v>5514</v>
      </c>
      <c r="C4004" t="s">
        <v>7</v>
      </c>
      <c r="D4004" t="s">
        <v>14</v>
      </c>
      <c r="E4004" t="s">
        <v>5158</v>
      </c>
    </row>
    <row r="4005" spans="1:6" x14ac:dyDescent="0.25">
      <c r="A4005" t="str">
        <f>"253304124843"</f>
        <v>253304124843</v>
      </c>
      <c r="B4005" t="s">
        <v>5515</v>
      </c>
      <c r="C4005" t="s">
        <v>7</v>
      </c>
      <c r="D4005" t="s">
        <v>14</v>
      </c>
      <c r="E4005" t="s">
        <v>5158</v>
      </c>
    </row>
    <row r="4006" spans="1:6" x14ac:dyDescent="0.25">
      <c r="A4006" t="str">
        <f>"253403190290"</f>
        <v>253403190290</v>
      </c>
      <c r="B4006" t="s">
        <v>5516</v>
      </c>
      <c r="C4006" t="s">
        <v>7</v>
      </c>
      <c r="D4006" t="s">
        <v>14</v>
      </c>
      <c r="E4006" t="s">
        <v>5158</v>
      </c>
    </row>
    <row r="4007" spans="1:6" x14ac:dyDescent="0.25">
      <c r="A4007" t="str">
        <f>"253600485857"</f>
        <v>253600485857</v>
      </c>
      <c r="B4007" t="s">
        <v>5517</v>
      </c>
      <c r="C4007" t="s">
        <v>7</v>
      </c>
      <c r="D4007" t="s">
        <v>14</v>
      </c>
      <c r="E4007" t="s">
        <v>5158</v>
      </c>
    </row>
    <row r="4008" spans="1:6" x14ac:dyDescent="0.25">
      <c r="A4008" t="str">
        <f>"253602705723"</f>
        <v>253602705723</v>
      </c>
      <c r="B4008" t="s">
        <v>5518</v>
      </c>
      <c r="C4008" t="s">
        <v>7</v>
      </c>
      <c r="D4008" t="s">
        <v>12</v>
      </c>
      <c r="E4008" t="s">
        <v>5158</v>
      </c>
    </row>
    <row r="4009" spans="1:6" x14ac:dyDescent="0.25">
      <c r="A4009" t="str">
        <f>"253604222256"</f>
        <v>253604222256</v>
      </c>
      <c r="B4009" t="s">
        <v>5519</v>
      </c>
      <c r="C4009" t="s">
        <v>7</v>
      </c>
      <c r="D4009" t="s">
        <v>14</v>
      </c>
      <c r="E4009" t="s">
        <v>5158</v>
      </c>
    </row>
    <row r="4010" spans="1:6" x14ac:dyDescent="0.25">
      <c r="A4010" t="str">
        <f>"253607131504"</f>
        <v>253607131504</v>
      </c>
      <c r="B4010" t="s">
        <v>5520</v>
      </c>
      <c r="C4010" t="s">
        <v>7</v>
      </c>
      <c r="D4010" t="s">
        <v>14</v>
      </c>
      <c r="E4010" t="s">
        <v>5158</v>
      </c>
    </row>
    <row r="4011" spans="1:6" x14ac:dyDescent="0.25">
      <c r="A4011" t="str">
        <f>"253608608606"</f>
        <v>253608608606</v>
      </c>
      <c r="B4011" t="s">
        <v>5521</v>
      </c>
      <c r="C4011" t="s">
        <v>7</v>
      </c>
      <c r="D4011" t="s">
        <v>14</v>
      </c>
      <c r="E4011" t="s">
        <v>5158</v>
      </c>
    </row>
    <row r="4012" spans="1:6" x14ac:dyDescent="0.25">
      <c r="A4012" t="str">
        <f>"253608904242"</f>
        <v>253608904242</v>
      </c>
      <c r="B4012" t="s">
        <v>5522</v>
      </c>
      <c r="C4012" t="s">
        <v>7</v>
      </c>
      <c r="D4012" t="s">
        <v>12</v>
      </c>
      <c r="E4012" t="s">
        <v>5158</v>
      </c>
    </row>
    <row r="4013" spans="1:6" x14ac:dyDescent="0.25">
      <c r="A4013" t="str">
        <f>"2536137297"</f>
        <v>2536137297</v>
      </c>
      <c r="B4013" t="s">
        <v>5523</v>
      </c>
      <c r="C4013" t="s">
        <v>7</v>
      </c>
      <c r="D4013" t="s">
        <v>12</v>
      </c>
      <c r="E4013" t="s">
        <v>5158</v>
      </c>
      <c r="F4013" t="s">
        <v>5524</v>
      </c>
    </row>
    <row r="4014" spans="1:6" x14ac:dyDescent="0.25">
      <c r="A4014" t="str">
        <f>"2536214720"</f>
        <v>2536214720</v>
      </c>
      <c r="B4014" t="s">
        <v>5525</v>
      </c>
      <c r="C4014" t="s">
        <v>7</v>
      </c>
      <c r="D4014" t="s">
        <v>33</v>
      </c>
      <c r="E4014" t="s">
        <v>5158</v>
      </c>
      <c r="F4014" t="s">
        <v>5526</v>
      </c>
    </row>
    <row r="4015" spans="1:6" x14ac:dyDescent="0.25">
      <c r="A4015" t="str">
        <f>"2536248430"</f>
        <v>2536248430</v>
      </c>
      <c r="B4015" t="s">
        <v>5527</v>
      </c>
      <c r="C4015" t="s">
        <v>7</v>
      </c>
      <c r="D4015" t="s">
        <v>674</v>
      </c>
      <c r="E4015" t="s">
        <v>5158</v>
      </c>
      <c r="F4015" t="s">
        <v>5528</v>
      </c>
    </row>
    <row r="4016" spans="1:6" x14ac:dyDescent="0.25">
      <c r="A4016" t="str">
        <f>"2536278918"</f>
        <v>2536278918</v>
      </c>
      <c r="B4016" t="s">
        <v>5529</v>
      </c>
      <c r="C4016" t="s">
        <v>7</v>
      </c>
      <c r="D4016" t="s">
        <v>12</v>
      </c>
      <c r="E4016" t="s">
        <v>5158</v>
      </c>
      <c r="F4016" t="s">
        <v>5530</v>
      </c>
    </row>
    <row r="4017" spans="1:6" x14ac:dyDescent="0.25">
      <c r="A4017" t="str">
        <f>"2536304357"</f>
        <v>2536304357</v>
      </c>
      <c r="B4017" t="s">
        <v>5531</v>
      </c>
      <c r="C4017" t="s">
        <v>7</v>
      </c>
      <c r="D4017" t="s">
        <v>14</v>
      </c>
      <c r="E4017" t="s">
        <v>5158</v>
      </c>
      <c r="F4017" t="s">
        <v>5532</v>
      </c>
    </row>
    <row r="4018" spans="1:6" x14ac:dyDescent="0.25">
      <c r="A4018" t="str">
        <f>"2536325149"</f>
        <v>2536325149</v>
      </c>
      <c r="B4018" t="s">
        <v>5533</v>
      </c>
      <c r="C4018" t="s">
        <v>7</v>
      </c>
      <c r="D4018" t="s">
        <v>674</v>
      </c>
      <c r="E4018" t="s">
        <v>5158</v>
      </c>
      <c r="F4018" t="s">
        <v>5534</v>
      </c>
    </row>
    <row r="4019" spans="1:6" x14ac:dyDescent="0.25">
      <c r="A4019" t="str">
        <f>"2536342592"</f>
        <v>2536342592</v>
      </c>
      <c r="B4019" t="s">
        <v>5535</v>
      </c>
      <c r="C4019" t="s">
        <v>7</v>
      </c>
      <c r="D4019" t="s">
        <v>12</v>
      </c>
      <c r="E4019" t="s">
        <v>5158</v>
      </c>
      <c r="F4019" t="s">
        <v>5536</v>
      </c>
    </row>
    <row r="4020" spans="1:6" x14ac:dyDescent="0.25">
      <c r="A4020" t="str">
        <f>"2536342803"</f>
        <v>2536342803</v>
      </c>
      <c r="B4020" t="s">
        <v>5537</v>
      </c>
      <c r="C4020" t="s">
        <v>7</v>
      </c>
      <c r="D4020" t="s">
        <v>12</v>
      </c>
      <c r="E4020" t="s">
        <v>5158</v>
      </c>
      <c r="F4020" t="s">
        <v>5538</v>
      </c>
    </row>
    <row r="4021" spans="1:6" x14ac:dyDescent="0.25">
      <c r="A4021" t="str">
        <f>"2536345410"</f>
        <v>2536345410</v>
      </c>
      <c r="B4021" t="s">
        <v>5539</v>
      </c>
      <c r="C4021" t="s">
        <v>7</v>
      </c>
      <c r="D4021" t="s">
        <v>33</v>
      </c>
      <c r="E4021" t="s">
        <v>5158</v>
      </c>
      <c r="F4021" t="s">
        <v>5540</v>
      </c>
    </row>
    <row r="4022" spans="1:6" x14ac:dyDescent="0.25">
      <c r="A4022" t="str">
        <f>"2536350579"</f>
        <v>2536350579</v>
      </c>
      <c r="B4022" t="s">
        <v>5541</v>
      </c>
      <c r="C4022" t="s">
        <v>7</v>
      </c>
      <c r="D4022" t="s">
        <v>8</v>
      </c>
      <c r="E4022" t="s">
        <v>5158</v>
      </c>
      <c r="F4022" t="s">
        <v>5542</v>
      </c>
    </row>
    <row r="4023" spans="1:6" x14ac:dyDescent="0.25">
      <c r="A4023" t="str">
        <f>"253702904017"</f>
        <v>253702904017</v>
      </c>
      <c r="B4023" t="s">
        <v>5543</v>
      </c>
      <c r="C4023" t="s">
        <v>7</v>
      </c>
      <c r="D4023" t="s">
        <v>12</v>
      </c>
      <c r="E4023" t="s">
        <v>5158</v>
      </c>
    </row>
    <row r="4024" spans="1:6" x14ac:dyDescent="0.25">
      <c r="A4024" t="str">
        <f>"2537080903"</f>
        <v>2537080903</v>
      </c>
      <c r="B4024" t="s">
        <v>5544</v>
      </c>
      <c r="C4024" t="s">
        <v>7</v>
      </c>
      <c r="D4024" t="s">
        <v>12</v>
      </c>
      <c r="E4024" t="s">
        <v>5158</v>
      </c>
      <c r="F4024" t="s">
        <v>5545</v>
      </c>
    </row>
    <row r="4025" spans="1:6" x14ac:dyDescent="0.25">
      <c r="A4025" t="str">
        <f>"2537095226"</f>
        <v>2537095226</v>
      </c>
      <c r="B4025" t="s">
        <v>5546</v>
      </c>
      <c r="C4025" t="s">
        <v>7</v>
      </c>
      <c r="D4025" t="s">
        <v>14</v>
      </c>
      <c r="E4025" t="s">
        <v>5158</v>
      </c>
      <c r="F4025" t="s">
        <v>5547</v>
      </c>
    </row>
    <row r="4026" spans="1:6" x14ac:dyDescent="0.25">
      <c r="A4026" t="str">
        <f>"2537126499"</f>
        <v>2537126499</v>
      </c>
      <c r="B4026" t="s">
        <v>5548</v>
      </c>
      <c r="C4026" t="s">
        <v>7</v>
      </c>
      <c r="D4026" t="s">
        <v>674</v>
      </c>
      <c r="E4026" t="s">
        <v>5158</v>
      </c>
      <c r="F4026" t="s">
        <v>5549</v>
      </c>
    </row>
    <row r="4027" spans="1:6" x14ac:dyDescent="0.25">
      <c r="A4027" t="str">
        <f>"2537130858"</f>
        <v>2537130858</v>
      </c>
      <c r="B4027" t="s">
        <v>5550</v>
      </c>
      <c r="C4027" t="s">
        <v>7</v>
      </c>
      <c r="D4027" t="s">
        <v>33</v>
      </c>
      <c r="E4027" t="s">
        <v>5158</v>
      </c>
      <c r="F4027" t="s">
        <v>5551</v>
      </c>
    </row>
    <row r="4028" spans="1:6" x14ac:dyDescent="0.25">
      <c r="A4028" t="str">
        <f>"253713370350"</f>
        <v>253713370350</v>
      </c>
      <c r="B4028" t="s">
        <v>5552</v>
      </c>
      <c r="C4028" t="s">
        <v>7</v>
      </c>
      <c r="D4028" t="s">
        <v>14</v>
      </c>
      <c r="E4028" t="s">
        <v>5158</v>
      </c>
    </row>
    <row r="4029" spans="1:6" x14ac:dyDescent="0.25">
      <c r="A4029" t="str">
        <f>"253800301458"</f>
        <v>253800301458</v>
      </c>
      <c r="B4029" t="s">
        <v>5553</v>
      </c>
      <c r="C4029" t="s">
        <v>7</v>
      </c>
      <c r="D4029" t="s">
        <v>14</v>
      </c>
      <c r="E4029" t="s">
        <v>5158</v>
      </c>
    </row>
    <row r="4030" spans="1:6" x14ac:dyDescent="0.25">
      <c r="A4030" t="str">
        <f>"253802065044"</f>
        <v>253802065044</v>
      </c>
      <c r="B4030" t="s">
        <v>5554</v>
      </c>
      <c r="C4030" t="s">
        <v>7</v>
      </c>
      <c r="D4030" t="s">
        <v>14</v>
      </c>
      <c r="E4030" t="s">
        <v>5158</v>
      </c>
    </row>
    <row r="4031" spans="1:6" x14ac:dyDescent="0.25">
      <c r="A4031" t="str">
        <f>"253811427332"</f>
        <v>253811427332</v>
      </c>
      <c r="B4031" t="s">
        <v>5555</v>
      </c>
      <c r="C4031" t="s">
        <v>7</v>
      </c>
      <c r="D4031" t="s">
        <v>14</v>
      </c>
      <c r="E4031" t="s">
        <v>5158</v>
      </c>
    </row>
    <row r="4032" spans="1:6" x14ac:dyDescent="0.25">
      <c r="A4032" t="str">
        <f>"2539062258"</f>
        <v>2539062258</v>
      </c>
      <c r="B4032" t="s">
        <v>5556</v>
      </c>
      <c r="C4032" t="s">
        <v>7</v>
      </c>
      <c r="D4032" t="s">
        <v>12</v>
      </c>
      <c r="E4032" t="s">
        <v>5158</v>
      </c>
      <c r="F4032" t="s">
        <v>5557</v>
      </c>
    </row>
    <row r="4033" spans="1:6" x14ac:dyDescent="0.25">
      <c r="A4033" t="str">
        <f>"2539076557"</f>
        <v>2539076557</v>
      </c>
      <c r="B4033" t="s">
        <v>5558</v>
      </c>
      <c r="C4033" t="s">
        <v>7</v>
      </c>
      <c r="D4033" t="s">
        <v>14</v>
      </c>
      <c r="E4033" t="s">
        <v>5158</v>
      </c>
      <c r="F4033" t="s">
        <v>5559</v>
      </c>
    </row>
    <row r="4034" spans="1:6" x14ac:dyDescent="0.25">
      <c r="A4034" t="str">
        <f>"253908610042"</f>
        <v>253908610042</v>
      </c>
      <c r="B4034" t="s">
        <v>5560</v>
      </c>
      <c r="C4034" t="s">
        <v>7</v>
      </c>
      <c r="D4034" t="s">
        <v>14</v>
      </c>
      <c r="E4034" t="s">
        <v>5158</v>
      </c>
    </row>
    <row r="4035" spans="1:6" x14ac:dyDescent="0.25">
      <c r="A4035" t="str">
        <f>"2540109302"</f>
        <v>2540109302</v>
      </c>
      <c r="B4035" t="s">
        <v>5561</v>
      </c>
      <c r="C4035" t="s">
        <v>7</v>
      </c>
      <c r="D4035" t="s">
        <v>674</v>
      </c>
      <c r="E4035" t="s">
        <v>5158</v>
      </c>
      <c r="F4035" t="s">
        <v>5562</v>
      </c>
    </row>
    <row r="4036" spans="1:6" x14ac:dyDescent="0.25">
      <c r="A4036" t="str">
        <f>"2540119406"</f>
        <v>2540119406</v>
      </c>
      <c r="B4036" t="s">
        <v>5563</v>
      </c>
      <c r="C4036" t="s">
        <v>7</v>
      </c>
      <c r="D4036" t="s">
        <v>674</v>
      </c>
      <c r="E4036" t="s">
        <v>5158</v>
      </c>
      <c r="F4036" t="s">
        <v>5564</v>
      </c>
    </row>
    <row r="4037" spans="1:6" x14ac:dyDescent="0.25">
      <c r="A4037" t="str">
        <f>"2540129612"</f>
        <v>2540129612</v>
      </c>
      <c r="B4037" t="s">
        <v>5565</v>
      </c>
      <c r="C4037" t="s">
        <v>7</v>
      </c>
      <c r="D4037" t="s">
        <v>12</v>
      </c>
      <c r="E4037" t="s">
        <v>5158</v>
      </c>
      <c r="F4037" t="s">
        <v>5566</v>
      </c>
    </row>
    <row r="4038" spans="1:6" x14ac:dyDescent="0.25">
      <c r="A4038" t="str">
        <f>"2540221985"</f>
        <v>2540221985</v>
      </c>
      <c r="B4038" t="s">
        <v>5567</v>
      </c>
      <c r="C4038" t="s">
        <v>7</v>
      </c>
      <c r="D4038" t="s">
        <v>674</v>
      </c>
      <c r="E4038" t="s">
        <v>5158</v>
      </c>
      <c r="F4038" t="s">
        <v>5568</v>
      </c>
    </row>
    <row r="4039" spans="1:6" x14ac:dyDescent="0.25">
      <c r="A4039" t="str">
        <f>"2540248641"</f>
        <v>2540248641</v>
      </c>
      <c r="B4039" t="s">
        <v>5569</v>
      </c>
      <c r="C4039" t="s">
        <v>7</v>
      </c>
      <c r="D4039" t="s">
        <v>674</v>
      </c>
      <c r="E4039" t="s">
        <v>5158</v>
      </c>
      <c r="F4039" t="s">
        <v>5570</v>
      </c>
    </row>
    <row r="4040" spans="1:6" x14ac:dyDescent="0.25">
      <c r="A4040" t="str">
        <f>"2540251965"</f>
        <v>2540251965</v>
      </c>
      <c r="B4040" t="s">
        <v>5571</v>
      </c>
      <c r="C4040" t="s">
        <v>7</v>
      </c>
      <c r="D4040" t="s">
        <v>674</v>
      </c>
      <c r="E4040" t="s">
        <v>5158</v>
      </c>
      <c r="F4040" t="s">
        <v>5572</v>
      </c>
    </row>
    <row r="4041" spans="1:6" x14ac:dyDescent="0.25">
      <c r="A4041" t="str">
        <f>"2540252278"</f>
        <v>2540252278</v>
      </c>
      <c r="B4041" t="s">
        <v>5573</v>
      </c>
      <c r="C4041" t="s">
        <v>7</v>
      </c>
      <c r="D4041" t="s">
        <v>189</v>
      </c>
      <c r="E4041" t="s">
        <v>5158</v>
      </c>
      <c r="F4041" t="s">
        <v>5574</v>
      </c>
    </row>
    <row r="4042" spans="1:6" x14ac:dyDescent="0.25">
      <c r="A4042" t="str">
        <f>"2540263576"</f>
        <v>2540263576</v>
      </c>
      <c r="B4042" t="s">
        <v>5575</v>
      </c>
      <c r="C4042" t="s">
        <v>7</v>
      </c>
      <c r="D4042" t="s">
        <v>674</v>
      </c>
      <c r="E4042" t="s">
        <v>5158</v>
      </c>
      <c r="F4042" t="s">
        <v>5576</v>
      </c>
    </row>
    <row r="4043" spans="1:6" x14ac:dyDescent="0.25">
      <c r="A4043" t="str">
        <f>"2540270502"</f>
        <v>2540270502</v>
      </c>
      <c r="B4043" t="s">
        <v>5577</v>
      </c>
      <c r="C4043" t="s">
        <v>7</v>
      </c>
      <c r="D4043" t="s">
        <v>460</v>
      </c>
      <c r="E4043" t="s">
        <v>5158</v>
      </c>
      <c r="F4043" t="s">
        <v>5578</v>
      </c>
    </row>
    <row r="4044" spans="1:6" x14ac:dyDescent="0.25">
      <c r="A4044" t="str">
        <f>"2540276053"</f>
        <v>2540276053</v>
      </c>
      <c r="B4044" t="s">
        <v>5579</v>
      </c>
      <c r="C4044" t="s">
        <v>7</v>
      </c>
      <c r="D4044" t="s">
        <v>8</v>
      </c>
      <c r="E4044" t="s">
        <v>5158</v>
      </c>
      <c r="F4044" t="s">
        <v>5580</v>
      </c>
    </row>
    <row r="4045" spans="1:6" x14ac:dyDescent="0.25">
      <c r="A4045" t="str">
        <f>"2540286686"</f>
        <v>2540286686</v>
      </c>
      <c r="B4045" t="s">
        <v>5581</v>
      </c>
      <c r="C4045" t="s">
        <v>7</v>
      </c>
      <c r="D4045" t="s">
        <v>12</v>
      </c>
      <c r="E4045" t="s">
        <v>5158</v>
      </c>
      <c r="F4045" t="s">
        <v>5582</v>
      </c>
    </row>
    <row r="4046" spans="1:6" x14ac:dyDescent="0.25">
      <c r="A4046" t="str">
        <f>"2540286862"</f>
        <v>2540286862</v>
      </c>
      <c r="B4046" t="s">
        <v>5583</v>
      </c>
      <c r="C4046" t="s">
        <v>7</v>
      </c>
      <c r="D4046" t="s">
        <v>463</v>
      </c>
      <c r="E4046" t="s">
        <v>5158</v>
      </c>
      <c r="F4046" t="s">
        <v>5584</v>
      </c>
    </row>
    <row r="4047" spans="1:6" x14ac:dyDescent="0.25">
      <c r="A4047" t="str">
        <f>"2543003907"</f>
        <v>2543003907</v>
      </c>
      <c r="B4047" t="s">
        <v>5585</v>
      </c>
      <c r="C4047" t="s">
        <v>7</v>
      </c>
      <c r="D4047" t="s">
        <v>14</v>
      </c>
      <c r="E4047" t="s">
        <v>5158</v>
      </c>
      <c r="F4047" t="s">
        <v>5586</v>
      </c>
    </row>
    <row r="4048" spans="1:6" x14ac:dyDescent="0.25">
      <c r="A4048" t="str">
        <f>"2543071248"</f>
        <v>2543071248</v>
      </c>
      <c r="B4048" t="s">
        <v>5587</v>
      </c>
      <c r="C4048" t="s">
        <v>7</v>
      </c>
      <c r="D4048" t="s">
        <v>189</v>
      </c>
      <c r="E4048" t="s">
        <v>5158</v>
      </c>
      <c r="F4048" t="s">
        <v>5588</v>
      </c>
    </row>
    <row r="4049" spans="1:6" x14ac:dyDescent="0.25">
      <c r="A4049" t="str">
        <f>"2543098176"</f>
        <v>2543098176</v>
      </c>
      <c r="B4049" t="s">
        <v>5589</v>
      </c>
      <c r="C4049" t="s">
        <v>7</v>
      </c>
      <c r="D4049" t="s">
        <v>460</v>
      </c>
      <c r="E4049" t="s">
        <v>5158</v>
      </c>
      <c r="F4049" t="s">
        <v>5590</v>
      </c>
    </row>
    <row r="4050" spans="1:6" x14ac:dyDescent="0.25">
      <c r="A4050" t="str">
        <f>"053408013677"</f>
        <v>053408013677</v>
      </c>
      <c r="B4050" t="s">
        <v>5591</v>
      </c>
      <c r="C4050" t="s">
        <v>7</v>
      </c>
      <c r="D4050" t="s">
        <v>14</v>
      </c>
      <c r="E4050" t="s">
        <v>5158</v>
      </c>
    </row>
    <row r="4051" spans="1:6" x14ac:dyDescent="0.25">
      <c r="A4051" t="str">
        <f>"2543103355"</f>
        <v>2543103355</v>
      </c>
      <c r="B4051" t="s">
        <v>5592</v>
      </c>
      <c r="C4051" t="s">
        <v>7</v>
      </c>
      <c r="D4051" t="s">
        <v>674</v>
      </c>
      <c r="E4051" t="s">
        <v>5158</v>
      </c>
      <c r="F4051" t="s">
        <v>5593</v>
      </c>
    </row>
    <row r="4052" spans="1:6" x14ac:dyDescent="0.25">
      <c r="A4052" t="str">
        <f>"2543114614"</f>
        <v>2543114614</v>
      </c>
      <c r="B4052" t="s">
        <v>5594</v>
      </c>
      <c r="C4052" t="s">
        <v>7</v>
      </c>
      <c r="D4052" t="s">
        <v>12</v>
      </c>
      <c r="E4052" t="s">
        <v>5158</v>
      </c>
      <c r="F4052" t="s">
        <v>5595</v>
      </c>
    </row>
    <row r="4053" spans="1:6" x14ac:dyDescent="0.25">
      <c r="A4053" t="str">
        <f>"2543117196"</f>
        <v>2543117196</v>
      </c>
      <c r="B4053" t="s">
        <v>5596</v>
      </c>
      <c r="C4053" t="s">
        <v>7</v>
      </c>
      <c r="D4053" t="s">
        <v>674</v>
      </c>
      <c r="E4053" t="s">
        <v>5158</v>
      </c>
      <c r="F4053" t="s">
        <v>5597</v>
      </c>
    </row>
    <row r="4054" spans="1:6" x14ac:dyDescent="0.25">
      <c r="A4054" t="str">
        <f>"2543117848"</f>
        <v>2543117848</v>
      </c>
      <c r="B4054" t="s">
        <v>5598</v>
      </c>
      <c r="C4054" t="s">
        <v>7</v>
      </c>
      <c r="D4054" t="s">
        <v>33</v>
      </c>
      <c r="E4054" t="s">
        <v>5158</v>
      </c>
      <c r="F4054" t="s">
        <v>5599</v>
      </c>
    </row>
    <row r="4055" spans="1:6" x14ac:dyDescent="0.25">
      <c r="A4055" t="str">
        <f>"2543144520"</f>
        <v>2543144520</v>
      </c>
      <c r="B4055" t="s">
        <v>5600</v>
      </c>
      <c r="C4055" t="s">
        <v>7</v>
      </c>
      <c r="D4055" t="s">
        <v>14</v>
      </c>
      <c r="E4055" t="s">
        <v>5158</v>
      </c>
      <c r="F4055" t="s">
        <v>5601</v>
      </c>
    </row>
    <row r="4056" spans="1:6" x14ac:dyDescent="0.25">
      <c r="A4056" t="str">
        <f>"2543148998"</f>
        <v>2543148998</v>
      </c>
      <c r="B4056" t="s">
        <v>5602</v>
      </c>
      <c r="C4056" t="s">
        <v>7</v>
      </c>
      <c r="D4056" t="s">
        <v>33</v>
      </c>
      <c r="E4056" t="s">
        <v>5158</v>
      </c>
      <c r="F4056" t="s">
        <v>5603</v>
      </c>
    </row>
    <row r="4057" spans="1:6" x14ac:dyDescent="0.25">
      <c r="A4057" t="str">
        <f>"2543161460"</f>
        <v>2543161460</v>
      </c>
      <c r="B4057" t="s">
        <v>5604</v>
      </c>
      <c r="C4057" t="s">
        <v>7</v>
      </c>
      <c r="D4057" t="s">
        <v>33</v>
      </c>
      <c r="E4057" t="s">
        <v>5158</v>
      </c>
      <c r="F4057" t="s">
        <v>5605</v>
      </c>
    </row>
    <row r="4058" spans="1:6" x14ac:dyDescent="0.25">
      <c r="A4058" t="str">
        <f>"2543164615"</f>
        <v>2543164615</v>
      </c>
      <c r="B4058" t="s">
        <v>5606</v>
      </c>
      <c r="C4058" t="s">
        <v>7</v>
      </c>
      <c r="D4058" t="s">
        <v>189</v>
      </c>
      <c r="E4058" t="s">
        <v>5158</v>
      </c>
      <c r="F4058" t="s">
        <v>5607</v>
      </c>
    </row>
    <row r="4059" spans="1:6" x14ac:dyDescent="0.25">
      <c r="A4059" t="str">
        <f>"2543172704"</f>
        <v>2543172704</v>
      </c>
      <c r="B4059" t="s">
        <v>5608</v>
      </c>
      <c r="C4059" t="s">
        <v>7</v>
      </c>
      <c r="D4059" t="s">
        <v>33</v>
      </c>
      <c r="E4059" t="s">
        <v>5158</v>
      </c>
      <c r="F4059" t="s">
        <v>5609</v>
      </c>
    </row>
    <row r="4060" spans="1:6" x14ac:dyDescent="0.25">
      <c r="A4060" t="str">
        <f>"2543180550"</f>
        <v>2543180550</v>
      </c>
      <c r="B4060" t="s">
        <v>2278</v>
      </c>
      <c r="C4060" t="s">
        <v>7</v>
      </c>
      <c r="D4060" t="s">
        <v>12</v>
      </c>
      <c r="E4060" t="s">
        <v>5158</v>
      </c>
      <c r="F4060" t="s">
        <v>5610</v>
      </c>
    </row>
    <row r="4061" spans="1:6" x14ac:dyDescent="0.25">
      <c r="A4061" t="str">
        <f>"2543183600"</f>
        <v>2543183600</v>
      </c>
      <c r="B4061" t="s">
        <v>5611</v>
      </c>
      <c r="C4061" t="s">
        <v>7</v>
      </c>
      <c r="D4061" t="s">
        <v>33</v>
      </c>
      <c r="E4061" t="s">
        <v>5158</v>
      </c>
      <c r="F4061" t="s">
        <v>5612</v>
      </c>
    </row>
    <row r="4062" spans="1:6" x14ac:dyDescent="0.25">
      <c r="A4062" t="str">
        <f>"2543057211"</f>
        <v>2543057211</v>
      </c>
      <c r="B4062" t="s">
        <v>5613</v>
      </c>
      <c r="C4062" t="s">
        <v>7</v>
      </c>
      <c r="D4062" t="s">
        <v>14</v>
      </c>
      <c r="E4062" t="s">
        <v>5158</v>
      </c>
      <c r="F4062" t="s">
        <v>5614</v>
      </c>
    </row>
    <row r="4063" spans="1:6" x14ac:dyDescent="0.25">
      <c r="A4063" t="str">
        <f>"2543107582"</f>
        <v>2543107582</v>
      </c>
      <c r="B4063" t="s">
        <v>5615</v>
      </c>
      <c r="C4063" t="s">
        <v>7</v>
      </c>
      <c r="D4063" t="s">
        <v>8</v>
      </c>
      <c r="E4063" t="s">
        <v>5158</v>
      </c>
      <c r="F4063" t="s">
        <v>5616</v>
      </c>
    </row>
    <row r="4064" spans="1:6" x14ac:dyDescent="0.25">
      <c r="A4064" t="str">
        <f>"2543110360"</f>
        <v>2543110360</v>
      </c>
      <c r="B4064" t="s">
        <v>5617</v>
      </c>
      <c r="C4064" t="s">
        <v>7</v>
      </c>
      <c r="D4064" t="s">
        <v>189</v>
      </c>
      <c r="E4064" t="s">
        <v>5158</v>
      </c>
      <c r="F4064" t="s">
        <v>5618</v>
      </c>
    </row>
    <row r="4065" spans="1:6" x14ac:dyDescent="0.25">
      <c r="A4065" t="str">
        <f>"2543118947"</f>
        <v>2543118947</v>
      </c>
      <c r="B4065" t="s">
        <v>5619</v>
      </c>
      <c r="C4065" t="s">
        <v>7</v>
      </c>
      <c r="D4065" t="s">
        <v>98</v>
      </c>
      <c r="E4065" t="s">
        <v>5158</v>
      </c>
      <c r="F4065" t="s">
        <v>5620</v>
      </c>
    </row>
    <row r="4066" spans="1:6" x14ac:dyDescent="0.25">
      <c r="A4066" t="str">
        <f>"2543127003"</f>
        <v>2543127003</v>
      </c>
      <c r="B4066" t="s">
        <v>5621</v>
      </c>
      <c r="C4066" t="s">
        <v>7</v>
      </c>
      <c r="D4066" t="s">
        <v>33</v>
      </c>
      <c r="E4066" t="s">
        <v>5158</v>
      </c>
      <c r="F4066" t="s">
        <v>5622</v>
      </c>
    </row>
    <row r="4067" spans="1:6" x14ac:dyDescent="0.25">
      <c r="A4067" t="str">
        <f>"2543132356"</f>
        <v>2543132356</v>
      </c>
      <c r="B4067" t="s">
        <v>5623</v>
      </c>
      <c r="C4067" t="s">
        <v>7</v>
      </c>
      <c r="D4067" t="s">
        <v>12</v>
      </c>
      <c r="E4067" t="s">
        <v>5158</v>
      </c>
      <c r="F4067" t="s">
        <v>5624</v>
      </c>
    </row>
    <row r="4068" spans="1:6" x14ac:dyDescent="0.25">
      <c r="A4068" t="str">
        <f>"2543133511"</f>
        <v>2543133511</v>
      </c>
      <c r="B4068" t="s">
        <v>5625</v>
      </c>
      <c r="C4068" t="s">
        <v>7</v>
      </c>
      <c r="D4068" t="s">
        <v>14</v>
      </c>
      <c r="E4068" t="s">
        <v>5158</v>
      </c>
      <c r="F4068" t="s">
        <v>5626</v>
      </c>
    </row>
    <row r="4069" spans="1:6" x14ac:dyDescent="0.25">
      <c r="A4069" t="str">
        <f>"2543138990"</f>
        <v>2543138990</v>
      </c>
      <c r="B4069" t="s">
        <v>5627</v>
      </c>
      <c r="C4069" t="s">
        <v>7</v>
      </c>
      <c r="D4069" t="s">
        <v>12</v>
      </c>
      <c r="E4069" t="s">
        <v>5158</v>
      </c>
      <c r="F4069" t="s">
        <v>5628</v>
      </c>
    </row>
    <row r="4070" spans="1:6" x14ac:dyDescent="0.25">
      <c r="A4070" t="str">
        <f>"2543163530"</f>
        <v>2543163530</v>
      </c>
      <c r="B4070" t="s">
        <v>5629</v>
      </c>
      <c r="C4070" t="s">
        <v>7</v>
      </c>
      <c r="D4070" t="s">
        <v>189</v>
      </c>
      <c r="E4070" t="s">
        <v>5158</v>
      </c>
      <c r="F4070" t="s">
        <v>5630</v>
      </c>
    </row>
    <row r="4071" spans="1:6" x14ac:dyDescent="0.25">
      <c r="A4071" t="str">
        <f>"2543165023"</f>
        <v>2543165023</v>
      </c>
      <c r="B4071" t="s">
        <v>5631</v>
      </c>
      <c r="C4071" t="s">
        <v>7</v>
      </c>
      <c r="D4071" t="s">
        <v>28</v>
      </c>
      <c r="E4071" t="s">
        <v>5158</v>
      </c>
      <c r="F4071" t="s">
        <v>5632</v>
      </c>
    </row>
    <row r="4072" spans="1:6" x14ac:dyDescent="0.25">
      <c r="A4072" t="str">
        <f>"2543178833"</f>
        <v>2543178833</v>
      </c>
      <c r="B4072" t="s">
        <v>5633</v>
      </c>
      <c r="C4072" t="s">
        <v>7</v>
      </c>
      <c r="D4072" t="s">
        <v>12</v>
      </c>
      <c r="E4072" t="s">
        <v>5158</v>
      </c>
      <c r="F4072" t="s">
        <v>5634</v>
      </c>
    </row>
    <row r="4073" spans="1:6" x14ac:dyDescent="0.25">
      <c r="A4073" t="str">
        <f>"2543182251"</f>
        <v>2543182251</v>
      </c>
      <c r="B4073" t="s">
        <v>5635</v>
      </c>
      <c r="C4073" t="s">
        <v>7</v>
      </c>
      <c r="D4073" t="s">
        <v>33</v>
      </c>
      <c r="E4073" t="s">
        <v>5158</v>
      </c>
      <c r="F4073" t="s">
        <v>5636</v>
      </c>
    </row>
    <row r="4074" spans="1:6" x14ac:dyDescent="0.25">
      <c r="A4074" t="str">
        <f>"2543185051"</f>
        <v>2543185051</v>
      </c>
      <c r="B4074" t="s">
        <v>2948</v>
      </c>
      <c r="C4074" t="s">
        <v>7</v>
      </c>
      <c r="D4074" t="s">
        <v>8</v>
      </c>
      <c r="E4074" t="s">
        <v>5158</v>
      </c>
      <c r="F4074" t="s">
        <v>5637</v>
      </c>
    </row>
    <row r="4075" spans="1:6" x14ac:dyDescent="0.25">
      <c r="A4075" t="str">
        <f>"2543188800"</f>
        <v>2543188800</v>
      </c>
      <c r="B4075" t="s">
        <v>5638</v>
      </c>
      <c r="C4075" t="s">
        <v>7</v>
      </c>
      <c r="D4075" t="s">
        <v>189</v>
      </c>
      <c r="E4075" t="s">
        <v>5158</v>
      </c>
      <c r="F4075" t="s">
        <v>5639</v>
      </c>
    </row>
    <row r="4076" spans="1:6" x14ac:dyDescent="0.25">
      <c r="A4076" t="str">
        <f>"2543107430"</f>
        <v>2543107430</v>
      </c>
      <c r="B4076" t="s">
        <v>5640</v>
      </c>
      <c r="C4076" t="s">
        <v>7</v>
      </c>
      <c r="D4076" t="s">
        <v>189</v>
      </c>
      <c r="E4076" t="s">
        <v>5158</v>
      </c>
      <c r="F4076" t="s">
        <v>5641</v>
      </c>
    </row>
    <row r="4077" spans="1:6" x14ac:dyDescent="0.25">
      <c r="A4077" t="str">
        <f>"2543113635"</f>
        <v>2543113635</v>
      </c>
      <c r="B4077" t="s">
        <v>5642</v>
      </c>
      <c r="C4077" t="s">
        <v>7</v>
      </c>
      <c r="D4077" t="s">
        <v>189</v>
      </c>
      <c r="E4077" t="s">
        <v>5158</v>
      </c>
      <c r="F4077" t="s">
        <v>5643</v>
      </c>
    </row>
    <row r="4078" spans="1:6" x14ac:dyDescent="0.25">
      <c r="A4078" t="str">
        <f>"2543114741"</f>
        <v>2543114741</v>
      </c>
      <c r="B4078" t="s">
        <v>5644</v>
      </c>
      <c r="C4078" t="s">
        <v>7</v>
      </c>
      <c r="D4078" t="s">
        <v>8</v>
      </c>
      <c r="E4078" t="s">
        <v>5158</v>
      </c>
      <c r="F4078" t="s">
        <v>5645</v>
      </c>
    </row>
    <row r="4079" spans="1:6" x14ac:dyDescent="0.25">
      <c r="A4079" t="str">
        <f>"2543148645"</f>
        <v>2543148645</v>
      </c>
      <c r="B4079" t="s">
        <v>5646</v>
      </c>
      <c r="C4079" t="s">
        <v>7</v>
      </c>
      <c r="D4079" t="s">
        <v>12</v>
      </c>
      <c r="E4079" t="s">
        <v>5158</v>
      </c>
      <c r="F4079" t="s">
        <v>5490</v>
      </c>
    </row>
    <row r="4080" spans="1:6" x14ac:dyDescent="0.25">
      <c r="A4080" t="str">
        <f>"2543155152"</f>
        <v>2543155152</v>
      </c>
      <c r="B4080" t="s">
        <v>5647</v>
      </c>
      <c r="C4080" t="s">
        <v>7</v>
      </c>
      <c r="D4080" t="s">
        <v>674</v>
      </c>
      <c r="E4080" t="s">
        <v>5158</v>
      </c>
      <c r="F4080" t="s">
        <v>5648</v>
      </c>
    </row>
    <row r="4081" spans="1:6" x14ac:dyDescent="0.25">
      <c r="A4081" t="str">
        <f>"2543173602"</f>
        <v>2543173602</v>
      </c>
      <c r="B4081" t="s">
        <v>5649</v>
      </c>
      <c r="C4081" t="s">
        <v>7</v>
      </c>
      <c r="D4081" t="s">
        <v>33</v>
      </c>
      <c r="E4081" t="s">
        <v>5158</v>
      </c>
      <c r="F4081" t="s">
        <v>5650</v>
      </c>
    </row>
    <row r="4082" spans="1:6" x14ac:dyDescent="0.25">
      <c r="A4082" t="str">
        <f>"250100159786"</f>
        <v>250100159786</v>
      </c>
      <c r="B4082" t="s">
        <v>5651</v>
      </c>
      <c r="C4082" t="s">
        <v>7</v>
      </c>
      <c r="D4082" t="s">
        <v>14</v>
      </c>
      <c r="E4082" t="s">
        <v>5158</v>
      </c>
    </row>
    <row r="4083" spans="1:6" x14ac:dyDescent="0.25">
      <c r="A4083" t="str">
        <f>"2502078364"</f>
        <v>2502078364</v>
      </c>
      <c r="B4083" t="s">
        <v>5652</v>
      </c>
      <c r="C4083" t="s">
        <v>7</v>
      </c>
      <c r="D4083" t="s">
        <v>33</v>
      </c>
      <c r="E4083" t="s">
        <v>5158</v>
      </c>
      <c r="F4083" t="s">
        <v>5653</v>
      </c>
    </row>
    <row r="4084" spans="1:6" x14ac:dyDescent="0.25">
      <c r="A4084" t="str">
        <f>"250301125787"</f>
        <v>250301125787</v>
      </c>
      <c r="B4084" t="s">
        <v>5654</v>
      </c>
      <c r="C4084" t="s">
        <v>7</v>
      </c>
      <c r="D4084" t="s">
        <v>14</v>
      </c>
      <c r="E4084" t="s">
        <v>5158</v>
      </c>
    </row>
    <row r="4085" spans="1:6" x14ac:dyDescent="0.25">
      <c r="A4085" t="str">
        <f>"250362113034"</f>
        <v>250362113034</v>
      </c>
      <c r="B4085" t="s">
        <v>5655</v>
      </c>
      <c r="C4085" t="s">
        <v>7</v>
      </c>
      <c r="D4085" t="s">
        <v>14</v>
      </c>
      <c r="E4085" t="s">
        <v>5158</v>
      </c>
    </row>
    <row r="4086" spans="1:6" x14ac:dyDescent="0.25">
      <c r="A4086" t="str">
        <f>"2506011120"</f>
        <v>2506011120</v>
      </c>
      <c r="B4086" t="s">
        <v>5656</v>
      </c>
      <c r="C4086" t="s">
        <v>7</v>
      </c>
      <c r="D4086" t="s">
        <v>14</v>
      </c>
      <c r="E4086" t="s">
        <v>5158</v>
      </c>
      <c r="F4086" t="s">
        <v>5657</v>
      </c>
    </row>
    <row r="4087" spans="1:6" x14ac:dyDescent="0.25">
      <c r="A4087" t="str">
        <f>"250813608681"</f>
        <v>250813608681</v>
      </c>
      <c r="B4087" t="s">
        <v>5658</v>
      </c>
      <c r="C4087" t="s">
        <v>7</v>
      </c>
      <c r="D4087" t="s">
        <v>33</v>
      </c>
      <c r="E4087" t="s">
        <v>5158</v>
      </c>
    </row>
    <row r="4088" spans="1:6" x14ac:dyDescent="0.25">
      <c r="A4088" t="str">
        <f>"250814425747"</f>
        <v>250814425747</v>
      </c>
      <c r="B4088" t="s">
        <v>5659</v>
      </c>
      <c r="C4088" t="s">
        <v>7</v>
      </c>
      <c r="D4088" t="s">
        <v>14</v>
      </c>
      <c r="E4088" t="s">
        <v>5158</v>
      </c>
    </row>
    <row r="4089" spans="1:6" x14ac:dyDescent="0.25">
      <c r="A4089" t="str">
        <f>"250909216300"</f>
        <v>250909216300</v>
      </c>
      <c r="B4089" t="s">
        <v>5660</v>
      </c>
      <c r="C4089" t="s">
        <v>7</v>
      </c>
      <c r="D4089" t="s">
        <v>14</v>
      </c>
      <c r="E4089" t="s">
        <v>5158</v>
      </c>
    </row>
    <row r="4090" spans="1:6" x14ac:dyDescent="0.25">
      <c r="A4090" t="str">
        <f>"2511112212"</f>
        <v>2511112212</v>
      </c>
      <c r="B4090" t="s">
        <v>5661</v>
      </c>
      <c r="C4090" t="s">
        <v>7</v>
      </c>
      <c r="D4090" t="s">
        <v>8</v>
      </c>
      <c r="E4090" t="s">
        <v>5158</v>
      </c>
      <c r="F4090" t="s">
        <v>5662</v>
      </c>
    </row>
    <row r="4091" spans="1:6" x14ac:dyDescent="0.25">
      <c r="A4091" t="str">
        <f>"251600284931"</f>
        <v>251600284931</v>
      </c>
      <c r="B4091" t="s">
        <v>5663</v>
      </c>
      <c r="C4091" t="s">
        <v>7</v>
      </c>
      <c r="D4091" t="s">
        <v>14</v>
      </c>
      <c r="E4091" t="s">
        <v>5158</v>
      </c>
    </row>
    <row r="4092" spans="1:6" x14ac:dyDescent="0.25">
      <c r="A4092" t="str">
        <f>"252101569203"</f>
        <v>252101569203</v>
      </c>
      <c r="B4092" t="s">
        <v>5664</v>
      </c>
      <c r="C4092" t="s">
        <v>7</v>
      </c>
      <c r="D4092" t="s">
        <v>14</v>
      </c>
      <c r="E4092" t="s">
        <v>5158</v>
      </c>
    </row>
    <row r="4093" spans="1:6" x14ac:dyDescent="0.25">
      <c r="A4093" t="str">
        <f>"252533323510"</f>
        <v>252533323510</v>
      </c>
      <c r="B4093" t="s">
        <v>5665</v>
      </c>
      <c r="C4093" t="s">
        <v>7</v>
      </c>
      <c r="D4093" t="s">
        <v>14</v>
      </c>
      <c r="E4093" t="s">
        <v>5158</v>
      </c>
    </row>
    <row r="4094" spans="1:6" x14ac:dyDescent="0.25">
      <c r="A4094" t="str">
        <f>"2536011262"</f>
        <v>2536011262</v>
      </c>
      <c r="B4094" t="s">
        <v>5666</v>
      </c>
      <c r="C4094" t="s">
        <v>7</v>
      </c>
      <c r="D4094" t="s">
        <v>33</v>
      </c>
      <c r="E4094" t="s">
        <v>5158</v>
      </c>
      <c r="F4094" t="s">
        <v>5667</v>
      </c>
    </row>
    <row r="4095" spans="1:6" x14ac:dyDescent="0.25">
      <c r="A4095" t="str">
        <f>"253601444331"</f>
        <v>253601444331</v>
      </c>
      <c r="B4095" t="s">
        <v>5668</v>
      </c>
      <c r="C4095" t="s">
        <v>7</v>
      </c>
      <c r="D4095" t="s">
        <v>14</v>
      </c>
      <c r="E4095" t="s">
        <v>5158</v>
      </c>
    </row>
    <row r="4096" spans="1:6" x14ac:dyDescent="0.25">
      <c r="A4096" t="str">
        <f>"2536091317"</f>
        <v>2536091317</v>
      </c>
      <c r="B4096" t="s">
        <v>5669</v>
      </c>
      <c r="C4096" t="s">
        <v>7</v>
      </c>
      <c r="D4096" t="s">
        <v>8</v>
      </c>
      <c r="E4096" t="s">
        <v>5158</v>
      </c>
      <c r="F4096" t="s">
        <v>5562</v>
      </c>
    </row>
    <row r="4097" spans="1:6" x14ac:dyDescent="0.25">
      <c r="A4097" t="str">
        <f>"2536223901"</f>
        <v>2536223901</v>
      </c>
      <c r="B4097" t="s">
        <v>5670</v>
      </c>
      <c r="C4097" t="s">
        <v>7</v>
      </c>
      <c r="D4097" t="s">
        <v>189</v>
      </c>
      <c r="E4097" t="s">
        <v>5158</v>
      </c>
      <c r="F4097" t="s">
        <v>5671</v>
      </c>
    </row>
    <row r="4098" spans="1:6" x14ac:dyDescent="0.25">
      <c r="A4098" t="str">
        <f>"2536258990"</f>
        <v>2536258990</v>
      </c>
      <c r="B4098" t="s">
        <v>5672</v>
      </c>
      <c r="C4098" t="s">
        <v>7</v>
      </c>
      <c r="D4098" t="s">
        <v>8</v>
      </c>
      <c r="E4098" t="s">
        <v>5158</v>
      </c>
      <c r="F4098" t="s">
        <v>5673</v>
      </c>
    </row>
    <row r="4099" spans="1:6" x14ac:dyDescent="0.25">
      <c r="A4099" t="str">
        <f>"2536300539"</f>
        <v>2536300539</v>
      </c>
      <c r="B4099" t="s">
        <v>5674</v>
      </c>
      <c r="C4099" t="s">
        <v>7</v>
      </c>
      <c r="D4099" t="s">
        <v>674</v>
      </c>
      <c r="E4099" t="s">
        <v>5158</v>
      </c>
      <c r="F4099" t="s">
        <v>5675</v>
      </c>
    </row>
    <row r="4100" spans="1:6" x14ac:dyDescent="0.25">
      <c r="A4100" t="str">
        <f>"2536303963"</f>
        <v>2536303963</v>
      </c>
      <c r="B4100" t="s">
        <v>5676</v>
      </c>
      <c r="C4100" t="s">
        <v>7</v>
      </c>
      <c r="D4100" t="s">
        <v>8</v>
      </c>
      <c r="E4100" t="s">
        <v>5158</v>
      </c>
      <c r="F4100" t="s">
        <v>5677</v>
      </c>
    </row>
    <row r="4101" spans="1:6" x14ac:dyDescent="0.25">
      <c r="A4101" t="str">
        <f>"2536346452"</f>
        <v>2536346452</v>
      </c>
      <c r="B4101" t="s">
        <v>5678</v>
      </c>
      <c r="C4101" t="s">
        <v>7</v>
      </c>
      <c r="D4101" t="s">
        <v>8</v>
      </c>
      <c r="E4101" t="s">
        <v>5158</v>
      </c>
      <c r="F4101" t="s">
        <v>5679</v>
      </c>
    </row>
    <row r="4102" spans="1:6" x14ac:dyDescent="0.25">
      <c r="A4102" t="str">
        <f>"253810727333"</f>
        <v>253810727333</v>
      </c>
      <c r="B4102" t="s">
        <v>5680</v>
      </c>
      <c r="C4102" t="s">
        <v>7</v>
      </c>
      <c r="D4102" t="s">
        <v>674</v>
      </c>
      <c r="E4102" t="s">
        <v>5158</v>
      </c>
    </row>
    <row r="4103" spans="1:6" x14ac:dyDescent="0.25">
      <c r="A4103" t="str">
        <f>"2540146079"</f>
        <v>2540146079</v>
      </c>
      <c r="B4103" t="s">
        <v>5681</v>
      </c>
      <c r="C4103" t="s">
        <v>7</v>
      </c>
      <c r="D4103" t="s">
        <v>33</v>
      </c>
      <c r="E4103" t="s">
        <v>5158</v>
      </c>
      <c r="F4103" t="s">
        <v>5682</v>
      </c>
    </row>
    <row r="4104" spans="1:6" x14ac:dyDescent="0.25">
      <c r="A4104" t="str">
        <f>"2540154129"</f>
        <v>2540154129</v>
      </c>
      <c r="B4104" t="s">
        <v>5683</v>
      </c>
      <c r="C4104" t="s">
        <v>7</v>
      </c>
      <c r="D4104" t="s">
        <v>674</v>
      </c>
      <c r="E4104" t="s">
        <v>5158</v>
      </c>
      <c r="F4104" t="s">
        <v>5684</v>
      </c>
    </row>
    <row r="4105" spans="1:6" x14ac:dyDescent="0.25">
      <c r="A4105" t="str">
        <f>"2540224305"</f>
        <v>2540224305</v>
      </c>
      <c r="B4105" t="s">
        <v>5685</v>
      </c>
      <c r="C4105" t="s">
        <v>7</v>
      </c>
      <c r="D4105" t="s">
        <v>28</v>
      </c>
      <c r="E4105" t="s">
        <v>5158</v>
      </c>
      <c r="F4105" t="s">
        <v>5686</v>
      </c>
    </row>
    <row r="4106" spans="1:6" x14ac:dyDescent="0.25">
      <c r="A4106" t="str">
        <f>"2540234487"</f>
        <v>2540234487</v>
      </c>
      <c r="B4106" t="s">
        <v>709</v>
      </c>
      <c r="C4106" t="s">
        <v>7</v>
      </c>
      <c r="D4106" t="s">
        <v>674</v>
      </c>
      <c r="E4106" t="s">
        <v>5158</v>
      </c>
      <c r="F4106" t="s">
        <v>5687</v>
      </c>
    </row>
    <row r="4107" spans="1:6" x14ac:dyDescent="0.25">
      <c r="A4107" t="str">
        <f>"2540284801"</f>
        <v>2540284801</v>
      </c>
      <c r="B4107" t="s">
        <v>5688</v>
      </c>
      <c r="C4107" t="s">
        <v>7</v>
      </c>
      <c r="D4107" t="s">
        <v>189</v>
      </c>
      <c r="E4107" t="s">
        <v>5158</v>
      </c>
      <c r="F4107" t="s">
        <v>5689</v>
      </c>
    </row>
    <row r="4108" spans="1:6" x14ac:dyDescent="0.25">
      <c r="A4108" t="str">
        <f>"2543107078"</f>
        <v>2543107078</v>
      </c>
      <c r="B4108" t="s">
        <v>5690</v>
      </c>
      <c r="C4108" t="s">
        <v>7</v>
      </c>
      <c r="D4108" t="s">
        <v>8</v>
      </c>
      <c r="E4108" t="s">
        <v>5158</v>
      </c>
      <c r="F4108" t="s">
        <v>5691</v>
      </c>
    </row>
    <row r="4109" spans="1:6" x14ac:dyDescent="0.25">
      <c r="A4109" t="str">
        <f>"2543166193"</f>
        <v>2543166193</v>
      </c>
      <c r="B4109" t="s">
        <v>5692</v>
      </c>
      <c r="C4109" t="s">
        <v>7</v>
      </c>
      <c r="D4109" t="s">
        <v>14</v>
      </c>
      <c r="E4109" t="s">
        <v>5158</v>
      </c>
      <c r="F4109" t="s">
        <v>5693</v>
      </c>
    </row>
    <row r="4110" spans="1:6" x14ac:dyDescent="0.25">
      <c r="A4110" t="str">
        <f>"271307927541"</f>
        <v>271307927541</v>
      </c>
      <c r="B4110" t="s">
        <v>5694</v>
      </c>
      <c r="C4110" t="s">
        <v>7</v>
      </c>
      <c r="D4110" t="s">
        <v>14</v>
      </c>
      <c r="E4110" t="s">
        <v>5158</v>
      </c>
    </row>
    <row r="4111" spans="1:6" x14ac:dyDescent="0.25">
      <c r="A4111" t="str">
        <f>"270300827112"</f>
        <v>270300827112</v>
      </c>
      <c r="B4111" t="s">
        <v>5695</v>
      </c>
      <c r="C4111" t="s">
        <v>7</v>
      </c>
      <c r="D4111" t="s">
        <v>14</v>
      </c>
      <c r="E4111" t="s">
        <v>5158</v>
      </c>
    </row>
    <row r="4112" spans="1:6" x14ac:dyDescent="0.25">
      <c r="A4112" t="str">
        <f>"2723162374"</f>
        <v>2723162374</v>
      </c>
      <c r="B4112" t="s">
        <v>5696</v>
      </c>
      <c r="C4112" t="s">
        <v>7</v>
      </c>
      <c r="D4112" t="s">
        <v>12</v>
      </c>
      <c r="E4112" t="s">
        <v>5158</v>
      </c>
      <c r="F4112" t="s">
        <v>5697</v>
      </c>
    </row>
    <row r="4113" spans="1:6" x14ac:dyDescent="0.25">
      <c r="A4113" t="str">
        <f>"2721195208"</f>
        <v>2721195208</v>
      </c>
      <c r="B4113" t="s">
        <v>5698</v>
      </c>
      <c r="C4113" t="s">
        <v>7</v>
      </c>
      <c r="D4113" t="s">
        <v>12</v>
      </c>
      <c r="E4113" t="s">
        <v>5158</v>
      </c>
      <c r="F4113" t="s">
        <v>5699</v>
      </c>
    </row>
    <row r="4114" spans="1:6" x14ac:dyDescent="0.25">
      <c r="A4114" t="str">
        <f>"272199489160"</f>
        <v>272199489160</v>
      </c>
      <c r="B4114" t="s">
        <v>5700</v>
      </c>
      <c r="C4114" t="s">
        <v>7</v>
      </c>
      <c r="D4114" t="s">
        <v>14</v>
      </c>
      <c r="E4114" t="s">
        <v>5158</v>
      </c>
    </row>
    <row r="4115" spans="1:6" x14ac:dyDescent="0.25">
      <c r="A4115" t="str">
        <f>"2801198275"</f>
        <v>2801198275</v>
      </c>
      <c r="B4115" t="s">
        <v>5701</v>
      </c>
      <c r="C4115" t="s">
        <v>7</v>
      </c>
      <c r="D4115" t="s">
        <v>14</v>
      </c>
      <c r="E4115" t="s">
        <v>5158</v>
      </c>
      <c r="F4115" t="s">
        <v>5702</v>
      </c>
    </row>
    <row r="4116" spans="1:6" x14ac:dyDescent="0.25">
      <c r="A4116" t="str">
        <f>"790100009701"</f>
        <v>790100009701</v>
      </c>
      <c r="B4116" t="s">
        <v>5703</v>
      </c>
      <c r="C4116" t="s">
        <v>7</v>
      </c>
      <c r="D4116" t="s">
        <v>14</v>
      </c>
      <c r="E4116" t="s">
        <v>5158</v>
      </c>
    </row>
    <row r="4117" spans="1:6" x14ac:dyDescent="0.25">
      <c r="A4117" t="str">
        <f>"410105700141"</f>
        <v>410105700141</v>
      </c>
      <c r="B4117" t="s">
        <v>5704</v>
      </c>
      <c r="C4117" t="s">
        <v>7</v>
      </c>
      <c r="D4117" t="s">
        <v>14</v>
      </c>
      <c r="E4117" t="s">
        <v>5158</v>
      </c>
    </row>
    <row r="4118" spans="1:6" x14ac:dyDescent="0.25">
      <c r="A4118" t="str">
        <f>"510501432629"</f>
        <v>510501432629</v>
      </c>
      <c r="B4118" t="s">
        <v>5705</v>
      </c>
      <c r="C4118" t="s">
        <v>7</v>
      </c>
      <c r="D4118" t="s">
        <v>12</v>
      </c>
      <c r="E4118" t="s">
        <v>5158</v>
      </c>
    </row>
    <row r="4119" spans="1:6" x14ac:dyDescent="0.25">
      <c r="A4119" t="str">
        <f>"340500143586"</f>
        <v>340500143586</v>
      </c>
      <c r="B4119" t="s">
        <v>5706</v>
      </c>
      <c r="C4119" t="s">
        <v>7</v>
      </c>
      <c r="D4119" t="s">
        <v>14</v>
      </c>
      <c r="E4119" t="s">
        <v>5707</v>
      </c>
    </row>
    <row r="4120" spans="1:6" x14ac:dyDescent="0.25">
      <c r="A4120" t="str">
        <f>"344310008699"</f>
        <v>344310008699</v>
      </c>
      <c r="B4120" t="s">
        <v>5708</v>
      </c>
      <c r="C4120" t="s">
        <v>7</v>
      </c>
      <c r="D4120" t="s">
        <v>14</v>
      </c>
      <c r="E4120" t="s">
        <v>5707</v>
      </c>
    </row>
    <row r="4121" spans="1:6" x14ac:dyDescent="0.25">
      <c r="A4121" t="str">
        <f>"260102197409"</f>
        <v>260102197409</v>
      </c>
      <c r="B4121" t="s">
        <v>5709</v>
      </c>
      <c r="C4121" t="s">
        <v>7</v>
      </c>
      <c r="D4121" t="s">
        <v>14</v>
      </c>
      <c r="E4121" t="s">
        <v>5707</v>
      </c>
    </row>
    <row r="4122" spans="1:6" x14ac:dyDescent="0.25">
      <c r="A4122" t="str">
        <f>"260112293006"</f>
        <v>260112293006</v>
      </c>
      <c r="B4122" t="s">
        <v>5710</v>
      </c>
      <c r="C4122" t="s">
        <v>7</v>
      </c>
      <c r="D4122" t="s">
        <v>33</v>
      </c>
      <c r="E4122" t="s">
        <v>5707</v>
      </c>
    </row>
    <row r="4123" spans="1:6" x14ac:dyDescent="0.25">
      <c r="A4123" t="str">
        <f>"260112336676"</f>
        <v>260112336676</v>
      </c>
      <c r="B4123" t="s">
        <v>5711</v>
      </c>
      <c r="C4123" t="s">
        <v>7</v>
      </c>
      <c r="D4123" t="s">
        <v>14</v>
      </c>
      <c r="E4123" t="s">
        <v>5707</v>
      </c>
    </row>
    <row r="4124" spans="1:6" x14ac:dyDescent="0.25">
      <c r="A4124" t="str">
        <f>"260200008385"</f>
        <v>260200008385</v>
      </c>
      <c r="B4124" t="s">
        <v>5712</v>
      </c>
      <c r="C4124" t="s">
        <v>7</v>
      </c>
      <c r="D4124" t="s">
        <v>14</v>
      </c>
      <c r="E4124" t="s">
        <v>5707</v>
      </c>
    </row>
    <row r="4125" spans="1:6" x14ac:dyDescent="0.25">
      <c r="A4125" t="str">
        <f>"260202749276"</f>
        <v>260202749276</v>
      </c>
      <c r="B4125" t="s">
        <v>5713</v>
      </c>
      <c r="C4125" t="s">
        <v>7</v>
      </c>
      <c r="D4125" t="s">
        <v>14</v>
      </c>
      <c r="E4125" t="s">
        <v>5707</v>
      </c>
    </row>
    <row r="4126" spans="1:6" x14ac:dyDescent="0.25">
      <c r="A4126" t="str">
        <f>"260319150727"</f>
        <v>260319150727</v>
      </c>
      <c r="B4126" t="s">
        <v>5714</v>
      </c>
      <c r="C4126" t="s">
        <v>7</v>
      </c>
      <c r="D4126" t="s">
        <v>14</v>
      </c>
      <c r="E4126" t="s">
        <v>5707</v>
      </c>
    </row>
    <row r="4127" spans="1:6" x14ac:dyDescent="0.25">
      <c r="A4127" t="str">
        <f>"260402550488"</f>
        <v>260402550488</v>
      </c>
      <c r="B4127" t="s">
        <v>5715</v>
      </c>
      <c r="C4127" t="s">
        <v>7</v>
      </c>
      <c r="D4127" t="s">
        <v>14</v>
      </c>
      <c r="E4127" t="s">
        <v>5707</v>
      </c>
    </row>
    <row r="4128" spans="1:6" x14ac:dyDescent="0.25">
      <c r="A4128" t="str">
        <f>"260700567487"</f>
        <v>260700567487</v>
      </c>
      <c r="B4128" t="s">
        <v>5716</v>
      </c>
      <c r="C4128" t="s">
        <v>7</v>
      </c>
      <c r="D4128" t="s">
        <v>14</v>
      </c>
      <c r="E4128" t="s">
        <v>5707</v>
      </c>
    </row>
    <row r="4129" spans="1:6" x14ac:dyDescent="0.25">
      <c r="A4129" t="str">
        <f>"260708641502"</f>
        <v>260708641502</v>
      </c>
      <c r="B4129" t="s">
        <v>5717</v>
      </c>
      <c r="C4129" t="s">
        <v>7</v>
      </c>
      <c r="D4129" t="s">
        <v>14</v>
      </c>
      <c r="E4129" t="s">
        <v>5707</v>
      </c>
    </row>
    <row r="4130" spans="1:6" x14ac:dyDescent="0.25">
      <c r="A4130" t="str">
        <f>"260799890334"</f>
        <v>260799890334</v>
      </c>
      <c r="B4130" t="s">
        <v>5718</v>
      </c>
      <c r="C4130" t="s">
        <v>7</v>
      </c>
      <c r="D4130" t="s">
        <v>14</v>
      </c>
      <c r="E4130" t="s">
        <v>5707</v>
      </c>
    </row>
    <row r="4131" spans="1:6" x14ac:dyDescent="0.25">
      <c r="A4131" t="str">
        <f>"260807321380"</f>
        <v>260807321380</v>
      </c>
      <c r="B4131" t="s">
        <v>5719</v>
      </c>
      <c r="C4131" t="s">
        <v>7</v>
      </c>
      <c r="D4131" t="s">
        <v>12</v>
      </c>
      <c r="E4131" t="s">
        <v>5707</v>
      </c>
    </row>
    <row r="4132" spans="1:6" x14ac:dyDescent="0.25">
      <c r="A4132" t="str">
        <f>"260808188501"</f>
        <v>260808188501</v>
      </c>
      <c r="B4132" t="s">
        <v>5720</v>
      </c>
      <c r="C4132" t="s">
        <v>7</v>
      </c>
      <c r="D4132" t="s">
        <v>33</v>
      </c>
      <c r="E4132" t="s">
        <v>5707</v>
      </c>
    </row>
    <row r="4133" spans="1:6" x14ac:dyDescent="0.25">
      <c r="A4133" t="str">
        <f>"260900761964"</f>
        <v>260900761964</v>
      </c>
      <c r="B4133" t="s">
        <v>5721</v>
      </c>
      <c r="C4133" t="s">
        <v>7</v>
      </c>
      <c r="D4133" t="s">
        <v>14</v>
      </c>
      <c r="E4133" t="s">
        <v>5707</v>
      </c>
    </row>
    <row r="4134" spans="1:6" x14ac:dyDescent="0.25">
      <c r="A4134" t="str">
        <f>"261000166403"</f>
        <v>261000166403</v>
      </c>
      <c r="B4134" t="s">
        <v>5722</v>
      </c>
      <c r="C4134" t="s">
        <v>7</v>
      </c>
      <c r="D4134" t="s">
        <v>14</v>
      </c>
      <c r="E4134" t="s">
        <v>5707</v>
      </c>
    </row>
    <row r="4135" spans="1:6" x14ac:dyDescent="0.25">
      <c r="A4135" t="str">
        <f>"261003418264"</f>
        <v>261003418264</v>
      </c>
      <c r="B4135" t="s">
        <v>5723</v>
      </c>
      <c r="C4135" t="s">
        <v>7</v>
      </c>
      <c r="D4135" t="s">
        <v>14</v>
      </c>
      <c r="E4135" t="s">
        <v>5707</v>
      </c>
    </row>
    <row r="4136" spans="1:6" x14ac:dyDescent="0.25">
      <c r="A4136" t="str">
        <f>"261005836242"</f>
        <v>261005836242</v>
      </c>
      <c r="B4136" t="s">
        <v>5724</v>
      </c>
      <c r="C4136" t="s">
        <v>7</v>
      </c>
      <c r="D4136" t="s">
        <v>14</v>
      </c>
      <c r="E4136" t="s">
        <v>5707</v>
      </c>
    </row>
    <row r="4137" spans="1:6" x14ac:dyDescent="0.25">
      <c r="A4137" t="str">
        <f>"261019385984"</f>
        <v>261019385984</v>
      </c>
      <c r="B4137" t="s">
        <v>5725</v>
      </c>
      <c r="C4137" t="s">
        <v>7</v>
      </c>
      <c r="D4137" t="s">
        <v>12</v>
      </c>
      <c r="E4137" t="s">
        <v>5707</v>
      </c>
    </row>
    <row r="4138" spans="1:6" x14ac:dyDescent="0.25">
      <c r="A4138" t="str">
        <f>"261303446625"</f>
        <v>261303446625</v>
      </c>
      <c r="B4138" t="s">
        <v>5726</v>
      </c>
      <c r="C4138" t="s">
        <v>7</v>
      </c>
      <c r="D4138" t="s">
        <v>14</v>
      </c>
      <c r="E4138" t="s">
        <v>5707</v>
      </c>
    </row>
    <row r="4139" spans="1:6" x14ac:dyDescent="0.25">
      <c r="A4139" t="str">
        <f>"2618801938"</f>
        <v>2618801938</v>
      </c>
      <c r="B4139" t="s">
        <v>5727</v>
      </c>
      <c r="C4139" t="s">
        <v>7</v>
      </c>
      <c r="D4139" t="s">
        <v>33</v>
      </c>
      <c r="E4139" t="s">
        <v>5707</v>
      </c>
      <c r="F4139" t="s">
        <v>5728</v>
      </c>
    </row>
    <row r="4140" spans="1:6" x14ac:dyDescent="0.25">
      <c r="A4140" t="str">
        <f>"2601000369"</f>
        <v>2601000369</v>
      </c>
      <c r="B4140" t="s">
        <v>5729</v>
      </c>
      <c r="C4140" t="s">
        <v>7</v>
      </c>
      <c r="D4140" t="s">
        <v>14</v>
      </c>
      <c r="E4140" t="s">
        <v>5707</v>
      </c>
      <c r="F4140" t="s">
        <v>5730</v>
      </c>
    </row>
    <row r="4141" spans="1:6" x14ac:dyDescent="0.25">
      <c r="A4141" t="str">
        <f>"260101088005"</f>
        <v>260101088005</v>
      </c>
      <c r="B4141" t="s">
        <v>5731</v>
      </c>
      <c r="C4141" t="s">
        <v>7</v>
      </c>
      <c r="D4141" t="s">
        <v>14</v>
      </c>
      <c r="E4141" t="s">
        <v>5707</v>
      </c>
    </row>
    <row r="4142" spans="1:6" x14ac:dyDescent="0.25">
      <c r="A4142" t="str">
        <f>"260200895546"</f>
        <v>260200895546</v>
      </c>
      <c r="B4142" t="s">
        <v>5732</v>
      </c>
      <c r="C4142" t="s">
        <v>7</v>
      </c>
      <c r="D4142" t="s">
        <v>14</v>
      </c>
      <c r="E4142" t="s">
        <v>5707</v>
      </c>
    </row>
    <row r="4143" spans="1:6" x14ac:dyDescent="0.25">
      <c r="A4143" t="str">
        <f>"260401517150"</f>
        <v>260401517150</v>
      </c>
      <c r="B4143" t="s">
        <v>5733</v>
      </c>
      <c r="C4143" t="s">
        <v>7</v>
      </c>
      <c r="D4143" t="s">
        <v>33</v>
      </c>
      <c r="E4143" t="s">
        <v>5707</v>
      </c>
    </row>
    <row r="4144" spans="1:6" x14ac:dyDescent="0.25">
      <c r="A4144" t="str">
        <f>"260505329672"</f>
        <v>260505329672</v>
      </c>
      <c r="B4144" t="s">
        <v>5734</v>
      </c>
      <c r="C4144" t="s">
        <v>7</v>
      </c>
      <c r="D4144" t="s">
        <v>14</v>
      </c>
      <c r="E4144" t="s">
        <v>5707</v>
      </c>
    </row>
    <row r="4145" spans="1:6" x14ac:dyDescent="0.25">
      <c r="A4145" t="str">
        <f>"260703157841"</f>
        <v>260703157841</v>
      </c>
      <c r="B4145" t="s">
        <v>5735</v>
      </c>
      <c r="C4145" t="s">
        <v>7</v>
      </c>
      <c r="D4145" t="s">
        <v>14</v>
      </c>
      <c r="E4145" t="s">
        <v>5707</v>
      </c>
    </row>
    <row r="4146" spans="1:6" x14ac:dyDescent="0.25">
      <c r="A4146" t="str">
        <f>"260706223901"</f>
        <v>260706223901</v>
      </c>
      <c r="B4146" t="s">
        <v>5736</v>
      </c>
      <c r="C4146" t="s">
        <v>7</v>
      </c>
      <c r="D4146" t="s">
        <v>14</v>
      </c>
      <c r="E4146" t="s">
        <v>5707</v>
      </c>
    </row>
    <row r="4147" spans="1:6" x14ac:dyDescent="0.25">
      <c r="A4147" t="str">
        <f>"260806920448"</f>
        <v>260806920448</v>
      </c>
      <c r="B4147" t="s">
        <v>5737</v>
      </c>
      <c r="C4147" t="s">
        <v>7</v>
      </c>
      <c r="D4147" t="s">
        <v>14</v>
      </c>
      <c r="E4147" t="s">
        <v>5707</v>
      </c>
    </row>
    <row r="4148" spans="1:6" x14ac:dyDescent="0.25">
      <c r="A4148" t="str">
        <f>"260904216078"</f>
        <v>260904216078</v>
      </c>
      <c r="B4148" t="s">
        <v>5738</v>
      </c>
      <c r="C4148" t="s">
        <v>7</v>
      </c>
      <c r="D4148" t="s">
        <v>14</v>
      </c>
      <c r="E4148" t="s">
        <v>5707</v>
      </c>
    </row>
    <row r="4149" spans="1:6" x14ac:dyDescent="0.25">
      <c r="A4149" t="str">
        <f>"260904308410"</f>
        <v>260904308410</v>
      </c>
      <c r="B4149" t="s">
        <v>5739</v>
      </c>
      <c r="C4149" t="s">
        <v>7</v>
      </c>
      <c r="D4149" t="s">
        <v>14</v>
      </c>
      <c r="E4149" t="s">
        <v>5707</v>
      </c>
    </row>
    <row r="4150" spans="1:6" x14ac:dyDescent="0.25">
      <c r="A4150" t="str">
        <f>"260907693382"</f>
        <v>260907693382</v>
      </c>
      <c r="B4150" t="s">
        <v>5740</v>
      </c>
      <c r="C4150" t="s">
        <v>7</v>
      </c>
      <c r="D4150" t="s">
        <v>14</v>
      </c>
      <c r="E4150" t="s">
        <v>5707</v>
      </c>
    </row>
    <row r="4151" spans="1:6" x14ac:dyDescent="0.25">
      <c r="A4151" t="str">
        <f>"261005980359"</f>
        <v>261005980359</v>
      </c>
      <c r="B4151" t="s">
        <v>5741</v>
      </c>
      <c r="C4151" t="s">
        <v>7</v>
      </c>
      <c r="D4151" t="s">
        <v>14</v>
      </c>
      <c r="E4151" t="s">
        <v>5707</v>
      </c>
    </row>
    <row r="4152" spans="1:6" x14ac:dyDescent="0.25">
      <c r="A4152" t="str">
        <f>"2611005158"</f>
        <v>2611005158</v>
      </c>
      <c r="B4152" t="s">
        <v>5742</v>
      </c>
      <c r="C4152" t="s">
        <v>7</v>
      </c>
      <c r="D4152" t="s">
        <v>14</v>
      </c>
      <c r="E4152" t="s">
        <v>5707</v>
      </c>
      <c r="F4152" t="s">
        <v>5743</v>
      </c>
    </row>
    <row r="4153" spans="1:6" x14ac:dyDescent="0.25">
      <c r="A4153" t="str">
        <f>"261101060675"</f>
        <v>261101060675</v>
      </c>
      <c r="B4153" t="s">
        <v>5744</v>
      </c>
      <c r="C4153" t="s">
        <v>7</v>
      </c>
      <c r="D4153" t="s">
        <v>12</v>
      </c>
      <c r="E4153" t="s">
        <v>5707</v>
      </c>
    </row>
    <row r="4154" spans="1:6" x14ac:dyDescent="0.25">
      <c r="A4154" t="str">
        <f>"261303333004"</f>
        <v>261303333004</v>
      </c>
      <c r="B4154" t="s">
        <v>5745</v>
      </c>
      <c r="C4154" t="s">
        <v>7</v>
      </c>
      <c r="D4154" t="s">
        <v>14</v>
      </c>
      <c r="E4154" t="s">
        <v>5707</v>
      </c>
    </row>
    <row r="4155" spans="1:6" x14ac:dyDescent="0.25">
      <c r="A4155" t="str">
        <f>"261303391260"</f>
        <v>261303391260</v>
      </c>
      <c r="B4155" t="s">
        <v>5746</v>
      </c>
      <c r="C4155" t="s">
        <v>7</v>
      </c>
      <c r="D4155" t="s">
        <v>14</v>
      </c>
      <c r="E4155" t="s">
        <v>5707</v>
      </c>
    </row>
    <row r="4156" spans="1:6" x14ac:dyDescent="0.25">
      <c r="A4156" t="str">
        <f>"2614017634"</f>
        <v>2614017634</v>
      </c>
      <c r="B4156" t="s">
        <v>5747</v>
      </c>
      <c r="C4156" t="s">
        <v>7</v>
      </c>
      <c r="D4156" t="s">
        <v>12</v>
      </c>
      <c r="E4156" t="s">
        <v>5707</v>
      </c>
      <c r="F4156" t="s">
        <v>5748</v>
      </c>
    </row>
    <row r="4157" spans="1:6" x14ac:dyDescent="0.25">
      <c r="A4157" t="str">
        <f>"261504808184"</f>
        <v>261504808184</v>
      </c>
      <c r="B4157" t="s">
        <v>5749</v>
      </c>
      <c r="C4157" t="s">
        <v>7</v>
      </c>
      <c r="D4157" t="s">
        <v>14</v>
      </c>
      <c r="E4157" t="s">
        <v>5707</v>
      </c>
    </row>
    <row r="4158" spans="1:6" x14ac:dyDescent="0.25">
      <c r="A4158" t="str">
        <f>"261705544260"</f>
        <v>261705544260</v>
      </c>
      <c r="B4158" t="s">
        <v>5750</v>
      </c>
      <c r="C4158" t="s">
        <v>7</v>
      </c>
      <c r="D4158" t="s">
        <v>14</v>
      </c>
      <c r="E4158" t="s">
        <v>5707</v>
      </c>
    </row>
    <row r="4159" spans="1:6" x14ac:dyDescent="0.25">
      <c r="A4159" t="str">
        <f>"261706020131"</f>
        <v>261706020131</v>
      </c>
      <c r="B4159" t="s">
        <v>5751</v>
      </c>
      <c r="C4159" t="s">
        <v>7</v>
      </c>
      <c r="D4159" t="s">
        <v>14</v>
      </c>
      <c r="E4159" t="s">
        <v>5707</v>
      </c>
    </row>
    <row r="4160" spans="1:6" x14ac:dyDescent="0.25">
      <c r="A4160" t="str">
        <f>"261706420700"</f>
        <v>261706420700</v>
      </c>
      <c r="B4160" t="s">
        <v>5752</v>
      </c>
      <c r="C4160" t="s">
        <v>7</v>
      </c>
      <c r="D4160" t="s">
        <v>14</v>
      </c>
      <c r="E4160" t="s">
        <v>5707</v>
      </c>
    </row>
    <row r="4161" spans="1:6" x14ac:dyDescent="0.25">
      <c r="A4161" t="str">
        <f>"2618023043"</f>
        <v>2618023043</v>
      </c>
      <c r="B4161" t="s">
        <v>5753</v>
      </c>
      <c r="C4161" t="s">
        <v>7</v>
      </c>
      <c r="D4161" t="s">
        <v>98</v>
      </c>
      <c r="E4161" t="s">
        <v>5707</v>
      </c>
      <c r="F4161" t="s">
        <v>5754</v>
      </c>
    </row>
    <row r="4162" spans="1:6" x14ac:dyDescent="0.25">
      <c r="A4162" t="str">
        <f>"261902397825"</f>
        <v>261902397825</v>
      </c>
      <c r="B4162" t="s">
        <v>5755</v>
      </c>
      <c r="C4162" t="s">
        <v>7</v>
      </c>
      <c r="D4162" t="s">
        <v>14</v>
      </c>
      <c r="E4162" t="s">
        <v>5707</v>
      </c>
    </row>
    <row r="4163" spans="1:6" x14ac:dyDescent="0.25">
      <c r="A4163" t="str">
        <f>"261902891270"</f>
        <v>261902891270</v>
      </c>
      <c r="B4163" t="s">
        <v>5756</v>
      </c>
      <c r="C4163" t="s">
        <v>7</v>
      </c>
      <c r="D4163" t="s">
        <v>14</v>
      </c>
      <c r="E4163" t="s">
        <v>5707</v>
      </c>
    </row>
    <row r="4164" spans="1:6" x14ac:dyDescent="0.25">
      <c r="A4164" t="str">
        <f>"2621002893"</f>
        <v>2621002893</v>
      </c>
      <c r="B4164" t="s">
        <v>5757</v>
      </c>
      <c r="C4164" t="s">
        <v>7</v>
      </c>
      <c r="D4164" t="s">
        <v>14</v>
      </c>
      <c r="E4164" t="s">
        <v>5707</v>
      </c>
      <c r="F4164" t="s">
        <v>5758</v>
      </c>
    </row>
    <row r="4165" spans="1:6" x14ac:dyDescent="0.25">
      <c r="A4165" t="str">
        <f>"262102352104"</f>
        <v>262102352104</v>
      </c>
      <c r="B4165" t="s">
        <v>5759</v>
      </c>
      <c r="C4165" t="s">
        <v>7</v>
      </c>
      <c r="D4165" t="s">
        <v>12</v>
      </c>
      <c r="E4165" t="s">
        <v>5707</v>
      </c>
    </row>
    <row r="4166" spans="1:6" x14ac:dyDescent="0.25">
      <c r="A4166" t="str">
        <f>"260101155727"</f>
        <v>260101155727</v>
      </c>
      <c r="B4166" t="s">
        <v>5760</v>
      </c>
      <c r="C4166" t="s">
        <v>7</v>
      </c>
      <c r="D4166" t="s">
        <v>14</v>
      </c>
      <c r="E4166" t="s">
        <v>5707</v>
      </c>
    </row>
    <row r="4167" spans="1:6" x14ac:dyDescent="0.25">
      <c r="A4167" t="str">
        <f>"260504227639"</f>
        <v>260504227639</v>
      </c>
      <c r="B4167" t="s">
        <v>5761</v>
      </c>
      <c r="C4167" t="s">
        <v>7</v>
      </c>
      <c r="D4167" t="s">
        <v>463</v>
      </c>
      <c r="E4167" t="s">
        <v>5707</v>
      </c>
    </row>
    <row r="4168" spans="1:6" x14ac:dyDescent="0.25">
      <c r="A4168" t="str">
        <f>"260703263134"</f>
        <v>260703263134</v>
      </c>
      <c r="B4168" t="s">
        <v>5762</v>
      </c>
      <c r="C4168" t="s">
        <v>7</v>
      </c>
      <c r="D4168" t="s">
        <v>14</v>
      </c>
      <c r="E4168" t="s">
        <v>5707</v>
      </c>
    </row>
    <row r="4169" spans="1:6" x14ac:dyDescent="0.25">
      <c r="A4169" t="str">
        <f>"260704999978"</f>
        <v>260704999978</v>
      </c>
      <c r="B4169" t="s">
        <v>5763</v>
      </c>
      <c r="C4169" t="s">
        <v>7</v>
      </c>
      <c r="D4169" t="s">
        <v>14</v>
      </c>
      <c r="E4169" t="s">
        <v>5707</v>
      </c>
    </row>
    <row r="4170" spans="1:6" x14ac:dyDescent="0.25">
      <c r="A4170" t="str">
        <f>"2608001019"</f>
        <v>2608001019</v>
      </c>
      <c r="B4170" t="s">
        <v>5764</v>
      </c>
      <c r="C4170" t="s">
        <v>7</v>
      </c>
      <c r="D4170" t="s">
        <v>14</v>
      </c>
      <c r="E4170" t="s">
        <v>5707</v>
      </c>
      <c r="F4170" t="s">
        <v>5765</v>
      </c>
    </row>
    <row r="4171" spans="1:6" x14ac:dyDescent="0.25">
      <c r="A4171" t="str">
        <f>"260800135427"</f>
        <v>260800135427</v>
      </c>
      <c r="B4171" t="s">
        <v>5766</v>
      </c>
      <c r="C4171" t="s">
        <v>7</v>
      </c>
      <c r="D4171" t="s">
        <v>14</v>
      </c>
      <c r="E4171" t="s">
        <v>5707</v>
      </c>
    </row>
    <row r="4172" spans="1:6" x14ac:dyDescent="0.25">
      <c r="A4172" t="str">
        <f>"260806453970"</f>
        <v>260806453970</v>
      </c>
      <c r="B4172" t="s">
        <v>5767</v>
      </c>
      <c r="C4172" t="s">
        <v>7</v>
      </c>
      <c r="D4172" t="s">
        <v>14</v>
      </c>
      <c r="E4172" t="s">
        <v>5707</v>
      </c>
    </row>
    <row r="4173" spans="1:6" x14ac:dyDescent="0.25">
      <c r="A4173" t="str">
        <f>"260903615249"</f>
        <v>260903615249</v>
      </c>
      <c r="B4173" t="s">
        <v>5768</v>
      </c>
      <c r="C4173" t="s">
        <v>7</v>
      </c>
      <c r="D4173" t="s">
        <v>14</v>
      </c>
      <c r="E4173" t="s">
        <v>5707</v>
      </c>
    </row>
    <row r="4174" spans="1:6" x14ac:dyDescent="0.25">
      <c r="A4174" t="str">
        <f>"261002659676"</f>
        <v>261002659676</v>
      </c>
      <c r="B4174" t="s">
        <v>5769</v>
      </c>
      <c r="C4174" t="s">
        <v>7</v>
      </c>
      <c r="D4174" t="s">
        <v>14</v>
      </c>
      <c r="E4174" t="s">
        <v>5707</v>
      </c>
    </row>
    <row r="4175" spans="1:6" x14ac:dyDescent="0.25">
      <c r="A4175" t="str">
        <f>"261303696745"</f>
        <v>261303696745</v>
      </c>
      <c r="B4175" t="s">
        <v>5770</v>
      </c>
      <c r="C4175" t="s">
        <v>7</v>
      </c>
      <c r="D4175" t="s">
        <v>14</v>
      </c>
      <c r="E4175" t="s">
        <v>5707</v>
      </c>
    </row>
    <row r="4176" spans="1:6" x14ac:dyDescent="0.25">
      <c r="A4176" t="str">
        <f>"261400062141"</f>
        <v>261400062141</v>
      </c>
      <c r="B4176" t="s">
        <v>5771</v>
      </c>
      <c r="C4176" t="s">
        <v>7</v>
      </c>
      <c r="D4176" t="s">
        <v>14</v>
      </c>
      <c r="E4176" t="s">
        <v>5707</v>
      </c>
    </row>
    <row r="4177" spans="1:6" x14ac:dyDescent="0.25">
      <c r="A4177" t="str">
        <f>"261408963980"</f>
        <v>261408963980</v>
      </c>
      <c r="B4177" t="s">
        <v>5772</v>
      </c>
      <c r="C4177" t="s">
        <v>7</v>
      </c>
      <c r="D4177" t="s">
        <v>14</v>
      </c>
      <c r="E4177" t="s">
        <v>5707</v>
      </c>
    </row>
    <row r="4178" spans="1:6" x14ac:dyDescent="0.25">
      <c r="A4178" t="str">
        <f>"261505899995"</f>
        <v>261505899995</v>
      </c>
      <c r="B4178" t="s">
        <v>5773</v>
      </c>
      <c r="C4178" t="s">
        <v>7</v>
      </c>
      <c r="D4178" t="s">
        <v>14</v>
      </c>
      <c r="E4178" t="s">
        <v>5707</v>
      </c>
    </row>
    <row r="4179" spans="1:6" x14ac:dyDescent="0.25">
      <c r="A4179" t="str">
        <f>"261704409268"</f>
        <v>261704409268</v>
      </c>
      <c r="B4179" t="s">
        <v>5774</v>
      </c>
      <c r="C4179" t="s">
        <v>7</v>
      </c>
      <c r="D4179" t="s">
        <v>14</v>
      </c>
      <c r="E4179" t="s">
        <v>5707</v>
      </c>
    </row>
    <row r="4180" spans="1:6" x14ac:dyDescent="0.25">
      <c r="A4180" t="str">
        <f>"261704840883"</f>
        <v>261704840883</v>
      </c>
      <c r="B4180" t="s">
        <v>5775</v>
      </c>
      <c r="C4180" t="s">
        <v>7</v>
      </c>
      <c r="D4180" t="s">
        <v>14</v>
      </c>
      <c r="E4180" t="s">
        <v>5707</v>
      </c>
    </row>
    <row r="4181" spans="1:6" x14ac:dyDescent="0.25">
      <c r="A4181" t="str">
        <f>"261809757760"</f>
        <v>261809757760</v>
      </c>
      <c r="B4181" t="s">
        <v>5776</v>
      </c>
      <c r="C4181" t="s">
        <v>7</v>
      </c>
      <c r="D4181" t="s">
        <v>14</v>
      </c>
      <c r="E4181" t="s">
        <v>5707</v>
      </c>
    </row>
    <row r="4182" spans="1:6" x14ac:dyDescent="0.25">
      <c r="A4182" t="str">
        <f>"261900043718"</f>
        <v>261900043718</v>
      </c>
      <c r="B4182" t="s">
        <v>5777</v>
      </c>
      <c r="C4182" t="s">
        <v>7</v>
      </c>
      <c r="D4182" t="s">
        <v>14</v>
      </c>
      <c r="E4182" t="s">
        <v>5707</v>
      </c>
    </row>
    <row r="4183" spans="1:6" x14ac:dyDescent="0.25">
      <c r="A4183" t="str">
        <f>"262300598773"</f>
        <v>262300598773</v>
      </c>
      <c r="B4183" t="s">
        <v>5778</v>
      </c>
      <c r="C4183" t="s">
        <v>7</v>
      </c>
      <c r="D4183" t="s">
        <v>14</v>
      </c>
      <c r="E4183" t="s">
        <v>5707</v>
      </c>
    </row>
    <row r="4184" spans="1:6" x14ac:dyDescent="0.25">
      <c r="A4184" t="str">
        <f>"262307678876"</f>
        <v>262307678876</v>
      </c>
      <c r="B4184" t="s">
        <v>5779</v>
      </c>
      <c r="C4184" t="s">
        <v>7</v>
      </c>
      <c r="D4184" t="s">
        <v>14</v>
      </c>
      <c r="E4184" t="s">
        <v>5707</v>
      </c>
    </row>
    <row r="4185" spans="1:6" x14ac:dyDescent="0.25">
      <c r="A4185" t="str">
        <f>"6382027669"</f>
        <v>6382027669</v>
      </c>
      <c r="B4185" t="s">
        <v>5780</v>
      </c>
      <c r="C4185" t="s">
        <v>7</v>
      </c>
      <c r="D4185" t="s">
        <v>12</v>
      </c>
      <c r="E4185" t="s">
        <v>5707</v>
      </c>
      <c r="F4185" t="s">
        <v>5781</v>
      </c>
    </row>
    <row r="4186" spans="1:6" x14ac:dyDescent="0.25">
      <c r="A4186" t="str">
        <f>"090700017800"</f>
        <v>090700017800</v>
      </c>
      <c r="B4186" t="s">
        <v>5782</v>
      </c>
      <c r="C4186" t="s">
        <v>7</v>
      </c>
      <c r="D4186" t="s">
        <v>12</v>
      </c>
      <c r="E4186" t="s">
        <v>5707</v>
      </c>
    </row>
    <row r="4187" spans="1:6" x14ac:dyDescent="0.25">
      <c r="A4187" t="str">
        <f>"262402056868"</f>
        <v>262402056868</v>
      </c>
      <c r="B4187" t="s">
        <v>5783</v>
      </c>
      <c r="C4187" t="s">
        <v>7</v>
      </c>
      <c r="D4187" t="s">
        <v>14</v>
      </c>
      <c r="E4187" t="s">
        <v>5707</v>
      </c>
    </row>
    <row r="4188" spans="1:6" x14ac:dyDescent="0.25">
      <c r="A4188" t="str">
        <f>"262410339690"</f>
        <v>262410339690</v>
      </c>
      <c r="B4188" t="s">
        <v>5784</v>
      </c>
      <c r="C4188" t="s">
        <v>7</v>
      </c>
      <c r="D4188" t="s">
        <v>12</v>
      </c>
      <c r="E4188" t="s">
        <v>5707</v>
      </c>
    </row>
    <row r="4189" spans="1:6" x14ac:dyDescent="0.25">
      <c r="A4189" t="str">
        <f>"262410788576"</f>
        <v>262410788576</v>
      </c>
      <c r="B4189" t="s">
        <v>5785</v>
      </c>
      <c r="C4189" t="s">
        <v>7</v>
      </c>
      <c r="D4189" t="s">
        <v>14</v>
      </c>
      <c r="E4189" t="s">
        <v>5707</v>
      </c>
    </row>
    <row r="4190" spans="1:6" x14ac:dyDescent="0.25">
      <c r="A4190" t="str">
        <f>"262520535017"</f>
        <v>262520535017</v>
      </c>
      <c r="B4190" t="s">
        <v>5786</v>
      </c>
      <c r="C4190" t="s">
        <v>7</v>
      </c>
      <c r="D4190" t="s">
        <v>14</v>
      </c>
      <c r="E4190" t="s">
        <v>5707</v>
      </c>
    </row>
    <row r="4191" spans="1:6" x14ac:dyDescent="0.25">
      <c r="A4191" t="str">
        <f>"262604152405"</f>
        <v>262604152405</v>
      </c>
      <c r="B4191" t="s">
        <v>5787</v>
      </c>
      <c r="C4191" t="s">
        <v>7</v>
      </c>
      <c r="D4191" t="s">
        <v>14</v>
      </c>
      <c r="E4191" t="s">
        <v>5707</v>
      </c>
    </row>
    <row r="4192" spans="1:6" x14ac:dyDescent="0.25">
      <c r="A4192" t="str">
        <f>"262608686670"</f>
        <v>262608686670</v>
      </c>
      <c r="B4192" t="s">
        <v>5788</v>
      </c>
      <c r="C4192" t="s">
        <v>7</v>
      </c>
      <c r="D4192" t="s">
        <v>12</v>
      </c>
      <c r="E4192" t="s">
        <v>5707</v>
      </c>
    </row>
    <row r="4193" spans="1:6" x14ac:dyDescent="0.25">
      <c r="A4193" t="str">
        <f>"2626803336"</f>
        <v>2626803336</v>
      </c>
      <c r="B4193" t="s">
        <v>5789</v>
      </c>
      <c r="C4193" t="s">
        <v>7</v>
      </c>
      <c r="D4193" t="s">
        <v>12</v>
      </c>
      <c r="E4193" t="s">
        <v>5707</v>
      </c>
      <c r="F4193" t="s">
        <v>5790</v>
      </c>
    </row>
    <row r="4194" spans="1:6" x14ac:dyDescent="0.25">
      <c r="A4194" t="str">
        <f>"262702703227"</f>
        <v>262702703227</v>
      </c>
      <c r="B4194" t="s">
        <v>5791</v>
      </c>
      <c r="C4194" t="s">
        <v>7</v>
      </c>
      <c r="D4194" t="s">
        <v>14</v>
      </c>
      <c r="E4194" t="s">
        <v>5707</v>
      </c>
    </row>
    <row r="4195" spans="1:6" x14ac:dyDescent="0.25">
      <c r="A4195" t="str">
        <f>"2628062115"</f>
        <v>2628062115</v>
      </c>
      <c r="B4195" t="s">
        <v>5792</v>
      </c>
      <c r="C4195" t="s">
        <v>7</v>
      </c>
      <c r="D4195" t="s">
        <v>14</v>
      </c>
      <c r="E4195" t="s">
        <v>5707</v>
      </c>
      <c r="F4195" t="s">
        <v>5793</v>
      </c>
    </row>
    <row r="4196" spans="1:6" x14ac:dyDescent="0.25">
      <c r="A4196" t="str">
        <f>"262810542030"</f>
        <v>262810542030</v>
      </c>
      <c r="B4196" t="s">
        <v>5794</v>
      </c>
      <c r="C4196" t="s">
        <v>7</v>
      </c>
      <c r="D4196" t="s">
        <v>14</v>
      </c>
      <c r="E4196" t="s">
        <v>5707</v>
      </c>
    </row>
    <row r="4197" spans="1:6" x14ac:dyDescent="0.25">
      <c r="A4197" t="str">
        <f>"2629013671"</f>
        <v>2629013671</v>
      </c>
      <c r="B4197" t="s">
        <v>5795</v>
      </c>
      <c r="C4197" t="s">
        <v>7</v>
      </c>
      <c r="D4197" t="s">
        <v>12</v>
      </c>
      <c r="E4197" t="s">
        <v>5707</v>
      </c>
      <c r="F4197" t="s">
        <v>5796</v>
      </c>
    </row>
    <row r="4198" spans="1:6" x14ac:dyDescent="0.25">
      <c r="A4198" t="str">
        <f>"2630020088"</f>
        <v>2630020088</v>
      </c>
      <c r="B4198" t="s">
        <v>5797</v>
      </c>
      <c r="C4198" t="s">
        <v>7</v>
      </c>
      <c r="D4198" t="s">
        <v>12</v>
      </c>
      <c r="E4198" t="s">
        <v>5707</v>
      </c>
      <c r="F4198" t="s">
        <v>5798</v>
      </c>
    </row>
    <row r="4199" spans="1:6" x14ac:dyDescent="0.25">
      <c r="A4199" t="str">
        <f>"2630023459"</f>
        <v>2630023459</v>
      </c>
      <c r="B4199" t="s">
        <v>5799</v>
      </c>
      <c r="C4199" t="s">
        <v>7</v>
      </c>
      <c r="D4199" t="s">
        <v>463</v>
      </c>
      <c r="E4199" t="s">
        <v>5707</v>
      </c>
      <c r="F4199" t="s">
        <v>5800</v>
      </c>
    </row>
    <row r="4200" spans="1:6" x14ac:dyDescent="0.25">
      <c r="A4200" t="str">
        <f>"263006083860"</f>
        <v>263006083860</v>
      </c>
      <c r="B4200" t="s">
        <v>5801</v>
      </c>
      <c r="C4200" t="s">
        <v>7</v>
      </c>
      <c r="D4200" t="s">
        <v>14</v>
      </c>
      <c r="E4200" t="s">
        <v>5707</v>
      </c>
    </row>
    <row r="4201" spans="1:6" x14ac:dyDescent="0.25">
      <c r="A4201" t="str">
        <f>"263200328944"</f>
        <v>263200328944</v>
      </c>
      <c r="B4201" t="s">
        <v>5802</v>
      </c>
      <c r="C4201" t="s">
        <v>7</v>
      </c>
      <c r="D4201" t="s">
        <v>12</v>
      </c>
      <c r="E4201" t="s">
        <v>5707</v>
      </c>
    </row>
    <row r="4202" spans="1:6" x14ac:dyDescent="0.25">
      <c r="A4202" t="str">
        <f>"263200729463"</f>
        <v>263200729463</v>
      </c>
      <c r="B4202" t="s">
        <v>5803</v>
      </c>
      <c r="C4202" t="s">
        <v>7</v>
      </c>
      <c r="D4202" t="s">
        <v>14</v>
      </c>
      <c r="E4202" t="s">
        <v>5707</v>
      </c>
    </row>
    <row r="4203" spans="1:6" x14ac:dyDescent="0.25">
      <c r="A4203" t="str">
        <f>"263201140575"</f>
        <v>263201140575</v>
      </c>
      <c r="B4203" t="s">
        <v>5804</v>
      </c>
      <c r="C4203" t="s">
        <v>7</v>
      </c>
      <c r="D4203" t="s">
        <v>14</v>
      </c>
      <c r="E4203" t="s">
        <v>5707</v>
      </c>
    </row>
    <row r="4204" spans="1:6" x14ac:dyDescent="0.25">
      <c r="A4204" t="str">
        <f>"2632085299"</f>
        <v>2632085299</v>
      </c>
      <c r="B4204" t="s">
        <v>5805</v>
      </c>
      <c r="C4204" t="s">
        <v>7</v>
      </c>
      <c r="D4204" t="s">
        <v>12</v>
      </c>
      <c r="E4204" t="s">
        <v>5707</v>
      </c>
      <c r="F4204" t="s">
        <v>5806</v>
      </c>
    </row>
    <row r="4205" spans="1:6" x14ac:dyDescent="0.25">
      <c r="A4205" t="str">
        <f>"2632093691"</f>
        <v>2632093691</v>
      </c>
      <c r="B4205" t="s">
        <v>5807</v>
      </c>
      <c r="C4205" t="s">
        <v>7</v>
      </c>
      <c r="D4205" t="s">
        <v>12</v>
      </c>
      <c r="E4205" t="s">
        <v>5707</v>
      </c>
      <c r="F4205" t="s">
        <v>5808</v>
      </c>
    </row>
    <row r="4206" spans="1:6" x14ac:dyDescent="0.25">
      <c r="A4206" t="str">
        <f>"2632113605"</f>
        <v>2632113605</v>
      </c>
      <c r="B4206" t="s">
        <v>5809</v>
      </c>
      <c r="C4206" t="s">
        <v>7</v>
      </c>
      <c r="D4206" t="s">
        <v>14</v>
      </c>
      <c r="E4206" t="s">
        <v>5707</v>
      </c>
      <c r="F4206" t="s">
        <v>5810</v>
      </c>
    </row>
    <row r="4207" spans="1:6" x14ac:dyDescent="0.25">
      <c r="A4207" t="str">
        <f>"263211455704"</f>
        <v>263211455704</v>
      </c>
      <c r="B4207" t="s">
        <v>5811</v>
      </c>
      <c r="C4207" t="s">
        <v>7</v>
      </c>
      <c r="D4207" t="s">
        <v>12</v>
      </c>
      <c r="E4207" t="s">
        <v>5707</v>
      </c>
    </row>
    <row r="4208" spans="1:6" x14ac:dyDescent="0.25">
      <c r="A4208" t="str">
        <f>"2632117712"</f>
        <v>2632117712</v>
      </c>
      <c r="B4208" t="s">
        <v>5812</v>
      </c>
      <c r="C4208" t="s">
        <v>7</v>
      </c>
      <c r="D4208" t="s">
        <v>12</v>
      </c>
      <c r="E4208" t="s">
        <v>5707</v>
      </c>
      <c r="F4208" t="s">
        <v>5813</v>
      </c>
    </row>
    <row r="4209" spans="1:6" x14ac:dyDescent="0.25">
      <c r="A4209" t="str">
        <f>"2632123113"</f>
        <v>2632123113</v>
      </c>
      <c r="B4209" t="s">
        <v>5814</v>
      </c>
      <c r="C4209" t="s">
        <v>7</v>
      </c>
      <c r="D4209" t="s">
        <v>33</v>
      </c>
      <c r="E4209" t="s">
        <v>5707</v>
      </c>
      <c r="F4209" t="s">
        <v>5815</v>
      </c>
    </row>
    <row r="4210" spans="1:6" x14ac:dyDescent="0.25">
      <c r="A4210" t="str">
        <f>"263218992560"</f>
        <v>263218992560</v>
      </c>
      <c r="B4210" t="s">
        <v>5816</v>
      </c>
      <c r="C4210" t="s">
        <v>7</v>
      </c>
      <c r="D4210" t="s">
        <v>12</v>
      </c>
      <c r="E4210" t="s">
        <v>5707</v>
      </c>
    </row>
    <row r="4211" spans="1:6" x14ac:dyDescent="0.25">
      <c r="A4211" t="str">
        <f>"263220749700"</f>
        <v>263220749700</v>
      </c>
      <c r="B4211" t="s">
        <v>5817</v>
      </c>
      <c r="C4211" t="s">
        <v>7</v>
      </c>
      <c r="D4211" t="s">
        <v>14</v>
      </c>
      <c r="E4211" t="s">
        <v>5707</v>
      </c>
    </row>
    <row r="4212" spans="1:6" x14ac:dyDescent="0.25">
      <c r="A4212" t="str">
        <f>"263400148868"</f>
        <v>263400148868</v>
      </c>
      <c r="B4212" t="s">
        <v>5818</v>
      </c>
      <c r="C4212" t="s">
        <v>7</v>
      </c>
      <c r="D4212" t="s">
        <v>14</v>
      </c>
      <c r="E4212" t="s">
        <v>5707</v>
      </c>
    </row>
    <row r="4213" spans="1:6" x14ac:dyDescent="0.25">
      <c r="A4213" t="str">
        <f>"2634042815"</f>
        <v>2634042815</v>
      </c>
      <c r="B4213" t="s">
        <v>5819</v>
      </c>
      <c r="C4213" t="s">
        <v>7</v>
      </c>
      <c r="D4213" t="s">
        <v>14</v>
      </c>
      <c r="E4213" t="s">
        <v>5707</v>
      </c>
      <c r="F4213" t="s">
        <v>5820</v>
      </c>
    </row>
    <row r="4214" spans="1:6" x14ac:dyDescent="0.25">
      <c r="A4214" t="str">
        <f>"230503101338"</f>
        <v>230503101338</v>
      </c>
      <c r="B4214" t="s">
        <v>5821</v>
      </c>
      <c r="C4214" t="s">
        <v>7</v>
      </c>
      <c r="D4214" t="s">
        <v>12</v>
      </c>
      <c r="E4214" t="s">
        <v>5707</v>
      </c>
    </row>
    <row r="4215" spans="1:6" x14ac:dyDescent="0.25">
      <c r="A4215" t="str">
        <f>"262302697473"</f>
        <v>262302697473</v>
      </c>
      <c r="B4215" t="s">
        <v>5822</v>
      </c>
      <c r="C4215" t="s">
        <v>7</v>
      </c>
      <c r="D4215" t="s">
        <v>14</v>
      </c>
      <c r="E4215" t="s">
        <v>5707</v>
      </c>
    </row>
    <row r="4216" spans="1:6" x14ac:dyDescent="0.25">
      <c r="A4216" t="str">
        <f>"2623028512"</f>
        <v>2623028512</v>
      </c>
      <c r="B4216" t="s">
        <v>5823</v>
      </c>
      <c r="C4216" t="s">
        <v>7</v>
      </c>
      <c r="D4216" t="s">
        <v>33</v>
      </c>
      <c r="E4216" t="s">
        <v>5707</v>
      </c>
      <c r="F4216" t="s">
        <v>5824</v>
      </c>
    </row>
    <row r="4217" spans="1:6" x14ac:dyDescent="0.25">
      <c r="A4217" t="str">
        <f>"262302880278"</f>
        <v>262302880278</v>
      </c>
      <c r="B4217" t="s">
        <v>5825</v>
      </c>
      <c r="C4217" t="s">
        <v>7</v>
      </c>
      <c r="D4217" t="s">
        <v>14</v>
      </c>
      <c r="E4217" t="s">
        <v>5707</v>
      </c>
    </row>
    <row r="4218" spans="1:6" x14ac:dyDescent="0.25">
      <c r="A4218" t="str">
        <f>"2623029428"</f>
        <v>2623029428</v>
      </c>
      <c r="B4218" t="s">
        <v>5826</v>
      </c>
      <c r="C4218" t="s">
        <v>7</v>
      </c>
      <c r="D4218" t="s">
        <v>33</v>
      </c>
      <c r="E4218" t="s">
        <v>5707</v>
      </c>
      <c r="F4218" t="s">
        <v>5827</v>
      </c>
    </row>
    <row r="4219" spans="1:6" x14ac:dyDescent="0.25">
      <c r="A4219" t="str">
        <f>"2623030511"</f>
        <v>2623030511</v>
      </c>
      <c r="B4219" t="s">
        <v>5828</v>
      </c>
      <c r="C4219" t="s">
        <v>7</v>
      </c>
      <c r="D4219" t="s">
        <v>8</v>
      </c>
      <c r="E4219" t="s">
        <v>5707</v>
      </c>
      <c r="F4219" t="s">
        <v>5829</v>
      </c>
    </row>
    <row r="4220" spans="1:6" x14ac:dyDescent="0.25">
      <c r="A4220" t="str">
        <f>"262304234777"</f>
        <v>262304234777</v>
      </c>
      <c r="B4220" t="s">
        <v>5830</v>
      </c>
      <c r="C4220" t="s">
        <v>7</v>
      </c>
      <c r="D4220" t="s">
        <v>14</v>
      </c>
      <c r="E4220" t="s">
        <v>5707</v>
      </c>
    </row>
    <row r="4221" spans="1:6" x14ac:dyDescent="0.25">
      <c r="A4221" t="str">
        <f>"262403156181"</f>
        <v>262403156181</v>
      </c>
      <c r="B4221" t="s">
        <v>5831</v>
      </c>
      <c r="C4221" t="s">
        <v>7</v>
      </c>
      <c r="D4221" t="s">
        <v>14</v>
      </c>
      <c r="E4221" t="s">
        <v>5707</v>
      </c>
    </row>
    <row r="4222" spans="1:6" x14ac:dyDescent="0.25">
      <c r="A4222" t="str">
        <f>"262407506670"</f>
        <v>262407506670</v>
      </c>
      <c r="B4222" t="s">
        <v>5832</v>
      </c>
      <c r="C4222" t="s">
        <v>7</v>
      </c>
      <c r="D4222" t="s">
        <v>14</v>
      </c>
      <c r="E4222" t="s">
        <v>5707</v>
      </c>
    </row>
    <row r="4223" spans="1:6" x14ac:dyDescent="0.25">
      <c r="A4223" t="str">
        <f>"262513452056"</f>
        <v>262513452056</v>
      </c>
      <c r="B4223" t="s">
        <v>5833</v>
      </c>
      <c r="C4223" t="s">
        <v>7</v>
      </c>
      <c r="D4223" t="s">
        <v>14</v>
      </c>
      <c r="E4223" t="s">
        <v>5707</v>
      </c>
    </row>
    <row r="4224" spans="1:6" x14ac:dyDescent="0.25">
      <c r="A4224" t="str">
        <f>"2625801833"</f>
        <v>2625801833</v>
      </c>
      <c r="B4224" t="s">
        <v>5834</v>
      </c>
      <c r="C4224" t="s">
        <v>7</v>
      </c>
      <c r="D4224" t="s">
        <v>14</v>
      </c>
      <c r="E4224" t="s">
        <v>5707</v>
      </c>
      <c r="F4224" t="s">
        <v>5835</v>
      </c>
    </row>
    <row r="4225" spans="1:6" x14ac:dyDescent="0.25">
      <c r="A4225" t="str">
        <f>"262601725418"</f>
        <v>262601725418</v>
      </c>
      <c r="B4225" t="s">
        <v>5836</v>
      </c>
      <c r="C4225" t="s">
        <v>7</v>
      </c>
      <c r="D4225" t="s">
        <v>14</v>
      </c>
      <c r="E4225" t="s">
        <v>5707</v>
      </c>
    </row>
    <row r="4226" spans="1:6" x14ac:dyDescent="0.25">
      <c r="A4226" t="str">
        <f>"2626032179"</f>
        <v>2626032179</v>
      </c>
      <c r="B4226" t="s">
        <v>5837</v>
      </c>
      <c r="C4226" t="s">
        <v>7</v>
      </c>
      <c r="D4226" t="s">
        <v>463</v>
      </c>
      <c r="E4226" t="s">
        <v>5707</v>
      </c>
      <c r="F4226" t="s">
        <v>5838</v>
      </c>
    </row>
    <row r="4227" spans="1:6" x14ac:dyDescent="0.25">
      <c r="A4227" t="str">
        <f>"262700461692"</f>
        <v>262700461692</v>
      </c>
      <c r="B4227" t="s">
        <v>5839</v>
      </c>
      <c r="C4227" t="s">
        <v>7</v>
      </c>
      <c r="D4227" t="s">
        <v>14</v>
      </c>
      <c r="E4227" t="s">
        <v>5707</v>
      </c>
    </row>
    <row r="4228" spans="1:6" x14ac:dyDescent="0.25">
      <c r="A4228" t="str">
        <f>"262803441320"</f>
        <v>262803441320</v>
      </c>
      <c r="B4228" t="s">
        <v>5840</v>
      </c>
      <c r="C4228" t="s">
        <v>7</v>
      </c>
      <c r="D4228" t="s">
        <v>14</v>
      </c>
      <c r="E4228" t="s">
        <v>5707</v>
      </c>
    </row>
    <row r="4229" spans="1:6" x14ac:dyDescent="0.25">
      <c r="A4229" t="str">
        <f>"262809075543"</f>
        <v>262809075543</v>
      </c>
      <c r="B4229" t="s">
        <v>5841</v>
      </c>
      <c r="C4229" t="s">
        <v>7</v>
      </c>
      <c r="D4229" t="s">
        <v>33</v>
      </c>
      <c r="E4229" t="s">
        <v>5707</v>
      </c>
    </row>
    <row r="4230" spans="1:6" x14ac:dyDescent="0.25">
      <c r="A4230" t="str">
        <f>"2630005795"</f>
        <v>2630005795</v>
      </c>
      <c r="B4230" t="s">
        <v>5842</v>
      </c>
      <c r="C4230" t="s">
        <v>7</v>
      </c>
      <c r="D4230" t="s">
        <v>12</v>
      </c>
      <c r="E4230" t="s">
        <v>5707</v>
      </c>
      <c r="F4230" t="s">
        <v>5843</v>
      </c>
    </row>
    <row r="4231" spans="1:6" x14ac:dyDescent="0.25">
      <c r="A4231" t="str">
        <f>"2630049880"</f>
        <v>2630049880</v>
      </c>
      <c r="B4231" t="s">
        <v>5844</v>
      </c>
      <c r="C4231" t="s">
        <v>7</v>
      </c>
      <c r="D4231" t="s">
        <v>12</v>
      </c>
      <c r="E4231" t="s">
        <v>5707</v>
      </c>
      <c r="F4231" t="s">
        <v>5845</v>
      </c>
    </row>
    <row r="4232" spans="1:6" x14ac:dyDescent="0.25">
      <c r="A4232" t="str">
        <f>"263005808859"</f>
        <v>263005808859</v>
      </c>
      <c r="B4232" t="s">
        <v>5846</v>
      </c>
      <c r="C4232" t="s">
        <v>7</v>
      </c>
      <c r="D4232" t="s">
        <v>14</v>
      </c>
      <c r="E4232" t="s">
        <v>5707</v>
      </c>
    </row>
    <row r="4233" spans="1:6" x14ac:dyDescent="0.25">
      <c r="A4233" t="str">
        <f>"263009725794"</f>
        <v>263009725794</v>
      </c>
      <c r="B4233" t="s">
        <v>5847</v>
      </c>
      <c r="C4233" t="s">
        <v>7</v>
      </c>
      <c r="D4233" t="s">
        <v>33</v>
      </c>
      <c r="E4233" t="s">
        <v>5707</v>
      </c>
    </row>
    <row r="4234" spans="1:6" x14ac:dyDescent="0.25">
      <c r="A4234" t="str">
        <f>"2631025843"</f>
        <v>2631025843</v>
      </c>
      <c r="B4234" t="s">
        <v>5848</v>
      </c>
      <c r="C4234" t="s">
        <v>7</v>
      </c>
      <c r="D4234" t="s">
        <v>12</v>
      </c>
      <c r="E4234" t="s">
        <v>5707</v>
      </c>
      <c r="F4234" t="s">
        <v>5849</v>
      </c>
    </row>
    <row r="4235" spans="1:6" x14ac:dyDescent="0.25">
      <c r="A4235" t="str">
        <f>"2632009026"</f>
        <v>2632009026</v>
      </c>
      <c r="B4235" t="s">
        <v>5850</v>
      </c>
      <c r="C4235" t="s">
        <v>7</v>
      </c>
      <c r="D4235" t="s">
        <v>14</v>
      </c>
      <c r="E4235" t="s">
        <v>5707</v>
      </c>
      <c r="F4235" t="s">
        <v>5851</v>
      </c>
    </row>
    <row r="4236" spans="1:6" x14ac:dyDescent="0.25">
      <c r="A4236" t="str">
        <f>"2632014548"</f>
        <v>2632014548</v>
      </c>
      <c r="B4236" t="s">
        <v>5852</v>
      </c>
      <c r="C4236" t="s">
        <v>7</v>
      </c>
      <c r="D4236" t="s">
        <v>14</v>
      </c>
      <c r="E4236" t="s">
        <v>5707</v>
      </c>
      <c r="F4236" t="s">
        <v>5853</v>
      </c>
    </row>
    <row r="4237" spans="1:6" x14ac:dyDescent="0.25">
      <c r="A4237" t="str">
        <f>"2632055946"</f>
        <v>2632055946</v>
      </c>
      <c r="B4237" t="s">
        <v>5854</v>
      </c>
      <c r="C4237" t="s">
        <v>7</v>
      </c>
      <c r="D4237" t="s">
        <v>14</v>
      </c>
      <c r="E4237" t="s">
        <v>5707</v>
      </c>
      <c r="F4237" t="s">
        <v>5855</v>
      </c>
    </row>
    <row r="4238" spans="1:6" x14ac:dyDescent="0.25">
      <c r="A4238" t="str">
        <f>"2632059651"</f>
        <v>2632059651</v>
      </c>
      <c r="B4238" t="s">
        <v>5856</v>
      </c>
      <c r="C4238" t="s">
        <v>7</v>
      </c>
      <c r="D4238" t="s">
        <v>12</v>
      </c>
      <c r="E4238" t="s">
        <v>5707</v>
      </c>
      <c r="F4238" t="s">
        <v>5857</v>
      </c>
    </row>
    <row r="4239" spans="1:6" x14ac:dyDescent="0.25">
      <c r="A4239" t="str">
        <f>"2632073416"</f>
        <v>2632073416</v>
      </c>
      <c r="B4239" t="s">
        <v>5858</v>
      </c>
      <c r="C4239" t="s">
        <v>7</v>
      </c>
      <c r="D4239" t="s">
        <v>12</v>
      </c>
      <c r="E4239" t="s">
        <v>5707</v>
      </c>
      <c r="F4239" t="s">
        <v>5859</v>
      </c>
    </row>
    <row r="4240" spans="1:6" x14ac:dyDescent="0.25">
      <c r="A4240" t="str">
        <f>"2632080597"</f>
        <v>2632080597</v>
      </c>
      <c r="B4240" t="s">
        <v>1991</v>
      </c>
      <c r="C4240" t="s">
        <v>7</v>
      </c>
      <c r="D4240" t="s">
        <v>14</v>
      </c>
      <c r="E4240" t="s">
        <v>5707</v>
      </c>
      <c r="F4240" t="s">
        <v>5860</v>
      </c>
    </row>
    <row r="4241" spans="1:6" x14ac:dyDescent="0.25">
      <c r="A4241" t="str">
        <f>"2632083090"</f>
        <v>2632083090</v>
      </c>
      <c r="B4241" t="s">
        <v>5861</v>
      </c>
      <c r="C4241" t="s">
        <v>7</v>
      </c>
      <c r="D4241" t="s">
        <v>12</v>
      </c>
      <c r="E4241" t="s">
        <v>5707</v>
      </c>
      <c r="F4241" t="s">
        <v>5843</v>
      </c>
    </row>
    <row r="4242" spans="1:6" x14ac:dyDescent="0.25">
      <c r="A4242" t="str">
        <f>"2632100860"</f>
        <v>2632100860</v>
      </c>
      <c r="B4242" t="s">
        <v>5862</v>
      </c>
      <c r="C4242" t="s">
        <v>7</v>
      </c>
      <c r="D4242" t="s">
        <v>12</v>
      </c>
      <c r="E4242" t="s">
        <v>5707</v>
      </c>
      <c r="F4242" t="s">
        <v>5863</v>
      </c>
    </row>
    <row r="4243" spans="1:6" x14ac:dyDescent="0.25">
      <c r="A4243" t="str">
        <f>"2632111510"</f>
        <v>2632111510</v>
      </c>
      <c r="B4243" t="s">
        <v>5864</v>
      </c>
      <c r="C4243" t="s">
        <v>7</v>
      </c>
      <c r="D4243" t="s">
        <v>33</v>
      </c>
      <c r="E4243" t="s">
        <v>5707</v>
      </c>
      <c r="F4243" t="s">
        <v>5865</v>
      </c>
    </row>
    <row r="4244" spans="1:6" x14ac:dyDescent="0.25">
      <c r="A4244" t="str">
        <f>"263218107706"</f>
        <v>263218107706</v>
      </c>
      <c r="B4244" t="s">
        <v>5866</v>
      </c>
      <c r="C4244" t="s">
        <v>7</v>
      </c>
      <c r="D4244" t="s">
        <v>33</v>
      </c>
      <c r="E4244" t="s">
        <v>5707</v>
      </c>
    </row>
    <row r="4245" spans="1:6" x14ac:dyDescent="0.25">
      <c r="A4245" t="str">
        <f>"081200501818"</f>
        <v>081200501818</v>
      </c>
      <c r="B4245" t="s">
        <v>5867</v>
      </c>
      <c r="C4245" t="s">
        <v>7</v>
      </c>
      <c r="D4245" t="s">
        <v>14</v>
      </c>
      <c r="E4245" t="s">
        <v>5707</v>
      </c>
    </row>
    <row r="4246" spans="1:6" x14ac:dyDescent="0.25">
      <c r="A4246" t="str">
        <f>"091703203719"</f>
        <v>091703203719</v>
      </c>
      <c r="B4246" t="s">
        <v>5868</v>
      </c>
      <c r="C4246" t="s">
        <v>7</v>
      </c>
      <c r="D4246" t="s">
        <v>33</v>
      </c>
      <c r="E4246" t="s">
        <v>5707</v>
      </c>
    </row>
    <row r="4247" spans="1:6" x14ac:dyDescent="0.25">
      <c r="A4247" t="str">
        <f>"262400155260"</f>
        <v>262400155260</v>
      </c>
      <c r="B4247" t="s">
        <v>5869</v>
      </c>
      <c r="C4247" t="s">
        <v>7</v>
      </c>
      <c r="D4247" t="s">
        <v>14</v>
      </c>
      <c r="E4247" t="s">
        <v>5707</v>
      </c>
    </row>
    <row r="4248" spans="1:6" x14ac:dyDescent="0.25">
      <c r="A4248" t="str">
        <f>"2624015668"</f>
        <v>2624015668</v>
      </c>
      <c r="B4248" t="s">
        <v>5870</v>
      </c>
      <c r="C4248" t="s">
        <v>7</v>
      </c>
      <c r="D4248" t="s">
        <v>14</v>
      </c>
      <c r="E4248" t="s">
        <v>5707</v>
      </c>
      <c r="F4248" t="s">
        <v>5871</v>
      </c>
    </row>
    <row r="4249" spans="1:6" x14ac:dyDescent="0.25">
      <c r="A4249" t="str">
        <f>"262407833733"</f>
        <v>262407833733</v>
      </c>
      <c r="B4249" t="s">
        <v>5872</v>
      </c>
      <c r="C4249" t="s">
        <v>7</v>
      </c>
      <c r="D4249" t="s">
        <v>14</v>
      </c>
      <c r="E4249" t="s">
        <v>5707</v>
      </c>
    </row>
    <row r="4250" spans="1:6" x14ac:dyDescent="0.25">
      <c r="A4250" t="str">
        <f>"262407868006"</f>
        <v>262407868006</v>
      </c>
      <c r="B4250" t="s">
        <v>5873</v>
      </c>
      <c r="C4250" t="s">
        <v>7</v>
      </c>
      <c r="D4250" t="s">
        <v>14</v>
      </c>
      <c r="E4250" t="s">
        <v>5707</v>
      </c>
    </row>
    <row r="4251" spans="1:6" x14ac:dyDescent="0.25">
      <c r="A4251" t="str">
        <f>"2625023661"</f>
        <v>2625023661</v>
      </c>
      <c r="B4251" t="s">
        <v>210</v>
      </c>
      <c r="C4251" t="s">
        <v>7</v>
      </c>
      <c r="D4251" t="s">
        <v>8</v>
      </c>
      <c r="E4251" t="s">
        <v>5707</v>
      </c>
      <c r="F4251" t="s">
        <v>5874</v>
      </c>
    </row>
    <row r="4252" spans="1:6" x14ac:dyDescent="0.25">
      <c r="A4252" t="str">
        <f>"262503587551"</f>
        <v>262503587551</v>
      </c>
      <c r="B4252" t="s">
        <v>5875</v>
      </c>
      <c r="C4252" t="s">
        <v>7</v>
      </c>
      <c r="D4252" t="s">
        <v>14</v>
      </c>
      <c r="E4252" t="s">
        <v>5707</v>
      </c>
    </row>
    <row r="4253" spans="1:6" x14ac:dyDescent="0.25">
      <c r="A4253" t="str">
        <f>"262518191665"</f>
        <v>262518191665</v>
      </c>
      <c r="B4253" t="s">
        <v>5876</v>
      </c>
      <c r="C4253" t="s">
        <v>7</v>
      </c>
      <c r="D4253" t="s">
        <v>14</v>
      </c>
      <c r="E4253" t="s">
        <v>5707</v>
      </c>
    </row>
    <row r="4254" spans="1:6" x14ac:dyDescent="0.25">
      <c r="A4254" t="str">
        <f>"262600401435"</f>
        <v>262600401435</v>
      </c>
      <c r="B4254" t="s">
        <v>5877</v>
      </c>
      <c r="C4254" t="s">
        <v>7</v>
      </c>
      <c r="D4254" t="s">
        <v>12</v>
      </c>
      <c r="E4254" t="s">
        <v>5707</v>
      </c>
    </row>
    <row r="4255" spans="1:6" x14ac:dyDescent="0.25">
      <c r="A4255" t="str">
        <f>"262602938994"</f>
        <v>262602938994</v>
      </c>
      <c r="B4255" t="s">
        <v>5878</v>
      </c>
      <c r="C4255" t="s">
        <v>7</v>
      </c>
      <c r="D4255" t="s">
        <v>12</v>
      </c>
      <c r="E4255" t="s">
        <v>5707</v>
      </c>
    </row>
    <row r="4256" spans="1:6" x14ac:dyDescent="0.25">
      <c r="A4256" t="str">
        <f>"2626051220"</f>
        <v>2626051220</v>
      </c>
      <c r="B4256" t="s">
        <v>5879</v>
      </c>
      <c r="C4256" t="s">
        <v>7</v>
      </c>
      <c r="D4256" t="s">
        <v>8</v>
      </c>
      <c r="E4256" t="s">
        <v>5707</v>
      </c>
      <c r="F4256" t="s">
        <v>5880</v>
      </c>
    </row>
    <row r="4257" spans="1:6" x14ac:dyDescent="0.25">
      <c r="A4257" t="str">
        <f>"262607663510"</f>
        <v>262607663510</v>
      </c>
      <c r="B4257" t="s">
        <v>5881</v>
      </c>
      <c r="C4257" t="s">
        <v>7</v>
      </c>
      <c r="D4257" t="s">
        <v>14</v>
      </c>
      <c r="E4257" t="s">
        <v>5707</v>
      </c>
    </row>
    <row r="4258" spans="1:6" x14ac:dyDescent="0.25">
      <c r="A4258" t="str">
        <f>"262703938609"</f>
        <v>262703938609</v>
      </c>
      <c r="B4258" t="s">
        <v>5882</v>
      </c>
      <c r="C4258" t="s">
        <v>7</v>
      </c>
      <c r="D4258" t="s">
        <v>14</v>
      </c>
      <c r="E4258" t="s">
        <v>5707</v>
      </c>
    </row>
    <row r="4259" spans="1:6" x14ac:dyDescent="0.25">
      <c r="A4259" t="str">
        <f>"262803414133"</f>
        <v>262803414133</v>
      </c>
      <c r="B4259" t="s">
        <v>5883</v>
      </c>
      <c r="C4259" t="s">
        <v>7</v>
      </c>
      <c r="D4259" t="s">
        <v>12</v>
      </c>
      <c r="E4259" t="s">
        <v>5707</v>
      </c>
    </row>
    <row r="4260" spans="1:6" x14ac:dyDescent="0.25">
      <c r="A4260" t="str">
        <f>"262805239818"</f>
        <v>262805239818</v>
      </c>
      <c r="B4260" t="s">
        <v>5884</v>
      </c>
      <c r="C4260" t="s">
        <v>7</v>
      </c>
      <c r="D4260" t="s">
        <v>14</v>
      </c>
      <c r="E4260" t="s">
        <v>5707</v>
      </c>
    </row>
    <row r="4261" spans="1:6" x14ac:dyDescent="0.25">
      <c r="A4261" t="str">
        <f>"263000999575"</f>
        <v>263000999575</v>
      </c>
      <c r="B4261" t="s">
        <v>5885</v>
      </c>
      <c r="C4261" t="s">
        <v>7</v>
      </c>
      <c r="D4261" t="s">
        <v>14</v>
      </c>
      <c r="E4261" t="s">
        <v>5707</v>
      </c>
    </row>
    <row r="4262" spans="1:6" x14ac:dyDescent="0.25">
      <c r="A4262" t="str">
        <f>"2630048453"</f>
        <v>2630048453</v>
      </c>
      <c r="B4262" t="s">
        <v>5886</v>
      </c>
      <c r="C4262" t="s">
        <v>7</v>
      </c>
      <c r="D4262" t="s">
        <v>12</v>
      </c>
      <c r="E4262" t="s">
        <v>5707</v>
      </c>
      <c r="F4262" t="s">
        <v>5887</v>
      </c>
    </row>
    <row r="4263" spans="1:6" x14ac:dyDescent="0.25">
      <c r="A4263" t="str">
        <f>"2630053929"</f>
        <v>2630053929</v>
      </c>
      <c r="B4263" t="s">
        <v>5888</v>
      </c>
      <c r="C4263" t="s">
        <v>7</v>
      </c>
      <c r="D4263" t="s">
        <v>98</v>
      </c>
      <c r="E4263" t="s">
        <v>5707</v>
      </c>
      <c r="F4263" t="s">
        <v>5889</v>
      </c>
    </row>
    <row r="4264" spans="1:6" x14ac:dyDescent="0.25">
      <c r="A4264" t="str">
        <f>"263011048571"</f>
        <v>263011048571</v>
      </c>
      <c r="B4264" t="s">
        <v>5890</v>
      </c>
      <c r="C4264" t="s">
        <v>7</v>
      </c>
      <c r="D4264" t="s">
        <v>33</v>
      </c>
      <c r="E4264" t="s">
        <v>5707</v>
      </c>
    </row>
    <row r="4265" spans="1:6" x14ac:dyDescent="0.25">
      <c r="A4265" t="str">
        <f>"263016273281"</f>
        <v>263016273281</v>
      </c>
      <c r="B4265" t="s">
        <v>5891</v>
      </c>
      <c r="C4265" t="s">
        <v>7</v>
      </c>
      <c r="D4265" t="s">
        <v>12</v>
      </c>
      <c r="E4265" t="s">
        <v>5707</v>
      </c>
    </row>
    <row r="4266" spans="1:6" x14ac:dyDescent="0.25">
      <c r="A4266" t="str">
        <f>"263100652802"</f>
        <v>263100652802</v>
      </c>
      <c r="B4266" t="s">
        <v>5892</v>
      </c>
      <c r="C4266" t="s">
        <v>7</v>
      </c>
      <c r="D4266" t="s">
        <v>14</v>
      </c>
      <c r="E4266" t="s">
        <v>5707</v>
      </c>
    </row>
    <row r="4267" spans="1:6" x14ac:dyDescent="0.25">
      <c r="A4267" t="str">
        <f>"263101529135"</f>
        <v>263101529135</v>
      </c>
      <c r="B4267" t="s">
        <v>5893</v>
      </c>
      <c r="C4267" t="s">
        <v>7</v>
      </c>
      <c r="D4267" t="s">
        <v>14</v>
      </c>
      <c r="E4267" t="s">
        <v>5707</v>
      </c>
    </row>
    <row r="4268" spans="1:6" x14ac:dyDescent="0.25">
      <c r="A4268" t="str">
        <f>"2631035633"</f>
        <v>2631035633</v>
      </c>
      <c r="B4268" t="s">
        <v>5894</v>
      </c>
      <c r="C4268" t="s">
        <v>7</v>
      </c>
      <c r="D4268" t="s">
        <v>33</v>
      </c>
      <c r="E4268" t="s">
        <v>5707</v>
      </c>
      <c r="F4268" t="s">
        <v>5895</v>
      </c>
    </row>
    <row r="4269" spans="1:6" x14ac:dyDescent="0.25">
      <c r="A4269" t="str">
        <f>"2631043539"</f>
        <v>2631043539</v>
      </c>
      <c r="B4269" t="s">
        <v>5896</v>
      </c>
      <c r="C4269" t="s">
        <v>7</v>
      </c>
      <c r="D4269" t="s">
        <v>14</v>
      </c>
      <c r="E4269" t="s">
        <v>5707</v>
      </c>
      <c r="F4269" t="s">
        <v>5897</v>
      </c>
    </row>
    <row r="4270" spans="1:6" x14ac:dyDescent="0.25">
      <c r="A4270" t="str">
        <f>"2631044028"</f>
        <v>2631044028</v>
      </c>
      <c r="B4270" t="s">
        <v>5898</v>
      </c>
      <c r="C4270" t="s">
        <v>7</v>
      </c>
      <c r="D4270" t="s">
        <v>33</v>
      </c>
      <c r="E4270" t="s">
        <v>5707</v>
      </c>
      <c r="F4270" t="s">
        <v>5899</v>
      </c>
    </row>
    <row r="4271" spans="1:6" x14ac:dyDescent="0.25">
      <c r="A4271" t="str">
        <f>"2631044638"</f>
        <v>2631044638</v>
      </c>
      <c r="B4271" t="s">
        <v>5900</v>
      </c>
      <c r="C4271" t="s">
        <v>7</v>
      </c>
      <c r="D4271" t="s">
        <v>12</v>
      </c>
      <c r="E4271" t="s">
        <v>5707</v>
      </c>
      <c r="F4271" t="s">
        <v>5901</v>
      </c>
    </row>
    <row r="4272" spans="1:6" x14ac:dyDescent="0.25">
      <c r="A4272" t="str">
        <f>"263110309961"</f>
        <v>263110309961</v>
      </c>
      <c r="B4272" t="s">
        <v>5902</v>
      </c>
      <c r="C4272" t="s">
        <v>7</v>
      </c>
      <c r="D4272" t="s">
        <v>14</v>
      </c>
      <c r="E4272" t="s">
        <v>5707</v>
      </c>
    </row>
    <row r="4273" spans="1:6" x14ac:dyDescent="0.25">
      <c r="A4273" t="str">
        <f>"263200528372"</f>
        <v>263200528372</v>
      </c>
      <c r="B4273" t="s">
        <v>5903</v>
      </c>
      <c r="C4273" t="s">
        <v>7</v>
      </c>
      <c r="D4273" t="s">
        <v>14</v>
      </c>
      <c r="E4273" t="s">
        <v>5707</v>
      </c>
    </row>
    <row r="4274" spans="1:6" x14ac:dyDescent="0.25">
      <c r="A4274" t="str">
        <f>"263212880243"</f>
        <v>263212880243</v>
      </c>
      <c r="B4274" t="s">
        <v>5904</v>
      </c>
      <c r="C4274" t="s">
        <v>7</v>
      </c>
      <c r="D4274" t="s">
        <v>14</v>
      </c>
      <c r="E4274" t="s">
        <v>5707</v>
      </c>
    </row>
    <row r="4275" spans="1:6" x14ac:dyDescent="0.25">
      <c r="A4275" t="str">
        <f>"263213325556"</f>
        <v>263213325556</v>
      </c>
      <c r="B4275" t="s">
        <v>5905</v>
      </c>
      <c r="C4275" t="s">
        <v>7</v>
      </c>
      <c r="D4275" t="s">
        <v>14</v>
      </c>
      <c r="E4275" t="s">
        <v>5707</v>
      </c>
    </row>
    <row r="4276" spans="1:6" x14ac:dyDescent="0.25">
      <c r="A4276" t="str">
        <f>"263215902671"</f>
        <v>263215902671</v>
      </c>
      <c r="B4276" t="s">
        <v>5906</v>
      </c>
      <c r="C4276" t="s">
        <v>7</v>
      </c>
      <c r="D4276" t="s">
        <v>33</v>
      </c>
      <c r="E4276" t="s">
        <v>5707</v>
      </c>
    </row>
    <row r="4277" spans="1:6" x14ac:dyDescent="0.25">
      <c r="A4277" t="str">
        <f>"263219370530"</f>
        <v>263219370530</v>
      </c>
      <c r="B4277" t="s">
        <v>5907</v>
      </c>
      <c r="C4277" t="s">
        <v>7</v>
      </c>
      <c r="D4277" t="s">
        <v>14</v>
      </c>
      <c r="E4277" t="s">
        <v>5707</v>
      </c>
    </row>
    <row r="4278" spans="1:6" x14ac:dyDescent="0.25">
      <c r="A4278" t="str">
        <f>"2632803334"</f>
        <v>2632803334</v>
      </c>
      <c r="B4278" t="s">
        <v>5908</v>
      </c>
      <c r="C4278" t="s">
        <v>7</v>
      </c>
      <c r="D4278" t="s">
        <v>12</v>
      </c>
      <c r="E4278" t="s">
        <v>5707</v>
      </c>
      <c r="F4278" t="s">
        <v>5909</v>
      </c>
    </row>
    <row r="4279" spans="1:6" x14ac:dyDescent="0.25">
      <c r="A4279" t="str">
        <f>"2632810388"</f>
        <v>2632810388</v>
      </c>
      <c r="B4279" t="s">
        <v>5910</v>
      </c>
      <c r="C4279" t="s">
        <v>7</v>
      </c>
      <c r="D4279" t="s">
        <v>12</v>
      </c>
      <c r="E4279" t="s">
        <v>5707</v>
      </c>
      <c r="F4279" t="s">
        <v>5911</v>
      </c>
    </row>
    <row r="4280" spans="1:6" x14ac:dyDescent="0.25">
      <c r="A4280" t="str">
        <f>"263400576006"</f>
        <v>263400576006</v>
      </c>
      <c r="B4280" t="s">
        <v>5912</v>
      </c>
      <c r="C4280" t="s">
        <v>7</v>
      </c>
      <c r="D4280" t="s">
        <v>8</v>
      </c>
      <c r="E4280" t="s">
        <v>5707</v>
      </c>
    </row>
    <row r="4281" spans="1:6" x14ac:dyDescent="0.25">
      <c r="A4281" t="str">
        <f>"263402495426"</f>
        <v>263402495426</v>
      </c>
      <c r="B4281" t="s">
        <v>5913</v>
      </c>
      <c r="C4281" t="s">
        <v>7</v>
      </c>
      <c r="D4281" t="s">
        <v>14</v>
      </c>
      <c r="E4281" t="s">
        <v>5707</v>
      </c>
    </row>
    <row r="4282" spans="1:6" x14ac:dyDescent="0.25">
      <c r="A4282" t="str">
        <f>"263406037931"</f>
        <v>263406037931</v>
      </c>
      <c r="B4282" t="s">
        <v>5914</v>
      </c>
      <c r="C4282" t="s">
        <v>7</v>
      </c>
      <c r="D4282" t="s">
        <v>14</v>
      </c>
      <c r="E4282" t="s">
        <v>5707</v>
      </c>
    </row>
    <row r="4283" spans="1:6" x14ac:dyDescent="0.25">
      <c r="A4283" t="str">
        <f>"260200003309"</f>
        <v>260200003309</v>
      </c>
      <c r="B4283" t="s">
        <v>5915</v>
      </c>
      <c r="C4283" t="s">
        <v>7</v>
      </c>
      <c r="D4283" t="s">
        <v>12</v>
      </c>
      <c r="E4283" t="s">
        <v>5707</v>
      </c>
    </row>
    <row r="4284" spans="1:6" x14ac:dyDescent="0.25">
      <c r="A4284" t="str">
        <f>"260201921816"</f>
        <v>260201921816</v>
      </c>
      <c r="B4284" t="s">
        <v>5916</v>
      </c>
      <c r="C4284" t="s">
        <v>7</v>
      </c>
      <c r="D4284" t="s">
        <v>14</v>
      </c>
      <c r="E4284" t="s">
        <v>5707</v>
      </c>
    </row>
    <row r="4285" spans="1:6" x14ac:dyDescent="0.25">
      <c r="A4285" t="str">
        <f>"260319456627"</f>
        <v>260319456627</v>
      </c>
      <c r="B4285" t="s">
        <v>5917</v>
      </c>
      <c r="C4285" t="s">
        <v>7</v>
      </c>
      <c r="D4285" t="s">
        <v>14</v>
      </c>
      <c r="E4285" t="s">
        <v>5707</v>
      </c>
    </row>
    <row r="4286" spans="1:6" x14ac:dyDescent="0.25">
      <c r="A4286" t="str">
        <f>"261303452890"</f>
        <v>261303452890</v>
      </c>
      <c r="B4286" t="s">
        <v>5918</v>
      </c>
      <c r="C4286" t="s">
        <v>7</v>
      </c>
      <c r="D4286" t="s">
        <v>14</v>
      </c>
      <c r="E4286" t="s">
        <v>5707</v>
      </c>
    </row>
    <row r="4287" spans="1:6" x14ac:dyDescent="0.25">
      <c r="A4287" t="str">
        <f>"2618024223"</f>
        <v>2618024223</v>
      </c>
      <c r="B4287" t="s">
        <v>5919</v>
      </c>
      <c r="C4287" t="s">
        <v>7</v>
      </c>
      <c r="D4287" t="s">
        <v>12</v>
      </c>
      <c r="E4287" t="s">
        <v>5707</v>
      </c>
      <c r="F4287" t="s">
        <v>5920</v>
      </c>
    </row>
    <row r="4288" spans="1:6" x14ac:dyDescent="0.25">
      <c r="A4288" t="str">
        <f>"261811656303"</f>
        <v>261811656303</v>
      </c>
      <c r="B4288" t="s">
        <v>5921</v>
      </c>
      <c r="C4288" t="s">
        <v>7</v>
      </c>
      <c r="D4288" t="s">
        <v>14</v>
      </c>
      <c r="E4288" t="s">
        <v>5707</v>
      </c>
    </row>
    <row r="4289" spans="1:6" x14ac:dyDescent="0.25">
      <c r="A4289" t="str">
        <f>"262311325697"</f>
        <v>262311325697</v>
      </c>
      <c r="B4289" t="s">
        <v>5922</v>
      </c>
      <c r="C4289" t="s">
        <v>7</v>
      </c>
      <c r="D4289" t="s">
        <v>14</v>
      </c>
      <c r="E4289" t="s">
        <v>5707</v>
      </c>
    </row>
    <row r="4290" spans="1:6" x14ac:dyDescent="0.25">
      <c r="A4290" t="str">
        <f>"070304095626"</f>
        <v>070304095626</v>
      </c>
      <c r="B4290" t="s">
        <v>5923</v>
      </c>
      <c r="C4290" t="s">
        <v>7</v>
      </c>
      <c r="D4290" t="s">
        <v>14</v>
      </c>
      <c r="E4290" t="s">
        <v>5707</v>
      </c>
    </row>
    <row r="4291" spans="1:6" x14ac:dyDescent="0.25">
      <c r="A4291" t="str">
        <f>"090700308165"</f>
        <v>090700308165</v>
      </c>
      <c r="B4291" t="s">
        <v>5924</v>
      </c>
      <c r="C4291" t="s">
        <v>7</v>
      </c>
      <c r="D4291" t="s">
        <v>14</v>
      </c>
      <c r="E4291" t="s">
        <v>5707</v>
      </c>
    </row>
    <row r="4292" spans="1:6" x14ac:dyDescent="0.25">
      <c r="A4292" t="str">
        <f>"2634095976"</f>
        <v>2634095976</v>
      </c>
      <c r="B4292" t="s">
        <v>5925</v>
      </c>
      <c r="C4292" t="s">
        <v>7</v>
      </c>
      <c r="D4292" t="s">
        <v>14</v>
      </c>
      <c r="E4292" t="s">
        <v>5707</v>
      </c>
      <c r="F4292" t="s">
        <v>5926</v>
      </c>
    </row>
    <row r="4293" spans="1:6" x14ac:dyDescent="0.25">
      <c r="A4293" t="str">
        <f>"2634102581"</f>
        <v>2634102581</v>
      </c>
      <c r="B4293" t="s">
        <v>5927</v>
      </c>
      <c r="C4293" t="s">
        <v>7</v>
      </c>
      <c r="D4293" t="s">
        <v>14</v>
      </c>
      <c r="E4293" t="s">
        <v>5707</v>
      </c>
      <c r="F4293" t="s">
        <v>5928</v>
      </c>
    </row>
    <row r="4294" spans="1:6" x14ac:dyDescent="0.25">
      <c r="A4294" t="str">
        <f>"263500333590"</f>
        <v>263500333590</v>
      </c>
      <c r="B4294" t="s">
        <v>5929</v>
      </c>
      <c r="C4294" t="s">
        <v>7</v>
      </c>
      <c r="D4294" t="s">
        <v>14</v>
      </c>
      <c r="E4294" t="s">
        <v>5707</v>
      </c>
    </row>
    <row r="4295" spans="1:6" x14ac:dyDescent="0.25">
      <c r="A4295" t="str">
        <f>"263502665618"</f>
        <v>263502665618</v>
      </c>
      <c r="B4295" t="s">
        <v>5930</v>
      </c>
      <c r="C4295" t="s">
        <v>7</v>
      </c>
      <c r="D4295" t="s">
        <v>14</v>
      </c>
      <c r="E4295" t="s">
        <v>5707</v>
      </c>
    </row>
    <row r="4296" spans="1:6" x14ac:dyDescent="0.25">
      <c r="A4296" t="str">
        <f>"263508596505"</f>
        <v>263508596505</v>
      </c>
      <c r="B4296" t="s">
        <v>5931</v>
      </c>
      <c r="C4296" t="s">
        <v>7</v>
      </c>
      <c r="D4296" t="s">
        <v>14</v>
      </c>
      <c r="E4296" t="s">
        <v>5707</v>
      </c>
    </row>
    <row r="4297" spans="1:6" x14ac:dyDescent="0.25">
      <c r="A4297" t="str">
        <f>"263512020009"</f>
        <v>263512020009</v>
      </c>
      <c r="B4297" t="s">
        <v>5932</v>
      </c>
      <c r="C4297" t="s">
        <v>7</v>
      </c>
      <c r="D4297" t="s">
        <v>33</v>
      </c>
      <c r="E4297" t="s">
        <v>5707</v>
      </c>
    </row>
    <row r="4298" spans="1:6" x14ac:dyDescent="0.25">
      <c r="A4298" t="str">
        <f>"263515209267"</f>
        <v>263515209267</v>
      </c>
      <c r="B4298" t="s">
        <v>5933</v>
      </c>
      <c r="C4298" t="s">
        <v>7</v>
      </c>
      <c r="D4298" t="s">
        <v>14</v>
      </c>
      <c r="E4298" t="s">
        <v>5707</v>
      </c>
    </row>
    <row r="4299" spans="1:6" x14ac:dyDescent="0.25">
      <c r="A4299" t="str">
        <f>"263517773750"</f>
        <v>263517773750</v>
      </c>
      <c r="B4299" t="s">
        <v>5934</v>
      </c>
      <c r="C4299" t="s">
        <v>7</v>
      </c>
      <c r="D4299" t="s">
        <v>14</v>
      </c>
      <c r="E4299" t="s">
        <v>5707</v>
      </c>
    </row>
    <row r="4300" spans="1:6" x14ac:dyDescent="0.25">
      <c r="A4300" t="str">
        <f>"263518818108"</f>
        <v>263518818108</v>
      </c>
      <c r="B4300" t="s">
        <v>5935</v>
      </c>
      <c r="C4300" t="s">
        <v>7</v>
      </c>
      <c r="D4300" t="s">
        <v>14</v>
      </c>
      <c r="E4300" t="s">
        <v>5707</v>
      </c>
    </row>
    <row r="4301" spans="1:6" x14ac:dyDescent="0.25">
      <c r="A4301" t="str">
        <f>"2635262845"</f>
        <v>2635262845</v>
      </c>
      <c r="B4301" t="s">
        <v>5936</v>
      </c>
      <c r="C4301" t="s">
        <v>7</v>
      </c>
      <c r="D4301" t="s">
        <v>12</v>
      </c>
      <c r="E4301" t="s">
        <v>5707</v>
      </c>
      <c r="F4301" t="s">
        <v>5937</v>
      </c>
    </row>
    <row r="4302" spans="1:6" x14ac:dyDescent="0.25">
      <c r="A4302" t="str">
        <f>"2636040789"</f>
        <v>2636040789</v>
      </c>
      <c r="B4302" t="s">
        <v>5938</v>
      </c>
      <c r="C4302" t="s">
        <v>7</v>
      </c>
      <c r="D4302" t="s">
        <v>12</v>
      </c>
      <c r="E4302" t="s">
        <v>5707</v>
      </c>
      <c r="F4302" t="s">
        <v>5939</v>
      </c>
    </row>
    <row r="4303" spans="1:6" x14ac:dyDescent="0.25">
      <c r="A4303" t="str">
        <f>"2636048570"</f>
        <v>2636048570</v>
      </c>
      <c r="B4303" t="s">
        <v>1602</v>
      </c>
      <c r="C4303" t="s">
        <v>7</v>
      </c>
      <c r="D4303" t="s">
        <v>8</v>
      </c>
      <c r="E4303" t="s">
        <v>5707</v>
      </c>
      <c r="F4303" t="s">
        <v>5940</v>
      </c>
    </row>
    <row r="4304" spans="1:6" x14ac:dyDescent="0.25">
      <c r="A4304" t="str">
        <f>"263606032232"</f>
        <v>263606032232</v>
      </c>
      <c r="B4304" t="s">
        <v>5941</v>
      </c>
      <c r="C4304" t="s">
        <v>7</v>
      </c>
      <c r="D4304" t="s">
        <v>12</v>
      </c>
      <c r="E4304" t="s">
        <v>5707</v>
      </c>
    </row>
    <row r="4305" spans="1:6" x14ac:dyDescent="0.25">
      <c r="A4305" t="str">
        <f>"263606404723"</f>
        <v>263606404723</v>
      </c>
      <c r="B4305" t="s">
        <v>5942</v>
      </c>
      <c r="C4305" t="s">
        <v>7</v>
      </c>
      <c r="D4305" t="s">
        <v>14</v>
      </c>
      <c r="E4305" t="s">
        <v>5707</v>
      </c>
    </row>
    <row r="4306" spans="1:6" x14ac:dyDescent="0.25">
      <c r="A4306" t="str">
        <f>"263606470444"</f>
        <v>263606470444</v>
      </c>
      <c r="B4306" t="s">
        <v>5943</v>
      </c>
      <c r="C4306" t="s">
        <v>7</v>
      </c>
      <c r="D4306" t="s">
        <v>12</v>
      </c>
      <c r="E4306" t="s">
        <v>5707</v>
      </c>
    </row>
    <row r="4307" spans="1:6" x14ac:dyDescent="0.25">
      <c r="A4307" t="str">
        <f>"2634038079"</f>
        <v>2634038079</v>
      </c>
      <c r="B4307" t="s">
        <v>5944</v>
      </c>
      <c r="C4307" t="s">
        <v>7</v>
      </c>
      <c r="D4307" t="s">
        <v>12</v>
      </c>
      <c r="E4307" t="s">
        <v>5707</v>
      </c>
      <c r="F4307" t="s">
        <v>5945</v>
      </c>
    </row>
    <row r="4308" spans="1:6" x14ac:dyDescent="0.25">
      <c r="A4308" t="str">
        <f>"263404205429"</f>
        <v>263404205429</v>
      </c>
      <c r="B4308" t="s">
        <v>5946</v>
      </c>
      <c r="C4308" t="s">
        <v>7</v>
      </c>
      <c r="D4308" t="s">
        <v>14</v>
      </c>
      <c r="E4308" t="s">
        <v>5707</v>
      </c>
    </row>
    <row r="4309" spans="1:6" x14ac:dyDescent="0.25">
      <c r="A4309" t="str">
        <f>"2634074197"</f>
        <v>2634074197</v>
      </c>
      <c r="B4309" t="s">
        <v>5947</v>
      </c>
      <c r="C4309" t="s">
        <v>7</v>
      </c>
      <c r="D4309" t="s">
        <v>12</v>
      </c>
      <c r="E4309" t="s">
        <v>5707</v>
      </c>
      <c r="F4309" t="s">
        <v>5948</v>
      </c>
    </row>
    <row r="4310" spans="1:6" x14ac:dyDescent="0.25">
      <c r="A4310" t="str">
        <f>"2634110078"</f>
        <v>2634110078</v>
      </c>
      <c r="B4310" t="s">
        <v>5949</v>
      </c>
      <c r="C4310" t="s">
        <v>7</v>
      </c>
      <c r="D4310" t="s">
        <v>12</v>
      </c>
      <c r="E4310" t="s">
        <v>5707</v>
      </c>
      <c r="F4310" t="s">
        <v>5950</v>
      </c>
    </row>
    <row r="4311" spans="1:6" x14ac:dyDescent="0.25">
      <c r="A4311" t="str">
        <f>"2635024103"</f>
        <v>2635024103</v>
      </c>
      <c r="B4311" t="s">
        <v>5951</v>
      </c>
      <c r="C4311" t="s">
        <v>7</v>
      </c>
      <c r="D4311" t="s">
        <v>12</v>
      </c>
      <c r="E4311" t="s">
        <v>5707</v>
      </c>
      <c r="F4311" t="s">
        <v>5952</v>
      </c>
    </row>
    <row r="4312" spans="1:6" x14ac:dyDescent="0.25">
      <c r="A4312" t="str">
        <f>"263507563722"</f>
        <v>263507563722</v>
      </c>
      <c r="B4312" t="s">
        <v>5953</v>
      </c>
      <c r="C4312" t="s">
        <v>7</v>
      </c>
      <c r="D4312" t="s">
        <v>12</v>
      </c>
      <c r="E4312" t="s">
        <v>5707</v>
      </c>
    </row>
    <row r="4313" spans="1:6" x14ac:dyDescent="0.25">
      <c r="A4313" t="str">
        <f>"263508758770"</f>
        <v>263508758770</v>
      </c>
      <c r="B4313" t="s">
        <v>5954</v>
      </c>
      <c r="C4313" t="s">
        <v>7</v>
      </c>
      <c r="D4313" t="s">
        <v>14</v>
      </c>
      <c r="E4313" t="s">
        <v>5707</v>
      </c>
    </row>
    <row r="4314" spans="1:6" x14ac:dyDescent="0.25">
      <c r="A4314" t="str">
        <f>"263508852195"</f>
        <v>263508852195</v>
      </c>
      <c r="B4314" t="s">
        <v>5955</v>
      </c>
      <c r="C4314" t="s">
        <v>7</v>
      </c>
      <c r="D4314" t="s">
        <v>12</v>
      </c>
      <c r="E4314" t="s">
        <v>5707</v>
      </c>
    </row>
    <row r="4315" spans="1:6" x14ac:dyDescent="0.25">
      <c r="A4315" t="str">
        <f>"2635092537"</f>
        <v>2635092537</v>
      </c>
      <c r="B4315" t="s">
        <v>5956</v>
      </c>
      <c r="C4315" t="s">
        <v>7</v>
      </c>
      <c r="D4315" t="s">
        <v>12</v>
      </c>
      <c r="E4315" t="s">
        <v>5707</v>
      </c>
      <c r="F4315" t="s">
        <v>5957</v>
      </c>
    </row>
    <row r="4316" spans="1:6" x14ac:dyDescent="0.25">
      <c r="A4316" t="str">
        <f>"2635102295"</f>
        <v>2635102295</v>
      </c>
      <c r="B4316" t="s">
        <v>5958</v>
      </c>
      <c r="C4316" t="s">
        <v>7</v>
      </c>
      <c r="D4316" t="s">
        <v>12</v>
      </c>
      <c r="E4316" t="s">
        <v>5707</v>
      </c>
      <c r="F4316" t="s">
        <v>5959</v>
      </c>
    </row>
    <row r="4317" spans="1:6" x14ac:dyDescent="0.25">
      <c r="A4317" t="str">
        <f>"263513168576"</f>
        <v>263513168576</v>
      </c>
      <c r="B4317" t="s">
        <v>5960</v>
      </c>
      <c r="C4317" t="s">
        <v>7</v>
      </c>
      <c r="D4317" t="s">
        <v>14</v>
      </c>
      <c r="E4317" t="s">
        <v>5707</v>
      </c>
    </row>
    <row r="4318" spans="1:6" x14ac:dyDescent="0.25">
      <c r="A4318" t="str">
        <f>"263513815505"</f>
        <v>263513815505</v>
      </c>
      <c r="B4318" t="s">
        <v>5961</v>
      </c>
      <c r="C4318" t="s">
        <v>7</v>
      </c>
      <c r="D4318" t="s">
        <v>12</v>
      </c>
      <c r="E4318" t="s">
        <v>5707</v>
      </c>
    </row>
    <row r="4319" spans="1:6" x14ac:dyDescent="0.25">
      <c r="A4319" t="str">
        <f>"263515689990"</f>
        <v>263515689990</v>
      </c>
      <c r="B4319" t="s">
        <v>5962</v>
      </c>
      <c r="C4319" t="s">
        <v>7</v>
      </c>
      <c r="D4319" t="s">
        <v>14</v>
      </c>
      <c r="E4319" t="s">
        <v>5707</v>
      </c>
    </row>
    <row r="4320" spans="1:6" x14ac:dyDescent="0.25">
      <c r="A4320" t="str">
        <f>"263518729994"</f>
        <v>263518729994</v>
      </c>
      <c r="B4320" t="s">
        <v>5963</v>
      </c>
      <c r="C4320" t="s">
        <v>7</v>
      </c>
      <c r="D4320" t="s">
        <v>14</v>
      </c>
      <c r="E4320" t="s">
        <v>5707</v>
      </c>
    </row>
    <row r="4321" spans="1:6" x14ac:dyDescent="0.25">
      <c r="A4321" t="str">
        <f>"2635208478"</f>
        <v>2635208478</v>
      </c>
      <c r="B4321" t="s">
        <v>5964</v>
      </c>
      <c r="C4321" t="s">
        <v>7</v>
      </c>
      <c r="D4321" t="s">
        <v>33</v>
      </c>
      <c r="E4321" t="s">
        <v>5707</v>
      </c>
      <c r="F4321" t="s">
        <v>5965</v>
      </c>
    </row>
    <row r="4322" spans="1:6" x14ac:dyDescent="0.25">
      <c r="A4322" t="str">
        <f>"263521184701"</f>
        <v>263521184701</v>
      </c>
      <c r="B4322" t="s">
        <v>5966</v>
      </c>
      <c r="C4322" t="s">
        <v>7</v>
      </c>
      <c r="D4322" t="s">
        <v>14</v>
      </c>
      <c r="E4322" t="s">
        <v>5707</v>
      </c>
    </row>
    <row r="4323" spans="1:6" x14ac:dyDescent="0.25">
      <c r="A4323" t="str">
        <f>"2635212410"</f>
        <v>2635212410</v>
      </c>
      <c r="B4323" t="s">
        <v>3208</v>
      </c>
      <c r="C4323" t="s">
        <v>7</v>
      </c>
      <c r="D4323" t="s">
        <v>33</v>
      </c>
      <c r="E4323" t="s">
        <v>5707</v>
      </c>
      <c r="F4323" t="s">
        <v>5967</v>
      </c>
    </row>
    <row r="4324" spans="1:6" x14ac:dyDescent="0.25">
      <c r="A4324" t="str">
        <f>"2635221091"</f>
        <v>2635221091</v>
      </c>
      <c r="B4324" t="s">
        <v>475</v>
      </c>
      <c r="C4324" t="s">
        <v>7</v>
      </c>
      <c r="D4324" t="s">
        <v>12</v>
      </c>
      <c r="E4324" t="s">
        <v>5707</v>
      </c>
      <c r="F4324" t="s">
        <v>5968</v>
      </c>
    </row>
    <row r="4325" spans="1:6" x14ac:dyDescent="0.25">
      <c r="A4325" t="str">
        <f>"2635230917"</f>
        <v>2635230917</v>
      </c>
      <c r="B4325" t="s">
        <v>5969</v>
      </c>
      <c r="C4325" t="s">
        <v>7</v>
      </c>
      <c r="D4325" t="s">
        <v>1430</v>
      </c>
      <c r="E4325" t="s">
        <v>5707</v>
      </c>
      <c r="F4325" t="s">
        <v>5970</v>
      </c>
    </row>
    <row r="4326" spans="1:6" x14ac:dyDescent="0.25">
      <c r="A4326" t="str">
        <f>"2635243909"</f>
        <v>2635243909</v>
      </c>
      <c r="B4326" t="s">
        <v>5971</v>
      </c>
      <c r="C4326" t="s">
        <v>7</v>
      </c>
      <c r="D4326" t="s">
        <v>14</v>
      </c>
      <c r="E4326" t="s">
        <v>5707</v>
      </c>
      <c r="F4326" t="s">
        <v>5972</v>
      </c>
    </row>
    <row r="4327" spans="1:6" x14ac:dyDescent="0.25">
      <c r="A4327" t="str">
        <f>"2635249107"</f>
        <v>2635249107</v>
      </c>
      <c r="B4327" t="s">
        <v>5973</v>
      </c>
      <c r="C4327" t="s">
        <v>7</v>
      </c>
      <c r="D4327" t="s">
        <v>14</v>
      </c>
      <c r="E4327" t="s">
        <v>5707</v>
      </c>
      <c r="F4327" t="s">
        <v>5974</v>
      </c>
    </row>
    <row r="4328" spans="1:6" x14ac:dyDescent="0.25">
      <c r="A4328" t="str">
        <f>"2635254756"</f>
        <v>2635254756</v>
      </c>
      <c r="B4328" t="s">
        <v>5975</v>
      </c>
      <c r="C4328" t="s">
        <v>7</v>
      </c>
      <c r="D4328" t="s">
        <v>14</v>
      </c>
      <c r="E4328" t="s">
        <v>5707</v>
      </c>
      <c r="F4328" t="s">
        <v>5976</v>
      </c>
    </row>
    <row r="4329" spans="1:6" x14ac:dyDescent="0.25">
      <c r="A4329" t="str">
        <f>"2635255012"</f>
        <v>2635255012</v>
      </c>
      <c r="B4329" t="s">
        <v>5977</v>
      </c>
      <c r="C4329" t="s">
        <v>7</v>
      </c>
      <c r="D4329" t="s">
        <v>12</v>
      </c>
      <c r="E4329" t="s">
        <v>5707</v>
      </c>
      <c r="F4329" t="s">
        <v>5976</v>
      </c>
    </row>
    <row r="4330" spans="1:6" x14ac:dyDescent="0.25">
      <c r="A4330" t="str">
        <f>"2635259779"</f>
        <v>2635259779</v>
      </c>
      <c r="B4330" t="s">
        <v>5978</v>
      </c>
      <c r="C4330" t="s">
        <v>7</v>
      </c>
      <c r="D4330" t="s">
        <v>12</v>
      </c>
      <c r="E4330" t="s">
        <v>5707</v>
      </c>
      <c r="F4330" t="s">
        <v>5979</v>
      </c>
    </row>
    <row r="4331" spans="1:6" x14ac:dyDescent="0.25">
      <c r="A4331" t="str">
        <f>"2635260767"</f>
        <v>2635260767</v>
      </c>
      <c r="B4331" t="s">
        <v>5980</v>
      </c>
      <c r="C4331" t="s">
        <v>7</v>
      </c>
      <c r="D4331" t="s">
        <v>98</v>
      </c>
      <c r="E4331" t="s">
        <v>5707</v>
      </c>
      <c r="F4331" t="s">
        <v>5981</v>
      </c>
    </row>
    <row r="4332" spans="1:6" x14ac:dyDescent="0.25">
      <c r="A4332" t="str">
        <f>"2635261672"</f>
        <v>2635261672</v>
      </c>
      <c r="B4332" t="s">
        <v>5982</v>
      </c>
      <c r="C4332" t="s">
        <v>7</v>
      </c>
      <c r="D4332" t="s">
        <v>12</v>
      </c>
      <c r="E4332" t="s">
        <v>5707</v>
      </c>
      <c r="F4332" t="s">
        <v>5983</v>
      </c>
    </row>
    <row r="4333" spans="1:6" x14ac:dyDescent="0.25">
      <c r="A4333" t="str">
        <f>"2635265910"</f>
        <v>2635265910</v>
      </c>
      <c r="B4333" t="s">
        <v>5984</v>
      </c>
      <c r="C4333" t="s">
        <v>7</v>
      </c>
      <c r="D4333" t="s">
        <v>33</v>
      </c>
      <c r="E4333" t="s">
        <v>5707</v>
      </c>
      <c r="F4333" t="s">
        <v>5985</v>
      </c>
    </row>
    <row r="4334" spans="1:6" x14ac:dyDescent="0.25">
      <c r="A4334" t="str">
        <f>"2635266092"</f>
        <v>2635266092</v>
      </c>
      <c r="B4334" t="s">
        <v>5986</v>
      </c>
      <c r="C4334" t="s">
        <v>7</v>
      </c>
      <c r="D4334" t="s">
        <v>33</v>
      </c>
      <c r="E4334" t="s">
        <v>5707</v>
      </c>
      <c r="F4334" t="s">
        <v>5987</v>
      </c>
    </row>
    <row r="4335" spans="1:6" x14ac:dyDescent="0.25">
      <c r="A4335" t="str">
        <f>"2635820793"</f>
        <v>2635820793</v>
      </c>
      <c r="B4335" t="s">
        <v>5988</v>
      </c>
      <c r="C4335" t="s">
        <v>7</v>
      </c>
      <c r="D4335" t="s">
        <v>674</v>
      </c>
      <c r="E4335" t="s">
        <v>5707</v>
      </c>
      <c r="F4335" t="s">
        <v>5957</v>
      </c>
    </row>
    <row r="4336" spans="1:6" x14ac:dyDescent="0.25">
      <c r="A4336" t="str">
        <f>"2635834757"</f>
        <v>2635834757</v>
      </c>
      <c r="B4336" t="s">
        <v>5989</v>
      </c>
      <c r="C4336" t="s">
        <v>7</v>
      </c>
      <c r="D4336" t="s">
        <v>33</v>
      </c>
      <c r="E4336" t="s">
        <v>5707</v>
      </c>
      <c r="F4336" t="s">
        <v>5990</v>
      </c>
    </row>
    <row r="4337" spans="1:6" x14ac:dyDescent="0.25">
      <c r="A4337" t="str">
        <f>"263601253206"</f>
        <v>263601253206</v>
      </c>
      <c r="B4337" t="s">
        <v>5991</v>
      </c>
      <c r="C4337" t="s">
        <v>7</v>
      </c>
      <c r="D4337" t="s">
        <v>14</v>
      </c>
      <c r="E4337" t="s">
        <v>5707</v>
      </c>
    </row>
    <row r="4338" spans="1:6" x14ac:dyDescent="0.25">
      <c r="A4338" t="str">
        <f>"2636034947"</f>
        <v>2636034947</v>
      </c>
      <c r="B4338" t="s">
        <v>5992</v>
      </c>
      <c r="C4338" t="s">
        <v>7</v>
      </c>
      <c r="D4338" t="s">
        <v>12</v>
      </c>
      <c r="E4338" t="s">
        <v>5707</v>
      </c>
      <c r="F4338" t="s">
        <v>5939</v>
      </c>
    </row>
    <row r="4339" spans="1:6" x14ac:dyDescent="0.25">
      <c r="A4339" t="str">
        <f>"2636035027"</f>
        <v>2636035027</v>
      </c>
      <c r="B4339" t="s">
        <v>5993</v>
      </c>
      <c r="C4339" t="s">
        <v>7</v>
      </c>
      <c r="D4339" t="s">
        <v>14</v>
      </c>
      <c r="E4339" t="s">
        <v>5707</v>
      </c>
      <c r="F4339" t="s">
        <v>5994</v>
      </c>
    </row>
    <row r="4340" spans="1:6" x14ac:dyDescent="0.25">
      <c r="A4340" t="str">
        <f>"263623202607"</f>
        <v>263623202607</v>
      </c>
      <c r="B4340" t="s">
        <v>5995</v>
      </c>
      <c r="C4340" t="s">
        <v>7</v>
      </c>
      <c r="D4340" t="s">
        <v>14</v>
      </c>
      <c r="E4340" t="s">
        <v>5707</v>
      </c>
    </row>
    <row r="4341" spans="1:6" x14ac:dyDescent="0.25">
      <c r="A4341" t="str">
        <f>"2634094387"</f>
        <v>2634094387</v>
      </c>
      <c r="B4341" t="s">
        <v>5996</v>
      </c>
      <c r="C4341" t="s">
        <v>7</v>
      </c>
      <c r="D4341" t="s">
        <v>14</v>
      </c>
      <c r="E4341" t="s">
        <v>5707</v>
      </c>
      <c r="F4341" t="s">
        <v>5997</v>
      </c>
    </row>
    <row r="4342" spans="1:6" x14ac:dyDescent="0.25">
      <c r="A4342" t="str">
        <f>"263502538909"</f>
        <v>263502538909</v>
      </c>
      <c r="B4342" t="s">
        <v>5998</v>
      </c>
      <c r="C4342" t="s">
        <v>7</v>
      </c>
      <c r="D4342" t="s">
        <v>14</v>
      </c>
      <c r="E4342" t="s">
        <v>5707</v>
      </c>
    </row>
    <row r="4343" spans="1:6" x14ac:dyDescent="0.25">
      <c r="A4343" t="str">
        <f>"2635030266"</f>
        <v>2635030266</v>
      </c>
      <c r="B4343" t="s">
        <v>5999</v>
      </c>
      <c r="C4343" t="s">
        <v>7</v>
      </c>
      <c r="D4343" t="s">
        <v>8</v>
      </c>
      <c r="E4343" t="s">
        <v>5707</v>
      </c>
      <c r="F4343" t="s">
        <v>5957</v>
      </c>
    </row>
    <row r="4344" spans="1:6" x14ac:dyDescent="0.25">
      <c r="A4344" t="str">
        <f>"263503806029"</f>
        <v>263503806029</v>
      </c>
      <c r="B4344" t="s">
        <v>6000</v>
      </c>
      <c r="C4344" t="s">
        <v>7</v>
      </c>
      <c r="D4344" t="s">
        <v>14</v>
      </c>
      <c r="E4344" t="s">
        <v>5707</v>
      </c>
    </row>
    <row r="4345" spans="1:6" x14ac:dyDescent="0.25">
      <c r="A4345" t="str">
        <f>"263504190568"</f>
        <v>263504190568</v>
      </c>
      <c r="B4345" t="s">
        <v>6001</v>
      </c>
      <c r="C4345" t="s">
        <v>7</v>
      </c>
      <c r="D4345" t="s">
        <v>33</v>
      </c>
      <c r="E4345" t="s">
        <v>5707</v>
      </c>
    </row>
    <row r="4346" spans="1:6" x14ac:dyDescent="0.25">
      <c r="A4346" t="str">
        <f>"2635132130"</f>
        <v>2635132130</v>
      </c>
      <c r="B4346" t="s">
        <v>6002</v>
      </c>
      <c r="C4346" t="s">
        <v>7</v>
      </c>
      <c r="D4346" t="s">
        <v>12</v>
      </c>
      <c r="E4346" t="s">
        <v>5707</v>
      </c>
      <c r="F4346" t="s">
        <v>6003</v>
      </c>
    </row>
    <row r="4347" spans="1:6" x14ac:dyDescent="0.25">
      <c r="A4347" t="str">
        <f>"263517188380"</f>
        <v>263517188380</v>
      </c>
      <c r="B4347" t="s">
        <v>6004</v>
      </c>
      <c r="C4347" t="s">
        <v>7</v>
      </c>
      <c r="D4347" t="s">
        <v>33</v>
      </c>
      <c r="E4347" t="s">
        <v>5707</v>
      </c>
    </row>
    <row r="4348" spans="1:6" x14ac:dyDescent="0.25">
      <c r="A4348" t="str">
        <f>"2635210124"</f>
        <v>2635210124</v>
      </c>
      <c r="B4348" t="s">
        <v>6005</v>
      </c>
      <c r="C4348" t="s">
        <v>7</v>
      </c>
      <c r="D4348" t="s">
        <v>33</v>
      </c>
      <c r="E4348" t="s">
        <v>5707</v>
      </c>
      <c r="F4348" t="s">
        <v>5965</v>
      </c>
    </row>
    <row r="4349" spans="1:6" x14ac:dyDescent="0.25">
      <c r="A4349" t="str">
        <f>"2635220926"</f>
        <v>2635220926</v>
      </c>
      <c r="B4349" t="s">
        <v>6006</v>
      </c>
      <c r="C4349" t="s">
        <v>7</v>
      </c>
      <c r="D4349" t="s">
        <v>33</v>
      </c>
      <c r="E4349" t="s">
        <v>5707</v>
      </c>
      <c r="F4349" t="s">
        <v>6007</v>
      </c>
    </row>
    <row r="4350" spans="1:6" x14ac:dyDescent="0.25">
      <c r="A4350" t="str">
        <f>"2635222835"</f>
        <v>2635222835</v>
      </c>
      <c r="B4350" t="s">
        <v>6008</v>
      </c>
      <c r="C4350" t="s">
        <v>7</v>
      </c>
      <c r="D4350" t="s">
        <v>33</v>
      </c>
      <c r="E4350" t="s">
        <v>5707</v>
      </c>
      <c r="F4350" t="s">
        <v>6009</v>
      </c>
    </row>
    <row r="4351" spans="1:6" x14ac:dyDescent="0.25">
      <c r="A4351" t="str">
        <f>"2635230730"</f>
        <v>2635230730</v>
      </c>
      <c r="B4351" t="s">
        <v>6010</v>
      </c>
      <c r="C4351" t="s">
        <v>7</v>
      </c>
      <c r="D4351" t="s">
        <v>33</v>
      </c>
      <c r="E4351" t="s">
        <v>5707</v>
      </c>
      <c r="F4351" t="s">
        <v>6011</v>
      </c>
    </row>
    <row r="4352" spans="1:6" x14ac:dyDescent="0.25">
      <c r="A4352" t="str">
        <f>"2635239691"</f>
        <v>2635239691</v>
      </c>
      <c r="B4352" t="s">
        <v>6012</v>
      </c>
      <c r="C4352" t="s">
        <v>7</v>
      </c>
      <c r="D4352" t="s">
        <v>12</v>
      </c>
      <c r="E4352" t="s">
        <v>5707</v>
      </c>
      <c r="F4352" t="s">
        <v>6013</v>
      </c>
    </row>
    <row r="4353" spans="1:6" x14ac:dyDescent="0.25">
      <c r="A4353" t="str">
        <f>"2635264137"</f>
        <v>2635264137</v>
      </c>
      <c r="B4353" t="s">
        <v>6014</v>
      </c>
      <c r="C4353" t="s">
        <v>7</v>
      </c>
      <c r="D4353" t="s">
        <v>33</v>
      </c>
      <c r="E4353" t="s">
        <v>5707</v>
      </c>
      <c r="F4353" t="s">
        <v>6015</v>
      </c>
    </row>
    <row r="4354" spans="1:6" x14ac:dyDescent="0.25">
      <c r="A4354" t="str">
        <f>"2636221979"</f>
        <v>2636221979</v>
      </c>
      <c r="B4354" t="s">
        <v>6016</v>
      </c>
      <c r="C4354" t="s">
        <v>7</v>
      </c>
      <c r="D4354" t="s">
        <v>33</v>
      </c>
      <c r="E4354" t="s">
        <v>5707</v>
      </c>
      <c r="F4354" t="s">
        <v>6017</v>
      </c>
    </row>
    <row r="4355" spans="1:6" x14ac:dyDescent="0.25">
      <c r="A4355" t="str">
        <f>"2626040839"</f>
        <v>2626040839</v>
      </c>
      <c r="B4355" t="s">
        <v>6018</v>
      </c>
      <c r="C4355" t="s">
        <v>7</v>
      </c>
      <c r="D4355" t="s">
        <v>14</v>
      </c>
      <c r="E4355" t="s">
        <v>5707</v>
      </c>
      <c r="F4355" t="s">
        <v>6019</v>
      </c>
    </row>
    <row r="4356" spans="1:6" x14ac:dyDescent="0.25">
      <c r="A4356" t="str">
        <f>"263100487299"</f>
        <v>263100487299</v>
      </c>
      <c r="B4356" t="s">
        <v>6020</v>
      </c>
      <c r="C4356" t="s">
        <v>7</v>
      </c>
      <c r="D4356" t="s">
        <v>14</v>
      </c>
      <c r="E4356" t="s">
        <v>5707</v>
      </c>
    </row>
    <row r="4357" spans="1:6" x14ac:dyDescent="0.25">
      <c r="A4357" t="str">
        <f>"263100750704"</f>
        <v>263100750704</v>
      </c>
      <c r="B4357" t="s">
        <v>6021</v>
      </c>
      <c r="C4357" t="s">
        <v>7</v>
      </c>
      <c r="D4357" t="s">
        <v>14</v>
      </c>
      <c r="E4357" t="s">
        <v>5707</v>
      </c>
    </row>
    <row r="4358" spans="1:6" x14ac:dyDescent="0.25">
      <c r="A4358" t="str">
        <f>"263200161090"</f>
        <v>263200161090</v>
      </c>
      <c r="B4358" t="s">
        <v>6022</v>
      </c>
      <c r="C4358" t="s">
        <v>7</v>
      </c>
      <c r="D4358" t="s">
        <v>33</v>
      </c>
      <c r="E4358" t="s">
        <v>5707</v>
      </c>
    </row>
    <row r="4359" spans="1:6" x14ac:dyDescent="0.25">
      <c r="A4359" t="str">
        <f>"2634055042"</f>
        <v>2634055042</v>
      </c>
      <c r="B4359" t="s">
        <v>6023</v>
      </c>
      <c r="C4359" t="s">
        <v>7</v>
      </c>
      <c r="D4359" t="s">
        <v>14</v>
      </c>
      <c r="E4359" t="s">
        <v>5707</v>
      </c>
      <c r="F4359" t="s">
        <v>6024</v>
      </c>
    </row>
    <row r="4360" spans="1:6" x14ac:dyDescent="0.25">
      <c r="A4360" t="str">
        <f>"2634111811"</f>
        <v>2634111811</v>
      </c>
      <c r="B4360" t="s">
        <v>6025</v>
      </c>
      <c r="C4360" t="s">
        <v>7</v>
      </c>
      <c r="D4360" t="s">
        <v>12</v>
      </c>
      <c r="E4360" t="s">
        <v>5707</v>
      </c>
      <c r="F4360" t="s">
        <v>6026</v>
      </c>
    </row>
    <row r="4361" spans="1:6" x14ac:dyDescent="0.25">
      <c r="A4361" t="str">
        <f>"263412311854"</f>
        <v>263412311854</v>
      </c>
      <c r="B4361" t="s">
        <v>6027</v>
      </c>
      <c r="C4361" t="s">
        <v>7</v>
      </c>
      <c r="D4361" t="s">
        <v>14</v>
      </c>
      <c r="E4361" t="s">
        <v>5707</v>
      </c>
    </row>
    <row r="4362" spans="1:6" x14ac:dyDescent="0.25">
      <c r="A4362" t="str">
        <f>"263413250026"</f>
        <v>263413250026</v>
      </c>
      <c r="B4362" t="s">
        <v>6028</v>
      </c>
      <c r="C4362" t="s">
        <v>7</v>
      </c>
      <c r="D4362" t="s">
        <v>12</v>
      </c>
      <c r="E4362" t="s">
        <v>5707</v>
      </c>
    </row>
    <row r="4363" spans="1:6" x14ac:dyDescent="0.25">
      <c r="A4363" t="str">
        <f>"2635233876"</f>
        <v>2635233876</v>
      </c>
      <c r="B4363" t="s">
        <v>6029</v>
      </c>
      <c r="C4363" t="s">
        <v>7</v>
      </c>
      <c r="D4363" t="s">
        <v>12</v>
      </c>
      <c r="E4363" t="s">
        <v>5707</v>
      </c>
      <c r="F4363" t="s">
        <v>5972</v>
      </c>
    </row>
    <row r="4364" spans="1:6" x14ac:dyDescent="0.25">
      <c r="A4364" t="str">
        <f>"2635250656"</f>
        <v>2635250656</v>
      </c>
      <c r="B4364" t="s">
        <v>6030</v>
      </c>
      <c r="C4364" t="s">
        <v>7</v>
      </c>
      <c r="D4364" t="s">
        <v>12</v>
      </c>
      <c r="E4364" t="s">
        <v>5707</v>
      </c>
      <c r="F4364" t="s">
        <v>6031</v>
      </c>
    </row>
    <row r="4365" spans="1:6" x14ac:dyDescent="0.25">
      <c r="A4365" t="str">
        <f>"2636039293"</f>
        <v>2636039293</v>
      </c>
      <c r="B4365" t="s">
        <v>6032</v>
      </c>
      <c r="C4365" t="s">
        <v>7</v>
      </c>
      <c r="D4365" t="s">
        <v>8</v>
      </c>
      <c r="E4365" t="s">
        <v>5707</v>
      </c>
      <c r="F4365" t="s">
        <v>6033</v>
      </c>
    </row>
    <row r="4366" spans="1:6" x14ac:dyDescent="0.25">
      <c r="A4366" t="str">
        <f>"5902060818"</f>
        <v>5902060818</v>
      </c>
      <c r="B4366" t="s">
        <v>6034</v>
      </c>
      <c r="C4366" t="s">
        <v>7</v>
      </c>
      <c r="D4366" t="s">
        <v>14</v>
      </c>
      <c r="E4366" t="s">
        <v>5707</v>
      </c>
      <c r="F4366" t="s">
        <v>6035</v>
      </c>
    </row>
    <row r="4367" spans="1:6" x14ac:dyDescent="0.25">
      <c r="A4367" t="str">
        <f>"590318412416"</f>
        <v>590318412416</v>
      </c>
      <c r="B4367" t="s">
        <v>6036</v>
      </c>
      <c r="C4367" t="s">
        <v>7</v>
      </c>
      <c r="D4367" t="s">
        <v>12</v>
      </c>
      <c r="E4367" t="s">
        <v>5707</v>
      </c>
    </row>
    <row r="4368" spans="1:6" x14ac:dyDescent="0.25">
      <c r="A4368" t="str">
        <f>"860229438901"</f>
        <v>860229438901</v>
      </c>
      <c r="B4368" t="s">
        <v>6037</v>
      </c>
      <c r="C4368" t="s">
        <v>7</v>
      </c>
      <c r="D4368" t="s">
        <v>14</v>
      </c>
      <c r="E4368" t="s">
        <v>5707</v>
      </c>
    </row>
    <row r="4369" spans="1:6" x14ac:dyDescent="0.25">
      <c r="A4369" t="str">
        <f>"751800047748"</f>
        <v>751800047748</v>
      </c>
      <c r="B4369" t="s">
        <v>6038</v>
      </c>
      <c r="C4369" t="s">
        <v>7</v>
      </c>
      <c r="D4369" t="s">
        <v>14</v>
      </c>
      <c r="E4369" t="s">
        <v>5707</v>
      </c>
    </row>
    <row r="4370" spans="1:6" x14ac:dyDescent="0.25">
      <c r="A4370" t="str">
        <f>"5908048045"</f>
        <v>5908048045</v>
      </c>
      <c r="B4370" t="s">
        <v>6039</v>
      </c>
      <c r="C4370" t="s">
        <v>7</v>
      </c>
      <c r="D4370" t="s">
        <v>12</v>
      </c>
      <c r="E4370" t="s">
        <v>5707</v>
      </c>
      <c r="F4370" t="s">
        <v>6040</v>
      </c>
    </row>
    <row r="4371" spans="1:6" x14ac:dyDescent="0.25">
      <c r="A4371" t="str">
        <f>"591602771042"</f>
        <v>591602771042</v>
      </c>
      <c r="B4371" t="s">
        <v>6041</v>
      </c>
      <c r="C4371" t="s">
        <v>7</v>
      </c>
      <c r="D4371" t="s">
        <v>12</v>
      </c>
      <c r="E4371" t="s">
        <v>5707</v>
      </c>
    </row>
    <row r="4372" spans="1:6" x14ac:dyDescent="0.25">
      <c r="A4372" t="str">
        <f>"235405114176"</f>
        <v>235405114176</v>
      </c>
      <c r="B4372" t="s">
        <v>6042</v>
      </c>
      <c r="C4372" t="s">
        <v>7</v>
      </c>
      <c r="D4372" t="s">
        <v>8</v>
      </c>
      <c r="E4372" t="s">
        <v>5707</v>
      </c>
    </row>
    <row r="4373" spans="1:6" x14ac:dyDescent="0.25">
      <c r="A4373" t="str">
        <f>"250610301951"</f>
        <v>250610301951</v>
      </c>
      <c r="B4373" t="s">
        <v>6043</v>
      </c>
      <c r="C4373" t="s">
        <v>7</v>
      </c>
      <c r="D4373" t="s">
        <v>14</v>
      </c>
      <c r="E4373" t="s">
        <v>6044</v>
      </c>
    </row>
    <row r="4374" spans="1:6" x14ac:dyDescent="0.25">
      <c r="A4374" t="str">
        <f>"252003964893"</f>
        <v>252003964893</v>
      </c>
      <c r="B4374" t="s">
        <v>6045</v>
      </c>
      <c r="C4374" t="s">
        <v>7</v>
      </c>
      <c r="D4374" t="s">
        <v>14</v>
      </c>
      <c r="E4374" t="s">
        <v>6044</v>
      </c>
    </row>
    <row r="4375" spans="1:6" x14ac:dyDescent="0.25">
      <c r="A4375" t="str">
        <f>"2540143600"</f>
        <v>2540143600</v>
      </c>
      <c r="B4375" t="s">
        <v>6046</v>
      </c>
      <c r="C4375" t="s">
        <v>7</v>
      </c>
      <c r="D4375" t="s">
        <v>189</v>
      </c>
      <c r="E4375" t="s">
        <v>6044</v>
      </c>
      <c r="F4375" t="s">
        <v>6047</v>
      </c>
    </row>
    <row r="4376" spans="1:6" x14ac:dyDescent="0.25">
      <c r="A4376" t="str">
        <f>"2700038282"</f>
        <v>2700038282</v>
      </c>
      <c r="B4376" t="s">
        <v>6048</v>
      </c>
      <c r="C4376" t="s">
        <v>7</v>
      </c>
      <c r="D4376" t="s">
        <v>14</v>
      </c>
      <c r="E4376" t="s">
        <v>6044</v>
      </c>
      <c r="F4376" t="s">
        <v>6049</v>
      </c>
    </row>
    <row r="4377" spans="1:6" x14ac:dyDescent="0.25">
      <c r="A4377" t="str">
        <f>"2700052456"</f>
        <v>2700052456</v>
      </c>
      <c r="B4377" t="s">
        <v>6050</v>
      </c>
      <c r="C4377" t="s">
        <v>7</v>
      </c>
      <c r="D4377" t="s">
        <v>14</v>
      </c>
      <c r="E4377" t="s">
        <v>6044</v>
      </c>
      <c r="F4377" t="s">
        <v>6051</v>
      </c>
    </row>
    <row r="4378" spans="1:6" x14ac:dyDescent="0.25">
      <c r="A4378" t="str">
        <f>"2700056450"</f>
        <v>2700056450</v>
      </c>
      <c r="B4378" t="s">
        <v>6052</v>
      </c>
      <c r="C4378" t="s">
        <v>7</v>
      </c>
      <c r="D4378" t="s">
        <v>33</v>
      </c>
      <c r="E4378" t="s">
        <v>6044</v>
      </c>
      <c r="F4378" t="s">
        <v>6053</v>
      </c>
    </row>
    <row r="4379" spans="1:6" x14ac:dyDescent="0.25">
      <c r="A4379" t="str">
        <f>"2703044975"</f>
        <v>2703044975</v>
      </c>
      <c r="B4379" t="s">
        <v>6054</v>
      </c>
      <c r="C4379" t="s">
        <v>7</v>
      </c>
      <c r="D4379" t="s">
        <v>12</v>
      </c>
      <c r="E4379" t="s">
        <v>6044</v>
      </c>
      <c r="F4379" t="s">
        <v>6055</v>
      </c>
    </row>
    <row r="4380" spans="1:6" x14ac:dyDescent="0.25">
      <c r="A4380" t="str">
        <f>"2703055790"</f>
        <v>2703055790</v>
      </c>
      <c r="B4380" t="s">
        <v>6056</v>
      </c>
      <c r="C4380" t="s">
        <v>7</v>
      </c>
      <c r="D4380" t="s">
        <v>12</v>
      </c>
      <c r="E4380" t="s">
        <v>6044</v>
      </c>
      <c r="F4380" t="s">
        <v>6057</v>
      </c>
    </row>
    <row r="4381" spans="1:6" x14ac:dyDescent="0.25">
      <c r="A4381" t="str">
        <f>"270308912225"</f>
        <v>270308912225</v>
      </c>
      <c r="B4381" t="s">
        <v>6058</v>
      </c>
      <c r="C4381" t="s">
        <v>7</v>
      </c>
      <c r="D4381" t="s">
        <v>14</v>
      </c>
      <c r="E4381" t="s">
        <v>6044</v>
      </c>
    </row>
    <row r="4382" spans="1:6" x14ac:dyDescent="0.25">
      <c r="A4382" t="str">
        <f>"270326106789"</f>
        <v>270326106789</v>
      </c>
      <c r="B4382" t="s">
        <v>6059</v>
      </c>
      <c r="C4382" t="s">
        <v>7</v>
      </c>
      <c r="D4382" t="s">
        <v>14</v>
      </c>
      <c r="E4382" t="s">
        <v>6044</v>
      </c>
    </row>
    <row r="4383" spans="1:6" x14ac:dyDescent="0.25">
      <c r="A4383" t="str">
        <f>"270392623638"</f>
        <v>270392623638</v>
      </c>
      <c r="B4383" t="s">
        <v>6060</v>
      </c>
      <c r="C4383" t="s">
        <v>7</v>
      </c>
      <c r="D4383" t="s">
        <v>14</v>
      </c>
      <c r="E4383" t="s">
        <v>6044</v>
      </c>
    </row>
    <row r="4384" spans="1:6" x14ac:dyDescent="0.25">
      <c r="A4384" t="str">
        <f>"270401870308"</f>
        <v>270401870308</v>
      </c>
      <c r="B4384" t="s">
        <v>6061</v>
      </c>
      <c r="C4384" t="s">
        <v>7</v>
      </c>
      <c r="D4384" t="s">
        <v>12</v>
      </c>
      <c r="E4384" t="s">
        <v>6044</v>
      </c>
    </row>
    <row r="4385" spans="1:6" x14ac:dyDescent="0.25">
      <c r="A4385" t="str">
        <f>"270415623644"</f>
        <v>270415623644</v>
      </c>
      <c r="B4385" t="s">
        <v>6062</v>
      </c>
      <c r="C4385" t="s">
        <v>7</v>
      </c>
      <c r="D4385" t="s">
        <v>14</v>
      </c>
      <c r="E4385" t="s">
        <v>6044</v>
      </c>
    </row>
    <row r="4386" spans="1:6" x14ac:dyDescent="0.25">
      <c r="A4386" t="str">
        <f>"270602738194"</f>
        <v>270602738194</v>
      </c>
      <c r="B4386" t="s">
        <v>6063</v>
      </c>
      <c r="C4386" t="s">
        <v>7</v>
      </c>
      <c r="D4386" t="s">
        <v>14</v>
      </c>
      <c r="E4386" t="s">
        <v>6044</v>
      </c>
    </row>
    <row r="4387" spans="1:6" x14ac:dyDescent="0.25">
      <c r="A4387" t="str">
        <f>"270605150700"</f>
        <v>270605150700</v>
      </c>
      <c r="B4387" t="s">
        <v>6064</v>
      </c>
      <c r="C4387" t="s">
        <v>7</v>
      </c>
      <c r="D4387" t="s">
        <v>14</v>
      </c>
      <c r="E4387" t="s">
        <v>6044</v>
      </c>
    </row>
    <row r="4388" spans="1:6" x14ac:dyDescent="0.25">
      <c r="A4388" t="str">
        <f>"270700011230"</f>
        <v>270700011230</v>
      </c>
      <c r="B4388" t="s">
        <v>6065</v>
      </c>
      <c r="C4388" t="s">
        <v>7</v>
      </c>
      <c r="D4388" t="s">
        <v>14</v>
      </c>
      <c r="E4388" t="s">
        <v>6044</v>
      </c>
    </row>
    <row r="4389" spans="1:6" x14ac:dyDescent="0.25">
      <c r="A4389" t="str">
        <f>"2709015794"</f>
        <v>2709015794</v>
      </c>
      <c r="B4389" t="s">
        <v>6066</v>
      </c>
      <c r="C4389" t="s">
        <v>7</v>
      </c>
      <c r="D4389" t="s">
        <v>12</v>
      </c>
      <c r="E4389" t="s">
        <v>6044</v>
      </c>
      <c r="F4389" t="s">
        <v>6067</v>
      </c>
    </row>
    <row r="4390" spans="1:6" x14ac:dyDescent="0.25">
      <c r="A4390" t="str">
        <f>"271201057305"</f>
        <v>271201057305</v>
      </c>
      <c r="B4390" t="s">
        <v>6068</v>
      </c>
      <c r="C4390" t="s">
        <v>7</v>
      </c>
      <c r="D4390" t="s">
        <v>14</v>
      </c>
      <c r="E4390" t="s">
        <v>6044</v>
      </c>
    </row>
    <row r="4391" spans="1:6" x14ac:dyDescent="0.25">
      <c r="A4391" t="str">
        <f>"271306835545"</f>
        <v>271306835545</v>
      </c>
      <c r="B4391" t="s">
        <v>6069</v>
      </c>
      <c r="C4391" t="s">
        <v>7</v>
      </c>
      <c r="D4391" t="s">
        <v>14</v>
      </c>
      <c r="E4391" t="s">
        <v>6044</v>
      </c>
    </row>
    <row r="4392" spans="1:6" x14ac:dyDescent="0.25">
      <c r="A4392" t="str">
        <f>"2700007140"</f>
        <v>2700007140</v>
      </c>
      <c r="B4392" t="s">
        <v>6070</v>
      </c>
      <c r="C4392" t="s">
        <v>7</v>
      </c>
      <c r="D4392" t="s">
        <v>463</v>
      </c>
      <c r="E4392" t="s">
        <v>6044</v>
      </c>
      <c r="F4392" t="s">
        <v>6071</v>
      </c>
    </row>
    <row r="4393" spans="1:6" x14ac:dyDescent="0.25">
      <c r="A4393" t="str">
        <f>"2700023600"</f>
        <v>2700023600</v>
      </c>
      <c r="B4393" t="s">
        <v>6072</v>
      </c>
      <c r="C4393" t="s">
        <v>7</v>
      </c>
      <c r="D4393" t="s">
        <v>12</v>
      </c>
      <c r="E4393" t="s">
        <v>6044</v>
      </c>
      <c r="F4393" t="s">
        <v>6073</v>
      </c>
    </row>
    <row r="4394" spans="1:6" x14ac:dyDescent="0.25">
      <c r="A4394" t="str">
        <f>"2700041599"</f>
        <v>2700041599</v>
      </c>
      <c r="B4394" t="s">
        <v>6074</v>
      </c>
      <c r="C4394" t="s">
        <v>7</v>
      </c>
      <c r="D4394" t="s">
        <v>12</v>
      </c>
      <c r="E4394" t="s">
        <v>6044</v>
      </c>
      <c r="F4394" t="s">
        <v>6075</v>
      </c>
    </row>
    <row r="4395" spans="1:6" x14ac:dyDescent="0.25">
      <c r="A4395" t="str">
        <f>"2700045794"</f>
        <v>2700045794</v>
      </c>
      <c r="B4395" t="s">
        <v>6076</v>
      </c>
      <c r="C4395" t="s">
        <v>7</v>
      </c>
      <c r="D4395" t="s">
        <v>14</v>
      </c>
      <c r="E4395" t="s">
        <v>6044</v>
      </c>
      <c r="F4395" t="s">
        <v>6077</v>
      </c>
    </row>
    <row r="4396" spans="1:6" x14ac:dyDescent="0.25">
      <c r="A4396" t="str">
        <f>"2703075638"</f>
        <v>2703075638</v>
      </c>
      <c r="B4396" t="s">
        <v>1622</v>
      </c>
      <c r="C4396" t="s">
        <v>7</v>
      </c>
      <c r="D4396" t="s">
        <v>12</v>
      </c>
      <c r="E4396" t="s">
        <v>6044</v>
      </c>
      <c r="F4396" t="s">
        <v>6078</v>
      </c>
    </row>
    <row r="4397" spans="1:6" x14ac:dyDescent="0.25">
      <c r="A4397" t="str">
        <f>"270325981638"</f>
        <v>270325981638</v>
      </c>
      <c r="B4397" t="s">
        <v>6079</v>
      </c>
      <c r="C4397" t="s">
        <v>7</v>
      </c>
      <c r="D4397" t="s">
        <v>14</v>
      </c>
      <c r="E4397" t="s">
        <v>6044</v>
      </c>
    </row>
    <row r="4398" spans="1:6" x14ac:dyDescent="0.25">
      <c r="A4398" t="str">
        <f>"270390719790"</f>
        <v>270390719790</v>
      </c>
      <c r="B4398" t="s">
        <v>6080</v>
      </c>
      <c r="C4398" t="s">
        <v>7</v>
      </c>
      <c r="D4398" t="s">
        <v>14</v>
      </c>
      <c r="E4398" t="s">
        <v>6044</v>
      </c>
    </row>
    <row r="4399" spans="1:6" x14ac:dyDescent="0.25">
      <c r="A4399" t="str">
        <f>"270391320503"</f>
        <v>270391320503</v>
      </c>
      <c r="B4399" t="s">
        <v>6081</v>
      </c>
      <c r="C4399" t="s">
        <v>7</v>
      </c>
      <c r="D4399" t="s">
        <v>12</v>
      </c>
      <c r="E4399" t="s">
        <v>6044</v>
      </c>
    </row>
    <row r="4400" spans="1:6" x14ac:dyDescent="0.25">
      <c r="A4400" t="str">
        <f>"270393405583"</f>
        <v>270393405583</v>
      </c>
      <c r="B4400" t="s">
        <v>6082</v>
      </c>
      <c r="C4400" t="s">
        <v>7</v>
      </c>
      <c r="D4400" t="s">
        <v>14</v>
      </c>
      <c r="E4400" t="s">
        <v>6044</v>
      </c>
    </row>
    <row r="4401" spans="1:6" x14ac:dyDescent="0.25">
      <c r="A4401" t="str">
        <f>"2704012310"</f>
        <v>2704012310</v>
      </c>
      <c r="B4401" t="s">
        <v>6083</v>
      </c>
      <c r="C4401" t="s">
        <v>7</v>
      </c>
      <c r="D4401" t="s">
        <v>14</v>
      </c>
      <c r="E4401" t="s">
        <v>6044</v>
      </c>
      <c r="F4401" t="s">
        <v>6084</v>
      </c>
    </row>
    <row r="4402" spans="1:6" x14ac:dyDescent="0.25">
      <c r="A4402" t="str">
        <f>"270604917689"</f>
        <v>270604917689</v>
      </c>
      <c r="B4402" t="s">
        <v>6085</v>
      </c>
      <c r="C4402" t="s">
        <v>7</v>
      </c>
      <c r="D4402" t="s">
        <v>14</v>
      </c>
      <c r="E4402" t="s">
        <v>6044</v>
      </c>
    </row>
    <row r="4403" spans="1:6" x14ac:dyDescent="0.25">
      <c r="A4403" t="str">
        <f>"270605179138"</f>
        <v>270605179138</v>
      </c>
      <c r="B4403" t="s">
        <v>6086</v>
      </c>
      <c r="C4403" t="s">
        <v>7</v>
      </c>
      <c r="D4403" t="s">
        <v>14</v>
      </c>
      <c r="E4403" t="s">
        <v>6044</v>
      </c>
    </row>
    <row r="4404" spans="1:6" x14ac:dyDescent="0.25">
      <c r="A4404" t="str">
        <f>"270701529970"</f>
        <v>270701529970</v>
      </c>
      <c r="B4404" t="s">
        <v>6087</v>
      </c>
      <c r="C4404" t="s">
        <v>7</v>
      </c>
      <c r="D4404" t="s">
        <v>14</v>
      </c>
      <c r="E4404" t="s">
        <v>6044</v>
      </c>
    </row>
    <row r="4405" spans="1:6" x14ac:dyDescent="0.25">
      <c r="A4405" t="str">
        <f>"270907774366"</f>
        <v>270907774366</v>
      </c>
      <c r="B4405" t="s">
        <v>6088</v>
      </c>
      <c r="C4405" t="s">
        <v>7</v>
      </c>
      <c r="D4405" t="s">
        <v>14</v>
      </c>
      <c r="E4405" t="s">
        <v>6044</v>
      </c>
    </row>
    <row r="4406" spans="1:6" x14ac:dyDescent="0.25">
      <c r="A4406" t="str">
        <f>"271102584004"</f>
        <v>271102584004</v>
      </c>
      <c r="B4406" t="s">
        <v>6089</v>
      </c>
      <c r="C4406" t="s">
        <v>7</v>
      </c>
      <c r="D4406" t="s">
        <v>14</v>
      </c>
      <c r="E4406" t="s">
        <v>6044</v>
      </c>
    </row>
    <row r="4407" spans="1:6" x14ac:dyDescent="0.25">
      <c r="A4407" t="str">
        <f>"490903042747"</f>
        <v>490903042747</v>
      </c>
      <c r="B4407" t="s">
        <v>6090</v>
      </c>
      <c r="C4407" t="s">
        <v>7</v>
      </c>
      <c r="D4407" t="s">
        <v>12</v>
      </c>
      <c r="E4407" t="s">
        <v>6044</v>
      </c>
    </row>
    <row r="4408" spans="1:6" x14ac:dyDescent="0.25">
      <c r="A4408" t="str">
        <f>"2700004639"</f>
        <v>2700004639</v>
      </c>
      <c r="B4408" t="s">
        <v>6091</v>
      </c>
      <c r="C4408" t="s">
        <v>7</v>
      </c>
      <c r="D4408" t="s">
        <v>33</v>
      </c>
      <c r="E4408" t="s">
        <v>6044</v>
      </c>
      <c r="F4408" t="s">
        <v>6092</v>
      </c>
    </row>
    <row r="4409" spans="1:6" x14ac:dyDescent="0.25">
      <c r="A4409" t="str">
        <f>"2700005784"</f>
        <v>2700005784</v>
      </c>
      <c r="B4409" t="s">
        <v>6093</v>
      </c>
      <c r="C4409" t="s">
        <v>7</v>
      </c>
      <c r="D4409" t="s">
        <v>189</v>
      </c>
      <c r="E4409" t="s">
        <v>6044</v>
      </c>
      <c r="F4409" t="s">
        <v>6094</v>
      </c>
    </row>
    <row r="4410" spans="1:6" x14ac:dyDescent="0.25">
      <c r="A4410" t="str">
        <f>"2700039342"</f>
        <v>2700039342</v>
      </c>
      <c r="B4410" t="s">
        <v>6095</v>
      </c>
      <c r="C4410" t="s">
        <v>7</v>
      </c>
      <c r="D4410" t="s">
        <v>33</v>
      </c>
      <c r="E4410" t="s">
        <v>6044</v>
      </c>
      <c r="F4410" t="s">
        <v>6096</v>
      </c>
    </row>
    <row r="4411" spans="1:6" x14ac:dyDescent="0.25">
      <c r="A4411" t="str">
        <f>"2700046974"</f>
        <v>2700046974</v>
      </c>
      <c r="B4411" t="s">
        <v>6097</v>
      </c>
      <c r="C4411" t="s">
        <v>7</v>
      </c>
      <c r="D4411" t="s">
        <v>33</v>
      </c>
      <c r="E4411" t="s">
        <v>6044</v>
      </c>
      <c r="F4411" t="s">
        <v>6098</v>
      </c>
    </row>
    <row r="4412" spans="1:6" x14ac:dyDescent="0.25">
      <c r="A4412" t="str">
        <f>"2700048227"</f>
        <v>2700048227</v>
      </c>
      <c r="B4412" t="s">
        <v>6099</v>
      </c>
      <c r="C4412" t="s">
        <v>7</v>
      </c>
      <c r="D4412" t="s">
        <v>14</v>
      </c>
      <c r="E4412" t="s">
        <v>6044</v>
      </c>
      <c r="F4412" t="s">
        <v>6100</v>
      </c>
    </row>
    <row r="4413" spans="1:6" x14ac:dyDescent="0.25">
      <c r="A4413" t="str">
        <f>"2702091267"</f>
        <v>2702091267</v>
      </c>
      <c r="B4413" t="s">
        <v>6101</v>
      </c>
      <c r="C4413" t="s">
        <v>7</v>
      </c>
      <c r="D4413" t="s">
        <v>8</v>
      </c>
      <c r="E4413" t="s">
        <v>6044</v>
      </c>
      <c r="F4413" t="s">
        <v>6102</v>
      </c>
    </row>
    <row r="4414" spans="1:6" x14ac:dyDescent="0.25">
      <c r="A4414" t="str">
        <f>"270308189912"</f>
        <v>270308189912</v>
      </c>
      <c r="B4414" t="s">
        <v>6103</v>
      </c>
      <c r="C4414" t="s">
        <v>7</v>
      </c>
      <c r="D4414" t="s">
        <v>14</v>
      </c>
      <c r="E4414" t="s">
        <v>6044</v>
      </c>
    </row>
    <row r="4415" spans="1:6" x14ac:dyDescent="0.25">
      <c r="A4415" t="str">
        <f>"270310615526"</f>
        <v>270310615526</v>
      </c>
      <c r="B4415" t="s">
        <v>6104</v>
      </c>
      <c r="C4415" t="s">
        <v>7</v>
      </c>
      <c r="D4415" t="s">
        <v>12</v>
      </c>
      <c r="E4415" t="s">
        <v>6044</v>
      </c>
    </row>
    <row r="4416" spans="1:6" x14ac:dyDescent="0.25">
      <c r="A4416" t="str">
        <f>"270320908063"</f>
        <v>270320908063</v>
      </c>
      <c r="B4416" t="s">
        <v>6105</v>
      </c>
      <c r="C4416" t="s">
        <v>7</v>
      </c>
      <c r="D4416" t="s">
        <v>12</v>
      </c>
      <c r="E4416" t="s">
        <v>6044</v>
      </c>
    </row>
    <row r="4417" spans="1:6" x14ac:dyDescent="0.25">
      <c r="A4417" t="str">
        <f>"270322897900"</f>
        <v>270322897900</v>
      </c>
      <c r="B4417" t="s">
        <v>6106</v>
      </c>
      <c r="C4417" t="s">
        <v>7</v>
      </c>
      <c r="D4417" t="s">
        <v>14</v>
      </c>
      <c r="E4417" t="s">
        <v>6044</v>
      </c>
    </row>
    <row r="4418" spans="1:6" x14ac:dyDescent="0.25">
      <c r="A4418" t="str">
        <f>"270391520647"</f>
        <v>270391520647</v>
      </c>
      <c r="B4418" t="s">
        <v>6107</v>
      </c>
      <c r="C4418" t="s">
        <v>7</v>
      </c>
      <c r="D4418" t="s">
        <v>33</v>
      </c>
      <c r="E4418" t="s">
        <v>6044</v>
      </c>
    </row>
    <row r="4419" spans="1:6" x14ac:dyDescent="0.25">
      <c r="A4419" t="str">
        <f>"270410112156"</f>
        <v>270410112156</v>
      </c>
      <c r="B4419" t="s">
        <v>6108</v>
      </c>
      <c r="C4419" t="s">
        <v>7</v>
      </c>
      <c r="D4419" t="s">
        <v>12</v>
      </c>
      <c r="E4419" t="s">
        <v>6044</v>
      </c>
    </row>
    <row r="4420" spans="1:6" x14ac:dyDescent="0.25">
      <c r="A4420" t="str">
        <f>"270413493968"</f>
        <v>270413493968</v>
      </c>
      <c r="B4420" t="s">
        <v>6109</v>
      </c>
      <c r="C4420" t="s">
        <v>7</v>
      </c>
      <c r="D4420" t="s">
        <v>14</v>
      </c>
      <c r="E4420" t="s">
        <v>6044</v>
      </c>
    </row>
    <row r="4421" spans="1:6" x14ac:dyDescent="0.25">
      <c r="A4421" t="str">
        <f>"270413884513"</f>
        <v>270413884513</v>
      </c>
      <c r="B4421" t="s">
        <v>6110</v>
      </c>
      <c r="C4421" t="s">
        <v>7</v>
      </c>
      <c r="D4421" t="s">
        <v>14</v>
      </c>
      <c r="E4421" t="s">
        <v>6044</v>
      </c>
    </row>
    <row r="4422" spans="1:6" x14ac:dyDescent="0.25">
      <c r="A4422" t="str">
        <f>"270415358509"</f>
        <v>270415358509</v>
      </c>
      <c r="B4422" t="s">
        <v>6111</v>
      </c>
      <c r="C4422" t="s">
        <v>7</v>
      </c>
      <c r="D4422" t="s">
        <v>14</v>
      </c>
      <c r="E4422" t="s">
        <v>6044</v>
      </c>
    </row>
    <row r="4423" spans="1:6" x14ac:dyDescent="0.25">
      <c r="A4423" t="str">
        <f>"270506255187"</f>
        <v>270506255187</v>
      </c>
      <c r="B4423" t="s">
        <v>6112</v>
      </c>
      <c r="C4423" t="s">
        <v>7</v>
      </c>
      <c r="D4423" t="s">
        <v>14</v>
      </c>
      <c r="E4423" t="s">
        <v>6044</v>
      </c>
    </row>
    <row r="4424" spans="1:6" x14ac:dyDescent="0.25">
      <c r="A4424" t="str">
        <f>"2710007646"</f>
        <v>2710007646</v>
      </c>
      <c r="B4424" t="s">
        <v>450</v>
      </c>
      <c r="C4424" t="s">
        <v>7</v>
      </c>
      <c r="D4424" t="s">
        <v>14</v>
      </c>
      <c r="E4424" t="s">
        <v>6044</v>
      </c>
      <c r="F4424" t="s">
        <v>6113</v>
      </c>
    </row>
    <row r="4425" spans="1:6" x14ac:dyDescent="0.25">
      <c r="A4425" t="str">
        <f>"271001650268"</f>
        <v>271001650268</v>
      </c>
      <c r="B4425" t="s">
        <v>6114</v>
      </c>
      <c r="C4425" t="s">
        <v>7</v>
      </c>
      <c r="D4425" t="s">
        <v>14</v>
      </c>
      <c r="E4425" t="s">
        <v>6044</v>
      </c>
    </row>
    <row r="4426" spans="1:6" x14ac:dyDescent="0.25">
      <c r="A4426" t="str">
        <f>"271200570507"</f>
        <v>271200570507</v>
      </c>
      <c r="B4426" t="s">
        <v>6115</v>
      </c>
      <c r="C4426" t="s">
        <v>7</v>
      </c>
      <c r="D4426" t="s">
        <v>14</v>
      </c>
      <c r="E4426" t="s">
        <v>6044</v>
      </c>
    </row>
    <row r="4427" spans="1:6" x14ac:dyDescent="0.25">
      <c r="A4427" t="str">
        <f>"271204130514"</f>
        <v>271204130514</v>
      </c>
      <c r="B4427" t="s">
        <v>6116</v>
      </c>
      <c r="C4427" t="s">
        <v>7</v>
      </c>
      <c r="D4427" t="s">
        <v>12</v>
      </c>
      <c r="E4427" t="s">
        <v>6044</v>
      </c>
    </row>
    <row r="4428" spans="1:6" x14ac:dyDescent="0.25">
      <c r="A4428" t="str">
        <f>"271204279539"</f>
        <v>271204279539</v>
      </c>
      <c r="B4428" t="s">
        <v>6117</v>
      </c>
      <c r="C4428" t="s">
        <v>7</v>
      </c>
      <c r="D4428" t="s">
        <v>14</v>
      </c>
      <c r="E4428" t="s">
        <v>6044</v>
      </c>
    </row>
    <row r="4429" spans="1:6" x14ac:dyDescent="0.25">
      <c r="A4429" t="str">
        <f>"2713013292"</f>
        <v>2713013292</v>
      </c>
      <c r="B4429" t="s">
        <v>6118</v>
      </c>
      <c r="C4429" t="s">
        <v>7</v>
      </c>
      <c r="D4429" t="s">
        <v>14</v>
      </c>
      <c r="E4429" t="s">
        <v>6044</v>
      </c>
      <c r="F4429" t="s">
        <v>6119</v>
      </c>
    </row>
    <row r="4430" spans="1:6" x14ac:dyDescent="0.25">
      <c r="A4430" t="str">
        <f>"271302029664"</f>
        <v>271302029664</v>
      </c>
      <c r="B4430" t="s">
        <v>6120</v>
      </c>
      <c r="C4430" t="s">
        <v>7</v>
      </c>
      <c r="D4430" t="s">
        <v>14</v>
      </c>
      <c r="E4430" t="s">
        <v>6044</v>
      </c>
    </row>
    <row r="4431" spans="1:6" x14ac:dyDescent="0.25">
      <c r="A4431" t="str">
        <f>"271303985895"</f>
        <v>271303985895</v>
      </c>
      <c r="B4431" t="s">
        <v>6121</v>
      </c>
      <c r="C4431" t="s">
        <v>7</v>
      </c>
      <c r="D4431" t="s">
        <v>12</v>
      </c>
      <c r="E4431" t="s">
        <v>6044</v>
      </c>
    </row>
    <row r="4432" spans="1:6" x14ac:dyDescent="0.25">
      <c r="A4432" t="str">
        <f>"271306770601"</f>
        <v>271306770601</v>
      </c>
      <c r="B4432" t="s">
        <v>6122</v>
      </c>
      <c r="C4432" t="s">
        <v>7</v>
      </c>
      <c r="D4432" t="s">
        <v>14</v>
      </c>
      <c r="E4432" t="s">
        <v>6044</v>
      </c>
    </row>
    <row r="4433" spans="1:6" x14ac:dyDescent="0.25">
      <c r="A4433" t="str">
        <f>"2700000105"</f>
        <v>2700000105</v>
      </c>
      <c r="B4433" t="s">
        <v>6123</v>
      </c>
      <c r="C4433" t="s">
        <v>7</v>
      </c>
      <c r="D4433" t="s">
        <v>14</v>
      </c>
      <c r="E4433" t="s">
        <v>6044</v>
      </c>
      <c r="F4433" t="s">
        <v>6124</v>
      </c>
    </row>
    <row r="4434" spans="1:6" x14ac:dyDescent="0.25">
      <c r="A4434" t="str">
        <f>"2703045880"</f>
        <v>2703045880</v>
      </c>
      <c r="B4434" t="s">
        <v>6125</v>
      </c>
      <c r="C4434" t="s">
        <v>7</v>
      </c>
      <c r="D4434" t="s">
        <v>12</v>
      </c>
      <c r="E4434" t="s">
        <v>6044</v>
      </c>
      <c r="F4434" t="s">
        <v>6126</v>
      </c>
    </row>
    <row r="4435" spans="1:6" x14ac:dyDescent="0.25">
      <c r="A4435" t="str">
        <f>"270902238795"</f>
        <v>270902238795</v>
      </c>
      <c r="B4435" t="s">
        <v>6127</v>
      </c>
      <c r="C4435" t="s">
        <v>7</v>
      </c>
      <c r="D4435" t="s">
        <v>14</v>
      </c>
      <c r="E4435" t="s">
        <v>6044</v>
      </c>
    </row>
    <row r="4436" spans="1:6" x14ac:dyDescent="0.25">
      <c r="A4436" t="str">
        <f>"271305501388"</f>
        <v>271305501388</v>
      </c>
      <c r="B4436" t="s">
        <v>6128</v>
      </c>
      <c r="C4436" t="s">
        <v>7</v>
      </c>
      <c r="D4436" t="s">
        <v>14</v>
      </c>
      <c r="E4436" t="s">
        <v>6044</v>
      </c>
    </row>
    <row r="4437" spans="1:6" x14ac:dyDescent="0.25">
      <c r="A4437" t="str">
        <f>"272306464042"</f>
        <v>272306464042</v>
      </c>
      <c r="B4437" t="s">
        <v>6129</v>
      </c>
      <c r="C4437" t="s">
        <v>7</v>
      </c>
      <c r="D4437" t="s">
        <v>12</v>
      </c>
      <c r="E4437" t="s">
        <v>6044</v>
      </c>
    </row>
    <row r="4438" spans="1:6" x14ac:dyDescent="0.25">
      <c r="A4438" t="str">
        <f>"272310306257"</f>
        <v>272310306257</v>
      </c>
      <c r="B4438" t="s">
        <v>6130</v>
      </c>
      <c r="C4438" t="s">
        <v>7</v>
      </c>
      <c r="D4438" t="s">
        <v>12</v>
      </c>
      <c r="E4438" t="s">
        <v>6044</v>
      </c>
    </row>
    <row r="4439" spans="1:6" x14ac:dyDescent="0.25">
      <c r="A4439" t="str">
        <f>"2723167735"</f>
        <v>2723167735</v>
      </c>
      <c r="B4439" t="s">
        <v>6131</v>
      </c>
      <c r="C4439" t="s">
        <v>7</v>
      </c>
      <c r="D4439" t="s">
        <v>14</v>
      </c>
      <c r="E4439" t="s">
        <v>6044</v>
      </c>
      <c r="F4439" t="s">
        <v>6132</v>
      </c>
    </row>
    <row r="4440" spans="1:6" x14ac:dyDescent="0.25">
      <c r="A4440" t="str">
        <f>"272390770479"</f>
        <v>272390770479</v>
      </c>
      <c r="B4440" t="s">
        <v>6133</v>
      </c>
      <c r="C4440" t="s">
        <v>7</v>
      </c>
      <c r="D4440" t="s">
        <v>14</v>
      </c>
      <c r="E4440" t="s">
        <v>6044</v>
      </c>
    </row>
    <row r="4441" spans="1:6" x14ac:dyDescent="0.25">
      <c r="A4441" t="str">
        <f>"2724207300"</f>
        <v>2724207300</v>
      </c>
      <c r="B4441" t="s">
        <v>6134</v>
      </c>
      <c r="C4441" t="s">
        <v>7</v>
      </c>
      <c r="D4441" t="s">
        <v>33</v>
      </c>
      <c r="E4441" t="s">
        <v>6044</v>
      </c>
      <c r="F4441" t="s">
        <v>6135</v>
      </c>
    </row>
    <row r="4442" spans="1:6" x14ac:dyDescent="0.25">
      <c r="A4442" t="str">
        <f>"2724211987"</f>
        <v>2724211987</v>
      </c>
      <c r="B4442" t="s">
        <v>6136</v>
      </c>
      <c r="C4442" t="s">
        <v>7</v>
      </c>
      <c r="D4442" t="s">
        <v>33</v>
      </c>
      <c r="E4442" t="s">
        <v>6044</v>
      </c>
      <c r="F4442" t="s">
        <v>6137</v>
      </c>
    </row>
    <row r="4443" spans="1:6" x14ac:dyDescent="0.25">
      <c r="A4443" t="str">
        <f>"2724233028"</f>
        <v>2724233028</v>
      </c>
      <c r="B4443" t="s">
        <v>6138</v>
      </c>
      <c r="C4443" t="s">
        <v>7</v>
      </c>
      <c r="D4443" t="s">
        <v>33</v>
      </c>
      <c r="E4443" t="s">
        <v>6044</v>
      </c>
      <c r="F4443" t="s">
        <v>6139</v>
      </c>
    </row>
    <row r="4444" spans="1:6" x14ac:dyDescent="0.25">
      <c r="A4444" t="str">
        <f>"272700100124"</f>
        <v>272700100124</v>
      </c>
      <c r="B4444" t="s">
        <v>6140</v>
      </c>
      <c r="C4444" t="s">
        <v>7</v>
      </c>
      <c r="D4444" t="s">
        <v>12</v>
      </c>
      <c r="E4444" t="s">
        <v>6044</v>
      </c>
    </row>
    <row r="4445" spans="1:6" x14ac:dyDescent="0.25">
      <c r="A4445" t="str">
        <f>"280701466283"</f>
        <v>280701466283</v>
      </c>
      <c r="B4445" t="s">
        <v>6141</v>
      </c>
      <c r="C4445" t="s">
        <v>7</v>
      </c>
      <c r="D4445" t="s">
        <v>14</v>
      </c>
      <c r="E4445" t="s">
        <v>6044</v>
      </c>
    </row>
    <row r="4446" spans="1:6" x14ac:dyDescent="0.25">
      <c r="A4446" t="str">
        <f>"282800188489"</f>
        <v>282800188489</v>
      </c>
      <c r="B4446" t="s">
        <v>6142</v>
      </c>
      <c r="C4446" t="s">
        <v>7</v>
      </c>
      <c r="D4446" t="s">
        <v>14</v>
      </c>
      <c r="E4446" t="s">
        <v>6044</v>
      </c>
    </row>
    <row r="4447" spans="1:6" x14ac:dyDescent="0.25">
      <c r="A4447" t="str">
        <f>"271500031016"</f>
        <v>271500031016</v>
      </c>
      <c r="B4447" t="s">
        <v>6143</v>
      </c>
      <c r="C4447" t="s">
        <v>7</v>
      </c>
      <c r="D4447" t="s">
        <v>14</v>
      </c>
      <c r="E4447" t="s">
        <v>6044</v>
      </c>
    </row>
    <row r="4448" spans="1:6" x14ac:dyDescent="0.25">
      <c r="A4448" t="str">
        <f>"271700667987"</f>
        <v>271700667987</v>
      </c>
      <c r="B4448" t="s">
        <v>6144</v>
      </c>
      <c r="C4448" t="s">
        <v>7</v>
      </c>
      <c r="D4448" t="s">
        <v>14</v>
      </c>
      <c r="E4448" t="s">
        <v>6044</v>
      </c>
    </row>
    <row r="4449" spans="1:6" x14ac:dyDescent="0.25">
      <c r="A4449" t="str">
        <f>"271800072944"</f>
        <v>271800072944</v>
      </c>
      <c r="B4449" t="s">
        <v>6145</v>
      </c>
      <c r="C4449" t="s">
        <v>7</v>
      </c>
      <c r="D4449" t="s">
        <v>14</v>
      </c>
      <c r="E4449" t="s">
        <v>6044</v>
      </c>
    </row>
    <row r="4450" spans="1:6" x14ac:dyDescent="0.25">
      <c r="A4450" t="str">
        <f>"272000673433"</f>
        <v>272000673433</v>
      </c>
      <c r="B4450" t="s">
        <v>6146</v>
      </c>
      <c r="C4450" t="s">
        <v>7</v>
      </c>
      <c r="D4450" t="s">
        <v>14</v>
      </c>
      <c r="E4450" t="s">
        <v>6044</v>
      </c>
    </row>
    <row r="4451" spans="1:6" x14ac:dyDescent="0.25">
      <c r="A4451" t="str">
        <f>"272010544677"</f>
        <v>272010544677</v>
      </c>
      <c r="B4451" t="s">
        <v>6147</v>
      </c>
      <c r="C4451" t="s">
        <v>7</v>
      </c>
      <c r="D4451" t="s">
        <v>14</v>
      </c>
      <c r="E4451" t="s">
        <v>6044</v>
      </c>
    </row>
    <row r="4452" spans="1:6" x14ac:dyDescent="0.25">
      <c r="A4452" t="str">
        <f>"272114995392"</f>
        <v>272114995392</v>
      </c>
      <c r="B4452" t="s">
        <v>6148</v>
      </c>
      <c r="C4452" t="s">
        <v>7</v>
      </c>
      <c r="D4452" t="s">
        <v>14</v>
      </c>
      <c r="E4452" t="s">
        <v>6044</v>
      </c>
    </row>
    <row r="4453" spans="1:6" x14ac:dyDescent="0.25">
      <c r="A4453" t="str">
        <f>"2721165877"</f>
        <v>2721165877</v>
      </c>
      <c r="B4453" t="s">
        <v>6149</v>
      </c>
      <c r="C4453" t="s">
        <v>7</v>
      </c>
      <c r="D4453" t="s">
        <v>33</v>
      </c>
      <c r="E4453" t="s">
        <v>6044</v>
      </c>
      <c r="F4453" t="s">
        <v>6150</v>
      </c>
    </row>
    <row r="4454" spans="1:6" x14ac:dyDescent="0.25">
      <c r="A4454" t="str">
        <f>"2721206562"</f>
        <v>2721206562</v>
      </c>
      <c r="B4454" t="s">
        <v>6151</v>
      </c>
      <c r="C4454" t="s">
        <v>7</v>
      </c>
      <c r="D4454" t="s">
        <v>14</v>
      </c>
      <c r="E4454" t="s">
        <v>6044</v>
      </c>
      <c r="F4454" t="s">
        <v>6152</v>
      </c>
    </row>
    <row r="4455" spans="1:6" x14ac:dyDescent="0.25">
      <c r="A4455" t="str">
        <f>"2721244663"</f>
        <v>2721244663</v>
      </c>
      <c r="B4455" t="s">
        <v>6153</v>
      </c>
      <c r="C4455" t="s">
        <v>7</v>
      </c>
      <c r="D4455" t="s">
        <v>33</v>
      </c>
      <c r="E4455" t="s">
        <v>6044</v>
      </c>
      <c r="F4455" t="s">
        <v>6154</v>
      </c>
    </row>
    <row r="4456" spans="1:6" x14ac:dyDescent="0.25">
      <c r="A4456" t="str">
        <f>"272198439381"</f>
        <v>272198439381</v>
      </c>
      <c r="B4456" t="s">
        <v>6155</v>
      </c>
      <c r="C4456" t="s">
        <v>7</v>
      </c>
      <c r="D4456" t="s">
        <v>12</v>
      </c>
      <c r="E4456" t="s">
        <v>6044</v>
      </c>
    </row>
    <row r="4457" spans="1:6" x14ac:dyDescent="0.25">
      <c r="A4457" t="str">
        <f>"2722048566"</f>
        <v>2722048566</v>
      </c>
      <c r="B4457" t="s">
        <v>6156</v>
      </c>
      <c r="C4457" t="s">
        <v>7</v>
      </c>
      <c r="D4457" t="s">
        <v>33</v>
      </c>
      <c r="E4457" t="s">
        <v>6044</v>
      </c>
      <c r="F4457" t="s">
        <v>6157</v>
      </c>
    </row>
    <row r="4458" spans="1:6" x14ac:dyDescent="0.25">
      <c r="A4458" t="str">
        <f>"2722079758"</f>
        <v>2722079758</v>
      </c>
      <c r="B4458" t="s">
        <v>6158</v>
      </c>
      <c r="C4458" t="s">
        <v>7</v>
      </c>
      <c r="D4458" t="s">
        <v>8</v>
      </c>
      <c r="E4458" t="s">
        <v>6044</v>
      </c>
      <c r="F4458" t="s">
        <v>6159</v>
      </c>
    </row>
    <row r="4459" spans="1:6" x14ac:dyDescent="0.25">
      <c r="A4459" t="str">
        <f>"272209383415"</f>
        <v>272209383415</v>
      </c>
      <c r="B4459" t="s">
        <v>6160</v>
      </c>
      <c r="C4459" t="s">
        <v>7</v>
      </c>
      <c r="D4459" t="s">
        <v>12</v>
      </c>
      <c r="E4459" t="s">
        <v>6044</v>
      </c>
    </row>
    <row r="4460" spans="1:6" x14ac:dyDescent="0.25">
      <c r="A4460" t="str">
        <f>"272292407605"</f>
        <v>272292407605</v>
      </c>
      <c r="B4460" t="s">
        <v>6161</v>
      </c>
      <c r="C4460" t="s">
        <v>7</v>
      </c>
      <c r="D4460" t="s">
        <v>12</v>
      </c>
      <c r="E4460" t="s">
        <v>6044</v>
      </c>
    </row>
    <row r="4461" spans="1:6" x14ac:dyDescent="0.25">
      <c r="A4461" t="str">
        <f>"272297437882"</f>
        <v>272297437882</v>
      </c>
      <c r="B4461" t="s">
        <v>6162</v>
      </c>
      <c r="C4461" t="s">
        <v>7</v>
      </c>
      <c r="D4461" t="s">
        <v>14</v>
      </c>
      <c r="E4461" t="s">
        <v>6044</v>
      </c>
    </row>
    <row r="4462" spans="1:6" x14ac:dyDescent="0.25">
      <c r="A4462" t="str">
        <f>"272304598202"</f>
        <v>272304598202</v>
      </c>
      <c r="B4462" t="s">
        <v>6163</v>
      </c>
      <c r="C4462" t="s">
        <v>7</v>
      </c>
      <c r="D4462" t="s">
        <v>14</v>
      </c>
      <c r="E4462" t="s">
        <v>6044</v>
      </c>
    </row>
    <row r="4463" spans="1:6" x14ac:dyDescent="0.25">
      <c r="A4463" t="str">
        <f>"2723096876"</f>
        <v>2723096876</v>
      </c>
      <c r="B4463" t="s">
        <v>6164</v>
      </c>
      <c r="C4463" t="s">
        <v>7</v>
      </c>
      <c r="D4463" t="s">
        <v>8</v>
      </c>
      <c r="E4463" t="s">
        <v>6044</v>
      </c>
      <c r="F4463" t="s">
        <v>6165</v>
      </c>
    </row>
    <row r="4464" spans="1:6" x14ac:dyDescent="0.25">
      <c r="A4464" t="str">
        <f>"2723189457"</f>
        <v>2723189457</v>
      </c>
      <c r="B4464" t="s">
        <v>6166</v>
      </c>
      <c r="C4464" t="s">
        <v>7</v>
      </c>
      <c r="D4464" t="s">
        <v>33</v>
      </c>
      <c r="E4464" t="s">
        <v>6044</v>
      </c>
      <c r="F4464" t="s">
        <v>6167</v>
      </c>
    </row>
    <row r="4465" spans="1:6" x14ac:dyDescent="0.25">
      <c r="A4465" t="str">
        <f>"272336535519"</f>
        <v>272336535519</v>
      </c>
      <c r="B4465" t="s">
        <v>6168</v>
      </c>
      <c r="C4465" t="s">
        <v>7</v>
      </c>
      <c r="D4465" t="s">
        <v>12</v>
      </c>
      <c r="E4465" t="s">
        <v>6044</v>
      </c>
    </row>
    <row r="4466" spans="1:6" x14ac:dyDescent="0.25">
      <c r="A4466" t="str">
        <f>"272384891362"</f>
        <v>272384891362</v>
      </c>
      <c r="B4466" t="s">
        <v>6169</v>
      </c>
      <c r="C4466" t="s">
        <v>7</v>
      </c>
      <c r="D4466" t="s">
        <v>12</v>
      </c>
      <c r="E4466" t="s">
        <v>6044</v>
      </c>
    </row>
    <row r="4467" spans="1:6" x14ac:dyDescent="0.25">
      <c r="A4467" t="str">
        <f>"272385471233"</f>
        <v>272385471233</v>
      </c>
      <c r="B4467" t="s">
        <v>6170</v>
      </c>
      <c r="C4467" t="s">
        <v>7</v>
      </c>
      <c r="D4467" t="s">
        <v>14</v>
      </c>
      <c r="E4467" t="s">
        <v>6044</v>
      </c>
    </row>
    <row r="4468" spans="1:6" x14ac:dyDescent="0.25">
      <c r="A4468" t="str">
        <f>"272386124923"</f>
        <v>272386124923</v>
      </c>
      <c r="B4468" t="s">
        <v>6171</v>
      </c>
      <c r="C4468" t="s">
        <v>7</v>
      </c>
      <c r="D4468" t="s">
        <v>14</v>
      </c>
      <c r="E4468" t="s">
        <v>6044</v>
      </c>
    </row>
    <row r="4469" spans="1:6" x14ac:dyDescent="0.25">
      <c r="A4469" t="str">
        <f>"272389689008"</f>
        <v>272389689008</v>
      </c>
      <c r="B4469" t="s">
        <v>6172</v>
      </c>
      <c r="C4469" t="s">
        <v>7</v>
      </c>
      <c r="D4469" t="s">
        <v>14</v>
      </c>
      <c r="E4469" t="s">
        <v>6044</v>
      </c>
    </row>
    <row r="4470" spans="1:6" x14ac:dyDescent="0.25">
      <c r="A4470" t="str">
        <f>"2724046807"</f>
        <v>2724046807</v>
      </c>
      <c r="B4470" t="s">
        <v>6173</v>
      </c>
      <c r="C4470" t="s">
        <v>7</v>
      </c>
      <c r="D4470" t="s">
        <v>14</v>
      </c>
      <c r="E4470" t="s">
        <v>6044</v>
      </c>
      <c r="F4470" t="s">
        <v>6174</v>
      </c>
    </row>
    <row r="4471" spans="1:6" x14ac:dyDescent="0.25">
      <c r="A4471" t="str">
        <f>"272407764733"</f>
        <v>272407764733</v>
      </c>
      <c r="B4471" t="s">
        <v>6175</v>
      </c>
      <c r="C4471" t="s">
        <v>7</v>
      </c>
      <c r="D4471" t="s">
        <v>14</v>
      </c>
      <c r="E4471" t="s">
        <v>6044</v>
      </c>
    </row>
    <row r="4472" spans="1:6" x14ac:dyDescent="0.25">
      <c r="A4472" t="str">
        <f>"2724086221"</f>
        <v>2724086221</v>
      </c>
      <c r="B4472" t="s">
        <v>6176</v>
      </c>
      <c r="C4472" t="s">
        <v>7</v>
      </c>
      <c r="D4472" t="s">
        <v>33</v>
      </c>
      <c r="E4472" t="s">
        <v>6044</v>
      </c>
      <c r="F4472" t="s">
        <v>6177</v>
      </c>
    </row>
    <row r="4473" spans="1:6" x14ac:dyDescent="0.25">
      <c r="A4473" t="str">
        <f>"2724100412"</f>
        <v>2724100412</v>
      </c>
      <c r="B4473" t="s">
        <v>6178</v>
      </c>
      <c r="C4473" t="s">
        <v>7</v>
      </c>
      <c r="D4473" t="s">
        <v>33</v>
      </c>
      <c r="E4473" t="s">
        <v>6044</v>
      </c>
      <c r="F4473" t="s">
        <v>6179</v>
      </c>
    </row>
    <row r="4474" spans="1:6" x14ac:dyDescent="0.25">
      <c r="A4474" t="str">
        <f>"2724180016"</f>
        <v>2724180016</v>
      </c>
      <c r="B4474" t="s">
        <v>6180</v>
      </c>
      <c r="C4474" t="s">
        <v>7</v>
      </c>
      <c r="D4474" t="s">
        <v>33</v>
      </c>
      <c r="E4474" t="s">
        <v>6044</v>
      </c>
      <c r="F4474" t="s">
        <v>6181</v>
      </c>
    </row>
    <row r="4475" spans="1:6" x14ac:dyDescent="0.25">
      <c r="A4475" t="str">
        <f>"2724182870"</f>
        <v>2724182870</v>
      </c>
      <c r="B4475" t="s">
        <v>6182</v>
      </c>
      <c r="C4475" t="s">
        <v>7</v>
      </c>
      <c r="D4475" t="s">
        <v>8</v>
      </c>
      <c r="E4475" t="s">
        <v>6044</v>
      </c>
      <c r="F4475" t="s">
        <v>6183</v>
      </c>
    </row>
    <row r="4476" spans="1:6" x14ac:dyDescent="0.25">
      <c r="A4476" t="str">
        <f>"272420280964"</f>
        <v>272420280964</v>
      </c>
      <c r="B4476" t="s">
        <v>6184</v>
      </c>
      <c r="C4476" t="s">
        <v>7</v>
      </c>
      <c r="D4476" t="s">
        <v>14</v>
      </c>
      <c r="E4476" t="s">
        <v>6044</v>
      </c>
    </row>
    <row r="4477" spans="1:6" x14ac:dyDescent="0.25">
      <c r="A4477" t="str">
        <f>"2724216618"</f>
        <v>2724216618</v>
      </c>
      <c r="B4477" t="s">
        <v>6185</v>
      </c>
      <c r="C4477" t="s">
        <v>7</v>
      </c>
      <c r="D4477" t="s">
        <v>8</v>
      </c>
      <c r="E4477" t="s">
        <v>6044</v>
      </c>
      <c r="F4477" t="s">
        <v>6186</v>
      </c>
    </row>
    <row r="4478" spans="1:6" x14ac:dyDescent="0.25">
      <c r="A4478" t="str">
        <f>"2724218630"</f>
        <v>2724218630</v>
      </c>
      <c r="B4478" t="s">
        <v>6187</v>
      </c>
      <c r="C4478" t="s">
        <v>7</v>
      </c>
      <c r="D4478" t="s">
        <v>8</v>
      </c>
      <c r="E4478" t="s">
        <v>6044</v>
      </c>
      <c r="F4478" t="s">
        <v>6188</v>
      </c>
    </row>
    <row r="4479" spans="1:6" x14ac:dyDescent="0.25">
      <c r="A4479" t="str">
        <f>"2724232419"</f>
        <v>2724232419</v>
      </c>
      <c r="B4479" t="s">
        <v>6189</v>
      </c>
      <c r="C4479" t="s">
        <v>7</v>
      </c>
      <c r="D4479" t="s">
        <v>12</v>
      </c>
      <c r="E4479" t="s">
        <v>6044</v>
      </c>
      <c r="F4479" t="s">
        <v>6190</v>
      </c>
    </row>
    <row r="4480" spans="1:6" x14ac:dyDescent="0.25">
      <c r="A4480" t="str">
        <f>"2724236068"</f>
        <v>2724236068</v>
      </c>
      <c r="B4480" t="s">
        <v>6191</v>
      </c>
      <c r="C4480" t="s">
        <v>7</v>
      </c>
      <c r="D4480" t="s">
        <v>33</v>
      </c>
      <c r="E4480" t="s">
        <v>6044</v>
      </c>
      <c r="F4480" t="s">
        <v>6192</v>
      </c>
    </row>
    <row r="4481" spans="1:6" x14ac:dyDescent="0.25">
      <c r="A4481" t="str">
        <f>"2725093694"</f>
        <v>2725093694</v>
      </c>
      <c r="B4481" t="s">
        <v>6193</v>
      </c>
      <c r="C4481" t="s">
        <v>7</v>
      </c>
      <c r="D4481" t="s">
        <v>33</v>
      </c>
      <c r="E4481" t="s">
        <v>6044</v>
      </c>
      <c r="F4481" t="s">
        <v>6194</v>
      </c>
    </row>
    <row r="4482" spans="1:6" x14ac:dyDescent="0.25">
      <c r="A4482" t="str">
        <f>"753100634060"</f>
        <v>753100634060</v>
      </c>
      <c r="B4482" t="s">
        <v>6195</v>
      </c>
      <c r="C4482" t="s">
        <v>7</v>
      </c>
      <c r="D4482" t="s">
        <v>14</v>
      </c>
      <c r="E4482" t="s">
        <v>6044</v>
      </c>
    </row>
    <row r="4483" spans="1:6" x14ac:dyDescent="0.25">
      <c r="A4483" t="str">
        <f>"271305289822"</f>
        <v>271305289822</v>
      </c>
      <c r="B4483" t="s">
        <v>6196</v>
      </c>
      <c r="C4483" t="s">
        <v>7</v>
      </c>
      <c r="D4483" t="s">
        <v>14</v>
      </c>
      <c r="E4483" t="s">
        <v>6044</v>
      </c>
    </row>
    <row r="4484" spans="1:6" x14ac:dyDescent="0.25">
      <c r="A4484" t="str">
        <f>"271400026453"</f>
        <v>271400026453</v>
      </c>
      <c r="B4484" t="s">
        <v>6197</v>
      </c>
      <c r="C4484" t="s">
        <v>7</v>
      </c>
      <c r="D4484" t="s">
        <v>14</v>
      </c>
      <c r="E4484" t="s">
        <v>6044</v>
      </c>
    </row>
    <row r="4485" spans="1:6" x14ac:dyDescent="0.25">
      <c r="A4485" t="str">
        <f>"271400054605"</f>
        <v>271400054605</v>
      </c>
      <c r="B4485" t="s">
        <v>6198</v>
      </c>
      <c r="C4485" t="s">
        <v>7</v>
      </c>
      <c r="D4485" t="s">
        <v>14</v>
      </c>
      <c r="E4485" t="s">
        <v>6044</v>
      </c>
    </row>
    <row r="4486" spans="1:6" x14ac:dyDescent="0.25">
      <c r="A4486" t="str">
        <f>"271400272709"</f>
        <v>271400272709</v>
      </c>
      <c r="B4486" t="s">
        <v>6199</v>
      </c>
      <c r="C4486" t="s">
        <v>7</v>
      </c>
      <c r="D4486" t="s">
        <v>14</v>
      </c>
      <c r="E4486" t="s">
        <v>6044</v>
      </c>
    </row>
    <row r="4487" spans="1:6" x14ac:dyDescent="0.25">
      <c r="A4487" t="str">
        <f>"271700534602"</f>
        <v>271700534602</v>
      </c>
      <c r="B4487" t="s">
        <v>6200</v>
      </c>
      <c r="C4487" t="s">
        <v>7</v>
      </c>
      <c r="D4487" t="s">
        <v>14</v>
      </c>
      <c r="E4487" t="s">
        <v>6044</v>
      </c>
    </row>
    <row r="4488" spans="1:6" x14ac:dyDescent="0.25">
      <c r="A4488" t="str">
        <f>"272001135438"</f>
        <v>272001135438</v>
      </c>
      <c r="B4488" t="s">
        <v>6201</v>
      </c>
      <c r="C4488" t="s">
        <v>7</v>
      </c>
      <c r="D4488" t="s">
        <v>14</v>
      </c>
      <c r="E4488" t="s">
        <v>6044</v>
      </c>
    </row>
    <row r="4489" spans="1:6" x14ac:dyDescent="0.25">
      <c r="A4489" t="str">
        <f>"2720050680"</f>
        <v>2720050680</v>
      </c>
      <c r="B4489" t="s">
        <v>6202</v>
      </c>
      <c r="C4489" t="s">
        <v>7</v>
      </c>
      <c r="D4489" t="s">
        <v>33</v>
      </c>
      <c r="E4489" t="s">
        <v>6044</v>
      </c>
      <c r="F4489" t="s">
        <v>6203</v>
      </c>
    </row>
    <row r="4490" spans="1:6" x14ac:dyDescent="0.25">
      <c r="A4490" t="str">
        <f>"2720051411"</f>
        <v>2720051411</v>
      </c>
      <c r="B4490" t="s">
        <v>6204</v>
      </c>
      <c r="C4490" t="s">
        <v>7</v>
      </c>
      <c r="D4490" t="s">
        <v>12</v>
      </c>
      <c r="E4490" t="s">
        <v>6044</v>
      </c>
      <c r="F4490" t="s">
        <v>6205</v>
      </c>
    </row>
    <row r="4491" spans="1:6" x14ac:dyDescent="0.25">
      <c r="A4491" t="str">
        <f>"272012328181"</f>
        <v>272012328181</v>
      </c>
      <c r="B4491" t="s">
        <v>6206</v>
      </c>
      <c r="C4491" t="s">
        <v>7</v>
      </c>
      <c r="D4491" t="s">
        <v>14</v>
      </c>
      <c r="E4491" t="s">
        <v>6044</v>
      </c>
    </row>
    <row r="4492" spans="1:6" x14ac:dyDescent="0.25">
      <c r="A4492" t="str">
        <f>"272012411217"</f>
        <v>272012411217</v>
      </c>
      <c r="B4492" t="s">
        <v>6207</v>
      </c>
      <c r="C4492" t="s">
        <v>7</v>
      </c>
      <c r="D4492" t="s">
        <v>14</v>
      </c>
      <c r="E4492" t="s">
        <v>6044</v>
      </c>
    </row>
    <row r="4493" spans="1:6" x14ac:dyDescent="0.25">
      <c r="A4493" t="str">
        <f>"272102616924"</f>
        <v>272102616924</v>
      </c>
      <c r="B4493" t="s">
        <v>6208</v>
      </c>
      <c r="C4493" t="s">
        <v>7</v>
      </c>
      <c r="D4493" t="s">
        <v>674</v>
      </c>
      <c r="E4493" t="s">
        <v>6044</v>
      </c>
    </row>
    <row r="4494" spans="1:6" x14ac:dyDescent="0.25">
      <c r="A4494" t="str">
        <f>"2721221017"</f>
        <v>2721221017</v>
      </c>
      <c r="B4494" t="s">
        <v>6209</v>
      </c>
      <c r="C4494" t="s">
        <v>7</v>
      </c>
      <c r="D4494" t="s">
        <v>12</v>
      </c>
      <c r="E4494" t="s">
        <v>6044</v>
      </c>
      <c r="F4494" t="s">
        <v>6210</v>
      </c>
    </row>
    <row r="4495" spans="1:6" x14ac:dyDescent="0.25">
      <c r="A4495" t="str">
        <f>"2721231230"</f>
        <v>2721231230</v>
      </c>
      <c r="B4495" t="s">
        <v>6211</v>
      </c>
      <c r="C4495" t="s">
        <v>7</v>
      </c>
      <c r="D4495" t="s">
        <v>12</v>
      </c>
      <c r="E4495" t="s">
        <v>6044</v>
      </c>
      <c r="F4495" t="s">
        <v>6212</v>
      </c>
    </row>
    <row r="4496" spans="1:6" x14ac:dyDescent="0.25">
      <c r="A4496" t="str">
        <f>"2721233968"</f>
        <v>2721233968</v>
      </c>
      <c r="B4496" t="s">
        <v>6213</v>
      </c>
      <c r="C4496" t="s">
        <v>7</v>
      </c>
      <c r="D4496" t="s">
        <v>12</v>
      </c>
      <c r="E4496" t="s">
        <v>6044</v>
      </c>
      <c r="F4496" t="s">
        <v>6214</v>
      </c>
    </row>
    <row r="4497" spans="1:6" x14ac:dyDescent="0.25">
      <c r="A4497" t="str">
        <f>"2721251572"</f>
        <v>2721251572</v>
      </c>
      <c r="B4497" t="s">
        <v>6215</v>
      </c>
      <c r="C4497" t="s">
        <v>7</v>
      </c>
      <c r="D4497" t="s">
        <v>146</v>
      </c>
      <c r="E4497" t="s">
        <v>6044</v>
      </c>
      <c r="F4497" t="s">
        <v>6216</v>
      </c>
    </row>
    <row r="4498" spans="1:6" x14ac:dyDescent="0.25">
      <c r="A4498" t="str">
        <f>"272198042629"</f>
        <v>272198042629</v>
      </c>
      <c r="B4498" t="s">
        <v>6217</v>
      </c>
      <c r="C4498" t="s">
        <v>7</v>
      </c>
      <c r="D4498" t="s">
        <v>12</v>
      </c>
      <c r="E4498" t="s">
        <v>6044</v>
      </c>
    </row>
    <row r="4499" spans="1:6" x14ac:dyDescent="0.25">
      <c r="A4499" t="str">
        <f>"272198280944"</f>
        <v>272198280944</v>
      </c>
      <c r="B4499" t="s">
        <v>6218</v>
      </c>
      <c r="C4499" t="s">
        <v>7</v>
      </c>
      <c r="D4499" t="s">
        <v>14</v>
      </c>
      <c r="E4499" t="s">
        <v>6044</v>
      </c>
    </row>
    <row r="4500" spans="1:6" x14ac:dyDescent="0.25">
      <c r="A4500" t="str">
        <f>"272199770966"</f>
        <v>272199770966</v>
      </c>
      <c r="B4500" t="s">
        <v>6219</v>
      </c>
      <c r="C4500" t="s">
        <v>7</v>
      </c>
      <c r="D4500" t="s">
        <v>14</v>
      </c>
      <c r="E4500" t="s">
        <v>6044</v>
      </c>
    </row>
    <row r="4501" spans="1:6" x14ac:dyDescent="0.25">
      <c r="A4501" t="str">
        <f>"272209384793"</f>
        <v>272209384793</v>
      </c>
      <c r="B4501" t="s">
        <v>6220</v>
      </c>
      <c r="C4501" t="s">
        <v>7</v>
      </c>
      <c r="D4501" t="s">
        <v>14</v>
      </c>
      <c r="E4501" t="s">
        <v>6044</v>
      </c>
    </row>
    <row r="4502" spans="1:6" x14ac:dyDescent="0.25">
      <c r="A4502" t="str">
        <f>"2722102608"</f>
        <v>2722102608</v>
      </c>
      <c r="B4502" t="s">
        <v>6221</v>
      </c>
      <c r="C4502" t="s">
        <v>7</v>
      </c>
      <c r="D4502" t="s">
        <v>12</v>
      </c>
      <c r="E4502" t="s">
        <v>6044</v>
      </c>
      <c r="F4502" t="s">
        <v>6222</v>
      </c>
    </row>
    <row r="4503" spans="1:6" x14ac:dyDescent="0.25">
      <c r="A4503" t="str">
        <f>"2722104267"</f>
        <v>2722104267</v>
      </c>
      <c r="B4503" t="s">
        <v>6223</v>
      </c>
      <c r="C4503" t="s">
        <v>7</v>
      </c>
      <c r="D4503" t="s">
        <v>12</v>
      </c>
      <c r="E4503" t="s">
        <v>6044</v>
      </c>
      <c r="F4503" t="s">
        <v>6224</v>
      </c>
    </row>
    <row r="4504" spans="1:6" x14ac:dyDescent="0.25">
      <c r="A4504" t="str">
        <f>"272210938340"</f>
        <v>272210938340</v>
      </c>
      <c r="B4504" t="s">
        <v>6225</v>
      </c>
      <c r="C4504" t="s">
        <v>7</v>
      </c>
      <c r="D4504" t="s">
        <v>14</v>
      </c>
      <c r="E4504" t="s">
        <v>6044</v>
      </c>
    </row>
    <row r="4505" spans="1:6" x14ac:dyDescent="0.25">
      <c r="A4505" t="str">
        <f>"272211385314"</f>
        <v>272211385314</v>
      </c>
      <c r="B4505" t="s">
        <v>6226</v>
      </c>
      <c r="C4505" t="s">
        <v>7</v>
      </c>
      <c r="D4505" t="s">
        <v>14</v>
      </c>
      <c r="E4505" t="s">
        <v>6044</v>
      </c>
    </row>
    <row r="4506" spans="1:6" x14ac:dyDescent="0.25">
      <c r="A4506" t="str">
        <f>"272211922576"</f>
        <v>272211922576</v>
      </c>
      <c r="B4506" t="s">
        <v>6227</v>
      </c>
      <c r="C4506" t="s">
        <v>7</v>
      </c>
      <c r="D4506" t="s">
        <v>14</v>
      </c>
      <c r="E4506" t="s">
        <v>6044</v>
      </c>
    </row>
    <row r="4507" spans="1:6" x14ac:dyDescent="0.25">
      <c r="A4507" t="str">
        <f>"272292452397"</f>
        <v>272292452397</v>
      </c>
      <c r="B4507" t="s">
        <v>6228</v>
      </c>
      <c r="C4507" t="s">
        <v>7</v>
      </c>
      <c r="D4507" t="s">
        <v>14</v>
      </c>
      <c r="E4507" t="s">
        <v>6044</v>
      </c>
    </row>
    <row r="4508" spans="1:6" x14ac:dyDescent="0.25">
      <c r="A4508" t="str">
        <f>"272292693674"</f>
        <v>272292693674</v>
      </c>
      <c r="B4508" t="s">
        <v>6229</v>
      </c>
      <c r="C4508" t="s">
        <v>7</v>
      </c>
      <c r="D4508" t="s">
        <v>14</v>
      </c>
      <c r="E4508" t="s">
        <v>6044</v>
      </c>
    </row>
    <row r="4509" spans="1:6" x14ac:dyDescent="0.25">
      <c r="A4509" t="str">
        <f>"272292749133"</f>
        <v>272292749133</v>
      </c>
      <c r="B4509" t="s">
        <v>6230</v>
      </c>
      <c r="C4509" t="s">
        <v>7</v>
      </c>
      <c r="D4509" t="s">
        <v>12</v>
      </c>
      <c r="E4509" t="s">
        <v>6044</v>
      </c>
    </row>
    <row r="4510" spans="1:6" x14ac:dyDescent="0.25">
      <c r="A4510" t="str">
        <f>"272307480826"</f>
        <v>272307480826</v>
      </c>
      <c r="B4510" t="s">
        <v>6231</v>
      </c>
      <c r="C4510" t="s">
        <v>7</v>
      </c>
      <c r="D4510" t="s">
        <v>14</v>
      </c>
      <c r="E4510" t="s">
        <v>6044</v>
      </c>
    </row>
    <row r="4511" spans="1:6" x14ac:dyDescent="0.25">
      <c r="A4511" t="str">
        <f>"272313415328"</f>
        <v>272313415328</v>
      </c>
      <c r="B4511" t="s">
        <v>6232</v>
      </c>
      <c r="C4511" t="s">
        <v>7</v>
      </c>
      <c r="D4511" t="s">
        <v>28</v>
      </c>
      <c r="E4511" t="s">
        <v>6044</v>
      </c>
    </row>
    <row r="4512" spans="1:6" x14ac:dyDescent="0.25">
      <c r="A4512" t="str">
        <f>"2723135483"</f>
        <v>2723135483</v>
      </c>
      <c r="B4512" t="s">
        <v>6233</v>
      </c>
      <c r="C4512" t="s">
        <v>7</v>
      </c>
      <c r="D4512" t="s">
        <v>146</v>
      </c>
      <c r="E4512" t="s">
        <v>6044</v>
      </c>
      <c r="F4512" t="s">
        <v>6234</v>
      </c>
    </row>
    <row r="4513" spans="1:6" x14ac:dyDescent="0.25">
      <c r="A4513" t="str">
        <f>"272314176150"</f>
        <v>272314176150</v>
      </c>
      <c r="B4513" t="s">
        <v>6235</v>
      </c>
      <c r="C4513" t="s">
        <v>7</v>
      </c>
      <c r="D4513" t="s">
        <v>12</v>
      </c>
      <c r="E4513" t="s">
        <v>6044</v>
      </c>
    </row>
    <row r="4514" spans="1:6" x14ac:dyDescent="0.25">
      <c r="A4514" t="str">
        <f>"2723186576"</f>
        <v>2723186576</v>
      </c>
      <c r="B4514" t="s">
        <v>6236</v>
      </c>
      <c r="C4514" t="s">
        <v>7</v>
      </c>
      <c r="D4514" t="s">
        <v>33</v>
      </c>
      <c r="E4514" t="s">
        <v>6044</v>
      </c>
      <c r="F4514" t="s">
        <v>6237</v>
      </c>
    </row>
    <row r="4515" spans="1:6" x14ac:dyDescent="0.25">
      <c r="A4515" t="str">
        <f>"2723187019"</f>
        <v>2723187019</v>
      </c>
      <c r="B4515" t="s">
        <v>6238</v>
      </c>
      <c r="C4515" t="s">
        <v>7</v>
      </c>
      <c r="D4515" t="s">
        <v>14</v>
      </c>
      <c r="E4515" t="s">
        <v>6044</v>
      </c>
      <c r="F4515" t="s">
        <v>6239</v>
      </c>
    </row>
    <row r="4516" spans="1:6" x14ac:dyDescent="0.25">
      <c r="A4516" t="str">
        <f>"272321465107"</f>
        <v>272321465107</v>
      </c>
      <c r="B4516" t="s">
        <v>6240</v>
      </c>
      <c r="C4516" t="s">
        <v>7</v>
      </c>
      <c r="D4516" t="s">
        <v>12</v>
      </c>
      <c r="E4516" t="s">
        <v>6044</v>
      </c>
    </row>
    <row r="4517" spans="1:6" x14ac:dyDescent="0.25">
      <c r="A4517" t="str">
        <f>"2723214791"</f>
        <v>2723214791</v>
      </c>
      <c r="B4517" t="s">
        <v>6241</v>
      </c>
      <c r="C4517" t="s">
        <v>7</v>
      </c>
      <c r="D4517" t="s">
        <v>33</v>
      </c>
      <c r="E4517" t="s">
        <v>6044</v>
      </c>
      <c r="F4517" t="s">
        <v>6242</v>
      </c>
    </row>
    <row r="4518" spans="1:6" x14ac:dyDescent="0.25">
      <c r="A4518" t="str">
        <f>"272337992540"</f>
        <v>272337992540</v>
      </c>
      <c r="B4518" t="s">
        <v>6243</v>
      </c>
      <c r="C4518" t="s">
        <v>7</v>
      </c>
      <c r="D4518" t="s">
        <v>14</v>
      </c>
      <c r="E4518" t="s">
        <v>6044</v>
      </c>
    </row>
    <row r="4519" spans="1:6" x14ac:dyDescent="0.25">
      <c r="A4519" t="str">
        <f>"272385982485"</f>
        <v>272385982485</v>
      </c>
      <c r="B4519" t="s">
        <v>6244</v>
      </c>
      <c r="C4519" t="s">
        <v>7</v>
      </c>
      <c r="D4519" t="s">
        <v>33</v>
      </c>
      <c r="E4519" t="s">
        <v>6044</v>
      </c>
    </row>
    <row r="4520" spans="1:6" x14ac:dyDescent="0.25">
      <c r="A4520" t="str">
        <f>"272404544835"</f>
        <v>272404544835</v>
      </c>
      <c r="B4520" t="s">
        <v>6245</v>
      </c>
      <c r="C4520" t="s">
        <v>7</v>
      </c>
      <c r="D4520" t="s">
        <v>14</v>
      </c>
      <c r="E4520" t="s">
        <v>6044</v>
      </c>
    </row>
    <row r="4521" spans="1:6" x14ac:dyDescent="0.25">
      <c r="A4521" t="str">
        <f>"272405486390"</f>
        <v>272405486390</v>
      </c>
      <c r="B4521" t="s">
        <v>6246</v>
      </c>
      <c r="C4521" t="s">
        <v>7</v>
      </c>
      <c r="D4521" t="s">
        <v>14</v>
      </c>
      <c r="E4521" t="s">
        <v>6044</v>
      </c>
    </row>
    <row r="4522" spans="1:6" x14ac:dyDescent="0.25">
      <c r="A4522" t="str">
        <f>"272407535966"</f>
        <v>272407535966</v>
      </c>
      <c r="B4522" t="s">
        <v>6247</v>
      </c>
      <c r="C4522" t="s">
        <v>7</v>
      </c>
      <c r="D4522" t="s">
        <v>14</v>
      </c>
      <c r="E4522" t="s">
        <v>6044</v>
      </c>
    </row>
    <row r="4523" spans="1:6" x14ac:dyDescent="0.25">
      <c r="A4523" t="str">
        <f>"272411872234"</f>
        <v>272411872234</v>
      </c>
      <c r="B4523" t="s">
        <v>6248</v>
      </c>
      <c r="C4523" t="s">
        <v>7</v>
      </c>
      <c r="D4523" t="s">
        <v>14</v>
      </c>
      <c r="E4523" t="s">
        <v>6044</v>
      </c>
    </row>
    <row r="4524" spans="1:6" x14ac:dyDescent="0.25">
      <c r="A4524" t="str">
        <f>"2724138310"</f>
        <v>2724138310</v>
      </c>
      <c r="B4524" t="s">
        <v>6249</v>
      </c>
      <c r="C4524" t="s">
        <v>7</v>
      </c>
      <c r="D4524" t="s">
        <v>33</v>
      </c>
      <c r="E4524" t="s">
        <v>6044</v>
      </c>
      <c r="F4524" t="s">
        <v>6250</v>
      </c>
    </row>
    <row r="4525" spans="1:6" x14ac:dyDescent="0.25">
      <c r="A4525" t="str">
        <f>"2724172008"</f>
        <v>2724172008</v>
      </c>
      <c r="B4525" t="s">
        <v>6251</v>
      </c>
      <c r="C4525" t="s">
        <v>7</v>
      </c>
      <c r="D4525" t="s">
        <v>14</v>
      </c>
      <c r="E4525" t="s">
        <v>6044</v>
      </c>
      <c r="F4525" t="s">
        <v>6252</v>
      </c>
    </row>
    <row r="4526" spans="1:6" x14ac:dyDescent="0.25">
      <c r="A4526" t="str">
        <f>"2724189770"</f>
        <v>2724189770</v>
      </c>
      <c r="B4526" t="s">
        <v>6253</v>
      </c>
      <c r="C4526" t="s">
        <v>7</v>
      </c>
      <c r="D4526" t="s">
        <v>12</v>
      </c>
      <c r="E4526" t="s">
        <v>6044</v>
      </c>
      <c r="F4526" t="s">
        <v>6254</v>
      </c>
    </row>
    <row r="4527" spans="1:6" x14ac:dyDescent="0.25">
      <c r="A4527" t="str">
        <f>"2724192815"</f>
        <v>2724192815</v>
      </c>
      <c r="B4527" t="s">
        <v>6255</v>
      </c>
      <c r="C4527" t="s">
        <v>7</v>
      </c>
      <c r="D4527" t="s">
        <v>33</v>
      </c>
      <c r="E4527" t="s">
        <v>6044</v>
      </c>
      <c r="F4527" t="s">
        <v>6256</v>
      </c>
    </row>
    <row r="4528" spans="1:6" x14ac:dyDescent="0.25">
      <c r="A4528" t="str">
        <f>"2724203256"</f>
        <v>2724203256</v>
      </c>
      <c r="B4528" t="s">
        <v>6257</v>
      </c>
      <c r="C4528" t="s">
        <v>7</v>
      </c>
      <c r="D4528" t="s">
        <v>33</v>
      </c>
      <c r="E4528" t="s">
        <v>6044</v>
      </c>
      <c r="F4528" t="s">
        <v>6258</v>
      </c>
    </row>
    <row r="4529" spans="1:6" x14ac:dyDescent="0.25">
      <c r="A4529" t="str">
        <f>"2724220100"</f>
        <v>2724220100</v>
      </c>
      <c r="B4529" t="s">
        <v>6259</v>
      </c>
      <c r="C4529" t="s">
        <v>7</v>
      </c>
      <c r="D4529" t="s">
        <v>12</v>
      </c>
      <c r="E4529" t="s">
        <v>6044</v>
      </c>
      <c r="F4529" t="s">
        <v>6260</v>
      </c>
    </row>
    <row r="4530" spans="1:6" x14ac:dyDescent="0.25">
      <c r="A4530" t="str">
        <f>"272422361062"</f>
        <v>272422361062</v>
      </c>
      <c r="B4530" t="s">
        <v>6261</v>
      </c>
      <c r="C4530" t="s">
        <v>7</v>
      </c>
      <c r="D4530" t="s">
        <v>12</v>
      </c>
      <c r="E4530" t="s">
        <v>6044</v>
      </c>
    </row>
    <row r="4531" spans="1:6" x14ac:dyDescent="0.25">
      <c r="A4531" t="str">
        <f>"272423341679"</f>
        <v>272423341679</v>
      </c>
      <c r="B4531" t="s">
        <v>6262</v>
      </c>
      <c r="C4531" t="s">
        <v>7</v>
      </c>
      <c r="D4531" t="s">
        <v>14</v>
      </c>
      <c r="E4531" t="s">
        <v>6044</v>
      </c>
    </row>
    <row r="4532" spans="1:6" x14ac:dyDescent="0.25">
      <c r="A4532" t="str">
        <f>"2724928189"</f>
        <v>2724928189</v>
      </c>
      <c r="B4532" t="s">
        <v>6263</v>
      </c>
      <c r="C4532" t="s">
        <v>7</v>
      </c>
      <c r="D4532" t="s">
        <v>14</v>
      </c>
      <c r="E4532" t="s">
        <v>6044</v>
      </c>
      <c r="F4532" t="s">
        <v>6264</v>
      </c>
    </row>
    <row r="4533" spans="1:6" x14ac:dyDescent="0.25">
      <c r="A4533" t="str">
        <f>"272500485300"</f>
        <v>272500485300</v>
      </c>
      <c r="B4533" t="s">
        <v>6265</v>
      </c>
      <c r="C4533" t="s">
        <v>7</v>
      </c>
      <c r="D4533" t="s">
        <v>12</v>
      </c>
      <c r="E4533" t="s">
        <v>6044</v>
      </c>
    </row>
    <row r="4534" spans="1:6" x14ac:dyDescent="0.25">
      <c r="A4534" t="str">
        <f>"272700030220"</f>
        <v>272700030220</v>
      </c>
      <c r="B4534" t="s">
        <v>6266</v>
      </c>
      <c r="C4534" t="s">
        <v>7</v>
      </c>
      <c r="D4534" t="s">
        <v>12</v>
      </c>
      <c r="E4534" t="s">
        <v>6044</v>
      </c>
    </row>
    <row r="4535" spans="1:6" x14ac:dyDescent="0.25">
      <c r="A4535" t="str">
        <f>"790104447431"</f>
        <v>790104447431</v>
      </c>
      <c r="B4535" t="s">
        <v>6267</v>
      </c>
      <c r="C4535" t="s">
        <v>7</v>
      </c>
      <c r="D4535" t="s">
        <v>14</v>
      </c>
      <c r="E4535" t="s">
        <v>6044</v>
      </c>
    </row>
    <row r="4536" spans="1:6" x14ac:dyDescent="0.25">
      <c r="A4536" t="str">
        <f>"271702717337"</f>
        <v>271702717337</v>
      </c>
      <c r="B4536" t="s">
        <v>6268</v>
      </c>
      <c r="C4536" t="s">
        <v>7</v>
      </c>
      <c r="D4536" t="s">
        <v>14</v>
      </c>
      <c r="E4536" t="s">
        <v>6044</v>
      </c>
    </row>
    <row r="4537" spans="1:6" x14ac:dyDescent="0.25">
      <c r="A4537" t="str">
        <f>"2720044171"</f>
        <v>2720044171</v>
      </c>
      <c r="B4537" t="s">
        <v>6269</v>
      </c>
      <c r="C4537" t="s">
        <v>7</v>
      </c>
      <c r="D4537" t="s">
        <v>33</v>
      </c>
      <c r="E4537" t="s">
        <v>6044</v>
      </c>
      <c r="F4537" t="s">
        <v>6270</v>
      </c>
    </row>
    <row r="4538" spans="1:6" x14ac:dyDescent="0.25">
      <c r="A4538" t="str">
        <f>"2720053602"</f>
        <v>2720053602</v>
      </c>
      <c r="B4538" t="s">
        <v>6271</v>
      </c>
      <c r="C4538" t="s">
        <v>7</v>
      </c>
      <c r="D4538" t="s">
        <v>12</v>
      </c>
      <c r="E4538" t="s">
        <v>6044</v>
      </c>
      <c r="F4538" t="s">
        <v>6272</v>
      </c>
    </row>
    <row r="4539" spans="1:6" x14ac:dyDescent="0.25">
      <c r="A4539" t="str">
        <f>"272010517480"</f>
        <v>272010517480</v>
      </c>
      <c r="B4539" t="s">
        <v>6273</v>
      </c>
      <c r="C4539" t="s">
        <v>7</v>
      </c>
      <c r="D4539" t="s">
        <v>14</v>
      </c>
      <c r="E4539" t="s">
        <v>6044</v>
      </c>
    </row>
    <row r="4540" spans="1:6" x14ac:dyDescent="0.25">
      <c r="A4540" t="str">
        <f>"272103962660"</f>
        <v>272103962660</v>
      </c>
      <c r="B4540" t="s">
        <v>6274</v>
      </c>
      <c r="C4540" t="s">
        <v>7</v>
      </c>
      <c r="D4540" t="s">
        <v>12</v>
      </c>
      <c r="E4540" t="s">
        <v>6044</v>
      </c>
    </row>
    <row r="4541" spans="1:6" x14ac:dyDescent="0.25">
      <c r="A4541" t="str">
        <f>"2721098719"</f>
        <v>2721098719</v>
      </c>
      <c r="B4541" t="s">
        <v>6275</v>
      </c>
      <c r="C4541" t="s">
        <v>7</v>
      </c>
      <c r="D4541" t="s">
        <v>674</v>
      </c>
      <c r="E4541" t="s">
        <v>6044</v>
      </c>
      <c r="F4541" t="s">
        <v>6276</v>
      </c>
    </row>
    <row r="4542" spans="1:6" x14ac:dyDescent="0.25">
      <c r="A4542" t="str">
        <f>"272112620648"</f>
        <v>272112620648</v>
      </c>
      <c r="B4542" t="s">
        <v>6277</v>
      </c>
      <c r="C4542" t="s">
        <v>7</v>
      </c>
      <c r="D4542" t="s">
        <v>14</v>
      </c>
      <c r="E4542" t="s">
        <v>6044</v>
      </c>
    </row>
    <row r="4543" spans="1:6" x14ac:dyDescent="0.25">
      <c r="A4543" t="str">
        <f>"2721163492"</f>
        <v>2721163492</v>
      </c>
      <c r="B4543" t="s">
        <v>6278</v>
      </c>
      <c r="C4543" t="s">
        <v>7</v>
      </c>
      <c r="D4543" t="s">
        <v>33</v>
      </c>
      <c r="E4543" t="s">
        <v>6044</v>
      </c>
      <c r="F4543" t="s">
        <v>6279</v>
      </c>
    </row>
    <row r="4544" spans="1:6" x14ac:dyDescent="0.25">
      <c r="A4544" t="str">
        <f>"2721180603"</f>
        <v>2721180603</v>
      </c>
      <c r="B4544" t="s">
        <v>6280</v>
      </c>
      <c r="C4544" t="s">
        <v>7</v>
      </c>
      <c r="D4544" t="s">
        <v>33</v>
      </c>
      <c r="E4544" t="s">
        <v>6044</v>
      </c>
      <c r="F4544" t="s">
        <v>6281</v>
      </c>
    </row>
    <row r="4545" spans="1:6" x14ac:dyDescent="0.25">
      <c r="A4545" t="str">
        <f>"2721181251"</f>
        <v>2721181251</v>
      </c>
      <c r="B4545" t="s">
        <v>6282</v>
      </c>
      <c r="C4545" t="s">
        <v>7</v>
      </c>
      <c r="D4545" t="s">
        <v>12</v>
      </c>
      <c r="E4545" t="s">
        <v>6044</v>
      </c>
      <c r="F4545" t="s">
        <v>6283</v>
      </c>
    </row>
    <row r="4546" spans="1:6" x14ac:dyDescent="0.25">
      <c r="A4546" t="str">
        <f>"272198758349"</f>
        <v>272198758349</v>
      </c>
      <c r="B4546" t="s">
        <v>6284</v>
      </c>
      <c r="C4546" t="s">
        <v>7</v>
      </c>
      <c r="D4546" t="s">
        <v>14</v>
      </c>
      <c r="E4546" t="s">
        <v>6044</v>
      </c>
    </row>
    <row r="4547" spans="1:6" x14ac:dyDescent="0.25">
      <c r="A4547" t="str">
        <f>"2722126743"</f>
        <v>2722126743</v>
      </c>
      <c r="B4547" t="s">
        <v>6285</v>
      </c>
      <c r="C4547" t="s">
        <v>7</v>
      </c>
      <c r="D4547" t="s">
        <v>14</v>
      </c>
      <c r="E4547" t="s">
        <v>6044</v>
      </c>
      <c r="F4547" t="s">
        <v>6286</v>
      </c>
    </row>
    <row r="4548" spans="1:6" x14ac:dyDescent="0.25">
      <c r="A4548" t="str">
        <f>"2722133807"</f>
        <v>2722133807</v>
      </c>
      <c r="B4548" t="s">
        <v>6287</v>
      </c>
      <c r="C4548" t="s">
        <v>7</v>
      </c>
      <c r="D4548" t="s">
        <v>12</v>
      </c>
      <c r="E4548" t="s">
        <v>6044</v>
      </c>
      <c r="F4548" t="s">
        <v>6288</v>
      </c>
    </row>
    <row r="4549" spans="1:6" x14ac:dyDescent="0.25">
      <c r="A4549" t="str">
        <f>"272319198165"</f>
        <v>272319198165</v>
      </c>
      <c r="B4549" t="s">
        <v>6289</v>
      </c>
      <c r="C4549" t="s">
        <v>7</v>
      </c>
      <c r="D4549" t="s">
        <v>463</v>
      </c>
      <c r="E4549" t="s">
        <v>6044</v>
      </c>
    </row>
    <row r="4550" spans="1:6" x14ac:dyDescent="0.25">
      <c r="A4550" t="str">
        <f>"2723214569"</f>
        <v>2723214569</v>
      </c>
      <c r="B4550" t="s">
        <v>6290</v>
      </c>
      <c r="C4550" t="s">
        <v>7</v>
      </c>
      <c r="D4550" t="s">
        <v>8</v>
      </c>
      <c r="E4550" t="s">
        <v>6044</v>
      </c>
      <c r="F4550" t="s">
        <v>6291</v>
      </c>
    </row>
    <row r="4551" spans="1:6" x14ac:dyDescent="0.25">
      <c r="A4551" t="str">
        <f>"2723217496"</f>
        <v>2723217496</v>
      </c>
      <c r="B4551" t="s">
        <v>6292</v>
      </c>
      <c r="C4551" t="s">
        <v>7</v>
      </c>
      <c r="D4551" t="s">
        <v>14</v>
      </c>
      <c r="E4551" t="s">
        <v>6044</v>
      </c>
      <c r="F4551" t="s">
        <v>6293</v>
      </c>
    </row>
    <row r="4552" spans="1:6" x14ac:dyDescent="0.25">
      <c r="A4552" t="str">
        <f>"2723219246"</f>
        <v>2723219246</v>
      </c>
      <c r="B4552" t="s">
        <v>6294</v>
      </c>
      <c r="C4552" t="s">
        <v>7</v>
      </c>
      <c r="D4552" t="s">
        <v>12</v>
      </c>
      <c r="E4552" t="s">
        <v>6044</v>
      </c>
      <c r="F4552" t="s">
        <v>6295</v>
      </c>
    </row>
    <row r="4553" spans="1:6" x14ac:dyDescent="0.25">
      <c r="A4553" t="str">
        <f>"272323370179"</f>
        <v>272323370179</v>
      </c>
      <c r="B4553" t="s">
        <v>6296</v>
      </c>
      <c r="C4553" t="s">
        <v>7</v>
      </c>
      <c r="D4553" t="s">
        <v>14</v>
      </c>
      <c r="E4553" t="s">
        <v>6044</v>
      </c>
    </row>
    <row r="4554" spans="1:6" x14ac:dyDescent="0.25">
      <c r="A4554" t="str">
        <f>"272384343454"</f>
        <v>272384343454</v>
      </c>
      <c r="B4554" t="s">
        <v>6297</v>
      </c>
      <c r="C4554" t="s">
        <v>7</v>
      </c>
      <c r="D4554" t="s">
        <v>14</v>
      </c>
      <c r="E4554" t="s">
        <v>6044</v>
      </c>
    </row>
    <row r="4555" spans="1:6" x14ac:dyDescent="0.25">
      <c r="A4555" t="str">
        <f>"272385216931"</f>
        <v>272385216931</v>
      </c>
      <c r="B4555" t="s">
        <v>6298</v>
      </c>
      <c r="C4555" t="s">
        <v>7</v>
      </c>
      <c r="D4555" t="s">
        <v>14</v>
      </c>
      <c r="E4555" t="s">
        <v>6044</v>
      </c>
    </row>
    <row r="4556" spans="1:6" x14ac:dyDescent="0.25">
      <c r="A4556" t="str">
        <f>"272389659885"</f>
        <v>272389659885</v>
      </c>
      <c r="B4556" t="s">
        <v>6299</v>
      </c>
      <c r="C4556" t="s">
        <v>7</v>
      </c>
      <c r="D4556" t="s">
        <v>14</v>
      </c>
      <c r="E4556" t="s">
        <v>6044</v>
      </c>
    </row>
    <row r="4557" spans="1:6" x14ac:dyDescent="0.25">
      <c r="A4557" t="str">
        <f>"272390090610"</f>
        <v>272390090610</v>
      </c>
      <c r="B4557" t="s">
        <v>6300</v>
      </c>
      <c r="C4557" t="s">
        <v>7</v>
      </c>
      <c r="D4557" t="s">
        <v>14</v>
      </c>
      <c r="E4557" t="s">
        <v>6044</v>
      </c>
    </row>
    <row r="4558" spans="1:6" x14ac:dyDescent="0.25">
      <c r="A4558" t="str">
        <f>"272390781463"</f>
        <v>272390781463</v>
      </c>
      <c r="B4558" t="s">
        <v>6301</v>
      </c>
      <c r="C4558" t="s">
        <v>7</v>
      </c>
      <c r="D4558" t="s">
        <v>14</v>
      </c>
      <c r="E4558" t="s">
        <v>6044</v>
      </c>
    </row>
    <row r="4559" spans="1:6" x14ac:dyDescent="0.25">
      <c r="A4559" t="str">
        <f>"2724158363"</f>
        <v>2724158363</v>
      </c>
      <c r="B4559" t="s">
        <v>6302</v>
      </c>
      <c r="C4559" t="s">
        <v>7</v>
      </c>
      <c r="D4559" t="s">
        <v>33</v>
      </c>
      <c r="E4559" t="s">
        <v>6044</v>
      </c>
      <c r="F4559" t="s">
        <v>6303</v>
      </c>
    </row>
    <row r="4560" spans="1:6" x14ac:dyDescent="0.25">
      <c r="A4560" t="str">
        <f>"2724218319"</f>
        <v>2724218319</v>
      </c>
      <c r="B4560" t="s">
        <v>6304</v>
      </c>
      <c r="C4560" t="s">
        <v>7</v>
      </c>
      <c r="D4560" t="s">
        <v>12</v>
      </c>
      <c r="E4560" t="s">
        <v>6044</v>
      </c>
      <c r="F4560" t="s">
        <v>6305</v>
      </c>
    </row>
    <row r="4561" spans="1:6" x14ac:dyDescent="0.25">
      <c r="A4561" t="str">
        <f>"2724229060"</f>
        <v>2724229060</v>
      </c>
      <c r="B4561" t="s">
        <v>6306</v>
      </c>
      <c r="C4561" t="s">
        <v>7</v>
      </c>
      <c r="D4561" t="s">
        <v>14</v>
      </c>
      <c r="E4561" t="s">
        <v>6044</v>
      </c>
      <c r="F4561" t="s">
        <v>6307</v>
      </c>
    </row>
    <row r="4562" spans="1:6" x14ac:dyDescent="0.25">
      <c r="A4562" t="str">
        <f>"2724241607"</f>
        <v>2724241607</v>
      </c>
      <c r="B4562" t="s">
        <v>6308</v>
      </c>
      <c r="C4562" t="s">
        <v>7</v>
      </c>
      <c r="D4562" t="s">
        <v>33</v>
      </c>
      <c r="E4562" t="s">
        <v>6044</v>
      </c>
      <c r="F4562" t="s">
        <v>6309</v>
      </c>
    </row>
    <row r="4563" spans="1:6" x14ac:dyDescent="0.25">
      <c r="A4563" t="str">
        <f>"2724243749"</f>
        <v>2724243749</v>
      </c>
      <c r="B4563" t="s">
        <v>6310</v>
      </c>
      <c r="C4563" t="s">
        <v>7</v>
      </c>
      <c r="D4563" t="s">
        <v>12</v>
      </c>
      <c r="E4563" t="s">
        <v>6044</v>
      </c>
      <c r="F4563" t="s">
        <v>6311</v>
      </c>
    </row>
    <row r="4564" spans="1:6" x14ac:dyDescent="0.25">
      <c r="A4564" t="str">
        <f>"272498227349"</f>
        <v>272498227349</v>
      </c>
      <c r="B4564" t="s">
        <v>6312</v>
      </c>
      <c r="C4564" t="s">
        <v>7</v>
      </c>
      <c r="D4564" t="s">
        <v>12</v>
      </c>
      <c r="E4564" t="s">
        <v>6044</v>
      </c>
    </row>
    <row r="4565" spans="1:6" x14ac:dyDescent="0.25">
      <c r="A4565" t="str">
        <f>"272498749401"</f>
        <v>272498749401</v>
      </c>
      <c r="B4565" t="s">
        <v>6313</v>
      </c>
      <c r="C4565" t="s">
        <v>7</v>
      </c>
      <c r="D4565" t="s">
        <v>14</v>
      </c>
      <c r="E4565" t="s">
        <v>6044</v>
      </c>
    </row>
    <row r="4566" spans="1:6" x14ac:dyDescent="0.25">
      <c r="A4566" t="str">
        <f>"272500179582"</f>
        <v>272500179582</v>
      </c>
      <c r="B4566" t="s">
        <v>6314</v>
      </c>
      <c r="C4566" t="s">
        <v>7</v>
      </c>
      <c r="D4566" t="s">
        <v>14</v>
      </c>
      <c r="E4566" t="s">
        <v>6044</v>
      </c>
    </row>
    <row r="4567" spans="1:6" x14ac:dyDescent="0.25">
      <c r="A4567" t="str">
        <f>"272513841186"</f>
        <v>272513841186</v>
      </c>
      <c r="B4567" t="s">
        <v>6315</v>
      </c>
      <c r="C4567" t="s">
        <v>7</v>
      </c>
      <c r="D4567" t="s">
        <v>14</v>
      </c>
      <c r="E4567" t="s">
        <v>6044</v>
      </c>
    </row>
    <row r="4568" spans="1:6" x14ac:dyDescent="0.25">
      <c r="A4568" t="str">
        <f>"281816719905"</f>
        <v>281816719905</v>
      </c>
      <c r="B4568" t="s">
        <v>6316</v>
      </c>
      <c r="C4568" t="s">
        <v>7</v>
      </c>
      <c r="D4568" t="s">
        <v>14</v>
      </c>
      <c r="E4568" t="s">
        <v>6044</v>
      </c>
    </row>
    <row r="4569" spans="1:6" x14ac:dyDescent="0.25">
      <c r="A4569" t="str">
        <f>"281601444954"</f>
        <v>281601444954</v>
      </c>
      <c r="B4569" t="s">
        <v>6317</v>
      </c>
      <c r="C4569" t="s">
        <v>7</v>
      </c>
      <c r="D4569" t="s">
        <v>12</v>
      </c>
      <c r="E4569" t="s">
        <v>6044</v>
      </c>
    </row>
    <row r="4570" spans="1:6" x14ac:dyDescent="0.25">
      <c r="A4570" t="str">
        <f>"282600552885"</f>
        <v>282600552885</v>
      </c>
      <c r="B4570" t="s">
        <v>6318</v>
      </c>
      <c r="C4570" t="s">
        <v>7</v>
      </c>
      <c r="D4570" t="s">
        <v>14</v>
      </c>
      <c r="E4570" t="s">
        <v>6044</v>
      </c>
    </row>
    <row r="4571" spans="1:6" x14ac:dyDescent="0.25">
      <c r="A4571" t="str">
        <f>"870100742771"</f>
        <v>870100742771</v>
      </c>
      <c r="B4571" t="s">
        <v>6319</v>
      </c>
      <c r="C4571" t="s">
        <v>7</v>
      </c>
      <c r="D4571" t="s">
        <v>14</v>
      </c>
      <c r="E4571" t="s">
        <v>6044</v>
      </c>
    </row>
    <row r="4572" spans="1:6" x14ac:dyDescent="0.25">
      <c r="A4572" t="str">
        <f>"615529011005"</f>
        <v>615529011005</v>
      </c>
      <c r="B4572" t="s">
        <v>6320</v>
      </c>
      <c r="C4572" t="s">
        <v>7</v>
      </c>
      <c r="D4572" t="s">
        <v>463</v>
      </c>
      <c r="E4572" t="s">
        <v>6321</v>
      </c>
    </row>
    <row r="4573" spans="1:6" x14ac:dyDescent="0.25">
      <c r="A4573" t="str">
        <f>"280100143136"</f>
        <v>280100143136</v>
      </c>
      <c r="B4573" t="s">
        <v>6322</v>
      </c>
      <c r="C4573" t="s">
        <v>7</v>
      </c>
      <c r="D4573" t="s">
        <v>12</v>
      </c>
      <c r="E4573" t="s">
        <v>6321</v>
      </c>
    </row>
    <row r="4574" spans="1:6" x14ac:dyDescent="0.25">
      <c r="A4574" t="str">
        <f>"2801136060"</f>
        <v>2801136060</v>
      </c>
      <c r="B4574" t="s">
        <v>6323</v>
      </c>
      <c r="C4574" t="s">
        <v>7</v>
      </c>
      <c r="D4574" t="s">
        <v>12</v>
      </c>
      <c r="E4574" t="s">
        <v>6321</v>
      </c>
      <c r="F4574" t="s">
        <v>6324</v>
      </c>
    </row>
    <row r="4575" spans="1:6" x14ac:dyDescent="0.25">
      <c r="A4575" t="str">
        <f>"2801174972"</f>
        <v>2801174972</v>
      </c>
      <c r="B4575" t="s">
        <v>6325</v>
      </c>
      <c r="C4575" t="s">
        <v>7</v>
      </c>
      <c r="D4575" t="s">
        <v>14</v>
      </c>
      <c r="E4575" t="s">
        <v>6321</v>
      </c>
      <c r="F4575" t="s">
        <v>6326</v>
      </c>
    </row>
    <row r="4576" spans="1:6" x14ac:dyDescent="0.25">
      <c r="A4576" t="str">
        <f>"2806008986"</f>
        <v>2806008986</v>
      </c>
      <c r="B4576" t="s">
        <v>6327</v>
      </c>
      <c r="C4576" t="s">
        <v>7</v>
      </c>
      <c r="D4576" t="s">
        <v>33</v>
      </c>
      <c r="E4576" t="s">
        <v>6321</v>
      </c>
      <c r="F4576" t="s">
        <v>6328</v>
      </c>
    </row>
    <row r="4577" spans="1:6" x14ac:dyDescent="0.25">
      <c r="A4577" t="str">
        <f>"280602238279"</f>
        <v>280602238279</v>
      </c>
      <c r="B4577" t="s">
        <v>6329</v>
      </c>
      <c r="C4577" t="s">
        <v>7</v>
      </c>
      <c r="D4577" t="s">
        <v>14</v>
      </c>
      <c r="E4577" t="s">
        <v>6321</v>
      </c>
    </row>
    <row r="4578" spans="1:6" x14ac:dyDescent="0.25">
      <c r="A4578" t="str">
        <f>"281700999403"</f>
        <v>281700999403</v>
      </c>
      <c r="B4578" t="s">
        <v>6330</v>
      </c>
      <c r="C4578" t="s">
        <v>7</v>
      </c>
      <c r="D4578" t="s">
        <v>12</v>
      </c>
      <c r="E4578" t="s">
        <v>6321</v>
      </c>
    </row>
    <row r="4579" spans="1:6" x14ac:dyDescent="0.25">
      <c r="A4579" t="str">
        <f>"281801549288"</f>
        <v>281801549288</v>
      </c>
      <c r="B4579" t="s">
        <v>6331</v>
      </c>
      <c r="C4579" t="s">
        <v>7</v>
      </c>
      <c r="D4579" t="s">
        <v>14</v>
      </c>
      <c r="E4579" t="s">
        <v>6321</v>
      </c>
    </row>
    <row r="4580" spans="1:6" x14ac:dyDescent="0.25">
      <c r="A4580" t="str">
        <f>"282500822753"</f>
        <v>282500822753</v>
      </c>
      <c r="B4580" t="s">
        <v>6332</v>
      </c>
      <c r="C4580" t="s">
        <v>7</v>
      </c>
      <c r="D4580" t="s">
        <v>14</v>
      </c>
      <c r="E4580" t="s">
        <v>6321</v>
      </c>
    </row>
    <row r="4581" spans="1:6" x14ac:dyDescent="0.25">
      <c r="A4581" t="str">
        <f>"282601393540"</f>
        <v>282601393540</v>
      </c>
      <c r="B4581" t="s">
        <v>6333</v>
      </c>
      <c r="C4581" t="s">
        <v>7</v>
      </c>
      <c r="D4581" t="s">
        <v>14</v>
      </c>
      <c r="E4581" t="s">
        <v>6321</v>
      </c>
    </row>
    <row r="4582" spans="1:6" x14ac:dyDescent="0.25">
      <c r="A4582" t="str">
        <f>"280100992115"</f>
        <v>280100992115</v>
      </c>
      <c r="B4582" t="s">
        <v>6334</v>
      </c>
      <c r="C4582" t="s">
        <v>7</v>
      </c>
      <c r="D4582" t="s">
        <v>14</v>
      </c>
      <c r="E4582" t="s">
        <v>6321</v>
      </c>
    </row>
    <row r="4583" spans="1:6" x14ac:dyDescent="0.25">
      <c r="A4583" t="str">
        <f>"280101367604"</f>
        <v>280101367604</v>
      </c>
      <c r="B4583" t="s">
        <v>6335</v>
      </c>
      <c r="C4583" t="s">
        <v>7</v>
      </c>
      <c r="D4583" t="s">
        <v>12</v>
      </c>
      <c r="E4583" t="s">
        <v>6321</v>
      </c>
    </row>
    <row r="4584" spans="1:6" x14ac:dyDescent="0.25">
      <c r="A4584" t="str">
        <f>"2801031004"</f>
        <v>2801031004</v>
      </c>
      <c r="B4584" t="s">
        <v>6336</v>
      </c>
      <c r="C4584" t="s">
        <v>7</v>
      </c>
      <c r="D4584" t="s">
        <v>33</v>
      </c>
      <c r="E4584" t="s">
        <v>6321</v>
      </c>
      <c r="F4584" t="s">
        <v>6337</v>
      </c>
    </row>
    <row r="4585" spans="1:6" x14ac:dyDescent="0.25">
      <c r="A4585" t="str">
        <f>"2801104083"</f>
        <v>2801104083</v>
      </c>
      <c r="B4585" t="s">
        <v>6338</v>
      </c>
      <c r="C4585" t="s">
        <v>7</v>
      </c>
      <c r="D4585" t="s">
        <v>14</v>
      </c>
      <c r="E4585" t="s">
        <v>6321</v>
      </c>
      <c r="F4585" t="s">
        <v>6339</v>
      </c>
    </row>
    <row r="4586" spans="1:6" x14ac:dyDescent="0.25">
      <c r="A4586" t="str">
        <f>"2801111725"</f>
        <v>2801111725</v>
      </c>
      <c r="B4586" t="s">
        <v>6340</v>
      </c>
      <c r="C4586" t="s">
        <v>7</v>
      </c>
      <c r="D4586" t="s">
        <v>14</v>
      </c>
      <c r="E4586" t="s">
        <v>6321</v>
      </c>
      <c r="F4586" t="s">
        <v>6341</v>
      </c>
    </row>
    <row r="4587" spans="1:6" x14ac:dyDescent="0.25">
      <c r="A4587" t="str">
        <f>"280112645885"</f>
        <v>280112645885</v>
      </c>
      <c r="B4587" t="s">
        <v>6342</v>
      </c>
      <c r="C4587" t="s">
        <v>7</v>
      </c>
      <c r="D4587" t="s">
        <v>14</v>
      </c>
      <c r="E4587" t="s">
        <v>6321</v>
      </c>
    </row>
    <row r="4588" spans="1:6" x14ac:dyDescent="0.25">
      <c r="A4588" t="str">
        <f>"280114635515"</f>
        <v>280114635515</v>
      </c>
      <c r="B4588" t="s">
        <v>6343</v>
      </c>
      <c r="C4588" t="s">
        <v>7</v>
      </c>
      <c r="D4588" t="s">
        <v>14</v>
      </c>
      <c r="E4588" t="s">
        <v>6321</v>
      </c>
    </row>
    <row r="4589" spans="1:6" x14ac:dyDescent="0.25">
      <c r="A4589" t="str">
        <f>"280119319545"</f>
        <v>280119319545</v>
      </c>
      <c r="B4589" t="s">
        <v>6344</v>
      </c>
      <c r="C4589" t="s">
        <v>7</v>
      </c>
      <c r="D4589" t="s">
        <v>14</v>
      </c>
      <c r="E4589" t="s">
        <v>6321</v>
      </c>
    </row>
    <row r="4590" spans="1:6" x14ac:dyDescent="0.25">
      <c r="A4590" t="str">
        <f>"280119731903"</f>
        <v>280119731903</v>
      </c>
      <c r="B4590" t="s">
        <v>6345</v>
      </c>
      <c r="C4590" t="s">
        <v>7</v>
      </c>
      <c r="D4590" t="s">
        <v>14</v>
      </c>
      <c r="E4590" t="s">
        <v>6321</v>
      </c>
    </row>
    <row r="4591" spans="1:6" x14ac:dyDescent="0.25">
      <c r="A4591" t="str">
        <f>"2800000941"</f>
        <v>2800000941</v>
      </c>
      <c r="B4591" t="s">
        <v>6346</v>
      </c>
      <c r="C4591" t="s">
        <v>7</v>
      </c>
      <c r="D4591" t="s">
        <v>12</v>
      </c>
      <c r="E4591" t="s">
        <v>6321</v>
      </c>
      <c r="F4591" t="s">
        <v>6347</v>
      </c>
    </row>
    <row r="4592" spans="1:6" x14ac:dyDescent="0.25">
      <c r="A4592" t="str">
        <f>"280100133025"</f>
        <v>280100133025</v>
      </c>
      <c r="B4592" t="s">
        <v>6348</v>
      </c>
      <c r="C4592" t="s">
        <v>7</v>
      </c>
      <c r="D4592" t="s">
        <v>12</v>
      </c>
      <c r="E4592" t="s">
        <v>6321</v>
      </c>
    </row>
    <row r="4593" spans="1:6" x14ac:dyDescent="0.25">
      <c r="A4593" t="str">
        <f>"280100889573"</f>
        <v>280100889573</v>
      </c>
      <c r="B4593" t="s">
        <v>6349</v>
      </c>
      <c r="C4593" t="s">
        <v>7</v>
      </c>
      <c r="D4593" t="s">
        <v>14</v>
      </c>
      <c r="E4593" t="s">
        <v>6321</v>
      </c>
    </row>
    <row r="4594" spans="1:6" x14ac:dyDescent="0.25">
      <c r="A4594" t="str">
        <f>"2801018613"</f>
        <v>2801018613</v>
      </c>
      <c r="B4594" t="s">
        <v>6350</v>
      </c>
      <c r="C4594" t="s">
        <v>7</v>
      </c>
      <c r="D4594" t="s">
        <v>12</v>
      </c>
      <c r="E4594" t="s">
        <v>6321</v>
      </c>
      <c r="F4594" t="s">
        <v>6351</v>
      </c>
    </row>
    <row r="4595" spans="1:6" x14ac:dyDescent="0.25">
      <c r="A4595" t="str">
        <f>"280102611044"</f>
        <v>280102611044</v>
      </c>
      <c r="B4595" t="s">
        <v>6352</v>
      </c>
      <c r="C4595" t="s">
        <v>7</v>
      </c>
      <c r="D4595" t="s">
        <v>14</v>
      </c>
      <c r="E4595" t="s">
        <v>6321</v>
      </c>
    </row>
    <row r="4596" spans="1:6" x14ac:dyDescent="0.25">
      <c r="A4596" t="str">
        <f>"280106039501"</f>
        <v>280106039501</v>
      </c>
      <c r="B4596" t="s">
        <v>6353</v>
      </c>
      <c r="C4596" t="s">
        <v>7</v>
      </c>
      <c r="D4596" t="s">
        <v>12</v>
      </c>
      <c r="E4596" t="s">
        <v>6321</v>
      </c>
    </row>
    <row r="4597" spans="1:6" x14ac:dyDescent="0.25">
      <c r="A4597" t="str">
        <f>"280107164897"</f>
        <v>280107164897</v>
      </c>
      <c r="B4597" t="s">
        <v>6354</v>
      </c>
      <c r="C4597" t="s">
        <v>7</v>
      </c>
      <c r="D4597" t="s">
        <v>14</v>
      </c>
      <c r="E4597" t="s">
        <v>6321</v>
      </c>
    </row>
    <row r="4598" spans="1:6" x14ac:dyDescent="0.25">
      <c r="A4598" t="str">
        <f>"280107353220"</f>
        <v>280107353220</v>
      </c>
      <c r="B4598" t="s">
        <v>6355</v>
      </c>
      <c r="C4598" t="s">
        <v>7</v>
      </c>
      <c r="D4598" t="s">
        <v>12</v>
      </c>
      <c r="E4598" t="s">
        <v>6321</v>
      </c>
    </row>
    <row r="4599" spans="1:6" x14ac:dyDescent="0.25">
      <c r="A4599" t="str">
        <f>"2801081020"</f>
        <v>2801081020</v>
      </c>
      <c r="B4599" t="s">
        <v>6356</v>
      </c>
      <c r="C4599" t="s">
        <v>7</v>
      </c>
      <c r="D4599" t="s">
        <v>8</v>
      </c>
      <c r="E4599" t="s">
        <v>6321</v>
      </c>
      <c r="F4599" t="s">
        <v>6357</v>
      </c>
    </row>
    <row r="4600" spans="1:6" x14ac:dyDescent="0.25">
      <c r="A4600" t="str">
        <f>"2801107920"</f>
        <v>2801107920</v>
      </c>
      <c r="B4600" t="s">
        <v>6358</v>
      </c>
      <c r="C4600" t="s">
        <v>7</v>
      </c>
      <c r="D4600" t="s">
        <v>33</v>
      </c>
      <c r="E4600" t="s">
        <v>6321</v>
      </c>
      <c r="F4600" t="s">
        <v>6359</v>
      </c>
    </row>
    <row r="4601" spans="1:6" x14ac:dyDescent="0.25">
      <c r="A4601" t="str">
        <f>"280111420825"</f>
        <v>280111420825</v>
      </c>
      <c r="B4601" t="s">
        <v>6360</v>
      </c>
      <c r="C4601" t="s">
        <v>7</v>
      </c>
      <c r="D4601" t="s">
        <v>14</v>
      </c>
      <c r="E4601" t="s">
        <v>6321</v>
      </c>
    </row>
    <row r="4602" spans="1:6" x14ac:dyDescent="0.25">
      <c r="A4602" t="str">
        <f>"2801013238"</f>
        <v>2801013238</v>
      </c>
      <c r="B4602" t="s">
        <v>6361</v>
      </c>
      <c r="C4602" t="s">
        <v>7</v>
      </c>
      <c r="D4602" t="s">
        <v>14</v>
      </c>
      <c r="E4602" t="s">
        <v>6321</v>
      </c>
      <c r="F4602" t="s">
        <v>6362</v>
      </c>
    </row>
    <row r="4603" spans="1:6" x14ac:dyDescent="0.25">
      <c r="A4603" t="str">
        <f>"2801109525"</f>
        <v>2801109525</v>
      </c>
      <c r="B4603" t="s">
        <v>6363</v>
      </c>
      <c r="C4603" t="s">
        <v>7</v>
      </c>
      <c r="D4603" t="s">
        <v>33</v>
      </c>
      <c r="E4603" t="s">
        <v>6321</v>
      </c>
      <c r="F4603" t="s">
        <v>6364</v>
      </c>
    </row>
    <row r="4604" spans="1:6" x14ac:dyDescent="0.25">
      <c r="A4604" t="str">
        <f>"280112171226"</f>
        <v>280112171226</v>
      </c>
      <c r="B4604" t="s">
        <v>6365</v>
      </c>
      <c r="C4604" t="s">
        <v>7</v>
      </c>
      <c r="D4604" t="s">
        <v>33</v>
      </c>
      <c r="E4604" t="s">
        <v>6321</v>
      </c>
    </row>
    <row r="4605" spans="1:6" x14ac:dyDescent="0.25">
      <c r="A4605" t="str">
        <f>"2801157670"</f>
        <v>2801157670</v>
      </c>
      <c r="B4605" t="s">
        <v>6366</v>
      </c>
      <c r="C4605" t="s">
        <v>7</v>
      </c>
      <c r="D4605" t="s">
        <v>14</v>
      </c>
      <c r="E4605" t="s">
        <v>6321</v>
      </c>
      <c r="F4605" t="s">
        <v>6367</v>
      </c>
    </row>
    <row r="4606" spans="1:6" x14ac:dyDescent="0.25">
      <c r="A4606" t="str">
        <f>"2801169242"</f>
        <v>2801169242</v>
      </c>
      <c r="B4606" t="s">
        <v>6368</v>
      </c>
      <c r="C4606" t="s">
        <v>7</v>
      </c>
      <c r="D4606" t="s">
        <v>12</v>
      </c>
      <c r="E4606" t="s">
        <v>6321</v>
      </c>
      <c r="F4606" t="s">
        <v>6369</v>
      </c>
    </row>
    <row r="4607" spans="1:6" x14ac:dyDescent="0.25">
      <c r="A4607" t="str">
        <f>"2801180976"</f>
        <v>2801180976</v>
      </c>
      <c r="B4607" t="s">
        <v>6370</v>
      </c>
      <c r="C4607" t="s">
        <v>7</v>
      </c>
      <c r="D4607" t="s">
        <v>674</v>
      </c>
      <c r="E4607" t="s">
        <v>6321</v>
      </c>
      <c r="F4607" t="s">
        <v>6371</v>
      </c>
    </row>
    <row r="4608" spans="1:6" x14ac:dyDescent="0.25">
      <c r="A4608" t="str">
        <f>"2801187121"</f>
        <v>2801187121</v>
      </c>
      <c r="B4608" t="s">
        <v>6372</v>
      </c>
      <c r="C4608" t="s">
        <v>7</v>
      </c>
      <c r="D4608" t="s">
        <v>14</v>
      </c>
      <c r="E4608" t="s">
        <v>6321</v>
      </c>
      <c r="F4608" t="s">
        <v>6373</v>
      </c>
    </row>
    <row r="4609" spans="1:6" x14ac:dyDescent="0.25">
      <c r="A4609" t="str">
        <f>"2801198109"</f>
        <v>2801198109</v>
      </c>
      <c r="B4609" t="s">
        <v>6374</v>
      </c>
      <c r="C4609" t="s">
        <v>7</v>
      </c>
      <c r="D4609" t="s">
        <v>14</v>
      </c>
      <c r="E4609" t="s">
        <v>6321</v>
      </c>
      <c r="F4609" t="s">
        <v>6375</v>
      </c>
    </row>
    <row r="4610" spans="1:6" x14ac:dyDescent="0.25">
      <c r="A4610" t="str">
        <f>"280120112440"</f>
        <v>280120112440</v>
      </c>
      <c r="B4610" t="s">
        <v>6376</v>
      </c>
      <c r="C4610" t="s">
        <v>7</v>
      </c>
      <c r="D4610" t="s">
        <v>12</v>
      </c>
      <c r="E4610" t="s">
        <v>6321</v>
      </c>
    </row>
    <row r="4611" spans="1:6" x14ac:dyDescent="0.25">
      <c r="A4611" t="str">
        <f>"2801204521"</f>
        <v>2801204521</v>
      </c>
      <c r="B4611" t="s">
        <v>6377</v>
      </c>
      <c r="C4611" t="s">
        <v>7</v>
      </c>
      <c r="D4611" t="s">
        <v>12</v>
      </c>
      <c r="E4611" t="s">
        <v>6321</v>
      </c>
      <c r="F4611" t="s">
        <v>6378</v>
      </c>
    </row>
    <row r="4612" spans="1:6" x14ac:dyDescent="0.25">
      <c r="A4612" t="str">
        <f>"2801205123"</f>
        <v>2801205123</v>
      </c>
      <c r="B4612" t="s">
        <v>6379</v>
      </c>
      <c r="C4612" t="s">
        <v>7</v>
      </c>
      <c r="D4612" t="s">
        <v>189</v>
      </c>
      <c r="E4612" t="s">
        <v>6321</v>
      </c>
      <c r="F4612" t="s">
        <v>6380</v>
      </c>
    </row>
    <row r="4613" spans="1:6" x14ac:dyDescent="0.25">
      <c r="A4613" t="str">
        <f>"2801215121"</f>
        <v>2801215121</v>
      </c>
      <c r="B4613" t="s">
        <v>6381</v>
      </c>
      <c r="C4613" t="s">
        <v>7</v>
      </c>
      <c r="D4613" t="s">
        <v>33</v>
      </c>
      <c r="E4613" t="s">
        <v>6321</v>
      </c>
      <c r="F4613" t="s">
        <v>6382</v>
      </c>
    </row>
    <row r="4614" spans="1:6" x14ac:dyDescent="0.25">
      <c r="A4614" t="str">
        <f>"2801217143"</f>
        <v>2801217143</v>
      </c>
      <c r="B4614" t="s">
        <v>6383</v>
      </c>
      <c r="C4614" t="s">
        <v>7</v>
      </c>
      <c r="D4614" t="s">
        <v>12</v>
      </c>
      <c r="E4614" t="s">
        <v>6321</v>
      </c>
      <c r="F4614" t="s">
        <v>6384</v>
      </c>
    </row>
    <row r="4615" spans="1:6" x14ac:dyDescent="0.25">
      <c r="A4615" t="str">
        <f>"2801223154"</f>
        <v>2801223154</v>
      </c>
      <c r="B4615" t="s">
        <v>6385</v>
      </c>
      <c r="C4615" t="s">
        <v>7</v>
      </c>
      <c r="D4615" t="s">
        <v>12</v>
      </c>
      <c r="E4615" t="s">
        <v>6321</v>
      </c>
      <c r="F4615" t="s">
        <v>6386</v>
      </c>
    </row>
    <row r="4616" spans="1:6" x14ac:dyDescent="0.25">
      <c r="A4616" t="str">
        <f>"301806121755"</f>
        <v>301806121755</v>
      </c>
      <c r="B4616" t="s">
        <v>6387</v>
      </c>
      <c r="C4616" t="s">
        <v>7</v>
      </c>
      <c r="D4616" t="s">
        <v>12</v>
      </c>
      <c r="E4616" t="s">
        <v>6321</v>
      </c>
    </row>
    <row r="4617" spans="1:6" x14ac:dyDescent="0.25">
      <c r="A4617" t="str">
        <f>"280120053924"</f>
        <v>280120053924</v>
      </c>
      <c r="B4617" t="s">
        <v>6388</v>
      </c>
      <c r="C4617" t="s">
        <v>7</v>
      </c>
      <c r="D4617" t="s">
        <v>12</v>
      </c>
      <c r="E4617" t="s">
        <v>6321</v>
      </c>
    </row>
    <row r="4618" spans="1:6" x14ac:dyDescent="0.25">
      <c r="A4618" t="str">
        <f>"280120380135"</f>
        <v>280120380135</v>
      </c>
      <c r="B4618" t="s">
        <v>6389</v>
      </c>
      <c r="C4618" t="s">
        <v>7</v>
      </c>
      <c r="D4618" t="s">
        <v>12</v>
      </c>
      <c r="E4618" t="s">
        <v>6321</v>
      </c>
    </row>
    <row r="4619" spans="1:6" x14ac:dyDescent="0.25">
      <c r="A4619" t="str">
        <f>"2801212804"</f>
        <v>2801212804</v>
      </c>
      <c r="B4619" t="s">
        <v>6390</v>
      </c>
      <c r="C4619" t="s">
        <v>7</v>
      </c>
      <c r="D4619" t="s">
        <v>12</v>
      </c>
      <c r="E4619" t="s">
        <v>6321</v>
      </c>
      <c r="F4619" t="s">
        <v>6391</v>
      </c>
    </row>
    <row r="4620" spans="1:6" x14ac:dyDescent="0.25">
      <c r="A4620" t="str">
        <f>"2801240488"</f>
        <v>2801240488</v>
      </c>
      <c r="B4620" t="s">
        <v>6392</v>
      </c>
      <c r="C4620" t="s">
        <v>7</v>
      </c>
      <c r="D4620" t="s">
        <v>189</v>
      </c>
      <c r="E4620" t="s">
        <v>6321</v>
      </c>
      <c r="F4620" t="s">
        <v>6393</v>
      </c>
    </row>
    <row r="4621" spans="1:6" x14ac:dyDescent="0.25">
      <c r="A4621" t="str">
        <f>"2801282946"</f>
        <v>2801282946</v>
      </c>
      <c r="B4621" t="s">
        <v>6394</v>
      </c>
      <c r="C4621" t="s">
        <v>7</v>
      </c>
      <c r="D4621" t="s">
        <v>33</v>
      </c>
      <c r="E4621" t="s">
        <v>6321</v>
      </c>
      <c r="F4621" t="s">
        <v>6395</v>
      </c>
    </row>
    <row r="4622" spans="1:6" x14ac:dyDescent="0.25">
      <c r="A4622" t="str">
        <f>"2804003189"</f>
        <v>2804003189</v>
      </c>
      <c r="B4622" t="s">
        <v>6396</v>
      </c>
      <c r="C4622" t="s">
        <v>7</v>
      </c>
      <c r="D4622" t="s">
        <v>12</v>
      </c>
      <c r="E4622" t="s">
        <v>6321</v>
      </c>
      <c r="F4622" t="s">
        <v>6397</v>
      </c>
    </row>
    <row r="4623" spans="1:6" x14ac:dyDescent="0.25">
      <c r="A4623" t="str">
        <f>"280402901107"</f>
        <v>280402901107</v>
      </c>
      <c r="B4623" t="s">
        <v>6398</v>
      </c>
      <c r="C4623" t="s">
        <v>7</v>
      </c>
      <c r="D4623" t="s">
        <v>14</v>
      </c>
      <c r="E4623" t="s">
        <v>6321</v>
      </c>
    </row>
    <row r="4624" spans="1:6" x14ac:dyDescent="0.25">
      <c r="A4624" t="str">
        <f>"280403077651"</f>
        <v>280403077651</v>
      </c>
      <c r="B4624" t="s">
        <v>6399</v>
      </c>
      <c r="C4624" t="s">
        <v>7</v>
      </c>
      <c r="D4624" t="s">
        <v>14</v>
      </c>
      <c r="E4624" t="s">
        <v>6321</v>
      </c>
    </row>
    <row r="4625" spans="1:6" x14ac:dyDescent="0.25">
      <c r="A4625" t="str">
        <f>"280406775728"</f>
        <v>280406775728</v>
      </c>
      <c r="B4625" t="s">
        <v>6400</v>
      </c>
      <c r="C4625" t="s">
        <v>7</v>
      </c>
      <c r="D4625" t="s">
        <v>14</v>
      </c>
      <c r="E4625" t="s">
        <v>6321</v>
      </c>
    </row>
    <row r="4626" spans="1:6" x14ac:dyDescent="0.25">
      <c r="A4626" t="str">
        <f>"280800136737"</f>
        <v>280800136737</v>
      </c>
      <c r="B4626" t="s">
        <v>6401</v>
      </c>
      <c r="C4626" t="s">
        <v>7</v>
      </c>
      <c r="D4626" t="s">
        <v>14</v>
      </c>
      <c r="E4626" t="s">
        <v>6321</v>
      </c>
    </row>
    <row r="4627" spans="1:6" x14ac:dyDescent="0.25">
      <c r="A4627" t="str">
        <f>"280801050810"</f>
        <v>280801050810</v>
      </c>
      <c r="B4627" t="s">
        <v>6402</v>
      </c>
      <c r="C4627" t="s">
        <v>7</v>
      </c>
      <c r="D4627" t="s">
        <v>463</v>
      </c>
      <c r="E4627" t="s">
        <v>6321</v>
      </c>
    </row>
    <row r="4628" spans="1:6" x14ac:dyDescent="0.25">
      <c r="A4628" t="str">
        <f>"2812174533"</f>
        <v>2812174533</v>
      </c>
      <c r="B4628" t="s">
        <v>6403</v>
      </c>
      <c r="C4628" t="s">
        <v>7</v>
      </c>
      <c r="D4628" t="s">
        <v>12</v>
      </c>
      <c r="E4628" t="s">
        <v>6321</v>
      </c>
      <c r="F4628" t="s">
        <v>6404</v>
      </c>
    </row>
    <row r="4629" spans="1:6" x14ac:dyDescent="0.25">
      <c r="A4629" t="str">
        <f>"281400644030"</f>
        <v>281400644030</v>
      </c>
      <c r="B4629" t="s">
        <v>6405</v>
      </c>
      <c r="C4629" t="s">
        <v>7</v>
      </c>
      <c r="D4629" t="s">
        <v>14</v>
      </c>
      <c r="E4629" t="s">
        <v>6321</v>
      </c>
    </row>
    <row r="4630" spans="1:6" x14ac:dyDescent="0.25">
      <c r="A4630" t="str">
        <f>"281401875640"</f>
        <v>281401875640</v>
      </c>
      <c r="B4630" t="s">
        <v>6406</v>
      </c>
      <c r="C4630" t="s">
        <v>7</v>
      </c>
      <c r="D4630" t="s">
        <v>14</v>
      </c>
      <c r="E4630" t="s">
        <v>6321</v>
      </c>
    </row>
    <row r="4631" spans="1:6" x14ac:dyDescent="0.25">
      <c r="A4631" t="str">
        <f>"281503834875"</f>
        <v>281503834875</v>
      </c>
      <c r="B4631" t="s">
        <v>6407</v>
      </c>
      <c r="C4631" t="s">
        <v>7</v>
      </c>
      <c r="D4631" t="s">
        <v>14</v>
      </c>
      <c r="E4631" t="s">
        <v>6321</v>
      </c>
    </row>
    <row r="4632" spans="1:6" x14ac:dyDescent="0.25">
      <c r="A4632" t="str">
        <f>"282200236109"</f>
        <v>282200236109</v>
      </c>
      <c r="B4632" t="s">
        <v>6408</v>
      </c>
      <c r="C4632" t="s">
        <v>7</v>
      </c>
      <c r="D4632" t="s">
        <v>14</v>
      </c>
      <c r="E4632" t="s">
        <v>6321</v>
      </c>
    </row>
    <row r="4633" spans="1:6" x14ac:dyDescent="0.25">
      <c r="A4633" t="str">
        <f>"282602874655"</f>
        <v>282602874655</v>
      </c>
      <c r="B4633" t="s">
        <v>6409</v>
      </c>
      <c r="C4633" t="s">
        <v>7</v>
      </c>
      <c r="D4633" t="s">
        <v>12</v>
      </c>
      <c r="E4633" t="s">
        <v>6321</v>
      </c>
    </row>
    <row r="4634" spans="1:6" x14ac:dyDescent="0.25">
      <c r="A4634" t="str">
        <f>"2828007288"</f>
        <v>2828007288</v>
      </c>
      <c r="B4634" t="s">
        <v>6410</v>
      </c>
      <c r="C4634" t="s">
        <v>7</v>
      </c>
      <c r="D4634" t="s">
        <v>463</v>
      </c>
      <c r="E4634" t="s">
        <v>6321</v>
      </c>
      <c r="F4634" t="s">
        <v>6411</v>
      </c>
    </row>
    <row r="4635" spans="1:6" x14ac:dyDescent="0.25">
      <c r="A4635" t="str">
        <f>"2801188622"</f>
        <v>2801188622</v>
      </c>
      <c r="B4635" t="s">
        <v>6412</v>
      </c>
      <c r="C4635" t="s">
        <v>7</v>
      </c>
      <c r="D4635" t="s">
        <v>8</v>
      </c>
      <c r="E4635" t="s">
        <v>6321</v>
      </c>
      <c r="F4635" t="s">
        <v>6413</v>
      </c>
    </row>
    <row r="4636" spans="1:6" x14ac:dyDescent="0.25">
      <c r="A4636" t="str">
        <f>"2801250045"</f>
        <v>2801250045</v>
      </c>
      <c r="B4636" t="s">
        <v>6414</v>
      </c>
      <c r="C4636" t="s">
        <v>7</v>
      </c>
      <c r="D4636" t="s">
        <v>189</v>
      </c>
      <c r="E4636" t="s">
        <v>6321</v>
      </c>
      <c r="F4636" t="s">
        <v>6415</v>
      </c>
    </row>
    <row r="4637" spans="1:6" x14ac:dyDescent="0.25">
      <c r="A4637" t="str">
        <f>"2801261706"</f>
        <v>2801261706</v>
      </c>
      <c r="B4637" t="s">
        <v>6416</v>
      </c>
      <c r="C4637" t="s">
        <v>7</v>
      </c>
      <c r="D4637" t="s">
        <v>12</v>
      </c>
      <c r="E4637" t="s">
        <v>6321</v>
      </c>
      <c r="F4637" t="s">
        <v>6417</v>
      </c>
    </row>
    <row r="4638" spans="1:6" x14ac:dyDescent="0.25">
      <c r="A4638" t="str">
        <f>"2801272507"</f>
        <v>2801272507</v>
      </c>
      <c r="B4638" t="s">
        <v>6418</v>
      </c>
      <c r="C4638" t="s">
        <v>7</v>
      </c>
      <c r="D4638" t="s">
        <v>189</v>
      </c>
      <c r="E4638" t="s">
        <v>6321</v>
      </c>
      <c r="F4638" t="s">
        <v>6419</v>
      </c>
    </row>
    <row r="4639" spans="1:6" x14ac:dyDescent="0.25">
      <c r="A4639" t="str">
        <f>"280127461908"</f>
        <v>280127461908</v>
      </c>
      <c r="B4639" t="s">
        <v>6420</v>
      </c>
      <c r="C4639" t="s">
        <v>7</v>
      </c>
      <c r="D4639" t="s">
        <v>14</v>
      </c>
      <c r="E4639" t="s">
        <v>6321</v>
      </c>
    </row>
    <row r="4640" spans="1:6" x14ac:dyDescent="0.25">
      <c r="A4640" t="str">
        <f>"280128030492"</f>
        <v>280128030492</v>
      </c>
      <c r="B4640" t="s">
        <v>6421</v>
      </c>
      <c r="C4640" t="s">
        <v>7</v>
      </c>
      <c r="D4640" t="s">
        <v>28</v>
      </c>
      <c r="E4640" t="s">
        <v>6321</v>
      </c>
    </row>
    <row r="4641" spans="1:6" x14ac:dyDescent="0.25">
      <c r="A4641" t="str">
        <f>"2801282336"</f>
        <v>2801282336</v>
      </c>
      <c r="B4641" t="s">
        <v>6422</v>
      </c>
      <c r="C4641" t="s">
        <v>7</v>
      </c>
      <c r="D4641" t="s">
        <v>8</v>
      </c>
      <c r="E4641" t="s">
        <v>6321</v>
      </c>
      <c r="F4641" t="s">
        <v>6423</v>
      </c>
    </row>
    <row r="4642" spans="1:6" x14ac:dyDescent="0.25">
      <c r="A4642" t="str">
        <f>"2804014060"</f>
        <v>2804014060</v>
      </c>
      <c r="B4642" t="s">
        <v>6424</v>
      </c>
      <c r="C4642" t="s">
        <v>7</v>
      </c>
      <c r="D4642" t="s">
        <v>8</v>
      </c>
      <c r="E4642" t="s">
        <v>6321</v>
      </c>
      <c r="F4642" t="s">
        <v>6425</v>
      </c>
    </row>
    <row r="4643" spans="1:6" x14ac:dyDescent="0.25">
      <c r="A4643" t="str">
        <f>"280402599528"</f>
        <v>280402599528</v>
      </c>
      <c r="B4643" t="s">
        <v>6426</v>
      </c>
      <c r="C4643" t="s">
        <v>7</v>
      </c>
      <c r="D4643" t="s">
        <v>14</v>
      </c>
      <c r="E4643" t="s">
        <v>6321</v>
      </c>
    </row>
    <row r="4644" spans="1:6" x14ac:dyDescent="0.25">
      <c r="A4644" t="str">
        <f>"280405793428"</f>
        <v>280405793428</v>
      </c>
      <c r="B4644" t="s">
        <v>6427</v>
      </c>
      <c r="C4644" t="s">
        <v>7</v>
      </c>
      <c r="D4644" t="s">
        <v>14</v>
      </c>
      <c r="E4644" t="s">
        <v>6321</v>
      </c>
    </row>
    <row r="4645" spans="1:6" x14ac:dyDescent="0.25">
      <c r="A4645" t="str">
        <f>"280406968896"</f>
        <v>280406968896</v>
      </c>
      <c r="B4645" t="s">
        <v>6428</v>
      </c>
      <c r="C4645" t="s">
        <v>7</v>
      </c>
      <c r="D4645" t="s">
        <v>1430</v>
      </c>
      <c r="E4645" t="s">
        <v>6321</v>
      </c>
    </row>
    <row r="4646" spans="1:6" x14ac:dyDescent="0.25">
      <c r="A4646" t="str">
        <f>"280601172339"</f>
        <v>280601172339</v>
      </c>
      <c r="B4646" t="s">
        <v>6429</v>
      </c>
      <c r="C4646" t="s">
        <v>7</v>
      </c>
      <c r="D4646" t="s">
        <v>14</v>
      </c>
      <c r="E4646" t="s">
        <v>6321</v>
      </c>
    </row>
    <row r="4647" spans="1:6" x14ac:dyDescent="0.25">
      <c r="A4647" t="str">
        <f>"280800188809"</f>
        <v>280800188809</v>
      </c>
      <c r="B4647" t="s">
        <v>6430</v>
      </c>
      <c r="C4647" t="s">
        <v>7</v>
      </c>
      <c r="D4647" t="s">
        <v>463</v>
      </c>
      <c r="E4647" t="s">
        <v>6321</v>
      </c>
    </row>
    <row r="4648" spans="1:6" x14ac:dyDescent="0.25">
      <c r="A4648" t="str">
        <f>"280800917843"</f>
        <v>280800917843</v>
      </c>
      <c r="B4648" t="s">
        <v>6431</v>
      </c>
      <c r="C4648" t="s">
        <v>7</v>
      </c>
      <c r="D4648" t="s">
        <v>14</v>
      </c>
      <c r="E4648" t="s">
        <v>6321</v>
      </c>
    </row>
    <row r="4649" spans="1:6" x14ac:dyDescent="0.25">
      <c r="A4649" t="str">
        <f>"281000322045"</f>
        <v>281000322045</v>
      </c>
      <c r="B4649" t="s">
        <v>6432</v>
      </c>
      <c r="C4649" t="s">
        <v>7</v>
      </c>
      <c r="D4649" t="s">
        <v>14</v>
      </c>
      <c r="E4649" t="s">
        <v>6321</v>
      </c>
    </row>
    <row r="4650" spans="1:6" x14ac:dyDescent="0.25">
      <c r="A4650" t="str">
        <f>"281401084422"</f>
        <v>281401084422</v>
      </c>
      <c r="B4650" t="s">
        <v>6433</v>
      </c>
      <c r="C4650" t="s">
        <v>7</v>
      </c>
      <c r="D4650" t="s">
        <v>14</v>
      </c>
      <c r="E4650" t="s">
        <v>6321</v>
      </c>
    </row>
    <row r="4651" spans="1:6" x14ac:dyDescent="0.25">
      <c r="A4651" t="str">
        <f>"281402241678"</f>
        <v>281402241678</v>
      </c>
      <c r="B4651" t="s">
        <v>6434</v>
      </c>
      <c r="C4651" t="s">
        <v>7</v>
      </c>
      <c r="D4651" t="s">
        <v>14</v>
      </c>
      <c r="E4651" t="s">
        <v>6321</v>
      </c>
    </row>
    <row r="4652" spans="1:6" x14ac:dyDescent="0.25">
      <c r="A4652" t="str">
        <f>"281503873610"</f>
        <v>281503873610</v>
      </c>
      <c r="B4652" t="s">
        <v>6435</v>
      </c>
      <c r="C4652" t="s">
        <v>7</v>
      </c>
      <c r="D4652" t="s">
        <v>14</v>
      </c>
      <c r="E4652" t="s">
        <v>6321</v>
      </c>
    </row>
    <row r="4653" spans="1:6" x14ac:dyDescent="0.25">
      <c r="A4653" t="str">
        <f>"281816406170"</f>
        <v>281816406170</v>
      </c>
      <c r="B4653" t="s">
        <v>6436</v>
      </c>
      <c r="C4653" t="s">
        <v>7</v>
      </c>
      <c r="D4653" t="s">
        <v>14</v>
      </c>
      <c r="E4653" t="s">
        <v>6321</v>
      </c>
    </row>
    <row r="4654" spans="1:6" x14ac:dyDescent="0.25">
      <c r="A4654" t="str">
        <f>"281900004768"</f>
        <v>281900004768</v>
      </c>
      <c r="B4654" t="s">
        <v>6437</v>
      </c>
      <c r="C4654" t="s">
        <v>7</v>
      </c>
      <c r="D4654" t="s">
        <v>14</v>
      </c>
      <c r="E4654" t="s">
        <v>6321</v>
      </c>
    </row>
    <row r="4655" spans="1:6" x14ac:dyDescent="0.25">
      <c r="A4655" t="str">
        <f>"282300048324"</f>
        <v>282300048324</v>
      </c>
      <c r="B4655" t="s">
        <v>6438</v>
      </c>
      <c r="C4655" t="s">
        <v>7</v>
      </c>
      <c r="D4655" t="s">
        <v>14</v>
      </c>
      <c r="E4655" t="s">
        <v>6321</v>
      </c>
    </row>
    <row r="4656" spans="1:6" x14ac:dyDescent="0.25">
      <c r="A4656" t="str">
        <f>"280123236130"</f>
        <v>280123236130</v>
      </c>
      <c r="B4656" t="s">
        <v>6439</v>
      </c>
      <c r="C4656" t="s">
        <v>7</v>
      </c>
      <c r="D4656" t="s">
        <v>14</v>
      </c>
      <c r="E4656" t="s">
        <v>6321</v>
      </c>
    </row>
    <row r="4657" spans="1:6" x14ac:dyDescent="0.25">
      <c r="A4657" t="str">
        <f>"2801233466"</f>
        <v>2801233466</v>
      </c>
      <c r="B4657" t="s">
        <v>6440</v>
      </c>
      <c r="C4657" t="s">
        <v>7</v>
      </c>
      <c r="D4657" t="s">
        <v>12</v>
      </c>
      <c r="E4657" t="s">
        <v>6321</v>
      </c>
      <c r="F4657" t="s">
        <v>6441</v>
      </c>
    </row>
    <row r="4658" spans="1:6" x14ac:dyDescent="0.25">
      <c r="A4658" t="str">
        <f>"2801270362"</f>
        <v>2801270362</v>
      </c>
      <c r="B4658" t="s">
        <v>6442</v>
      </c>
      <c r="C4658" t="s">
        <v>7</v>
      </c>
      <c r="D4658" t="s">
        <v>189</v>
      </c>
      <c r="E4658" t="s">
        <v>6321</v>
      </c>
      <c r="F4658" t="s">
        <v>6443</v>
      </c>
    </row>
    <row r="4659" spans="1:6" x14ac:dyDescent="0.25">
      <c r="A4659" t="str">
        <f>"2801273490"</f>
        <v>2801273490</v>
      </c>
      <c r="B4659" t="s">
        <v>6444</v>
      </c>
      <c r="C4659" t="s">
        <v>7</v>
      </c>
      <c r="D4659" t="s">
        <v>189</v>
      </c>
      <c r="E4659" t="s">
        <v>6321</v>
      </c>
      <c r="F4659" t="s">
        <v>6445</v>
      </c>
    </row>
    <row r="4660" spans="1:6" x14ac:dyDescent="0.25">
      <c r="A4660" t="str">
        <f>"2801275120"</f>
        <v>2801275120</v>
      </c>
      <c r="B4660" t="s">
        <v>6446</v>
      </c>
      <c r="C4660" t="s">
        <v>7</v>
      </c>
      <c r="D4660" t="s">
        <v>8</v>
      </c>
      <c r="E4660" t="s">
        <v>6321</v>
      </c>
      <c r="F4660" t="s">
        <v>6447</v>
      </c>
    </row>
    <row r="4661" spans="1:6" x14ac:dyDescent="0.25">
      <c r="A4661" t="str">
        <f>"2801278717"</f>
        <v>2801278717</v>
      </c>
      <c r="B4661" t="s">
        <v>6448</v>
      </c>
      <c r="C4661" t="s">
        <v>7</v>
      </c>
      <c r="D4661" t="s">
        <v>12</v>
      </c>
      <c r="E4661" t="s">
        <v>6321</v>
      </c>
      <c r="F4661" t="s">
        <v>6449</v>
      </c>
    </row>
    <row r="4662" spans="1:6" x14ac:dyDescent="0.25">
      <c r="A4662" t="str">
        <f>"2801281702"</f>
        <v>2801281702</v>
      </c>
      <c r="B4662" t="s">
        <v>6450</v>
      </c>
      <c r="C4662" t="s">
        <v>7</v>
      </c>
      <c r="D4662" t="s">
        <v>14</v>
      </c>
      <c r="E4662" t="s">
        <v>6321</v>
      </c>
      <c r="F4662" t="s">
        <v>6451</v>
      </c>
    </row>
    <row r="4663" spans="1:6" x14ac:dyDescent="0.25">
      <c r="A4663" t="str">
        <f>"2801282015"</f>
        <v>2801282015</v>
      </c>
      <c r="B4663" t="s">
        <v>6452</v>
      </c>
      <c r="C4663" t="s">
        <v>7</v>
      </c>
      <c r="D4663" t="s">
        <v>189</v>
      </c>
      <c r="E4663" t="s">
        <v>6321</v>
      </c>
      <c r="F4663" t="s">
        <v>6453</v>
      </c>
    </row>
    <row r="4664" spans="1:6" x14ac:dyDescent="0.25">
      <c r="A4664" t="str">
        <f>"2801285425"</f>
        <v>2801285425</v>
      </c>
      <c r="B4664" t="s">
        <v>6454</v>
      </c>
      <c r="C4664" t="s">
        <v>7</v>
      </c>
      <c r="D4664" t="s">
        <v>674</v>
      </c>
      <c r="E4664" t="s">
        <v>6321</v>
      </c>
      <c r="F4664" t="s">
        <v>6455</v>
      </c>
    </row>
    <row r="4665" spans="1:6" x14ac:dyDescent="0.25">
      <c r="A4665" t="str">
        <f>"280401483538"</f>
        <v>280401483538</v>
      </c>
      <c r="B4665" t="s">
        <v>6456</v>
      </c>
      <c r="C4665" t="s">
        <v>7</v>
      </c>
      <c r="D4665" t="s">
        <v>14</v>
      </c>
      <c r="E4665" t="s">
        <v>6321</v>
      </c>
    </row>
    <row r="4666" spans="1:6" x14ac:dyDescent="0.25">
      <c r="A4666" t="str">
        <f>"2804018033"</f>
        <v>2804018033</v>
      </c>
      <c r="B4666" t="s">
        <v>6457</v>
      </c>
      <c r="C4666" t="s">
        <v>7</v>
      </c>
      <c r="D4666" t="s">
        <v>12</v>
      </c>
      <c r="E4666" t="s">
        <v>6321</v>
      </c>
      <c r="F4666" t="s">
        <v>6458</v>
      </c>
    </row>
    <row r="4667" spans="1:6" x14ac:dyDescent="0.25">
      <c r="A4667" t="str">
        <f>"280401873841"</f>
        <v>280401873841</v>
      </c>
      <c r="B4667" t="s">
        <v>6459</v>
      </c>
      <c r="C4667" t="s">
        <v>7</v>
      </c>
      <c r="D4667" t="s">
        <v>14</v>
      </c>
      <c r="E4667" t="s">
        <v>6321</v>
      </c>
    </row>
    <row r="4668" spans="1:6" x14ac:dyDescent="0.25">
      <c r="A4668" t="str">
        <f>"280403897502"</f>
        <v>280403897502</v>
      </c>
      <c r="B4668" t="s">
        <v>6460</v>
      </c>
      <c r="C4668" t="s">
        <v>7</v>
      </c>
      <c r="D4668" t="s">
        <v>14</v>
      </c>
      <c r="E4668" t="s">
        <v>6321</v>
      </c>
    </row>
    <row r="4669" spans="1:6" x14ac:dyDescent="0.25">
      <c r="A4669" t="str">
        <f>"280500088779"</f>
        <v>280500088779</v>
      </c>
      <c r="B4669" t="s">
        <v>6461</v>
      </c>
      <c r="C4669" t="s">
        <v>7</v>
      </c>
      <c r="D4669" t="s">
        <v>14</v>
      </c>
      <c r="E4669" t="s">
        <v>6321</v>
      </c>
    </row>
    <row r="4670" spans="1:6" x14ac:dyDescent="0.25">
      <c r="A4670" t="str">
        <f>"2807008530"</f>
        <v>2807008530</v>
      </c>
      <c r="B4670" t="s">
        <v>6462</v>
      </c>
      <c r="C4670" t="s">
        <v>7</v>
      </c>
      <c r="D4670" t="s">
        <v>14</v>
      </c>
      <c r="E4670" t="s">
        <v>6321</v>
      </c>
      <c r="F4670" t="s">
        <v>6463</v>
      </c>
    </row>
    <row r="4671" spans="1:6" x14ac:dyDescent="0.25">
      <c r="A4671" t="str">
        <f>"281503353561"</f>
        <v>281503353561</v>
      </c>
      <c r="B4671" t="s">
        <v>6464</v>
      </c>
      <c r="C4671" t="s">
        <v>7</v>
      </c>
      <c r="D4671" t="s">
        <v>14</v>
      </c>
      <c r="E4671" t="s">
        <v>6321</v>
      </c>
    </row>
    <row r="4672" spans="1:6" x14ac:dyDescent="0.25">
      <c r="A4672" t="str">
        <f>"281504301125"</f>
        <v>281504301125</v>
      </c>
      <c r="B4672" t="s">
        <v>6465</v>
      </c>
      <c r="C4672" t="s">
        <v>7</v>
      </c>
      <c r="D4672" t="s">
        <v>14</v>
      </c>
      <c r="E4672" t="s">
        <v>6321</v>
      </c>
    </row>
    <row r="4673" spans="1:6" x14ac:dyDescent="0.25">
      <c r="A4673" t="str">
        <f>"281784297020"</f>
        <v>281784297020</v>
      </c>
      <c r="B4673" t="s">
        <v>6466</v>
      </c>
      <c r="C4673" t="s">
        <v>7</v>
      </c>
      <c r="D4673" t="s">
        <v>14</v>
      </c>
      <c r="E4673" t="s">
        <v>6321</v>
      </c>
    </row>
    <row r="4674" spans="1:6" x14ac:dyDescent="0.25">
      <c r="A4674" t="str">
        <f>"281800692077"</f>
        <v>281800692077</v>
      </c>
      <c r="B4674" t="s">
        <v>6467</v>
      </c>
      <c r="C4674" t="s">
        <v>7</v>
      </c>
      <c r="D4674" t="s">
        <v>14</v>
      </c>
      <c r="E4674" t="s">
        <v>6321</v>
      </c>
    </row>
    <row r="4675" spans="1:6" x14ac:dyDescent="0.25">
      <c r="A4675" t="str">
        <f>"281802510300"</f>
        <v>281802510300</v>
      </c>
      <c r="B4675" t="s">
        <v>6468</v>
      </c>
      <c r="C4675" t="s">
        <v>7</v>
      </c>
      <c r="D4675" t="s">
        <v>14</v>
      </c>
      <c r="E4675" t="s">
        <v>6321</v>
      </c>
    </row>
    <row r="4676" spans="1:6" x14ac:dyDescent="0.25">
      <c r="A4676" t="str">
        <f>"282101194017"</f>
        <v>282101194017</v>
      </c>
      <c r="B4676" t="s">
        <v>6469</v>
      </c>
      <c r="C4676" t="s">
        <v>7</v>
      </c>
      <c r="D4676" t="s">
        <v>14</v>
      </c>
      <c r="E4676" t="s">
        <v>6321</v>
      </c>
    </row>
    <row r="4677" spans="1:6" x14ac:dyDescent="0.25">
      <c r="A4677" t="str">
        <f>"352500119022"</f>
        <v>352500119022</v>
      </c>
      <c r="B4677" t="s">
        <v>6470</v>
      </c>
      <c r="C4677" t="s">
        <v>7</v>
      </c>
      <c r="D4677" t="s">
        <v>14</v>
      </c>
      <c r="E4677" t="s">
        <v>6471</v>
      </c>
    </row>
    <row r="4678" spans="1:6" x14ac:dyDescent="0.25">
      <c r="A4678" t="str">
        <f>"352515054219"</f>
        <v>352515054219</v>
      </c>
      <c r="B4678" t="s">
        <v>6472</v>
      </c>
      <c r="C4678" t="s">
        <v>7</v>
      </c>
      <c r="D4678" t="s">
        <v>14</v>
      </c>
      <c r="E4678" t="s">
        <v>6471</v>
      </c>
    </row>
    <row r="4679" spans="1:6" x14ac:dyDescent="0.25">
      <c r="A4679" t="str">
        <f>"2901176236"</f>
        <v>2901176236</v>
      </c>
      <c r="B4679" t="s">
        <v>6473</v>
      </c>
      <c r="C4679" t="s">
        <v>7</v>
      </c>
      <c r="D4679" t="s">
        <v>12</v>
      </c>
      <c r="E4679" t="s">
        <v>6471</v>
      </c>
      <c r="F4679" t="s">
        <v>6474</v>
      </c>
    </row>
    <row r="4680" spans="1:6" x14ac:dyDescent="0.25">
      <c r="A4680" t="str">
        <f>"2901254861"</f>
        <v>2901254861</v>
      </c>
      <c r="B4680" t="s">
        <v>6475</v>
      </c>
      <c r="C4680" t="s">
        <v>7</v>
      </c>
      <c r="D4680" t="s">
        <v>12</v>
      </c>
      <c r="E4680" t="s">
        <v>6471</v>
      </c>
      <c r="F4680" t="s">
        <v>6476</v>
      </c>
    </row>
    <row r="4681" spans="1:6" x14ac:dyDescent="0.25">
      <c r="A4681" t="str">
        <f>"2901287673"</f>
        <v>2901287673</v>
      </c>
      <c r="B4681" t="s">
        <v>6477</v>
      </c>
      <c r="C4681" t="s">
        <v>7</v>
      </c>
      <c r="D4681" t="s">
        <v>14</v>
      </c>
      <c r="E4681" t="s">
        <v>6471</v>
      </c>
      <c r="F4681" t="s">
        <v>6478</v>
      </c>
    </row>
    <row r="4682" spans="1:6" x14ac:dyDescent="0.25">
      <c r="A4682" t="str">
        <f>"290129788510"</f>
        <v>290129788510</v>
      </c>
      <c r="B4682" t="s">
        <v>6479</v>
      </c>
      <c r="C4682" t="s">
        <v>7</v>
      </c>
      <c r="D4682" t="s">
        <v>14</v>
      </c>
      <c r="E4682" t="s">
        <v>6471</v>
      </c>
    </row>
    <row r="4683" spans="1:6" x14ac:dyDescent="0.25">
      <c r="A4683" t="str">
        <f>"290218006003"</f>
        <v>290218006003</v>
      </c>
      <c r="B4683" t="s">
        <v>6480</v>
      </c>
      <c r="C4683" t="s">
        <v>7</v>
      </c>
      <c r="D4683" t="s">
        <v>12</v>
      </c>
      <c r="E4683" t="s">
        <v>6471</v>
      </c>
    </row>
    <row r="4684" spans="1:6" x14ac:dyDescent="0.25">
      <c r="A4684" t="str">
        <f>"290220261850"</f>
        <v>290220261850</v>
      </c>
      <c r="B4684" t="s">
        <v>6481</v>
      </c>
      <c r="C4684" t="s">
        <v>7</v>
      </c>
      <c r="D4684" t="s">
        <v>12</v>
      </c>
      <c r="E4684" t="s">
        <v>6471</v>
      </c>
    </row>
    <row r="4685" spans="1:6" x14ac:dyDescent="0.25">
      <c r="A4685" t="str">
        <f>"290700019063"</f>
        <v>290700019063</v>
      </c>
      <c r="B4685" t="s">
        <v>6482</v>
      </c>
      <c r="C4685" t="s">
        <v>7</v>
      </c>
      <c r="D4685" t="s">
        <v>12</v>
      </c>
      <c r="E4685" t="s">
        <v>6471</v>
      </c>
    </row>
    <row r="4686" spans="1:6" x14ac:dyDescent="0.25">
      <c r="A4686" t="str">
        <f>"291100319885"</f>
        <v>291100319885</v>
      </c>
      <c r="B4686" t="s">
        <v>6483</v>
      </c>
      <c r="C4686" t="s">
        <v>7</v>
      </c>
      <c r="D4686" t="s">
        <v>14</v>
      </c>
      <c r="E4686" t="s">
        <v>6471</v>
      </c>
    </row>
    <row r="4687" spans="1:6" x14ac:dyDescent="0.25">
      <c r="A4687" t="str">
        <f>"291101801308"</f>
        <v>291101801308</v>
      </c>
      <c r="B4687" t="s">
        <v>6484</v>
      </c>
      <c r="C4687" t="s">
        <v>7</v>
      </c>
      <c r="D4687" t="s">
        <v>12</v>
      </c>
      <c r="E4687" t="s">
        <v>6471</v>
      </c>
    </row>
    <row r="4688" spans="1:6" x14ac:dyDescent="0.25">
      <c r="A4688" t="str">
        <f>"292008617433"</f>
        <v>292008617433</v>
      </c>
      <c r="B4688" t="s">
        <v>6485</v>
      </c>
      <c r="C4688" t="s">
        <v>7</v>
      </c>
      <c r="D4688" t="s">
        <v>12</v>
      </c>
      <c r="E4688" t="s">
        <v>6471</v>
      </c>
    </row>
    <row r="4689" spans="1:6" x14ac:dyDescent="0.25">
      <c r="A4689" t="str">
        <f>"292500087951"</f>
        <v>292500087951</v>
      </c>
      <c r="B4689" t="s">
        <v>6486</v>
      </c>
      <c r="C4689" t="s">
        <v>7</v>
      </c>
      <c r="D4689" t="s">
        <v>14</v>
      </c>
      <c r="E4689" t="s">
        <v>6471</v>
      </c>
    </row>
    <row r="4690" spans="1:6" x14ac:dyDescent="0.25">
      <c r="A4690" t="str">
        <f>"290102921290"</f>
        <v>290102921290</v>
      </c>
      <c r="B4690" t="s">
        <v>6487</v>
      </c>
      <c r="C4690" t="s">
        <v>7</v>
      </c>
      <c r="D4690" t="s">
        <v>14</v>
      </c>
      <c r="E4690" t="s">
        <v>6471</v>
      </c>
    </row>
    <row r="4691" spans="1:6" x14ac:dyDescent="0.25">
      <c r="A4691" t="str">
        <f>"290104560560"</f>
        <v>290104560560</v>
      </c>
      <c r="B4691" t="s">
        <v>6488</v>
      </c>
      <c r="C4691" t="s">
        <v>7</v>
      </c>
      <c r="D4691" t="s">
        <v>12</v>
      </c>
      <c r="E4691" t="s">
        <v>6471</v>
      </c>
    </row>
    <row r="4692" spans="1:6" x14ac:dyDescent="0.25">
      <c r="A4692" t="str">
        <f>"290105140294"</f>
        <v>290105140294</v>
      </c>
      <c r="B4692" t="s">
        <v>6489</v>
      </c>
      <c r="C4692" t="s">
        <v>7</v>
      </c>
      <c r="D4692" t="s">
        <v>14</v>
      </c>
      <c r="E4692" t="s">
        <v>6471</v>
      </c>
    </row>
    <row r="4693" spans="1:6" x14ac:dyDescent="0.25">
      <c r="A4693" t="str">
        <f>"290112728947"</f>
        <v>290112728947</v>
      </c>
      <c r="B4693" t="s">
        <v>6490</v>
      </c>
      <c r="C4693" t="s">
        <v>7</v>
      </c>
      <c r="D4693" t="s">
        <v>14</v>
      </c>
      <c r="E4693" t="s">
        <v>6471</v>
      </c>
    </row>
    <row r="4694" spans="1:6" x14ac:dyDescent="0.25">
      <c r="A4694" t="str">
        <f>"290129650417"</f>
        <v>290129650417</v>
      </c>
      <c r="B4694" t="s">
        <v>6491</v>
      </c>
      <c r="C4694" t="s">
        <v>7</v>
      </c>
      <c r="D4694" t="s">
        <v>14</v>
      </c>
      <c r="E4694" t="s">
        <v>6471</v>
      </c>
    </row>
    <row r="4695" spans="1:6" x14ac:dyDescent="0.25">
      <c r="A4695" t="str">
        <f>"2901318297"</f>
        <v>2901318297</v>
      </c>
      <c r="B4695" t="s">
        <v>6153</v>
      </c>
      <c r="C4695" t="s">
        <v>7</v>
      </c>
      <c r="D4695" t="s">
        <v>12</v>
      </c>
      <c r="E4695" t="s">
        <v>6471</v>
      </c>
      <c r="F4695" t="s">
        <v>6492</v>
      </c>
    </row>
    <row r="4696" spans="1:6" x14ac:dyDescent="0.25">
      <c r="A4696" t="str">
        <f>"290138577869"</f>
        <v>290138577869</v>
      </c>
      <c r="B4696" t="s">
        <v>6493</v>
      </c>
      <c r="C4696" t="s">
        <v>7</v>
      </c>
      <c r="D4696" t="s">
        <v>12</v>
      </c>
      <c r="E4696" t="s">
        <v>6471</v>
      </c>
    </row>
    <row r="4697" spans="1:6" x14ac:dyDescent="0.25">
      <c r="A4697" t="str">
        <f>"290200180762"</f>
        <v>290200180762</v>
      </c>
      <c r="B4697" t="s">
        <v>6494</v>
      </c>
      <c r="C4697" t="s">
        <v>7</v>
      </c>
      <c r="D4697" t="s">
        <v>14</v>
      </c>
      <c r="E4697" t="s">
        <v>6471</v>
      </c>
    </row>
    <row r="4698" spans="1:6" x14ac:dyDescent="0.25">
      <c r="A4698" t="str">
        <f>"290117209550"</f>
        <v>290117209550</v>
      </c>
      <c r="B4698" t="s">
        <v>6495</v>
      </c>
      <c r="C4698" t="s">
        <v>7</v>
      </c>
      <c r="D4698" t="s">
        <v>14</v>
      </c>
      <c r="E4698" t="s">
        <v>6471</v>
      </c>
    </row>
    <row r="4699" spans="1:6" x14ac:dyDescent="0.25">
      <c r="A4699" t="str">
        <f>"2901196916"</f>
        <v>2901196916</v>
      </c>
      <c r="B4699" t="s">
        <v>6496</v>
      </c>
      <c r="C4699" t="s">
        <v>7</v>
      </c>
      <c r="D4699" t="s">
        <v>8</v>
      </c>
      <c r="E4699" t="s">
        <v>6471</v>
      </c>
      <c r="F4699" t="s">
        <v>6497</v>
      </c>
    </row>
    <row r="4700" spans="1:6" x14ac:dyDescent="0.25">
      <c r="A4700" t="str">
        <f>"2901261361"</f>
        <v>2901261361</v>
      </c>
      <c r="B4700" t="s">
        <v>6498</v>
      </c>
      <c r="C4700" t="s">
        <v>7</v>
      </c>
      <c r="D4700" t="s">
        <v>14</v>
      </c>
      <c r="E4700" t="s">
        <v>6471</v>
      </c>
      <c r="F4700" t="s">
        <v>6499</v>
      </c>
    </row>
    <row r="4701" spans="1:6" x14ac:dyDescent="0.25">
      <c r="A4701" t="str">
        <f>"290126397607"</f>
        <v>290126397607</v>
      </c>
      <c r="B4701" t="s">
        <v>6500</v>
      </c>
      <c r="C4701" t="s">
        <v>7</v>
      </c>
      <c r="D4701" t="s">
        <v>14</v>
      </c>
      <c r="E4701" t="s">
        <v>6471</v>
      </c>
    </row>
    <row r="4702" spans="1:6" x14ac:dyDescent="0.25">
      <c r="A4702" t="str">
        <f>"2901282315"</f>
        <v>2901282315</v>
      </c>
      <c r="B4702" t="s">
        <v>6501</v>
      </c>
      <c r="C4702" t="s">
        <v>7</v>
      </c>
      <c r="D4702" t="s">
        <v>33</v>
      </c>
      <c r="E4702" t="s">
        <v>6471</v>
      </c>
      <c r="F4702" t="s">
        <v>6502</v>
      </c>
    </row>
    <row r="4703" spans="1:6" x14ac:dyDescent="0.25">
      <c r="A4703" t="str">
        <f>"2901284263"</f>
        <v>2901284263</v>
      </c>
      <c r="B4703" t="s">
        <v>6503</v>
      </c>
      <c r="C4703" t="s">
        <v>7</v>
      </c>
      <c r="D4703" t="s">
        <v>12</v>
      </c>
      <c r="E4703" t="s">
        <v>6471</v>
      </c>
      <c r="F4703" t="s">
        <v>6504</v>
      </c>
    </row>
    <row r="4704" spans="1:6" x14ac:dyDescent="0.25">
      <c r="A4704" t="str">
        <f>"2901294230"</f>
        <v>2901294230</v>
      </c>
      <c r="B4704" t="s">
        <v>6505</v>
      </c>
      <c r="C4704" t="s">
        <v>7</v>
      </c>
      <c r="D4704" t="s">
        <v>14</v>
      </c>
      <c r="E4704" t="s">
        <v>6471</v>
      </c>
      <c r="F4704" t="s">
        <v>6506</v>
      </c>
    </row>
    <row r="4705" spans="1:6" x14ac:dyDescent="0.25">
      <c r="A4705" t="str">
        <f>"2901300317"</f>
        <v>2901300317</v>
      </c>
      <c r="B4705" t="s">
        <v>6507</v>
      </c>
      <c r="C4705" t="s">
        <v>7</v>
      </c>
      <c r="D4705" t="s">
        <v>98</v>
      </c>
      <c r="E4705" t="s">
        <v>6471</v>
      </c>
      <c r="F4705" t="s">
        <v>6508</v>
      </c>
    </row>
    <row r="4706" spans="1:6" x14ac:dyDescent="0.25">
      <c r="A4706" t="str">
        <f>"2901312168"</f>
        <v>2901312168</v>
      </c>
      <c r="B4706" t="s">
        <v>6509</v>
      </c>
      <c r="C4706" t="s">
        <v>7</v>
      </c>
      <c r="D4706" t="s">
        <v>12</v>
      </c>
      <c r="E4706" t="s">
        <v>6471</v>
      </c>
      <c r="F4706" t="s">
        <v>6510</v>
      </c>
    </row>
    <row r="4707" spans="1:6" x14ac:dyDescent="0.25">
      <c r="A4707" t="str">
        <f>"2901009725"</f>
        <v>2901009725</v>
      </c>
      <c r="B4707" t="s">
        <v>6511</v>
      </c>
      <c r="C4707" t="s">
        <v>7</v>
      </c>
      <c r="D4707" t="s">
        <v>12</v>
      </c>
      <c r="E4707" t="s">
        <v>6471</v>
      </c>
      <c r="F4707" t="s">
        <v>6512</v>
      </c>
    </row>
    <row r="4708" spans="1:6" x14ac:dyDescent="0.25">
      <c r="A4708" t="str">
        <f>"2901067011"</f>
        <v>2901067011</v>
      </c>
      <c r="B4708" t="s">
        <v>6513</v>
      </c>
      <c r="C4708" t="s">
        <v>7</v>
      </c>
      <c r="D4708" t="s">
        <v>12</v>
      </c>
      <c r="E4708" t="s">
        <v>6471</v>
      </c>
      <c r="F4708" t="s">
        <v>6514</v>
      </c>
    </row>
    <row r="4709" spans="1:6" x14ac:dyDescent="0.25">
      <c r="A4709" t="str">
        <f>"2901072653"</f>
        <v>2901072653</v>
      </c>
      <c r="B4709" t="s">
        <v>6515</v>
      </c>
      <c r="C4709" t="s">
        <v>7</v>
      </c>
      <c r="D4709" t="s">
        <v>14</v>
      </c>
      <c r="E4709" t="s">
        <v>6471</v>
      </c>
      <c r="F4709" t="s">
        <v>6516</v>
      </c>
    </row>
    <row r="4710" spans="1:6" x14ac:dyDescent="0.25">
      <c r="A4710" t="str">
        <f>"2901119090"</f>
        <v>2901119090</v>
      </c>
      <c r="B4710" t="s">
        <v>6517</v>
      </c>
      <c r="C4710" t="s">
        <v>7</v>
      </c>
      <c r="D4710" t="s">
        <v>33</v>
      </c>
      <c r="E4710" t="s">
        <v>6471</v>
      </c>
      <c r="F4710" t="s">
        <v>6518</v>
      </c>
    </row>
    <row r="4711" spans="1:6" x14ac:dyDescent="0.25">
      <c r="A4711" t="str">
        <f>"2901139594"</f>
        <v>2901139594</v>
      </c>
      <c r="B4711" t="s">
        <v>6519</v>
      </c>
      <c r="C4711" t="s">
        <v>7</v>
      </c>
      <c r="D4711" t="s">
        <v>14</v>
      </c>
      <c r="E4711" t="s">
        <v>6471</v>
      </c>
      <c r="F4711" t="s">
        <v>6520</v>
      </c>
    </row>
    <row r="4712" spans="1:6" x14ac:dyDescent="0.25">
      <c r="A4712" t="str">
        <f>"290114292568"</f>
        <v>290114292568</v>
      </c>
      <c r="B4712" t="s">
        <v>6521</v>
      </c>
      <c r="C4712" t="s">
        <v>7</v>
      </c>
      <c r="D4712" t="s">
        <v>12</v>
      </c>
      <c r="E4712" t="s">
        <v>6471</v>
      </c>
    </row>
    <row r="4713" spans="1:6" x14ac:dyDescent="0.25">
      <c r="A4713" t="str">
        <f>"290121718039"</f>
        <v>290121718039</v>
      </c>
      <c r="B4713" t="s">
        <v>6522</v>
      </c>
      <c r="C4713" t="s">
        <v>7</v>
      </c>
      <c r="D4713" t="s">
        <v>33</v>
      </c>
      <c r="E4713" t="s">
        <v>6471</v>
      </c>
    </row>
    <row r="4714" spans="1:6" x14ac:dyDescent="0.25">
      <c r="A4714" t="str">
        <f>"2901231913"</f>
        <v>2901231913</v>
      </c>
      <c r="B4714" t="s">
        <v>6523</v>
      </c>
      <c r="C4714" t="s">
        <v>7</v>
      </c>
      <c r="D4714" t="s">
        <v>12</v>
      </c>
      <c r="E4714" t="s">
        <v>6471</v>
      </c>
      <c r="F4714" t="s">
        <v>6524</v>
      </c>
    </row>
    <row r="4715" spans="1:6" x14ac:dyDescent="0.25">
      <c r="A4715" t="str">
        <f>"2901233420"</f>
        <v>2901233420</v>
      </c>
      <c r="B4715" t="s">
        <v>6525</v>
      </c>
      <c r="C4715" t="s">
        <v>7</v>
      </c>
      <c r="D4715" t="s">
        <v>14</v>
      </c>
      <c r="E4715" t="s">
        <v>6471</v>
      </c>
      <c r="F4715" t="s">
        <v>6526</v>
      </c>
    </row>
    <row r="4716" spans="1:6" x14ac:dyDescent="0.25">
      <c r="A4716" t="str">
        <f>"2901258351"</f>
        <v>2901258351</v>
      </c>
      <c r="B4716" t="s">
        <v>6527</v>
      </c>
      <c r="C4716" t="s">
        <v>7</v>
      </c>
      <c r="D4716" t="s">
        <v>12</v>
      </c>
      <c r="E4716" t="s">
        <v>6471</v>
      </c>
      <c r="F4716" t="s">
        <v>6528</v>
      </c>
    </row>
    <row r="4717" spans="1:6" x14ac:dyDescent="0.25">
      <c r="A4717" t="str">
        <f>"2901304270"</f>
        <v>2901304270</v>
      </c>
      <c r="B4717" t="s">
        <v>6529</v>
      </c>
      <c r="C4717" t="s">
        <v>7</v>
      </c>
      <c r="D4717" t="s">
        <v>14</v>
      </c>
      <c r="E4717" t="s">
        <v>6471</v>
      </c>
      <c r="F4717" t="s">
        <v>6530</v>
      </c>
    </row>
    <row r="4718" spans="1:6" x14ac:dyDescent="0.25">
      <c r="A4718" t="str">
        <f>"290130866072"</f>
        <v>290130866072</v>
      </c>
      <c r="B4718" t="s">
        <v>6531</v>
      </c>
      <c r="C4718" t="s">
        <v>7</v>
      </c>
      <c r="D4718" t="s">
        <v>14</v>
      </c>
      <c r="E4718" t="s">
        <v>6471</v>
      </c>
    </row>
    <row r="4719" spans="1:6" x14ac:dyDescent="0.25">
      <c r="A4719" t="str">
        <f>"2901313524"</f>
        <v>2901313524</v>
      </c>
      <c r="B4719" t="s">
        <v>6532</v>
      </c>
      <c r="C4719" t="s">
        <v>7</v>
      </c>
      <c r="D4719" t="s">
        <v>33</v>
      </c>
      <c r="E4719" t="s">
        <v>6471</v>
      </c>
      <c r="F4719" t="s">
        <v>6533</v>
      </c>
    </row>
    <row r="4720" spans="1:6" x14ac:dyDescent="0.25">
      <c r="A4720" t="str">
        <f>"290202372861"</f>
        <v>290202372861</v>
      </c>
      <c r="B4720" t="s">
        <v>6534</v>
      </c>
      <c r="C4720" t="s">
        <v>7</v>
      </c>
      <c r="D4720" t="s">
        <v>14</v>
      </c>
      <c r="E4720" t="s">
        <v>6471</v>
      </c>
    </row>
    <row r="4721" spans="1:6" x14ac:dyDescent="0.25">
      <c r="A4721" t="str">
        <f>"2902070031"</f>
        <v>2902070031</v>
      </c>
      <c r="B4721" t="s">
        <v>6535</v>
      </c>
      <c r="C4721" t="s">
        <v>7</v>
      </c>
      <c r="D4721" t="s">
        <v>12</v>
      </c>
      <c r="E4721" t="s">
        <v>6471</v>
      </c>
      <c r="F4721" t="s">
        <v>6536</v>
      </c>
    </row>
    <row r="4722" spans="1:6" x14ac:dyDescent="0.25">
      <c r="A4722" t="str">
        <f>"2902081178"</f>
        <v>2902081178</v>
      </c>
      <c r="B4722" t="s">
        <v>6537</v>
      </c>
      <c r="C4722" t="s">
        <v>7</v>
      </c>
      <c r="D4722" t="s">
        <v>12</v>
      </c>
      <c r="E4722" t="s">
        <v>6471</v>
      </c>
      <c r="F4722" t="s">
        <v>6538</v>
      </c>
    </row>
    <row r="4723" spans="1:6" x14ac:dyDescent="0.25">
      <c r="A4723" t="str">
        <f>"290210836490"</f>
        <v>290210836490</v>
      </c>
      <c r="B4723" t="s">
        <v>6539</v>
      </c>
      <c r="C4723" t="s">
        <v>7</v>
      </c>
      <c r="D4723" t="s">
        <v>14</v>
      </c>
      <c r="E4723" t="s">
        <v>6471</v>
      </c>
    </row>
    <row r="4724" spans="1:6" x14ac:dyDescent="0.25">
      <c r="A4724" t="str">
        <f>"290500105188"</f>
        <v>290500105188</v>
      </c>
      <c r="B4724" t="s">
        <v>6540</v>
      </c>
      <c r="C4724" t="s">
        <v>7</v>
      </c>
      <c r="D4724" t="s">
        <v>14</v>
      </c>
      <c r="E4724" t="s">
        <v>6471</v>
      </c>
    </row>
    <row r="4725" spans="1:6" x14ac:dyDescent="0.25">
      <c r="A4725" t="str">
        <f>"290501011704"</f>
        <v>290501011704</v>
      </c>
      <c r="B4725" t="s">
        <v>6541</v>
      </c>
      <c r="C4725" t="s">
        <v>7</v>
      </c>
      <c r="D4725" t="s">
        <v>14</v>
      </c>
      <c r="E4725" t="s">
        <v>6471</v>
      </c>
    </row>
    <row r="4726" spans="1:6" x14ac:dyDescent="0.25">
      <c r="A4726" t="str">
        <f>"2906003075"</f>
        <v>2906003075</v>
      </c>
      <c r="B4726" t="s">
        <v>6542</v>
      </c>
      <c r="C4726" t="s">
        <v>7</v>
      </c>
      <c r="D4726" t="s">
        <v>14</v>
      </c>
      <c r="E4726" t="s">
        <v>6471</v>
      </c>
      <c r="F4726" t="s">
        <v>6543</v>
      </c>
    </row>
    <row r="4727" spans="1:6" x14ac:dyDescent="0.25">
      <c r="A4727" t="str">
        <f>"290701286209"</f>
        <v>290701286209</v>
      </c>
      <c r="B4727" t="s">
        <v>6544</v>
      </c>
      <c r="C4727" t="s">
        <v>7</v>
      </c>
      <c r="D4727" t="s">
        <v>14</v>
      </c>
      <c r="E4727" t="s">
        <v>6471</v>
      </c>
    </row>
    <row r="4728" spans="1:6" x14ac:dyDescent="0.25">
      <c r="A4728" t="str">
        <f>"290702160738"</f>
        <v>290702160738</v>
      </c>
      <c r="B4728" t="s">
        <v>6545</v>
      </c>
      <c r="C4728" t="s">
        <v>7</v>
      </c>
      <c r="D4728" t="s">
        <v>14</v>
      </c>
      <c r="E4728" t="s">
        <v>6471</v>
      </c>
    </row>
    <row r="4729" spans="1:6" x14ac:dyDescent="0.25">
      <c r="A4729" t="str">
        <f>"290702590459"</f>
        <v>290702590459</v>
      </c>
      <c r="B4729" t="s">
        <v>6546</v>
      </c>
      <c r="C4729" t="s">
        <v>7</v>
      </c>
      <c r="D4729" t="s">
        <v>14</v>
      </c>
      <c r="E4729" t="s">
        <v>6471</v>
      </c>
    </row>
    <row r="4730" spans="1:6" x14ac:dyDescent="0.25">
      <c r="A4730" t="str">
        <f>"290703632479"</f>
        <v>290703632479</v>
      </c>
      <c r="B4730" t="s">
        <v>6547</v>
      </c>
      <c r="C4730" t="s">
        <v>7</v>
      </c>
      <c r="D4730" t="s">
        <v>14</v>
      </c>
      <c r="E4730" t="s">
        <v>6471</v>
      </c>
    </row>
    <row r="4731" spans="1:6" x14ac:dyDescent="0.25">
      <c r="A4731" t="str">
        <f>"2908004973"</f>
        <v>2908004973</v>
      </c>
      <c r="B4731" t="s">
        <v>6548</v>
      </c>
      <c r="C4731" t="s">
        <v>7</v>
      </c>
      <c r="D4731" t="s">
        <v>14</v>
      </c>
      <c r="E4731" t="s">
        <v>6471</v>
      </c>
      <c r="F4731" t="s">
        <v>6549</v>
      </c>
    </row>
    <row r="4732" spans="1:6" x14ac:dyDescent="0.25">
      <c r="A4732" t="str">
        <f>"290900941123"</f>
        <v>290900941123</v>
      </c>
      <c r="B4732" t="s">
        <v>6550</v>
      </c>
      <c r="C4732" t="s">
        <v>7</v>
      </c>
      <c r="D4732" t="s">
        <v>14</v>
      </c>
      <c r="E4732" t="s">
        <v>6471</v>
      </c>
    </row>
    <row r="4733" spans="1:6" x14ac:dyDescent="0.25">
      <c r="A4733" t="str">
        <f>"291101673303"</f>
        <v>291101673303</v>
      </c>
      <c r="B4733" t="s">
        <v>6551</v>
      </c>
      <c r="C4733" t="s">
        <v>7</v>
      </c>
      <c r="D4733" t="s">
        <v>12</v>
      </c>
      <c r="E4733" t="s">
        <v>6471</v>
      </c>
    </row>
    <row r="4734" spans="1:6" x14ac:dyDescent="0.25">
      <c r="A4734" t="str">
        <f>"2912002922"</f>
        <v>2912002922</v>
      </c>
      <c r="B4734" t="s">
        <v>6552</v>
      </c>
      <c r="C4734" t="s">
        <v>7</v>
      </c>
      <c r="D4734" t="s">
        <v>12</v>
      </c>
      <c r="E4734" t="s">
        <v>6471</v>
      </c>
      <c r="F4734" t="s">
        <v>6553</v>
      </c>
    </row>
    <row r="4735" spans="1:6" x14ac:dyDescent="0.25">
      <c r="A4735" t="str">
        <f>"2915001934"</f>
        <v>2915001934</v>
      </c>
      <c r="B4735" t="s">
        <v>6554</v>
      </c>
      <c r="C4735" t="s">
        <v>7</v>
      </c>
      <c r="D4735" t="s">
        <v>14</v>
      </c>
      <c r="E4735" t="s">
        <v>6471</v>
      </c>
      <c r="F4735" t="s">
        <v>6555</v>
      </c>
    </row>
    <row r="4736" spans="1:6" x14ac:dyDescent="0.25">
      <c r="A4736" t="str">
        <f>"291900589048"</f>
        <v>291900589048</v>
      </c>
      <c r="B4736" t="s">
        <v>6556</v>
      </c>
      <c r="C4736" t="s">
        <v>7</v>
      </c>
      <c r="D4736" t="s">
        <v>14</v>
      </c>
      <c r="E4736" t="s">
        <v>6471</v>
      </c>
    </row>
    <row r="4737" spans="1:6" x14ac:dyDescent="0.25">
      <c r="A4737" t="str">
        <f>"291901673006"</f>
        <v>291901673006</v>
      </c>
      <c r="B4737" t="s">
        <v>6557</v>
      </c>
      <c r="C4737" t="s">
        <v>7</v>
      </c>
      <c r="D4737" t="s">
        <v>12</v>
      </c>
      <c r="E4737" t="s">
        <v>6471</v>
      </c>
    </row>
    <row r="4738" spans="1:6" x14ac:dyDescent="0.25">
      <c r="A4738" t="str">
        <f>"292002195680"</f>
        <v>292002195680</v>
      </c>
      <c r="B4738" t="s">
        <v>6558</v>
      </c>
      <c r="C4738" t="s">
        <v>7</v>
      </c>
      <c r="D4738" t="s">
        <v>14</v>
      </c>
      <c r="E4738" t="s">
        <v>6471</v>
      </c>
    </row>
    <row r="4739" spans="1:6" x14ac:dyDescent="0.25">
      <c r="A4739" t="str">
        <f>"292006265634"</f>
        <v>292006265634</v>
      </c>
      <c r="B4739" t="s">
        <v>6559</v>
      </c>
      <c r="C4739" t="s">
        <v>7</v>
      </c>
      <c r="D4739" t="s">
        <v>14</v>
      </c>
      <c r="E4739" t="s">
        <v>6471</v>
      </c>
    </row>
    <row r="4740" spans="1:6" x14ac:dyDescent="0.25">
      <c r="A4740" t="str">
        <f>"292700810705"</f>
        <v>292700810705</v>
      </c>
      <c r="B4740" t="s">
        <v>6560</v>
      </c>
      <c r="C4740" t="s">
        <v>7</v>
      </c>
      <c r="D4740" t="s">
        <v>14</v>
      </c>
      <c r="E4740" t="s">
        <v>6471</v>
      </c>
    </row>
    <row r="4741" spans="1:6" x14ac:dyDescent="0.25">
      <c r="A4741" t="str">
        <f>"290135194730"</f>
        <v>290135194730</v>
      </c>
      <c r="B4741" t="s">
        <v>6561</v>
      </c>
      <c r="C4741" t="s">
        <v>7</v>
      </c>
      <c r="D4741" t="s">
        <v>14</v>
      </c>
      <c r="E4741" t="s">
        <v>6471</v>
      </c>
    </row>
    <row r="4742" spans="1:6" x14ac:dyDescent="0.25">
      <c r="A4742" t="str">
        <f>"290135943362"</f>
        <v>290135943362</v>
      </c>
      <c r="B4742" t="s">
        <v>6562</v>
      </c>
      <c r="C4742" t="s">
        <v>7</v>
      </c>
      <c r="D4742" t="s">
        <v>14</v>
      </c>
      <c r="E4742" t="s">
        <v>6471</v>
      </c>
    </row>
    <row r="4743" spans="1:6" x14ac:dyDescent="0.25">
      <c r="A4743" t="str">
        <f>"290200148430"</f>
        <v>290200148430</v>
      </c>
      <c r="B4743" t="s">
        <v>6563</v>
      </c>
      <c r="C4743" t="s">
        <v>7</v>
      </c>
      <c r="D4743" t="s">
        <v>14</v>
      </c>
      <c r="E4743" t="s">
        <v>6471</v>
      </c>
    </row>
    <row r="4744" spans="1:6" x14ac:dyDescent="0.25">
      <c r="A4744" t="str">
        <f>"290200156142"</f>
        <v>290200156142</v>
      </c>
      <c r="B4744" t="s">
        <v>6564</v>
      </c>
      <c r="C4744" t="s">
        <v>7</v>
      </c>
      <c r="D4744" t="s">
        <v>12</v>
      </c>
      <c r="E4744" t="s">
        <v>6471</v>
      </c>
    </row>
    <row r="4745" spans="1:6" x14ac:dyDescent="0.25">
      <c r="A4745" t="str">
        <f>"2902001775"</f>
        <v>2902001775</v>
      </c>
      <c r="B4745" t="s">
        <v>6565</v>
      </c>
      <c r="C4745" t="s">
        <v>7</v>
      </c>
      <c r="D4745" t="s">
        <v>33</v>
      </c>
      <c r="E4745" t="s">
        <v>6471</v>
      </c>
      <c r="F4745" t="s">
        <v>6538</v>
      </c>
    </row>
    <row r="4746" spans="1:6" x14ac:dyDescent="0.25">
      <c r="A4746" t="str">
        <f>"290201044709"</f>
        <v>290201044709</v>
      </c>
      <c r="B4746" t="s">
        <v>6566</v>
      </c>
      <c r="C4746" t="s">
        <v>7</v>
      </c>
      <c r="D4746" t="s">
        <v>14</v>
      </c>
      <c r="E4746" t="s">
        <v>6471</v>
      </c>
    </row>
    <row r="4747" spans="1:6" x14ac:dyDescent="0.25">
      <c r="A4747" t="str">
        <f>"290201787140"</f>
        <v>290201787140</v>
      </c>
      <c r="B4747" t="s">
        <v>6567</v>
      </c>
      <c r="C4747" t="s">
        <v>7</v>
      </c>
      <c r="D4747" t="s">
        <v>14</v>
      </c>
      <c r="E4747" t="s">
        <v>6471</v>
      </c>
    </row>
    <row r="4748" spans="1:6" x14ac:dyDescent="0.25">
      <c r="A4748" t="str">
        <f>"2902071733"</f>
        <v>2902071733</v>
      </c>
      <c r="B4748" t="s">
        <v>6568</v>
      </c>
      <c r="C4748" t="s">
        <v>7</v>
      </c>
      <c r="D4748" t="s">
        <v>14</v>
      </c>
      <c r="E4748" t="s">
        <v>6471</v>
      </c>
      <c r="F4748" t="s">
        <v>6569</v>
      </c>
    </row>
    <row r="4749" spans="1:6" x14ac:dyDescent="0.25">
      <c r="A4749" t="str">
        <f>"290214431085"</f>
        <v>290214431085</v>
      </c>
      <c r="B4749" t="s">
        <v>6570</v>
      </c>
      <c r="C4749" t="s">
        <v>7</v>
      </c>
      <c r="D4749" t="s">
        <v>12</v>
      </c>
      <c r="E4749" t="s">
        <v>6471</v>
      </c>
    </row>
    <row r="4750" spans="1:6" x14ac:dyDescent="0.25">
      <c r="A4750" t="str">
        <f>"290216959949"</f>
        <v>290216959949</v>
      </c>
      <c r="B4750" t="s">
        <v>6571</v>
      </c>
      <c r="C4750" t="s">
        <v>7</v>
      </c>
      <c r="D4750" t="s">
        <v>14</v>
      </c>
      <c r="E4750" t="s">
        <v>6471</v>
      </c>
    </row>
    <row r="4751" spans="1:6" x14ac:dyDescent="0.25">
      <c r="A4751" t="str">
        <f>"290219789460"</f>
        <v>290219789460</v>
      </c>
      <c r="B4751" t="s">
        <v>6572</v>
      </c>
      <c r="C4751" t="s">
        <v>7</v>
      </c>
      <c r="D4751" t="s">
        <v>14</v>
      </c>
      <c r="E4751" t="s">
        <v>6471</v>
      </c>
    </row>
    <row r="4752" spans="1:6" x14ac:dyDescent="0.25">
      <c r="A4752" t="str">
        <f>"290300178439"</f>
        <v>290300178439</v>
      </c>
      <c r="B4752" t="s">
        <v>6573</v>
      </c>
      <c r="C4752" t="s">
        <v>7</v>
      </c>
      <c r="D4752" t="s">
        <v>14</v>
      </c>
      <c r="E4752" t="s">
        <v>6471</v>
      </c>
    </row>
    <row r="4753" spans="1:6" x14ac:dyDescent="0.25">
      <c r="A4753" t="str">
        <f>"290300407304"</f>
        <v>290300407304</v>
      </c>
      <c r="B4753" t="s">
        <v>6574</v>
      </c>
      <c r="C4753" t="s">
        <v>7</v>
      </c>
      <c r="D4753" t="s">
        <v>14</v>
      </c>
      <c r="E4753" t="s">
        <v>6471</v>
      </c>
    </row>
    <row r="4754" spans="1:6" x14ac:dyDescent="0.25">
      <c r="A4754" t="str">
        <f>"290302794546"</f>
        <v>290302794546</v>
      </c>
      <c r="B4754" t="s">
        <v>6575</v>
      </c>
      <c r="C4754" t="s">
        <v>7</v>
      </c>
      <c r="D4754" t="s">
        <v>14</v>
      </c>
      <c r="E4754" t="s">
        <v>6471</v>
      </c>
    </row>
    <row r="4755" spans="1:6" x14ac:dyDescent="0.25">
      <c r="A4755" t="str">
        <f>"290303474002"</f>
        <v>290303474002</v>
      </c>
      <c r="B4755" t="s">
        <v>6576</v>
      </c>
      <c r="C4755" t="s">
        <v>7</v>
      </c>
      <c r="D4755" t="s">
        <v>14</v>
      </c>
      <c r="E4755" t="s">
        <v>6471</v>
      </c>
    </row>
    <row r="4756" spans="1:6" x14ac:dyDescent="0.25">
      <c r="A4756" t="str">
        <f>"2904008790"</f>
        <v>2904008790</v>
      </c>
      <c r="B4756" t="s">
        <v>6577</v>
      </c>
      <c r="C4756" t="s">
        <v>7</v>
      </c>
      <c r="D4756" t="s">
        <v>14</v>
      </c>
      <c r="E4756" t="s">
        <v>6471</v>
      </c>
      <c r="F4756" t="s">
        <v>6578</v>
      </c>
    </row>
    <row r="4757" spans="1:6" x14ac:dyDescent="0.25">
      <c r="A4757" t="str">
        <f>"2904029127"</f>
        <v>2904029127</v>
      </c>
      <c r="B4757" t="s">
        <v>6579</v>
      </c>
      <c r="C4757" t="s">
        <v>7</v>
      </c>
      <c r="D4757" t="s">
        <v>12</v>
      </c>
      <c r="E4757" t="s">
        <v>6471</v>
      </c>
      <c r="F4757" t="s">
        <v>6580</v>
      </c>
    </row>
    <row r="4758" spans="1:6" x14ac:dyDescent="0.25">
      <c r="A4758" t="str">
        <f>"290405856900"</f>
        <v>290405856900</v>
      </c>
      <c r="B4758" t="s">
        <v>6581</v>
      </c>
      <c r="C4758" t="s">
        <v>7</v>
      </c>
      <c r="D4758" t="s">
        <v>14</v>
      </c>
      <c r="E4758" t="s">
        <v>6471</v>
      </c>
    </row>
    <row r="4759" spans="1:6" x14ac:dyDescent="0.25">
      <c r="A4759" t="str">
        <f>"290408910560"</f>
        <v>290408910560</v>
      </c>
      <c r="B4759" t="s">
        <v>6582</v>
      </c>
      <c r="C4759" t="s">
        <v>7</v>
      </c>
      <c r="D4759" t="s">
        <v>12</v>
      </c>
      <c r="E4759" t="s">
        <v>6471</v>
      </c>
    </row>
    <row r="4760" spans="1:6" x14ac:dyDescent="0.25">
      <c r="A4760" t="str">
        <f>"2905012528"</f>
        <v>2905012528</v>
      </c>
      <c r="B4760" t="s">
        <v>6583</v>
      </c>
      <c r="C4760" t="s">
        <v>7</v>
      </c>
      <c r="D4760" t="s">
        <v>33</v>
      </c>
      <c r="E4760" t="s">
        <v>6471</v>
      </c>
      <c r="F4760" t="s">
        <v>6584</v>
      </c>
    </row>
    <row r="4761" spans="1:6" x14ac:dyDescent="0.25">
      <c r="A4761" t="str">
        <f>"290502827372"</f>
        <v>290502827372</v>
      </c>
      <c r="B4761" t="s">
        <v>6585</v>
      </c>
      <c r="C4761" t="s">
        <v>7</v>
      </c>
      <c r="D4761" t="s">
        <v>14</v>
      </c>
      <c r="E4761" t="s">
        <v>6471</v>
      </c>
    </row>
    <row r="4762" spans="1:6" x14ac:dyDescent="0.25">
      <c r="A4762" t="str">
        <f>"290503967340"</f>
        <v>290503967340</v>
      </c>
      <c r="B4762" t="s">
        <v>6586</v>
      </c>
      <c r="C4762" t="s">
        <v>7</v>
      </c>
      <c r="D4762" t="s">
        <v>14</v>
      </c>
      <c r="E4762" t="s">
        <v>6471</v>
      </c>
    </row>
    <row r="4763" spans="1:6" x14ac:dyDescent="0.25">
      <c r="A4763" t="str">
        <f>"290700418036"</f>
        <v>290700418036</v>
      </c>
      <c r="B4763" t="s">
        <v>6587</v>
      </c>
      <c r="C4763" t="s">
        <v>7</v>
      </c>
      <c r="D4763" t="s">
        <v>14</v>
      </c>
      <c r="E4763" t="s">
        <v>6471</v>
      </c>
    </row>
    <row r="4764" spans="1:6" x14ac:dyDescent="0.25">
      <c r="A4764" t="str">
        <f>"291902298076"</f>
        <v>291902298076</v>
      </c>
      <c r="B4764" t="s">
        <v>6588</v>
      </c>
      <c r="C4764" t="s">
        <v>7</v>
      </c>
      <c r="D4764" t="s">
        <v>14</v>
      </c>
      <c r="E4764" t="s">
        <v>6471</v>
      </c>
    </row>
    <row r="4765" spans="1:6" x14ac:dyDescent="0.25">
      <c r="A4765" t="str">
        <f>"292005012045"</f>
        <v>292005012045</v>
      </c>
      <c r="B4765" t="s">
        <v>6589</v>
      </c>
      <c r="C4765" t="s">
        <v>7</v>
      </c>
      <c r="D4765" t="s">
        <v>14</v>
      </c>
      <c r="E4765" t="s">
        <v>6471</v>
      </c>
    </row>
    <row r="4766" spans="1:6" x14ac:dyDescent="0.25">
      <c r="A4766" t="str">
        <f>"292201755343"</f>
        <v>292201755343</v>
      </c>
      <c r="B4766" t="s">
        <v>6590</v>
      </c>
      <c r="C4766" t="s">
        <v>7</v>
      </c>
      <c r="D4766" t="s">
        <v>14</v>
      </c>
      <c r="E4766" t="s">
        <v>6471</v>
      </c>
    </row>
    <row r="4767" spans="1:6" x14ac:dyDescent="0.25">
      <c r="A4767" t="str">
        <f>"292600086359"</f>
        <v>292600086359</v>
      </c>
      <c r="B4767" t="s">
        <v>6591</v>
      </c>
      <c r="C4767" t="s">
        <v>7</v>
      </c>
      <c r="D4767" t="s">
        <v>14</v>
      </c>
      <c r="E4767" t="s">
        <v>6471</v>
      </c>
    </row>
    <row r="4768" spans="1:6" x14ac:dyDescent="0.25">
      <c r="A4768" t="str">
        <f>"292900043638"</f>
        <v>292900043638</v>
      </c>
      <c r="B4768" t="s">
        <v>6592</v>
      </c>
      <c r="C4768" t="s">
        <v>7</v>
      </c>
      <c r="D4768" t="s">
        <v>14</v>
      </c>
      <c r="E4768" t="s">
        <v>6471</v>
      </c>
    </row>
    <row r="4769" spans="1:6" x14ac:dyDescent="0.25">
      <c r="A4769" t="str">
        <f>"2902082397"</f>
        <v>2902082397</v>
      </c>
      <c r="B4769" t="s">
        <v>6593</v>
      </c>
      <c r="C4769" t="s">
        <v>7</v>
      </c>
      <c r="D4769" t="s">
        <v>14</v>
      </c>
      <c r="E4769" t="s">
        <v>6471</v>
      </c>
      <c r="F4769" t="s">
        <v>6594</v>
      </c>
    </row>
    <row r="4770" spans="1:6" x14ac:dyDescent="0.25">
      <c r="A4770" t="str">
        <f>"290220725446"</f>
        <v>290220725446</v>
      </c>
      <c r="B4770" t="s">
        <v>6595</v>
      </c>
      <c r="C4770" t="s">
        <v>7</v>
      </c>
      <c r="D4770" t="s">
        <v>14</v>
      </c>
      <c r="E4770" t="s">
        <v>6471</v>
      </c>
    </row>
    <row r="4771" spans="1:6" x14ac:dyDescent="0.25">
      <c r="A4771" t="str">
        <f>"290303871602"</f>
        <v>290303871602</v>
      </c>
      <c r="B4771" t="s">
        <v>6596</v>
      </c>
      <c r="C4771" t="s">
        <v>7</v>
      </c>
      <c r="D4771" t="s">
        <v>14</v>
      </c>
      <c r="E4771" t="s">
        <v>6471</v>
      </c>
    </row>
    <row r="4772" spans="1:6" x14ac:dyDescent="0.25">
      <c r="A4772" t="str">
        <f>"290402972513"</f>
        <v>290402972513</v>
      </c>
      <c r="B4772" t="s">
        <v>6597</v>
      </c>
      <c r="C4772" t="s">
        <v>7</v>
      </c>
      <c r="D4772" t="s">
        <v>8</v>
      </c>
      <c r="E4772" t="s">
        <v>6471</v>
      </c>
    </row>
    <row r="4773" spans="1:6" x14ac:dyDescent="0.25">
      <c r="A4773" t="str">
        <f>"290406271188"</f>
        <v>290406271188</v>
      </c>
      <c r="B4773" t="s">
        <v>6598</v>
      </c>
      <c r="C4773" t="s">
        <v>7</v>
      </c>
      <c r="D4773" t="s">
        <v>14</v>
      </c>
      <c r="E4773" t="s">
        <v>6471</v>
      </c>
    </row>
    <row r="4774" spans="1:6" x14ac:dyDescent="0.25">
      <c r="A4774" t="str">
        <f>"290502227600"</f>
        <v>290502227600</v>
      </c>
      <c r="B4774" t="s">
        <v>6599</v>
      </c>
      <c r="C4774" t="s">
        <v>7</v>
      </c>
      <c r="D4774" t="s">
        <v>14</v>
      </c>
      <c r="E4774" t="s">
        <v>6471</v>
      </c>
    </row>
    <row r="4775" spans="1:6" x14ac:dyDescent="0.25">
      <c r="A4775" t="str">
        <f>"290600002517"</f>
        <v>290600002517</v>
      </c>
      <c r="B4775" t="s">
        <v>6600</v>
      </c>
      <c r="C4775" t="s">
        <v>7</v>
      </c>
      <c r="D4775" t="s">
        <v>14</v>
      </c>
      <c r="E4775" t="s">
        <v>6471</v>
      </c>
    </row>
    <row r="4776" spans="1:6" x14ac:dyDescent="0.25">
      <c r="A4776" t="str">
        <f>"290701064654"</f>
        <v>290701064654</v>
      </c>
      <c r="B4776" t="s">
        <v>6601</v>
      </c>
      <c r="C4776" t="s">
        <v>7</v>
      </c>
      <c r="D4776" t="s">
        <v>14</v>
      </c>
      <c r="E4776" t="s">
        <v>6471</v>
      </c>
    </row>
    <row r="4777" spans="1:6" x14ac:dyDescent="0.25">
      <c r="A4777" t="str">
        <f>"291100049607"</f>
        <v>291100049607</v>
      </c>
      <c r="B4777" t="s">
        <v>6602</v>
      </c>
      <c r="C4777" t="s">
        <v>7</v>
      </c>
      <c r="D4777" t="s">
        <v>14</v>
      </c>
      <c r="E4777" t="s">
        <v>6471</v>
      </c>
    </row>
    <row r="4778" spans="1:6" x14ac:dyDescent="0.25">
      <c r="A4778" t="str">
        <f>"291100455711"</f>
        <v>291100455711</v>
      </c>
      <c r="B4778" t="s">
        <v>6603</v>
      </c>
      <c r="C4778" t="s">
        <v>7</v>
      </c>
      <c r="D4778" t="s">
        <v>14</v>
      </c>
      <c r="E4778" t="s">
        <v>6471</v>
      </c>
    </row>
    <row r="4779" spans="1:6" x14ac:dyDescent="0.25">
      <c r="A4779" t="str">
        <f>"291800260901"</f>
        <v>291800260901</v>
      </c>
      <c r="B4779" t="s">
        <v>6604</v>
      </c>
      <c r="C4779" t="s">
        <v>7</v>
      </c>
      <c r="D4779" t="s">
        <v>14</v>
      </c>
      <c r="E4779" t="s">
        <v>6471</v>
      </c>
    </row>
    <row r="4780" spans="1:6" x14ac:dyDescent="0.25">
      <c r="A4780" t="str">
        <f>"291900269591"</f>
        <v>291900269591</v>
      </c>
      <c r="B4780" t="s">
        <v>6605</v>
      </c>
      <c r="C4780" t="s">
        <v>7</v>
      </c>
      <c r="D4780" t="s">
        <v>14</v>
      </c>
      <c r="E4780" t="s">
        <v>6471</v>
      </c>
    </row>
    <row r="4781" spans="1:6" x14ac:dyDescent="0.25">
      <c r="A4781" t="str">
        <f>"292000850710"</f>
        <v>292000850710</v>
      </c>
      <c r="B4781" t="s">
        <v>6606</v>
      </c>
      <c r="C4781" t="s">
        <v>7</v>
      </c>
      <c r="D4781" t="s">
        <v>14</v>
      </c>
      <c r="E4781" t="s">
        <v>6471</v>
      </c>
    </row>
    <row r="4782" spans="1:6" x14ac:dyDescent="0.25">
      <c r="A4782" t="str">
        <f>"292102059419"</f>
        <v>292102059419</v>
      </c>
      <c r="B4782" t="s">
        <v>6607</v>
      </c>
      <c r="C4782" t="s">
        <v>7</v>
      </c>
      <c r="D4782" t="s">
        <v>14</v>
      </c>
      <c r="E4782" t="s">
        <v>6471</v>
      </c>
    </row>
    <row r="4783" spans="1:6" x14ac:dyDescent="0.25">
      <c r="A4783" t="str">
        <f>"292900139851"</f>
        <v>292900139851</v>
      </c>
      <c r="B4783" t="s">
        <v>6608</v>
      </c>
      <c r="C4783" t="s">
        <v>7</v>
      </c>
      <c r="D4783" t="s">
        <v>14</v>
      </c>
      <c r="E4783" t="s">
        <v>6471</v>
      </c>
    </row>
    <row r="4784" spans="1:6" x14ac:dyDescent="0.25">
      <c r="A4784" t="str">
        <f>"340600005163"</f>
        <v>340600005163</v>
      </c>
      <c r="B4784" t="s">
        <v>6609</v>
      </c>
      <c r="C4784" t="s">
        <v>7</v>
      </c>
      <c r="D4784" t="s">
        <v>14</v>
      </c>
      <c r="E4784" t="s">
        <v>6610</v>
      </c>
    </row>
    <row r="4785" spans="1:6" x14ac:dyDescent="0.25">
      <c r="A4785" t="str">
        <f>"027202647558"</f>
        <v>027202647558</v>
      </c>
      <c r="B4785" t="s">
        <v>6611</v>
      </c>
      <c r="C4785" t="s">
        <v>7</v>
      </c>
      <c r="D4785" t="s">
        <v>14</v>
      </c>
      <c r="E4785" t="s">
        <v>6610</v>
      </c>
    </row>
    <row r="4786" spans="1:6" x14ac:dyDescent="0.25">
      <c r="A4786" t="str">
        <f>"344816155546"</f>
        <v>344816155546</v>
      </c>
      <c r="B4786" t="s">
        <v>6612</v>
      </c>
      <c r="C4786" t="s">
        <v>7</v>
      </c>
      <c r="D4786" t="s">
        <v>8</v>
      </c>
      <c r="E4786" t="s">
        <v>6610</v>
      </c>
    </row>
    <row r="4787" spans="1:6" x14ac:dyDescent="0.25">
      <c r="A4787" t="str">
        <f>"7743189503"</f>
        <v>7743189503</v>
      </c>
      <c r="B4787" t="s">
        <v>6613</v>
      </c>
      <c r="C4787" t="s">
        <v>7</v>
      </c>
      <c r="D4787" t="s">
        <v>14</v>
      </c>
      <c r="E4787" t="s">
        <v>6610</v>
      </c>
      <c r="F4787" t="s">
        <v>6614</v>
      </c>
    </row>
    <row r="4788" spans="1:6" x14ac:dyDescent="0.25">
      <c r="A4788" t="str">
        <f>"300701067932"</f>
        <v>300701067932</v>
      </c>
      <c r="B4788" t="s">
        <v>6615</v>
      </c>
      <c r="C4788" t="s">
        <v>7</v>
      </c>
      <c r="D4788" t="s">
        <v>14</v>
      </c>
      <c r="E4788" t="s">
        <v>6610</v>
      </c>
    </row>
    <row r="4789" spans="1:6" x14ac:dyDescent="0.25">
      <c r="A4789" t="str">
        <f>"300701703970"</f>
        <v>300701703970</v>
      </c>
      <c r="B4789" t="s">
        <v>6616</v>
      </c>
      <c r="C4789" t="s">
        <v>7</v>
      </c>
      <c r="D4789" t="s">
        <v>14</v>
      </c>
      <c r="E4789" t="s">
        <v>6610</v>
      </c>
    </row>
    <row r="4790" spans="1:6" x14ac:dyDescent="0.25">
      <c r="A4790" t="str">
        <f>"301507657065"</f>
        <v>301507657065</v>
      </c>
      <c r="B4790" t="s">
        <v>6617</v>
      </c>
      <c r="C4790" t="s">
        <v>7</v>
      </c>
      <c r="D4790" t="s">
        <v>14</v>
      </c>
      <c r="E4790" t="s">
        <v>6610</v>
      </c>
    </row>
    <row r="4791" spans="1:6" x14ac:dyDescent="0.25">
      <c r="A4791" t="str">
        <f>"3016066838"</f>
        <v>3016066838</v>
      </c>
      <c r="B4791" t="s">
        <v>6618</v>
      </c>
      <c r="C4791" t="s">
        <v>7</v>
      </c>
      <c r="D4791" t="s">
        <v>12</v>
      </c>
      <c r="E4791" t="s">
        <v>6610</v>
      </c>
      <c r="F4791" t="s">
        <v>6619</v>
      </c>
    </row>
    <row r="4792" spans="1:6" x14ac:dyDescent="0.25">
      <c r="A4792" t="str">
        <f>"301709494906"</f>
        <v>301709494906</v>
      </c>
      <c r="B4792" t="s">
        <v>6620</v>
      </c>
      <c r="C4792" t="s">
        <v>7</v>
      </c>
      <c r="D4792" t="s">
        <v>12</v>
      </c>
      <c r="E4792" t="s">
        <v>6610</v>
      </c>
    </row>
    <row r="4793" spans="1:6" x14ac:dyDescent="0.25">
      <c r="A4793" t="str">
        <f>"300101335450"</f>
        <v>300101335450</v>
      </c>
      <c r="B4793" t="s">
        <v>6621</v>
      </c>
      <c r="C4793" t="s">
        <v>7</v>
      </c>
      <c r="D4793" t="s">
        <v>14</v>
      </c>
      <c r="E4793" t="s">
        <v>6610</v>
      </c>
    </row>
    <row r="4794" spans="1:6" x14ac:dyDescent="0.25">
      <c r="A4794" t="str">
        <f>"300115298783"</f>
        <v>300115298783</v>
      </c>
      <c r="B4794" t="s">
        <v>6622</v>
      </c>
      <c r="C4794" t="s">
        <v>7</v>
      </c>
      <c r="D4794" t="s">
        <v>14</v>
      </c>
      <c r="E4794" t="s">
        <v>6610</v>
      </c>
    </row>
    <row r="4795" spans="1:6" x14ac:dyDescent="0.25">
      <c r="A4795" t="str">
        <f>"300301447070"</f>
        <v>300301447070</v>
      </c>
      <c r="B4795" t="s">
        <v>6623</v>
      </c>
      <c r="C4795" t="s">
        <v>7</v>
      </c>
      <c r="D4795" t="s">
        <v>14</v>
      </c>
      <c r="E4795" t="s">
        <v>6610</v>
      </c>
    </row>
    <row r="4796" spans="1:6" x14ac:dyDescent="0.25">
      <c r="A4796" t="str">
        <f>"300500002847"</f>
        <v>300500002847</v>
      </c>
      <c r="B4796" t="s">
        <v>6624</v>
      </c>
      <c r="C4796" t="s">
        <v>7</v>
      </c>
      <c r="D4796" t="s">
        <v>14</v>
      </c>
      <c r="E4796" t="s">
        <v>6610</v>
      </c>
    </row>
    <row r="4797" spans="1:6" x14ac:dyDescent="0.25">
      <c r="A4797" t="str">
        <f>"300500265003"</f>
        <v>300500265003</v>
      </c>
      <c r="B4797" t="s">
        <v>6625</v>
      </c>
      <c r="C4797" t="s">
        <v>7</v>
      </c>
      <c r="D4797" t="s">
        <v>14</v>
      </c>
      <c r="E4797" t="s">
        <v>6610</v>
      </c>
    </row>
    <row r="4798" spans="1:6" x14ac:dyDescent="0.25">
      <c r="A4798" t="str">
        <f>"300601050212"</f>
        <v>300601050212</v>
      </c>
      <c r="B4798" t="s">
        <v>6626</v>
      </c>
      <c r="C4798" t="s">
        <v>7</v>
      </c>
      <c r="D4798" t="s">
        <v>14</v>
      </c>
      <c r="E4798" t="s">
        <v>6610</v>
      </c>
    </row>
    <row r="4799" spans="1:6" x14ac:dyDescent="0.25">
      <c r="A4799" t="str">
        <f>"300603414602"</f>
        <v>300603414602</v>
      </c>
      <c r="B4799" t="s">
        <v>6627</v>
      </c>
      <c r="C4799" t="s">
        <v>7</v>
      </c>
      <c r="D4799" t="s">
        <v>14</v>
      </c>
      <c r="E4799" t="s">
        <v>6610</v>
      </c>
    </row>
    <row r="4800" spans="1:6" x14ac:dyDescent="0.25">
      <c r="A4800" t="str">
        <f>"300800011338"</f>
        <v>300800011338</v>
      </c>
      <c r="B4800" t="s">
        <v>6628</v>
      </c>
      <c r="C4800" t="s">
        <v>7</v>
      </c>
      <c r="D4800" t="s">
        <v>14</v>
      </c>
      <c r="E4800" t="s">
        <v>6610</v>
      </c>
    </row>
    <row r="4801" spans="1:6" x14ac:dyDescent="0.25">
      <c r="A4801" t="str">
        <f>"300800064450"</f>
        <v>300800064450</v>
      </c>
      <c r="B4801" t="s">
        <v>6629</v>
      </c>
      <c r="C4801" t="s">
        <v>7</v>
      </c>
      <c r="D4801" t="s">
        <v>14</v>
      </c>
      <c r="E4801" t="s">
        <v>6610</v>
      </c>
    </row>
    <row r="4802" spans="1:6" x14ac:dyDescent="0.25">
      <c r="A4802" t="str">
        <f>"300801031104"</f>
        <v>300801031104</v>
      </c>
      <c r="B4802" t="s">
        <v>6630</v>
      </c>
      <c r="C4802" t="s">
        <v>7</v>
      </c>
      <c r="D4802" t="s">
        <v>14</v>
      </c>
      <c r="E4802" t="s">
        <v>6610</v>
      </c>
    </row>
    <row r="4803" spans="1:6" x14ac:dyDescent="0.25">
      <c r="A4803" t="str">
        <f>"300801862123"</f>
        <v>300801862123</v>
      </c>
      <c r="B4803" t="s">
        <v>6631</v>
      </c>
      <c r="C4803" t="s">
        <v>7</v>
      </c>
      <c r="D4803" t="s">
        <v>12</v>
      </c>
      <c r="E4803" t="s">
        <v>6610</v>
      </c>
    </row>
    <row r="4804" spans="1:6" x14ac:dyDescent="0.25">
      <c r="A4804" t="str">
        <f>"300900065256"</f>
        <v>300900065256</v>
      </c>
      <c r="B4804" t="s">
        <v>6632</v>
      </c>
      <c r="C4804" t="s">
        <v>7</v>
      </c>
      <c r="D4804" t="s">
        <v>33</v>
      </c>
      <c r="E4804" t="s">
        <v>6610</v>
      </c>
    </row>
    <row r="4805" spans="1:6" x14ac:dyDescent="0.25">
      <c r="A4805" t="str">
        <f>"300903322159"</f>
        <v>300903322159</v>
      </c>
      <c r="B4805" t="s">
        <v>6633</v>
      </c>
      <c r="C4805" t="s">
        <v>7</v>
      </c>
      <c r="D4805" t="s">
        <v>14</v>
      </c>
      <c r="E4805" t="s">
        <v>6610</v>
      </c>
    </row>
    <row r="4806" spans="1:6" x14ac:dyDescent="0.25">
      <c r="A4806" t="str">
        <f>"301100735224"</f>
        <v>301100735224</v>
      </c>
      <c r="B4806" t="s">
        <v>6634</v>
      </c>
      <c r="C4806" t="s">
        <v>7</v>
      </c>
      <c r="D4806" t="s">
        <v>14</v>
      </c>
      <c r="E4806" t="s">
        <v>6610</v>
      </c>
    </row>
    <row r="4807" spans="1:6" x14ac:dyDescent="0.25">
      <c r="A4807" t="str">
        <f>"301314225277"</f>
        <v>301314225277</v>
      </c>
      <c r="B4807" t="s">
        <v>6635</v>
      </c>
      <c r="C4807" t="s">
        <v>7</v>
      </c>
      <c r="D4807" t="s">
        <v>33</v>
      </c>
      <c r="E4807" t="s">
        <v>6610</v>
      </c>
    </row>
    <row r="4808" spans="1:6" x14ac:dyDescent="0.25">
      <c r="A4808" t="str">
        <f>"301500084707"</f>
        <v>301500084707</v>
      </c>
      <c r="B4808" t="s">
        <v>6636</v>
      </c>
      <c r="C4808" t="s">
        <v>7</v>
      </c>
      <c r="D4808" t="s">
        <v>14</v>
      </c>
      <c r="E4808" t="s">
        <v>6610</v>
      </c>
    </row>
    <row r="4809" spans="1:6" x14ac:dyDescent="0.25">
      <c r="A4809" t="str">
        <f>"301500878749"</f>
        <v>301500878749</v>
      </c>
      <c r="B4809" t="s">
        <v>6637</v>
      </c>
      <c r="C4809" t="s">
        <v>7</v>
      </c>
      <c r="D4809" t="s">
        <v>14</v>
      </c>
      <c r="E4809" t="s">
        <v>6610</v>
      </c>
    </row>
    <row r="4810" spans="1:6" x14ac:dyDescent="0.25">
      <c r="A4810" t="str">
        <f>"3015088148"</f>
        <v>3015088148</v>
      </c>
      <c r="B4810" t="s">
        <v>6638</v>
      </c>
      <c r="C4810" t="s">
        <v>7</v>
      </c>
      <c r="D4810" t="s">
        <v>14</v>
      </c>
      <c r="E4810" t="s">
        <v>6610</v>
      </c>
      <c r="F4810" t="s">
        <v>6639</v>
      </c>
    </row>
    <row r="4811" spans="1:6" x14ac:dyDescent="0.25">
      <c r="A4811" t="str">
        <f>"301511131645"</f>
        <v>301511131645</v>
      </c>
      <c r="B4811" t="s">
        <v>6640</v>
      </c>
      <c r="C4811" t="s">
        <v>7</v>
      </c>
      <c r="D4811" t="s">
        <v>14</v>
      </c>
      <c r="E4811" t="s">
        <v>6610</v>
      </c>
    </row>
    <row r="4812" spans="1:6" x14ac:dyDescent="0.25">
      <c r="A4812" t="str">
        <f>"301511561292"</f>
        <v>301511561292</v>
      </c>
      <c r="B4812" t="s">
        <v>6641</v>
      </c>
      <c r="C4812" t="s">
        <v>7</v>
      </c>
      <c r="D4812" t="s">
        <v>14</v>
      </c>
      <c r="E4812" t="s">
        <v>6610</v>
      </c>
    </row>
    <row r="4813" spans="1:6" x14ac:dyDescent="0.25">
      <c r="A4813" t="str">
        <f>"301603031792"</f>
        <v>301603031792</v>
      </c>
      <c r="B4813" t="s">
        <v>6642</v>
      </c>
      <c r="C4813" t="s">
        <v>7</v>
      </c>
      <c r="D4813" t="s">
        <v>14</v>
      </c>
      <c r="E4813" t="s">
        <v>6610</v>
      </c>
    </row>
    <row r="4814" spans="1:6" x14ac:dyDescent="0.25">
      <c r="A4814" t="str">
        <f>"3016040614"</f>
        <v>3016040614</v>
      </c>
      <c r="B4814" t="s">
        <v>2798</v>
      </c>
      <c r="C4814" t="s">
        <v>7</v>
      </c>
      <c r="D4814" t="s">
        <v>14</v>
      </c>
      <c r="E4814" t="s">
        <v>6610</v>
      </c>
      <c r="F4814" t="s">
        <v>6643</v>
      </c>
    </row>
    <row r="4815" spans="1:6" x14ac:dyDescent="0.25">
      <c r="A4815" t="str">
        <f>"3016052666"</f>
        <v>3016052666</v>
      </c>
      <c r="B4815" t="s">
        <v>6644</v>
      </c>
      <c r="C4815" t="s">
        <v>7</v>
      </c>
      <c r="D4815" t="s">
        <v>14</v>
      </c>
      <c r="E4815" t="s">
        <v>6610</v>
      </c>
      <c r="F4815" t="s">
        <v>6645</v>
      </c>
    </row>
    <row r="4816" spans="1:6" x14ac:dyDescent="0.25">
      <c r="A4816" t="str">
        <f>"301605864246"</f>
        <v>301605864246</v>
      </c>
      <c r="B4816" t="s">
        <v>6646</v>
      </c>
      <c r="C4816" t="s">
        <v>7</v>
      </c>
      <c r="D4816" t="s">
        <v>14</v>
      </c>
      <c r="E4816" t="s">
        <v>6610</v>
      </c>
    </row>
    <row r="4817" spans="1:6" x14ac:dyDescent="0.25">
      <c r="A4817" t="str">
        <f>"301606789400"</f>
        <v>301606789400</v>
      </c>
      <c r="B4817" t="s">
        <v>6647</v>
      </c>
      <c r="C4817" t="s">
        <v>7</v>
      </c>
      <c r="D4817" t="s">
        <v>14</v>
      </c>
      <c r="E4817" t="s">
        <v>6610</v>
      </c>
    </row>
    <row r="4818" spans="1:6" x14ac:dyDescent="0.25">
      <c r="A4818" t="str">
        <f>"301612170672"</f>
        <v>301612170672</v>
      </c>
      <c r="B4818" t="s">
        <v>6648</v>
      </c>
      <c r="C4818" t="s">
        <v>7</v>
      </c>
      <c r="D4818" t="s">
        <v>14</v>
      </c>
      <c r="E4818" t="s">
        <v>6610</v>
      </c>
    </row>
    <row r="4819" spans="1:6" x14ac:dyDescent="0.25">
      <c r="A4819" t="str">
        <f>"3000001024"</f>
        <v>3000001024</v>
      </c>
      <c r="B4819" t="s">
        <v>6649</v>
      </c>
      <c r="C4819" t="s">
        <v>7</v>
      </c>
      <c r="D4819" t="s">
        <v>33</v>
      </c>
      <c r="E4819" t="s">
        <v>6610</v>
      </c>
      <c r="F4819" t="s">
        <v>6650</v>
      </c>
    </row>
    <row r="4820" spans="1:6" x14ac:dyDescent="0.25">
      <c r="A4820" t="str">
        <f>"3000014055"</f>
        <v>3000014055</v>
      </c>
      <c r="B4820" t="s">
        <v>6651</v>
      </c>
      <c r="C4820" t="s">
        <v>7</v>
      </c>
      <c r="D4820" t="s">
        <v>33</v>
      </c>
      <c r="E4820" t="s">
        <v>6610</v>
      </c>
      <c r="F4820" t="s">
        <v>6652</v>
      </c>
    </row>
    <row r="4821" spans="1:6" x14ac:dyDescent="0.25">
      <c r="A4821" t="str">
        <f>"300201911837"</f>
        <v>300201911837</v>
      </c>
      <c r="B4821" t="s">
        <v>6653</v>
      </c>
      <c r="C4821" t="s">
        <v>7</v>
      </c>
      <c r="D4821" t="s">
        <v>14</v>
      </c>
      <c r="E4821" t="s">
        <v>6610</v>
      </c>
    </row>
    <row r="4822" spans="1:6" x14ac:dyDescent="0.25">
      <c r="A4822" t="str">
        <f>"300302383608"</f>
        <v>300302383608</v>
      </c>
      <c r="B4822" t="s">
        <v>6654</v>
      </c>
      <c r="C4822" t="s">
        <v>7</v>
      </c>
      <c r="D4822" t="s">
        <v>14</v>
      </c>
      <c r="E4822" t="s">
        <v>6610</v>
      </c>
    </row>
    <row r="4823" spans="1:6" x14ac:dyDescent="0.25">
      <c r="A4823" t="str">
        <f>"3004004259"</f>
        <v>3004004259</v>
      </c>
      <c r="B4823" t="s">
        <v>6655</v>
      </c>
      <c r="C4823" t="s">
        <v>7</v>
      </c>
      <c r="D4823" t="s">
        <v>14</v>
      </c>
      <c r="E4823" t="s">
        <v>6610</v>
      </c>
      <c r="F4823" t="s">
        <v>6656</v>
      </c>
    </row>
    <row r="4824" spans="1:6" x14ac:dyDescent="0.25">
      <c r="A4824" t="str">
        <f>"300403042379"</f>
        <v>300403042379</v>
      </c>
      <c r="B4824" t="s">
        <v>6657</v>
      </c>
      <c r="C4824" t="s">
        <v>7</v>
      </c>
      <c r="D4824" t="s">
        <v>12</v>
      </c>
      <c r="E4824" t="s">
        <v>6610</v>
      </c>
    </row>
    <row r="4825" spans="1:6" x14ac:dyDescent="0.25">
      <c r="A4825" t="str">
        <f>"300602451707"</f>
        <v>300602451707</v>
      </c>
      <c r="B4825" t="s">
        <v>6658</v>
      </c>
      <c r="C4825" t="s">
        <v>7</v>
      </c>
      <c r="D4825" t="s">
        <v>14</v>
      </c>
      <c r="E4825" t="s">
        <v>6610</v>
      </c>
    </row>
    <row r="4826" spans="1:6" x14ac:dyDescent="0.25">
      <c r="A4826" t="str">
        <f>"300801784838"</f>
        <v>300801784838</v>
      </c>
      <c r="B4826" t="s">
        <v>6659</v>
      </c>
      <c r="C4826" t="s">
        <v>7</v>
      </c>
      <c r="D4826" t="s">
        <v>14</v>
      </c>
      <c r="E4826" t="s">
        <v>6610</v>
      </c>
    </row>
    <row r="4827" spans="1:6" x14ac:dyDescent="0.25">
      <c r="A4827" t="str">
        <f>"300903185495"</f>
        <v>300903185495</v>
      </c>
      <c r="B4827" t="s">
        <v>6660</v>
      </c>
      <c r="C4827" t="s">
        <v>7</v>
      </c>
      <c r="D4827" t="s">
        <v>14</v>
      </c>
      <c r="E4827" t="s">
        <v>6610</v>
      </c>
    </row>
    <row r="4828" spans="1:6" x14ac:dyDescent="0.25">
      <c r="A4828" t="str">
        <f>"301000013289"</f>
        <v>301000013289</v>
      </c>
      <c r="B4828" t="s">
        <v>6661</v>
      </c>
      <c r="C4828" t="s">
        <v>7</v>
      </c>
      <c r="D4828" t="s">
        <v>14</v>
      </c>
      <c r="E4828" t="s">
        <v>6610</v>
      </c>
    </row>
    <row r="4829" spans="1:6" x14ac:dyDescent="0.25">
      <c r="A4829" t="str">
        <f>"301000038082"</f>
        <v>301000038082</v>
      </c>
      <c r="B4829" t="s">
        <v>6662</v>
      </c>
      <c r="C4829" t="s">
        <v>7</v>
      </c>
      <c r="D4829" t="s">
        <v>14</v>
      </c>
      <c r="E4829" t="s">
        <v>6610</v>
      </c>
    </row>
    <row r="4830" spans="1:6" x14ac:dyDescent="0.25">
      <c r="A4830" t="str">
        <f>"301002279358"</f>
        <v>301002279358</v>
      </c>
      <c r="B4830" t="s">
        <v>6663</v>
      </c>
      <c r="C4830" t="s">
        <v>7</v>
      </c>
      <c r="D4830" t="s">
        <v>14</v>
      </c>
      <c r="E4830" t="s">
        <v>6610</v>
      </c>
    </row>
    <row r="4831" spans="1:6" x14ac:dyDescent="0.25">
      <c r="A4831" t="str">
        <f>"3015077996"</f>
        <v>3015077996</v>
      </c>
      <c r="B4831" t="s">
        <v>6664</v>
      </c>
      <c r="C4831" t="s">
        <v>7</v>
      </c>
      <c r="D4831" t="s">
        <v>14</v>
      </c>
      <c r="E4831" t="s">
        <v>6610</v>
      </c>
      <c r="F4831" t="s">
        <v>6665</v>
      </c>
    </row>
    <row r="4832" spans="1:6" x14ac:dyDescent="0.25">
      <c r="A4832" t="str">
        <f>"3015113718"</f>
        <v>3015113718</v>
      </c>
      <c r="B4832" t="s">
        <v>6666</v>
      </c>
      <c r="C4832" t="s">
        <v>7</v>
      </c>
      <c r="D4832" t="s">
        <v>14</v>
      </c>
      <c r="E4832" t="s">
        <v>6610</v>
      </c>
      <c r="F4832" t="s">
        <v>6667</v>
      </c>
    </row>
    <row r="4833" spans="1:6" x14ac:dyDescent="0.25">
      <c r="A4833" t="str">
        <f>"3016030743"</f>
        <v>3016030743</v>
      </c>
      <c r="B4833" t="s">
        <v>6668</v>
      </c>
      <c r="C4833" t="s">
        <v>7</v>
      </c>
      <c r="D4833" t="s">
        <v>12</v>
      </c>
      <c r="E4833" t="s">
        <v>6610</v>
      </c>
      <c r="F4833" t="s">
        <v>6669</v>
      </c>
    </row>
    <row r="4834" spans="1:6" x14ac:dyDescent="0.25">
      <c r="A4834" t="str">
        <f>"3000013446"</f>
        <v>3000013446</v>
      </c>
      <c r="B4834" t="s">
        <v>6670</v>
      </c>
      <c r="C4834" t="s">
        <v>7</v>
      </c>
      <c r="D4834" t="s">
        <v>12</v>
      </c>
      <c r="E4834" t="s">
        <v>6610</v>
      </c>
      <c r="F4834" t="s">
        <v>6671</v>
      </c>
    </row>
    <row r="4835" spans="1:6" x14ac:dyDescent="0.25">
      <c r="A4835" t="str">
        <f>"300100059912"</f>
        <v>300100059912</v>
      </c>
      <c r="B4835" t="s">
        <v>6672</v>
      </c>
      <c r="C4835" t="s">
        <v>7</v>
      </c>
      <c r="D4835" t="s">
        <v>14</v>
      </c>
      <c r="E4835" t="s">
        <v>6610</v>
      </c>
    </row>
    <row r="4836" spans="1:6" x14ac:dyDescent="0.25">
      <c r="A4836" t="str">
        <f>"300100152069"</f>
        <v>300100152069</v>
      </c>
      <c r="B4836" t="s">
        <v>6673</v>
      </c>
      <c r="C4836" t="s">
        <v>7</v>
      </c>
      <c r="D4836" t="s">
        <v>14</v>
      </c>
      <c r="E4836" t="s">
        <v>6610</v>
      </c>
    </row>
    <row r="4837" spans="1:6" x14ac:dyDescent="0.25">
      <c r="A4837" t="str">
        <f>"300100189830"</f>
        <v>300100189830</v>
      </c>
      <c r="B4837" t="s">
        <v>6674</v>
      </c>
      <c r="C4837" t="s">
        <v>7</v>
      </c>
      <c r="D4837" t="s">
        <v>14</v>
      </c>
      <c r="E4837" t="s">
        <v>6610</v>
      </c>
    </row>
    <row r="4838" spans="1:6" x14ac:dyDescent="0.25">
      <c r="A4838" t="str">
        <f>"300104764224"</f>
        <v>300104764224</v>
      </c>
      <c r="B4838" t="s">
        <v>6675</v>
      </c>
      <c r="C4838" t="s">
        <v>7</v>
      </c>
      <c r="D4838" t="s">
        <v>14</v>
      </c>
      <c r="E4838" t="s">
        <v>6610</v>
      </c>
    </row>
    <row r="4839" spans="1:6" x14ac:dyDescent="0.25">
      <c r="A4839" t="str">
        <f>"300601100784"</f>
        <v>300601100784</v>
      </c>
      <c r="B4839" t="s">
        <v>6676</v>
      </c>
      <c r="C4839" t="s">
        <v>7</v>
      </c>
      <c r="D4839" t="s">
        <v>14</v>
      </c>
      <c r="E4839" t="s">
        <v>6610</v>
      </c>
    </row>
    <row r="4840" spans="1:6" x14ac:dyDescent="0.25">
      <c r="A4840" t="str">
        <f>"300602034848"</f>
        <v>300602034848</v>
      </c>
      <c r="B4840" t="s">
        <v>6677</v>
      </c>
      <c r="C4840" t="s">
        <v>7</v>
      </c>
      <c r="D4840" t="s">
        <v>14</v>
      </c>
      <c r="E4840" t="s">
        <v>6610</v>
      </c>
    </row>
    <row r="4841" spans="1:6" x14ac:dyDescent="0.25">
      <c r="A4841" t="str">
        <f>"300803341648"</f>
        <v>300803341648</v>
      </c>
      <c r="B4841" t="s">
        <v>6678</v>
      </c>
      <c r="C4841" t="s">
        <v>7</v>
      </c>
      <c r="D4841" t="s">
        <v>12</v>
      </c>
      <c r="E4841" t="s">
        <v>6610</v>
      </c>
    </row>
    <row r="4842" spans="1:6" x14ac:dyDescent="0.25">
      <c r="A4842" t="str">
        <f>"300913032000"</f>
        <v>300913032000</v>
      </c>
      <c r="B4842" t="s">
        <v>6679</v>
      </c>
      <c r="C4842" t="s">
        <v>7</v>
      </c>
      <c r="D4842" t="s">
        <v>14</v>
      </c>
      <c r="E4842" t="s">
        <v>6610</v>
      </c>
    </row>
    <row r="4843" spans="1:6" x14ac:dyDescent="0.25">
      <c r="A4843" t="str">
        <f>"301000582045"</f>
        <v>301000582045</v>
      </c>
      <c r="B4843" t="s">
        <v>6680</v>
      </c>
      <c r="C4843" t="s">
        <v>7</v>
      </c>
      <c r="D4843" t="s">
        <v>14</v>
      </c>
      <c r="E4843" t="s">
        <v>6610</v>
      </c>
    </row>
    <row r="4844" spans="1:6" x14ac:dyDescent="0.25">
      <c r="A4844" t="str">
        <f>"301002044620"</f>
        <v>301002044620</v>
      </c>
      <c r="B4844" t="s">
        <v>6681</v>
      </c>
      <c r="C4844" t="s">
        <v>7</v>
      </c>
      <c r="D4844" t="s">
        <v>14</v>
      </c>
      <c r="E4844" t="s">
        <v>6610</v>
      </c>
    </row>
    <row r="4845" spans="1:6" x14ac:dyDescent="0.25">
      <c r="A4845" t="str">
        <f>"301500254902"</f>
        <v>301500254902</v>
      </c>
      <c r="B4845" t="s">
        <v>6682</v>
      </c>
      <c r="C4845" t="s">
        <v>7</v>
      </c>
      <c r="D4845" t="s">
        <v>14</v>
      </c>
      <c r="E4845" t="s">
        <v>6610</v>
      </c>
    </row>
    <row r="4846" spans="1:6" x14ac:dyDescent="0.25">
      <c r="A4846" t="str">
        <f>"301509929317"</f>
        <v>301509929317</v>
      </c>
      <c r="B4846" t="s">
        <v>6683</v>
      </c>
      <c r="C4846" t="s">
        <v>7</v>
      </c>
      <c r="D4846" t="s">
        <v>14</v>
      </c>
      <c r="E4846" t="s">
        <v>6610</v>
      </c>
    </row>
    <row r="4847" spans="1:6" x14ac:dyDescent="0.25">
      <c r="A4847" t="str">
        <f>"3016061156"</f>
        <v>3016061156</v>
      </c>
      <c r="B4847" t="s">
        <v>6684</v>
      </c>
      <c r="C4847" t="s">
        <v>7</v>
      </c>
      <c r="D4847" t="s">
        <v>14</v>
      </c>
      <c r="E4847" t="s">
        <v>6610</v>
      </c>
      <c r="F4847" t="s">
        <v>6685</v>
      </c>
    </row>
    <row r="4848" spans="1:6" x14ac:dyDescent="0.25">
      <c r="A4848" t="str">
        <f>"301607198432"</f>
        <v>301607198432</v>
      </c>
      <c r="B4848" t="s">
        <v>6686</v>
      </c>
      <c r="C4848" t="s">
        <v>7</v>
      </c>
      <c r="D4848" t="s">
        <v>14</v>
      </c>
      <c r="E4848" t="s">
        <v>6610</v>
      </c>
    </row>
    <row r="4849" spans="1:6" x14ac:dyDescent="0.25">
      <c r="A4849" t="str">
        <f>"301610150920"</f>
        <v>301610150920</v>
      </c>
      <c r="B4849" t="s">
        <v>6687</v>
      </c>
      <c r="C4849" t="s">
        <v>7</v>
      </c>
      <c r="D4849" t="s">
        <v>12</v>
      </c>
      <c r="E4849" t="s">
        <v>6610</v>
      </c>
    </row>
    <row r="4850" spans="1:6" x14ac:dyDescent="0.25">
      <c r="A4850" t="str">
        <f>"301700554540"</f>
        <v>301700554540</v>
      </c>
      <c r="B4850" t="s">
        <v>6688</v>
      </c>
      <c r="C4850" t="s">
        <v>7</v>
      </c>
      <c r="D4850" t="s">
        <v>14</v>
      </c>
      <c r="E4850" t="s">
        <v>6610</v>
      </c>
    </row>
    <row r="4851" spans="1:6" x14ac:dyDescent="0.25">
      <c r="A4851" t="str">
        <f>"301703880126"</f>
        <v>301703880126</v>
      </c>
      <c r="B4851" t="s">
        <v>6689</v>
      </c>
      <c r="C4851" t="s">
        <v>7</v>
      </c>
      <c r="D4851" t="s">
        <v>12</v>
      </c>
      <c r="E4851" t="s">
        <v>6610</v>
      </c>
    </row>
    <row r="4852" spans="1:6" x14ac:dyDescent="0.25">
      <c r="A4852" t="str">
        <f>"301700402185"</f>
        <v>301700402185</v>
      </c>
      <c r="B4852" t="s">
        <v>6690</v>
      </c>
      <c r="C4852" t="s">
        <v>7</v>
      </c>
      <c r="D4852" t="s">
        <v>14</v>
      </c>
      <c r="E4852" t="s">
        <v>6610</v>
      </c>
    </row>
    <row r="4853" spans="1:6" x14ac:dyDescent="0.25">
      <c r="A4853" t="str">
        <f>"301702866136"</f>
        <v>301702866136</v>
      </c>
      <c r="B4853" t="s">
        <v>6691</v>
      </c>
      <c r="C4853" t="s">
        <v>7</v>
      </c>
      <c r="D4853" t="s">
        <v>14</v>
      </c>
      <c r="E4853" t="s">
        <v>6610</v>
      </c>
    </row>
    <row r="4854" spans="1:6" x14ac:dyDescent="0.25">
      <c r="A4854" t="str">
        <f>"301712611539"</f>
        <v>301712611539</v>
      </c>
      <c r="B4854" t="s">
        <v>6692</v>
      </c>
      <c r="C4854" t="s">
        <v>7</v>
      </c>
      <c r="D4854" t="s">
        <v>14</v>
      </c>
      <c r="E4854" t="s">
        <v>6610</v>
      </c>
    </row>
    <row r="4855" spans="1:6" x14ac:dyDescent="0.25">
      <c r="A4855" t="str">
        <f>"301727047146"</f>
        <v>301727047146</v>
      </c>
      <c r="B4855" t="s">
        <v>6693</v>
      </c>
      <c r="C4855" t="s">
        <v>7</v>
      </c>
      <c r="D4855" t="s">
        <v>12</v>
      </c>
      <c r="E4855" t="s">
        <v>6610</v>
      </c>
    </row>
    <row r="4856" spans="1:6" x14ac:dyDescent="0.25">
      <c r="A4856" t="str">
        <f>"301800264845"</f>
        <v>301800264845</v>
      </c>
      <c r="B4856" t="s">
        <v>6694</v>
      </c>
      <c r="C4856" t="s">
        <v>7</v>
      </c>
      <c r="D4856" t="s">
        <v>14</v>
      </c>
      <c r="E4856" t="s">
        <v>6610</v>
      </c>
    </row>
    <row r="4857" spans="1:6" x14ac:dyDescent="0.25">
      <c r="A4857" t="str">
        <f>"301800665043"</f>
        <v>301800665043</v>
      </c>
      <c r="B4857" t="s">
        <v>6695</v>
      </c>
      <c r="C4857" t="s">
        <v>7</v>
      </c>
      <c r="D4857" t="s">
        <v>33</v>
      </c>
      <c r="E4857" t="s">
        <v>6610</v>
      </c>
    </row>
    <row r="4858" spans="1:6" x14ac:dyDescent="0.25">
      <c r="A4858" t="str">
        <f>"301808808014"</f>
        <v>301808808014</v>
      </c>
      <c r="B4858" t="s">
        <v>6696</v>
      </c>
      <c r="C4858" t="s">
        <v>7</v>
      </c>
      <c r="D4858" t="s">
        <v>14</v>
      </c>
      <c r="E4858" t="s">
        <v>6610</v>
      </c>
    </row>
    <row r="4859" spans="1:6" x14ac:dyDescent="0.25">
      <c r="A4859" t="str">
        <f>"3025007589"</f>
        <v>3025007589</v>
      </c>
      <c r="B4859" t="s">
        <v>6697</v>
      </c>
      <c r="C4859" t="s">
        <v>7</v>
      </c>
      <c r="D4859" t="s">
        <v>12</v>
      </c>
      <c r="E4859" t="s">
        <v>6610</v>
      </c>
      <c r="F4859" t="s">
        <v>6698</v>
      </c>
    </row>
    <row r="4860" spans="1:6" x14ac:dyDescent="0.25">
      <c r="A4860" t="str">
        <f>"3025027553"</f>
        <v>3025027553</v>
      </c>
      <c r="B4860" t="s">
        <v>6699</v>
      </c>
      <c r="C4860" t="s">
        <v>7</v>
      </c>
      <c r="D4860" t="s">
        <v>12</v>
      </c>
      <c r="E4860" t="s">
        <v>6610</v>
      </c>
      <c r="F4860" t="s">
        <v>6700</v>
      </c>
    </row>
    <row r="4861" spans="1:6" x14ac:dyDescent="0.25">
      <c r="A4861" t="str">
        <f>"301607192656"</f>
        <v>301607192656</v>
      </c>
      <c r="B4861" t="s">
        <v>6701</v>
      </c>
      <c r="C4861" t="s">
        <v>7</v>
      </c>
      <c r="D4861" t="s">
        <v>14</v>
      </c>
      <c r="E4861" t="s">
        <v>6610</v>
      </c>
    </row>
    <row r="4862" spans="1:6" x14ac:dyDescent="0.25">
      <c r="A4862" t="str">
        <f>"301700225867"</f>
        <v>301700225867</v>
      </c>
      <c r="B4862" t="s">
        <v>6702</v>
      </c>
      <c r="C4862" t="s">
        <v>7</v>
      </c>
      <c r="D4862" t="s">
        <v>12</v>
      </c>
      <c r="E4862" t="s">
        <v>6610</v>
      </c>
    </row>
    <row r="4863" spans="1:6" x14ac:dyDescent="0.25">
      <c r="A4863" t="str">
        <f>"301700720406"</f>
        <v>301700720406</v>
      </c>
      <c r="B4863" t="s">
        <v>6703</v>
      </c>
      <c r="C4863" t="s">
        <v>7</v>
      </c>
      <c r="D4863" t="s">
        <v>12</v>
      </c>
      <c r="E4863" t="s">
        <v>6610</v>
      </c>
    </row>
    <row r="4864" spans="1:6" x14ac:dyDescent="0.25">
      <c r="A4864" t="str">
        <f>"3017051249"</f>
        <v>3017051249</v>
      </c>
      <c r="B4864" t="s">
        <v>6704</v>
      </c>
      <c r="C4864" t="s">
        <v>7</v>
      </c>
      <c r="D4864" t="s">
        <v>12</v>
      </c>
      <c r="E4864" t="s">
        <v>6610</v>
      </c>
      <c r="F4864" t="s">
        <v>6705</v>
      </c>
    </row>
    <row r="4865" spans="1:6" x14ac:dyDescent="0.25">
      <c r="A4865" t="str">
        <f>"3017062628"</f>
        <v>3017062628</v>
      </c>
      <c r="B4865" t="s">
        <v>6706</v>
      </c>
      <c r="C4865" t="s">
        <v>7</v>
      </c>
      <c r="D4865" t="s">
        <v>12</v>
      </c>
      <c r="E4865" t="s">
        <v>6610</v>
      </c>
      <c r="F4865" t="s">
        <v>6707</v>
      </c>
    </row>
    <row r="4866" spans="1:6" x14ac:dyDescent="0.25">
      <c r="A4866" t="str">
        <f>"301709171609"</f>
        <v>301709171609</v>
      </c>
      <c r="B4866" t="s">
        <v>6708</v>
      </c>
      <c r="C4866" t="s">
        <v>7</v>
      </c>
      <c r="D4866" t="s">
        <v>14</v>
      </c>
      <c r="E4866" t="s">
        <v>6610</v>
      </c>
    </row>
    <row r="4867" spans="1:6" x14ac:dyDescent="0.25">
      <c r="A4867" t="str">
        <f>"301712711519"</f>
        <v>301712711519</v>
      </c>
      <c r="B4867" t="s">
        <v>6709</v>
      </c>
      <c r="C4867" t="s">
        <v>7</v>
      </c>
      <c r="D4867" t="s">
        <v>14</v>
      </c>
      <c r="E4867" t="s">
        <v>6610</v>
      </c>
    </row>
    <row r="4868" spans="1:6" x14ac:dyDescent="0.25">
      <c r="A4868" t="str">
        <f>"301809822188"</f>
        <v>301809822188</v>
      </c>
      <c r="B4868" t="s">
        <v>6710</v>
      </c>
      <c r="C4868" t="s">
        <v>7</v>
      </c>
      <c r="D4868" t="s">
        <v>14</v>
      </c>
      <c r="E4868" t="s">
        <v>6610</v>
      </c>
    </row>
    <row r="4869" spans="1:6" x14ac:dyDescent="0.25">
      <c r="A4869" t="str">
        <f>"3025026743"</f>
        <v>3025026743</v>
      </c>
      <c r="B4869" t="s">
        <v>6099</v>
      </c>
      <c r="C4869" t="s">
        <v>7</v>
      </c>
      <c r="D4869" t="s">
        <v>12</v>
      </c>
      <c r="E4869" t="s">
        <v>6610</v>
      </c>
      <c r="F4869" t="s">
        <v>6711</v>
      </c>
    </row>
    <row r="4870" spans="1:6" x14ac:dyDescent="0.25">
      <c r="A4870" t="str">
        <f>"3017050661"</f>
        <v>3017050661</v>
      </c>
      <c r="B4870" t="s">
        <v>6712</v>
      </c>
      <c r="C4870" t="s">
        <v>7</v>
      </c>
      <c r="D4870" t="s">
        <v>12</v>
      </c>
      <c r="E4870" t="s">
        <v>6610</v>
      </c>
      <c r="F4870" t="s">
        <v>6713</v>
      </c>
    </row>
    <row r="4871" spans="1:6" x14ac:dyDescent="0.25">
      <c r="A4871" t="str">
        <f>"3017056695"</f>
        <v>3017056695</v>
      </c>
      <c r="B4871" t="s">
        <v>6714</v>
      </c>
      <c r="C4871" t="s">
        <v>7</v>
      </c>
      <c r="D4871" t="s">
        <v>12</v>
      </c>
      <c r="E4871" t="s">
        <v>6610</v>
      </c>
      <c r="F4871" t="s">
        <v>6715</v>
      </c>
    </row>
    <row r="4872" spans="1:6" x14ac:dyDescent="0.25">
      <c r="A4872" t="str">
        <f>"301710934069"</f>
        <v>301710934069</v>
      </c>
      <c r="B4872" t="s">
        <v>6716</v>
      </c>
      <c r="C4872" t="s">
        <v>7</v>
      </c>
      <c r="D4872" t="s">
        <v>14</v>
      </c>
      <c r="E4872" t="s">
        <v>6610</v>
      </c>
    </row>
    <row r="4873" spans="1:6" x14ac:dyDescent="0.25">
      <c r="A4873" t="str">
        <f>"301727190058"</f>
        <v>301727190058</v>
      </c>
      <c r="B4873" t="s">
        <v>6717</v>
      </c>
      <c r="C4873" t="s">
        <v>7</v>
      </c>
      <c r="D4873" t="s">
        <v>14</v>
      </c>
      <c r="E4873" t="s">
        <v>6610</v>
      </c>
    </row>
    <row r="4874" spans="1:6" x14ac:dyDescent="0.25">
      <c r="A4874" t="str">
        <f>"301800101248"</f>
        <v>301800101248</v>
      </c>
      <c r="B4874" t="s">
        <v>6718</v>
      </c>
      <c r="C4874" t="s">
        <v>7</v>
      </c>
      <c r="D4874" t="s">
        <v>14</v>
      </c>
      <c r="E4874" t="s">
        <v>6610</v>
      </c>
    </row>
    <row r="4875" spans="1:6" x14ac:dyDescent="0.25">
      <c r="A4875" t="str">
        <f>"301803947455"</f>
        <v>301803947455</v>
      </c>
      <c r="B4875" t="s">
        <v>6719</v>
      </c>
      <c r="C4875" t="s">
        <v>7</v>
      </c>
      <c r="D4875" t="s">
        <v>14</v>
      </c>
      <c r="E4875" t="s">
        <v>6610</v>
      </c>
    </row>
    <row r="4876" spans="1:6" x14ac:dyDescent="0.25">
      <c r="A4876" t="str">
        <f>"301805260146"</f>
        <v>301805260146</v>
      </c>
      <c r="B4876" t="s">
        <v>6720</v>
      </c>
      <c r="C4876" t="s">
        <v>7</v>
      </c>
      <c r="D4876" t="s">
        <v>12</v>
      </c>
      <c r="E4876" t="s">
        <v>6610</v>
      </c>
    </row>
    <row r="4877" spans="1:6" x14ac:dyDescent="0.25">
      <c r="A4877" t="str">
        <f>"301904326158"</f>
        <v>301904326158</v>
      </c>
      <c r="B4877" t="s">
        <v>6721</v>
      </c>
      <c r="C4877" t="s">
        <v>7</v>
      </c>
      <c r="D4877" t="s">
        <v>14</v>
      </c>
      <c r="E4877" t="s">
        <v>6610</v>
      </c>
    </row>
    <row r="4878" spans="1:6" x14ac:dyDescent="0.25">
      <c r="A4878" t="str">
        <f>"302201777575"</f>
        <v>302201777575</v>
      </c>
      <c r="B4878" t="s">
        <v>6722</v>
      </c>
      <c r="C4878" t="s">
        <v>7</v>
      </c>
      <c r="D4878" t="s">
        <v>14</v>
      </c>
      <c r="E4878" t="s">
        <v>6610</v>
      </c>
    </row>
    <row r="4879" spans="1:6" x14ac:dyDescent="0.25">
      <c r="A4879" t="str">
        <f>"3025029720"</f>
        <v>3025029720</v>
      </c>
      <c r="B4879" t="s">
        <v>6723</v>
      </c>
      <c r="C4879" t="s">
        <v>7</v>
      </c>
      <c r="D4879" t="s">
        <v>14</v>
      </c>
      <c r="E4879" t="s">
        <v>6610</v>
      </c>
      <c r="F4879" t="s">
        <v>6724</v>
      </c>
    </row>
    <row r="4880" spans="1:6" x14ac:dyDescent="0.25">
      <c r="A4880" t="str">
        <f>"920150008084"</f>
        <v>920150008084</v>
      </c>
      <c r="B4880" t="s">
        <v>6725</v>
      </c>
      <c r="C4880" t="s">
        <v>7</v>
      </c>
      <c r="D4880" t="s">
        <v>12</v>
      </c>
      <c r="E4880" t="s">
        <v>6610</v>
      </c>
    </row>
    <row r="4881" spans="1:6" x14ac:dyDescent="0.25">
      <c r="A4881" t="str">
        <f>"2522002980"</f>
        <v>2522002980</v>
      </c>
      <c r="B4881" t="s">
        <v>6726</v>
      </c>
      <c r="C4881" t="s">
        <v>7</v>
      </c>
      <c r="D4881" t="s">
        <v>189</v>
      </c>
      <c r="E4881" t="s">
        <v>6727</v>
      </c>
      <c r="F4881" t="s">
        <v>6728</v>
      </c>
    </row>
    <row r="4882" spans="1:6" x14ac:dyDescent="0.25">
      <c r="A4882" t="str">
        <f>"222106535569"</f>
        <v>222106535569</v>
      </c>
      <c r="B4882" t="s">
        <v>6729</v>
      </c>
      <c r="C4882" t="s">
        <v>7</v>
      </c>
      <c r="D4882" t="s">
        <v>14</v>
      </c>
      <c r="E4882" t="s">
        <v>6727</v>
      </c>
    </row>
    <row r="4883" spans="1:6" x14ac:dyDescent="0.25">
      <c r="A4883" t="str">
        <f>"262812211010"</f>
        <v>262812211010</v>
      </c>
      <c r="B4883" t="s">
        <v>6730</v>
      </c>
      <c r="C4883" t="s">
        <v>7</v>
      </c>
      <c r="D4883" t="s">
        <v>14</v>
      </c>
      <c r="E4883" t="s">
        <v>6727</v>
      </c>
    </row>
    <row r="4884" spans="1:6" x14ac:dyDescent="0.25">
      <c r="A4884" t="str">
        <f>"091229888106"</f>
        <v>091229888106</v>
      </c>
      <c r="B4884" t="s">
        <v>6731</v>
      </c>
      <c r="C4884" t="s">
        <v>7</v>
      </c>
      <c r="D4884" t="s">
        <v>14</v>
      </c>
      <c r="E4884" t="s">
        <v>6727</v>
      </c>
    </row>
    <row r="4885" spans="1:6" x14ac:dyDescent="0.25">
      <c r="A4885" t="str">
        <f>"490901652218"</f>
        <v>490901652218</v>
      </c>
      <c r="B4885" t="s">
        <v>6732</v>
      </c>
      <c r="C4885" t="s">
        <v>7</v>
      </c>
      <c r="D4885" t="s">
        <v>14</v>
      </c>
      <c r="E4885" t="s">
        <v>6727</v>
      </c>
    </row>
    <row r="4886" spans="1:6" x14ac:dyDescent="0.25">
      <c r="A4886" t="str">
        <f>"3100036704"</f>
        <v>3100036704</v>
      </c>
      <c r="B4886" t="s">
        <v>6733</v>
      </c>
      <c r="C4886" t="s">
        <v>7</v>
      </c>
      <c r="D4886" t="s">
        <v>98</v>
      </c>
      <c r="E4886" t="s">
        <v>6727</v>
      </c>
      <c r="F4886" t="s">
        <v>6734</v>
      </c>
    </row>
    <row r="4887" spans="1:6" x14ac:dyDescent="0.25">
      <c r="A4887" t="str">
        <f>"310302449044"</f>
        <v>310302449044</v>
      </c>
      <c r="B4887" t="s">
        <v>6735</v>
      </c>
      <c r="C4887" t="s">
        <v>7</v>
      </c>
      <c r="D4887" t="s">
        <v>14</v>
      </c>
      <c r="E4887" t="s">
        <v>6727</v>
      </c>
    </row>
    <row r="4888" spans="1:6" x14ac:dyDescent="0.25">
      <c r="A4888" t="str">
        <f>"312301856072"</f>
        <v>312301856072</v>
      </c>
      <c r="B4888" t="s">
        <v>6736</v>
      </c>
      <c r="C4888" t="s">
        <v>7</v>
      </c>
      <c r="D4888" t="s">
        <v>14</v>
      </c>
      <c r="E4888" t="s">
        <v>6727</v>
      </c>
    </row>
    <row r="4889" spans="1:6" x14ac:dyDescent="0.25">
      <c r="A4889" t="str">
        <f>"312303970623"</f>
        <v>312303970623</v>
      </c>
      <c r="B4889" t="s">
        <v>6737</v>
      </c>
      <c r="C4889" t="s">
        <v>7</v>
      </c>
      <c r="D4889" t="s">
        <v>12</v>
      </c>
      <c r="E4889" t="s">
        <v>6727</v>
      </c>
    </row>
    <row r="4890" spans="1:6" x14ac:dyDescent="0.25">
      <c r="A4890" t="str">
        <f>"3123145393"</f>
        <v>3123145393</v>
      </c>
      <c r="B4890" t="s">
        <v>6738</v>
      </c>
      <c r="C4890" t="s">
        <v>7</v>
      </c>
      <c r="D4890" t="s">
        <v>33</v>
      </c>
      <c r="E4890" t="s">
        <v>6727</v>
      </c>
      <c r="F4890" t="s">
        <v>6739</v>
      </c>
    </row>
    <row r="4891" spans="1:6" x14ac:dyDescent="0.25">
      <c r="A4891" t="str">
        <f>"312322907987"</f>
        <v>312322907987</v>
      </c>
      <c r="B4891" t="s">
        <v>6740</v>
      </c>
      <c r="C4891" t="s">
        <v>7</v>
      </c>
      <c r="D4891" t="s">
        <v>14</v>
      </c>
      <c r="E4891" t="s">
        <v>6727</v>
      </c>
    </row>
    <row r="4892" spans="1:6" x14ac:dyDescent="0.25">
      <c r="A4892" t="str">
        <f>"312326069888"</f>
        <v>312326069888</v>
      </c>
      <c r="B4892" t="s">
        <v>6741</v>
      </c>
      <c r="C4892" t="s">
        <v>7</v>
      </c>
      <c r="D4892" t="s">
        <v>14</v>
      </c>
      <c r="E4892" t="s">
        <v>6727</v>
      </c>
    </row>
    <row r="4893" spans="1:6" x14ac:dyDescent="0.25">
      <c r="A4893" t="str">
        <f>"3123327435"</f>
        <v>3123327435</v>
      </c>
      <c r="B4893" t="s">
        <v>6742</v>
      </c>
      <c r="C4893" t="s">
        <v>7</v>
      </c>
      <c r="D4893" t="s">
        <v>33</v>
      </c>
      <c r="E4893" t="s">
        <v>6727</v>
      </c>
      <c r="F4893" t="s">
        <v>6743</v>
      </c>
    </row>
    <row r="4894" spans="1:6" x14ac:dyDescent="0.25">
      <c r="A4894" t="str">
        <f>"3123460003"</f>
        <v>3123460003</v>
      </c>
      <c r="B4894" t="s">
        <v>6744</v>
      </c>
      <c r="C4894" t="s">
        <v>7</v>
      </c>
      <c r="D4894" t="s">
        <v>6745</v>
      </c>
      <c r="E4894" t="s">
        <v>6727</v>
      </c>
      <c r="F4894" t="s">
        <v>6746</v>
      </c>
    </row>
    <row r="4895" spans="1:6" x14ac:dyDescent="0.25">
      <c r="A4895" t="str">
        <f>"3126019245"</f>
        <v>3126019245</v>
      </c>
      <c r="B4895" t="s">
        <v>6747</v>
      </c>
      <c r="C4895" t="s">
        <v>7</v>
      </c>
      <c r="D4895" t="s">
        <v>14</v>
      </c>
      <c r="E4895" t="s">
        <v>6727</v>
      </c>
      <c r="F4895" t="s">
        <v>6748</v>
      </c>
    </row>
    <row r="4896" spans="1:6" x14ac:dyDescent="0.25">
      <c r="A4896" t="str">
        <f>"3128085010"</f>
        <v>3128085010</v>
      </c>
      <c r="B4896" t="s">
        <v>6749</v>
      </c>
      <c r="C4896" t="s">
        <v>7</v>
      </c>
      <c r="D4896" t="s">
        <v>14</v>
      </c>
      <c r="E4896" t="s">
        <v>6727</v>
      </c>
      <c r="F4896" t="s">
        <v>6750</v>
      </c>
    </row>
    <row r="4897" spans="1:6" x14ac:dyDescent="0.25">
      <c r="A4897" t="str">
        <f>"312814693641"</f>
        <v>312814693641</v>
      </c>
      <c r="B4897" t="s">
        <v>6751</v>
      </c>
      <c r="C4897" t="s">
        <v>7</v>
      </c>
      <c r="D4897" t="s">
        <v>14</v>
      </c>
      <c r="E4897" t="s">
        <v>6727</v>
      </c>
    </row>
    <row r="4898" spans="1:6" x14ac:dyDescent="0.25">
      <c r="A4898" t="str">
        <f>"312835855357"</f>
        <v>312835855357</v>
      </c>
      <c r="B4898" t="s">
        <v>6752</v>
      </c>
      <c r="C4898" t="s">
        <v>7</v>
      </c>
      <c r="D4898" t="s">
        <v>14</v>
      </c>
      <c r="E4898" t="s">
        <v>6727</v>
      </c>
    </row>
    <row r="4899" spans="1:6" x14ac:dyDescent="0.25">
      <c r="A4899" t="str">
        <f>"890509599072"</f>
        <v>890509599072</v>
      </c>
      <c r="B4899" t="s">
        <v>6753</v>
      </c>
      <c r="C4899" t="s">
        <v>7</v>
      </c>
      <c r="D4899" t="s">
        <v>14</v>
      </c>
      <c r="E4899" t="s">
        <v>6727</v>
      </c>
    </row>
    <row r="4900" spans="1:6" x14ac:dyDescent="0.25">
      <c r="A4900" t="str">
        <f>"310002287829"</f>
        <v>310002287829</v>
      </c>
      <c r="B4900" t="s">
        <v>6754</v>
      </c>
      <c r="C4900" t="s">
        <v>7</v>
      </c>
      <c r="D4900" t="s">
        <v>14</v>
      </c>
      <c r="E4900" t="s">
        <v>6727</v>
      </c>
    </row>
    <row r="4901" spans="1:6" x14ac:dyDescent="0.25">
      <c r="A4901" t="str">
        <f>"3100031865"</f>
        <v>3100031865</v>
      </c>
      <c r="B4901" t="s">
        <v>6755</v>
      </c>
      <c r="C4901" t="s">
        <v>7</v>
      </c>
      <c r="D4901" t="s">
        <v>12</v>
      </c>
      <c r="E4901" t="s">
        <v>6727</v>
      </c>
      <c r="F4901" t="s">
        <v>6756</v>
      </c>
    </row>
    <row r="4902" spans="1:6" x14ac:dyDescent="0.25">
      <c r="A4902" t="str">
        <f>"310200074854"</f>
        <v>310200074854</v>
      </c>
      <c r="B4902" t="s">
        <v>6757</v>
      </c>
      <c r="C4902" t="s">
        <v>7</v>
      </c>
      <c r="D4902" t="s">
        <v>14</v>
      </c>
      <c r="E4902" t="s">
        <v>6727</v>
      </c>
    </row>
    <row r="4903" spans="1:6" x14ac:dyDescent="0.25">
      <c r="A4903" t="str">
        <f>"3102005412"</f>
        <v>3102005412</v>
      </c>
      <c r="B4903" t="s">
        <v>6758</v>
      </c>
      <c r="C4903" t="s">
        <v>7</v>
      </c>
      <c r="D4903" t="s">
        <v>14</v>
      </c>
      <c r="E4903" t="s">
        <v>6727</v>
      </c>
      <c r="F4903" t="s">
        <v>6759</v>
      </c>
    </row>
    <row r="4904" spans="1:6" x14ac:dyDescent="0.25">
      <c r="A4904" t="str">
        <f>"310204579285"</f>
        <v>310204579285</v>
      </c>
      <c r="B4904" t="s">
        <v>6760</v>
      </c>
      <c r="C4904" t="s">
        <v>7</v>
      </c>
      <c r="D4904" t="s">
        <v>14</v>
      </c>
      <c r="E4904" t="s">
        <v>6727</v>
      </c>
    </row>
    <row r="4905" spans="1:6" x14ac:dyDescent="0.25">
      <c r="A4905" t="str">
        <f>"310300042119"</f>
        <v>310300042119</v>
      </c>
      <c r="B4905" t="s">
        <v>6761</v>
      </c>
      <c r="C4905" t="s">
        <v>7</v>
      </c>
      <c r="D4905" t="s">
        <v>14</v>
      </c>
      <c r="E4905" t="s">
        <v>6727</v>
      </c>
    </row>
    <row r="4906" spans="1:6" x14ac:dyDescent="0.25">
      <c r="A4906" t="str">
        <f>"310302402409"</f>
        <v>310302402409</v>
      </c>
      <c r="B4906" t="s">
        <v>6762</v>
      </c>
      <c r="C4906" t="s">
        <v>7</v>
      </c>
      <c r="D4906" t="s">
        <v>14</v>
      </c>
      <c r="E4906" t="s">
        <v>6727</v>
      </c>
    </row>
    <row r="4907" spans="1:6" x14ac:dyDescent="0.25">
      <c r="A4907" t="str">
        <f>"310500012979"</f>
        <v>310500012979</v>
      </c>
      <c r="B4907" t="s">
        <v>6763</v>
      </c>
      <c r="C4907" t="s">
        <v>7</v>
      </c>
      <c r="D4907" t="s">
        <v>14</v>
      </c>
      <c r="E4907" t="s">
        <v>6727</v>
      </c>
    </row>
    <row r="4908" spans="1:6" x14ac:dyDescent="0.25">
      <c r="A4908" t="str">
        <f>"310600008172"</f>
        <v>310600008172</v>
      </c>
      <c r="B4908" t="s">
        <v>6764</v>
      </c>
      <c r="C4908" t="s">
        <v>7</v>
      </c>
      <c r="D4908" t="s">
        <v>14</v>
      </c>
      <c r="E4908" t="s">
        <v>6727</v>
      </c>
    </row>
    <row r="4909" spans="1:6" x14ac:dyDescent="0.25">
      <c r="A4909" t="str">
        <f>"310803607051"</f>
        <v>310803607051</v>
      </c>
      <c r="B4909" t="s">
        <v>6765</v>
      </c>
      <c r="C4909" t="s">
        <v>7</v>
      </c>
      <c r="D4909" t="s">
        <v>14</v>
      </c>
      <c r="E4909" t="s">
        <v>6727</v>
      </c>
    </row>
    <row r="4910" spans="1:6" x14ac:dyDescent="0.25">
      <c r="A4910" t="str">
        <f>"310900225040"</f>
        <v>310900225040</v>
      </c>
      <c r="B4910" t="s">
        <v>6766</v>
      </c>
      <c r="C4910" t="s">
        <v>7</v>
      </c>
      <c r="D4910" t="s">
        <v>14</v>
      </c>
      <c r="E4910" t="s">
        <v>6727</v>
      </c>
    </row>
    <row r="4911" spans="1:6" x14ac:dyDescent="0.25">
      <c r="A4911" t="str">
        <f>"310902184400"</f>
        <v>310902184400</v>
      </c>
      <c r="B4911" t="s">
        <v>6767</v>
      </c>
      <c r="C4911" t="s">
        <v>7</v>
      </c>
      <c r="D4911" t="s">
        <v>14</v>
      </c>
      <c r="E4911" t="s">
        <v>6727</v>
      </c>
    </row>
    <row r="4912" spans="1:6" x14ac:dyDescent="0.25">
      <c r="A4912" t="str">
        <f>"311000317808"</f>
        <v>311000317808</v>
      </c>
      <c r="B4912" t="s">
        <v>6768</v>
      </c>
      <c r="C4912" t="s">
        <v>7</v>
      </c>
      <c r="D4912" t="s">
        <v>14</v>
      </c>
      <c r="E4912" t="s">
        <v>6727</v>
      </c>
    </row>
    <row r="4913" spans="1:6" x14ac:dyDescent="0.25">
      <c r="A4913" t="str">
        <f>"3110022757"</f>
        <v>3110022757</v>
      </c>
      <c r="B4913" t="s">
        <v>6769</v>
      </c>
      <c r="C4913" t="s">
        <v>7</v>
      </c>
      <c r="D4913" t="s">
        <v>14</v>
      </c>
      <c r="E4913" t="s">
        <v>6727</v>
      </c>
      <c r="F4913" t="s">
        <v>6770</v>
      </c>
    </row>
    <row r="4914" spans="1:6" x14ac:dyDescent="0.25">
      <c r="A4914" t="str">
        <f>"311102563665"</f>
        <v>311102563665</v>
      </c>
      <c r="B4914" t="s">
        <v>6771</v>
      </c>
      <c r="C4914" t="s">
        <v>7</v>
      </c>
      <c r="D4914" t="s">
        <v>14</v>
      </c>
      <c r="E4914" t="s">
        <v>6727</v>
      </c>
    </row>
    <row r="4915" spans="1:6" x14ac:dyDescent="0.25">
      <c r="A4915" t="str">
        <f>"311200459743"</f>
        <v>311200459743</v>
      </c>
      <c r="B4915" t="s">
        <v>6772</v>
      </c>
      <c r="C4915" t="s">
        <v>7</v>
      </c>
      <c r="D4915" t="s">
        <v>14</v>
      </c>
      <c r="E4915" t="s">
        <v>6727</v>
      </c>
    </row>
    <row r="4916" spans="1:6" x14ac:dyDescent="0.25">
      <c r="A4916" t="str">
        <f>"3114011900"</f>
        <v>3114011900</v>
      </c>
      <c r="B4916" t="s">
        <v>6773</v>
      </c>
      <c r="C4916" t="s">
        <v>7</v>
      </c>
      <c r="D4916" t="s">
        <v>14</v>
      </c>
      <c r="E4916" t="s">
        <v>6727</v>
      </c>
      <c r="F4916" t="s">
        <v>6774</v>
      </c>
    </row>
    <row r="4917" spans="1:6" x14ac:dyDescent="0.25">
      <c r="A4917" t="str">
        <f>"311700117949"</f>
        <v>311700117949</v>
      </c>
      <c r="B4917" t="s">
        <v>6775</v>
      </c>
      <c r="C4917" t="s">
        <v>7</v>
      </c>
      <c r="D4917" t="s">
        <v>14</v>
      </c>
      <c r="E4917" t="s">
        <v>6727</v>
      </c>
    </row>
    <row r="4918" spans="1:6" x14ac:dyDescent="0.25">
      <c r="A4918" t="str">
        <f>"311700653026"</f>
        <v>311700653026</v>
      </c>
      <c r="B4918" t="s">
        <v>6776</v>
      </c>
      <c r="C4918" t="s">
        <v>7</v>
      </c>
      <c r="D4918" t="s">
        <v>14</v>
      </c>
      <c r="E4918" t="s">
        <v>6727</v>
      </c>
    </row>
    <row r="4919" spans="1:6" x14ac:dyDescent="0.25">
      <c r="A4919" t="str">
        <f>"311902228289"</f>
        <v>311902228289</v>
      </c>
      <c r="B4919" t="s">
        <v>6777</v>
      </c>
      <c r="C4919" t="s">
        <v>7</v>
      </c>
      <c r="D4919" t="s">
        <v>14</v>
      </c>
      <c r="E4919" t="s">
        <v>6727</v>
      </c>
    </row>
    <row r="4920" spans="1:6" x14ac:dyDescent="0.25">
      <c r="A4920" t="str">
        <f>"312005534050"</f>
        <v>312005534050</v>
      </c>
      <c r="B4920" t="s">
        <v>6778</v>
      </c>
      <c r="C4920" t="s">
        <v>7</v>
      </c>
      <c r="D4920" t="s">
        <v>14</v>
      </c>
      <c r="E4920" t="s">
        <v>6727</v>
      </c>
    </row>
    <row r="4921" spans="1:6" x14ac:dyDescent="0.25">
      <c r="A4921" t="str">
        <f>"3120081769"</f>
        <v>3120081769</v>
      </c>
      <c r="B4921" t="s">
        <v>6779</v>
      </c>
      <c r="C4921" t="s">
        <v>7</v>
      </c>
      <c r="D4921" t="s">
        <v>14</v>
      </c>
      <c r="E4921" t="s">
        <v>6727</v>
      </c>
      <c r="F4921" t="s">
        <v>6780</v>
      </c>
    </row>
    <row r="4922" spans="1:6" x14ac:dyDescent="0.25">
      <c r="A4922" t="str">
        <f>"312101420271"</f>
        <v>312101420271</v>
      </c>
      <c r="B4922" t="s">
        <v>6781</v>
      </c>
      <c r="C4922" t="s">
        <v>7</v>
      </c>
      <c r="D4922" t="s">
        <v>14</v>
      </c>
      <c r="E4922" t="s">
        <v>6727</v>
      </c>
    </row>
    <row r="4923" spans="1:6" x14ac:dyDescent="0.25">
      <c r="A4923" t="str">
        <f>"3121181389"</f>
        <v>3121181389</v>
      </c>
      <c r="B4923" t="s">
        <v>6782</v>
      </c>
      <c r="C4923" t="s">
        <v>7</v>
      </c>
      <c r="D4923" t="s">
        <v>14</v>
      </c>
      <c r="E4923" t="s">
        <v>6727</v>
      </c>
      <c r="F4923" t="s">
        <v>6783</v>
      </c>
    </row>
    <row r="4924" spans="1:6" x14ac:dyDescent="0.25">
      <c r="A4924" t="str">
        <f>"312200105986"</f>
        <v>312200105986</v>
      </c>
      <c r="B4924" t="s">
        <v>6784</v>
      </c>
      <c r="C4924" t="s">
        <v>7</v>
      </c>
      <c r="D4924" t="s">
        <v>14</v>
      </c>
      <c r="E4924" t="s">
        <v>6727</v>
      </c>
    </row>
    <row r="4925" spans="1:6" x14ac:dyDescent="0.25">
      <c r="A4925" t="str">
        <f>"3122005851"</f>
        <v>3122005851</v>
      </c>
      <c r="B4925" t="s">
        <v>6785</v>
      </c>
      <c r="C4925" t="s">
        <v>7</v>
      </c>
      <c r="D4925" t="s">
        <v>12</v>
      </c>
      <c r="E4925" t="s">
        <v>6727</v>
      </c>
      <c r="F4925" t="s">
        <v>6786</v>
      </c>
    </row>
    <row r="4926" spans="1:6" x14ac:dyDescent="0.25">
      <c r="A4926" t="str">
        <f>"3123021704"</f>
        <v>3123021704</v>
      </c>
      <c r="B4926" t="s">
        <v>6787</v>
      </c>
      <c r="C4926" t="s">
        <v>7</v>
      </c>
      <c r="D4926" t="s">
        <v>14</v>
      </c>
      <c r="E4926" t="s">
        <v>6727</v>
      </c>
      <c r="F4926" t="s">
        <v>6788</v>
      </c>
    </row>
    <row r="4927" spans="1:6" x14ac:dyDescent="0.25">
      <c r="A4927" t="str">
        <f>"3123022874"</f>
        <v>3123022874</v>
      </c>
      <c r="B4927" t="s">
        <v>6789</v>
      </c>
      <c r="C4927" t="s">
        <v>7</v>
      </c>
      <c r="D4927" t="s">
        <v>14</v>
      </c>
      <c r="E4927" t="s">
        <v>6727</v>
      </c>
      <c r="F4927" t="s">
        <v>6790</v>
      </c>
    </row>
    <row r="4928" spans="1:6" x14ac:dyDescent="0.25">
      <c r="A4928" t="str">
        <f>"3100004780"</f>
        <v>3100004780</v>
      </c>
      <c r="B4928" t="s">
        <v>6791</v>
      </c>
      <c r="C4928" t="s">
        <v>7</v>
      </c>
      <c r="D4928" t="s">
        <v>14</v>
      </c>
      <c r="E4928" t="s">
        <v>6727</v>
      </c>
      <c r="F4928" t="s">
        <v>6792</v>
      </c>
    </row>
    <row r="4929" spans="1:6" x14ac:dyDescent="0.25">
      <c r="A4929" t="str">
        <f>"3100005248"</f>
        <v>3100005248</v>
      </c>
      <c r="B4929" t="s">
        <v>6793</v>
      </c>
      <c r="C4929" t="s">
        <v>7</v>
      </c>
      <c r="D4929" t="s">
        <v>33</v>
      </c>
      <c r="E4929" t="s">
        <v>6727</v>
      </c>
      <c r="F4929" t="s">
        <v>6794</v>
      </c>
    </row>
    <row r="4930" spans="1:6" x14ac:dyDescent="0.25">
      <c r="A4930" t="str">
        <f>"3100015581"</f>
        <v>3100015581</v>
      </c>
      <c r="B4930" t="s">
        <v>6795</v>
      </c>
      <c r="C4930" t="s">
        <v>7</v>
      </c>
      <c r="D4930" t="s">
        <v>674</v>
      </c>
      <c r="E4930" t="s">
        <v>6727</v>
      </c>
      <c r="F4930" t="s">
        <v>6796</v>
      </c>
    </row>
    <row r="4931" spans="1:6" x14ac:dyDescent="0.25">
      <c r="A4931" t="str">
        <f>"3100033774"</f>
        <v>3100033774</v>
      </c>
      <c r="B4931" t="s">
        <v>6797</v>
      </c>
      <c r="C4931" t="s">
        <v>7</v>
      </c>
      <c r="D4931" t="s">
        <v>12</v>
      </c>
      <c r="E4931" t="s">
        <v>6727</v>
      </c>
      <c r="F4931" t="s">
        <v>6798</v>
      </c>
    </row>
    <row r="4932" spans="1:6" x14ac:dyDescent="0.25">
      <c r="A4932" t="str">
        <f>"3100039504"</f>
        <v>3100039504</v>
      </c>
      <c r="B4932" t="s">
        <v>6799</v>
      </c>
      <c r="C4932" t="s">
        <v>7</v>
      </c>
      <c r="D4932" t="s">
        <v>14</v>
      </c>
      <c r="E4932" t="s">
        <v>6727</v>
      </c>
      <c r="F4932" t="s">
        <v>6800</v>
      </c>
    </row>
    <row r="4933" spans="1:6" x14ac:dyDescent="0.25">
      <c r="A4933" t="str">
        <f>"3102042502"</f>
        <v>3102042502</v>
      </c>
      <c r="B4933" t="s">
        <v>6801</v>
      </c>
      <c r="C4933" t="s">
        <v>7</v>
      </c>
      <c r="D4933" t="s">
        <v>33</v>
      </c>
      <c r="E4933" t="s">
        <v>6727</v>
      </c>
      <c r="F4933" t="s">
        <v>6802</v>
      </c>
    </row>
    <row r="4934" spans="1:6" x14ac:dyDescent="0.25">
      <c r="A4934" t="str">
        <f>"310206766700"</f>
        <v>310206766700</v>
      </c>
      <c r="B4934" t="s">
        <v>6803</v>
      </c>
      <c r="C4934" t="s">
        <v>7</v>
      </c>
      <c r="D4934" t="s">
        <v>12</v>
      </c>
      <c r="E4934" t="s">
        <v>6727</v>
      </c>
    </row>
    <row r="4935" spans="1:6" x14ac:dyDescent="0.25">
      <c r="A4935" t="str">
        <f>"310207459807"</f>
        <v>310207459807</v>
      </c>
      <c r="B4935" t="s">
        <v>6804</v>
      </c>
      <c r="C4935" t="s">
        <v>7</v>
      </c>
      <c r="D4935" t="s">
        <v>14</v>
      </c>
      <c r="E4935" t="s">
        <v>6727</v>
      </c>
    </row>
    <row r="4936" spans="1:6" x14ac:dyDescent="0.25">
      <c r="A4936" t="str">
        <f>"3102202883"</f>
        <v>3102202883</v>
      </c>
      <c r="B4936" t="s">
        <v>6805</v>
      </c>
      <c r="C4936" t="s">
        <v>7</v>
      </c>
      <c r="D4936" t="s">
        <v>8</v>
      </c>
      <c r="E4936" t="s">
        <v>6727</v>
      </c>
      <c r="F4936" t="s">
        <v>6806</v>
      </c>
    </row>
    <row r="4937" spans="1:6" x14ac:dyDescent="0.25">
      <c r="A4937" t="str">
        <f>"3102204464"</f>
        <v>3102204464</v>
      </c>
      <c r="B4937" t="s">
        <v>6807</v>
      </c>
      <c r="C4937" t="s">
        <v>7</v>
      </c>
      <c r="D4937" t="s">
        <v>12</v>
      </c>
      <c r="E4937" t="s">
        <v>6727</v>
      </c>
      <c r="F4937" t="s">
        <v>6808</v>
      </c>
    </row>
    <row r="4938" spans="1:6" x14ac:dyDescent="0.25">
      <c r="A4938" t="str">
        <f>"310301864591"</f>
        <v>310301864591</v>
      </c>
      <c r="B4938" t="s">
        <v>6809</v>
      </c>
      <c r="C4938" t="s">
        <v>7</v>
      </c>
      <c r="D4938" t="s">
        <v>14</v>
      </c>
      <c r="E4938" t="s">
        <v>6727</v>
      </c>
    </row>
    <row r="4939" spans="1:6" x14ac:dyDescent="0.25">
      <c r="A4939" t="str">
        <f>"311110330985"</f>
        <v>311110330985</v>
      </c>
      <c r="B4939" t="s">
        <v>6810</v>
      </c>
      <c r="C4939" t="s">
        <v>7</v>
      </c>
      <c r="D4939" t="s">
        <v>14</v>
      </c>
      <c r="E4939" t="s">
        <v>6727</v>
      </c>
    </row>
    <row r="4940" spans="1:6" x14ac:dyDescent="0.25">
      <c r="A4940" t="str">
        <f>"311111792340"</f>
        <v>311111792340</v>
      </c>
      <c r="B4940" t="s">
        <v>6811</v>
      </c>
      <c r="C4940" t="s">
        <v>7</v>
      </c>
      <c r="D4940" t="s">
        <v>14</v>
      </c>
      <c r="E4940" t="s">
        <v>6727</v>
      </c>
    </row>
    <row r="4941" spans="1:6" x14ac:dyDescent="0.25">
      <c r="A4941" t="str">
        <f>"311516213070"</f>
        <v>311516213070</v>
      </c>
      <c r="B4941" t="s">
        <v>6812</v>
      </c>
      <c r="C4941" t="s">
        <v>7</v>
      </c>
      <c r="D4941" t="s">
        <v>33</v>
      </c>
      <c r="E4941" t="s">
        <v>6727</v>
      </c>
    </row>
    <row r="4942" spans="1:6" x14ac:dyDescent="0.25">
      <c r="A4942" t="str">
        <f>"311601930624"</f>
        <v>311601930624</v>
      </c>
      <c r="B4942" t="s">
        <v>6813</v>
      </c>
      <c r="C4942" t="s">
        <v>7</v>
      </c>
      <c r="D4942" t="s">
        <v>14</v>
      </c>
      <c r="E4942" t="s">
        <v>6727</v>
      </c>
    </row>
    <row r="4943" spans="1:6" x14ac:dyDescent="0.25">
      <c r="A4943" t="str">
        <f>"311700875854"</f>
        <v>311700875854</v>
      </c>
      <c r="B4943" t="s">
        <v>6814</v>
      </c>
      <c r="C4943" t="s">
        <v>7</v>
      </c>
      <c r="D4943" t="s">
        <v>14</v>
      </c>
      <c r="E4943" t="s">
        <v>6727</v>
      </c>
    </row>
    <row r="4944" spans="1:6" x14ac:dyDescent="0.25">
      <c r="A4944" t="str">
        <f>"311701737889"</f>
        <v>311701737889</v>
      </c>
      <c r="B4944" t="s">
        <v>6815</v>
      </c>
      <c r="C4944" t="s">
        <v>7</v>
      </c>
      <c r="D4944" t="s">
        <v>14</v>
      </c>
      <c r="E4944" t="s">
        <v>6727</v>
      </c>
    </row>
    <row r="4945" spans="1:6" x14ac:dyDescent="0.25">
      <c r="A4945" t="str">
        <f>"3119006252"</f>
        <v>3119006252</v>
      </c>
      <c r="B4945" t="s">
        <v>483</v>
      </c>
      <c r="C4945" t="s">
        <v>7</v>
      </c>
      <c r="D4945" t="s">
        <v>14</v>
      </c>
      <c r="E4945" t="s">
        <v>6727</v>
      </c>
      <c r="F4945" t="s">
        <v>6816</v>
      </c>
    </row>
    <row r="4946" spans="1:6" x14ac:dyDescent="0.25">
      <c r="A4946" t="str">
        <f>"311901966004"</f>
        <v>311901966004</v>
      </c>
      <c r="B4946" t="s">
        <v>6817</v>
      </c>
      <c r="C4946" t="s">
        <v>7</v>
      </c>
      <c r="D4946" t="s">
        <v>14</v>
      </c>
      <c r="E4946" t="s">
        <v>6727</v>
      </c>
    </row>
    <row r="4947" spans="1:6" x14ac:dyDescent="0.25">
      <c r="A4947" t="str">
        <f>"312006084781"</f>
        <v>312006084781</v>
      </c>
      <c r="B4947" t="s">
        <v>6818</v>
      </c>
      <c r="C4947" t="s">
        <v>7</v>
      </c>
      <c r="D4947" t="s">
        <v>12</v>
      </c>
      <c r="E4947" t="s">
        <v>6727</v>
      </c>
    </row>
    <row r="4948" spans="1:6" x14ac:dyDescent="0.25">
      <c r="A4948" t="str">
        <f>"3121002431"</f>
        <v>3121002431</v>
      </c>
      <c r="B4948" t="s">
        <v>6819</v>
      </c>
      <c r="C4948" t="s">
        <v>7</v>
      </c>
      <c r="D4948" t="s">
        <v>14</v>
      </c>
      <c r="E4948" t="s">
        <v>6727</v>
      </c>
      <c r="F4948" t="s">
        <v>6820</v>
      </c>
    </row>
    <row r="4949" spans="1:6" x14ac:dyDescent="0.25">
      <c r="A4949" t="str">
        <f>"312251126286"</f>
        <v>312251126286</v>
      </c>
      <c r="B4949" t="s">
        <v>6821</v>
      </c>
      <c r="C4949" t="s">
        <v>7</v>
      </c>
      <c r="D4949" t="s">
        <v>12</v>
      </c>
      <c r="E4949" t="s">
        <v>6727</v>
      </c>
    </row>
    <row r="4950" spans="1:6" x14ac:dyDescent="0.25">
      <c r="A4950" t="str">
        <f>"3100040362"</f>
        <v>3100040362</v>
      </c>
      <c r="B4950" t="s">
        <v>6822</v>
      </c>
      <c r="C4950" t="s">
        <v>7</v>
      </c>
      <c r="D4950" t="s">
        <v>14</v>
      </c>
      <c r="E4950" t="s">
        <v>6727</v>
      </c>
      <c r="F4950" t="s">
        <v>6823</v>
      </c>
    </row>
    <row r="4951" spans="1:6" x14ac:dyDescent="0.25">
      <c r="A4951" t="str">
        <f>"3100044021"</f>
        <v>3100044021</v>
      </c>
      <c r="B4951" t="s">
        <v>6824</v>
      </c>
      <c r="C4951" t="s">
        <v>7</v>
      </c>
      <c r="D4951" t="s">
        <v>14</v>
      </c>
      <c r="E4951" t="s">
        <v>6727</v>
      </c>
      <c r="F4951" t="s">
        <v>6825</v>
      </c>
    </row>
    <row r="4952" spans="1:6" x14ac:dyDescent="0.25">
      <c r="A4952" t="str">
        <f>"3102023041"</f>
        <v>3102023041</v>
      </c>
      <c r="B4952" t="s">
        <v>6826</v>
      </c>
      <c r="C4952" t="s">
        <v>7</v>
      </c>
      <c r="D4952" t="s">
        <v>33</v>
      </c>
      <c r="E4952" t="s">
        <v>6727</v>
      </c>
      <c r="F4952" t="s">
        <v>6827</v>
      </c>
    </row>
    <row r="4953" spans="1:6" x14ac:dyDescent="0.25">
      <c r="A4953" t="str">
        <f>"3102039764"</f>
        <v>3102039764</v>
      </c>
      <c r="B4953" t="s">
        <v>6828</v>
      </c>
      <c r="C4953" t="s">
        <v>7</v>
      </c>
      <c r="D4953" t="s">
        <v>14</v>
      </c>
      <c r="E4953" t="s">
        <v>6727</v>
      </c>
      <c r="F4953" t="s">
        <v>6829</v>
      </c>
    </row>
    <row r="4954" spans="1:6" x14ac:dyDescent="0.25">
      <c r="A4954" t="str">
        <f>"310260906419"</f>
        <v>310260906419</v>
      </c>
      <c r="B4954" t="s">
        <v>6830</v>
      </c>
      <c r="C4954" t="s">
        <v>7</v>
      </c>
      <c r="D4954" t="s">
        <v>14</v>
      </c>
      <c r="E4954" t="s">
        <v>6727</v>
      </c>
    </row>
    <row r="4955" spans="1:6" x14ac:dyDescent="0.25">
      <c r="A4955" t="str">
        <f>"310300232215"</f>
        <v>310300232215</v>
      </c>
      <c r="B4955" t="s">
        <v>6831</v>
      </c>
      <c r="C4955" t="s">
        <v>7</v>
      </c>
      <c r="D4955" t="s">
        <v>14</v>
      </c>
      <c r="E4955" t="s">
        <v>6727</v>
      </c>
    </row>
    <row r="4956" spans="1:6" x14ac:dyDescent="0.25">
      <c r="A4956" t="str">
        <f>"310500011848"</f>
        <v>310500011848</v>
      </c>
      <c r="B4956" t="s">
        <v>6832</v>
      </c>
      <c r="C4956" t="s">
        <v>7</v>
      </c>
      <c r="D4956" t="s">
        <v>14</v>
      </c>
      <c r="E4956" t="s">
        <v>6727</v>
      </c>
    </row>
    <row r="4957" spans="1:6" x14ac:dyDescent="0.25">
      <c r="A4957" t="str">
        <f>"310501164501"</f>
        <v>310501164501</v>
      </c>
      <c r="B4957" t="s">
        <v>6833</v>
      </c>
      <c r="C4957" t="s">
        <v>7</v>
      </c>
      <c r="D4957" t="s">
        <v>14</v>
      </c>
      <c r="E4957" t="s">
        <v>6727</v>
      </c>
    </row>
    <row r="4958" spans="1:6" x14ac:dyDescent="0.25">
      <c r="A4958" t="str">
        <f>"310601611489"</f>
        <v>310601611489</v>
      </c>
      <c r="B4958" t="s">
        <v>6834</v>
      </c>
      <c r="C4958" t="s">
        <v>7</v>
      </c>
      <c r="D4958" t="s">
        <v>14</v>
      </c>
      <c r="E4958" t="s">
        <v>6727</v>
      </c>
    </row>
    <row r="4959" spans="1:6" x14ac:dyDescent="0.25">
      <c r="A4959" t="str">
        <f>"310602057658"</f>
        <v>310602057658</v>
      </c>
      <c r="B4959" t="s">
        <v>6835</v>
      </c>
      <c r="C4959" t="s">
        <v>7</v>
      </c>
      <c r="D4959" t="s">
        <v>14</v>
      </c>
      <c r="E4959" t="s">
        <v>6727</v>
      </c>
    </row>
    <row r="4960" spans="1:6" x14ac:dyDescent="0.25">
      <c r="A4960" t="str">
        <f>"310602242530"</f>
        <v>310602242530</v>
      </c>
      <c r="B4960" t="s">
        <v>6836</v>
      </c>
      <c r="C4960" t="s">
        <v>7</v>
      </c>
      <c r="D4960" t="s">
        <v>14</v>
      </c>
      <c r="E4960" t="s">
        <v>6727</v>
      </c>
    </row>
    <row r="4961" spans="1:5" x14ac:dyDescent="0.25">
      <c r="A4961" t="str">
        <f>"310802564158"</f>
        <v>310802564158</v>
      </c>
      <c r="B4961" t="s">
        <v>6837</v>
      </c>
      <c r="C4961" t="s">
        <v>7</v>
      </c>
      <c r="D4961" t="s">
        <v>14</v>
      </c>
      <c r="E4961" t="s">
        <v>6727</v>
      </c>
    </row>
    <row r="4962" spans="1:5" x14ac:dyDescent="0.25">
      <c r="A4962" t="str">
        <f>"310802779379"</f>
        <v>310802779379</v>
      </c>
      <c r="B4962" t="s">
        <v>6838</v>
      </c>
      <c r="C4962" t="s">
        <v>7</v>
      </c>
      <c r="D4962" t="s">
        <v>14</v>
      </c>
      <c r="E4962" t="s">
        <v>6727</v>
      </c>
    </row>
    <row r="4963" spans="1:5" x14ac:dyDescent="0.25">
      <c r="A4963" t="str">
        <f>"310804019694"</f>
        <v>310804019694</v>
      </c>
      <c r="B4963" t="s">
        <v>6839</v>
      </c>
      <c r="C4963" t="s">
        <v>7</v>
      </c>
      <c r="D4963" t="s">
        <v>14</v>
      </c>
      <c r="E4963" t="s">
        <v>6727</v>
      </c>
    </row>
    <row r="4964" spans="1:5" x14ac:dyDescent="0.25">
      <c r="A4964" t="str">
        <f>"311004217650"</f>
        <v>311004217650</v>
      </c>
      <c r="B4964" t="s">
        <v>6840</v>
      </c>
      <c r="C4964" t="s">
        <v>7</v>
      </c>
      <c r="D4964" t="s">
        <v>14</v>
      </c>
      <c r="E4964" t="s">
        <v>6727</v>
      </c>
    </row>
    <row r="4965" spans="1:5" x14ac:dyDescent="0.25">
      <c r="A4965" t="str">
        <f>"311902042580"</f>
        <v>311902042580</v>
      </c>
      <c r="B4965" t="s">
        <v>6841</v>
      </c>
      <c r="C4965" t="s">
        <v>7</v>
      </c>
      <c r="D4965" t="s">
        <v>14</v>
      </c>
      <c r="E4965" t="s">
        <v>6727</v>
      </c>
    </row>
    <row r="4966" spans="1:5" x14ac:dyDescent="0.25">
      <c r="A4966" t="str">
        <f>"312009076933"</f>
        <v>312009076933</v>
      </c>
      <c r="B4966" t="s">
        <v>6842</v>
      </c>
      <c r="C4966" t="s">
        <v>7</v>
      </c>
      <c r="D4966" t="s">
        <v>14</v>
      </c>
      <c r="E4966" t="s">
        <v>6727</v>
      </c>
    </row>
    <row r="4967" spans="1:5" x14ac:dyDescent="0.25">
      <c r="A4967" t="str">
        <f>"312202632787"</f>
        <v>312202632787</v>
      </c>
      <c r="B4967" t="s">
        <v>6843</v>
      </c>
      <c r="C4967" t="s">
        <v>7</v>
      </c>
      <c r="D4967" t="s">
        <v>14</v>
      </c>
      <c r="E4967" t="s">
        <v>6727</v>
      </c>
    </row>
    <row r="4968" spans="1:5" x14ac:dyDescent="0.25">
      <c r="A4968" t="str">
        <f>"312300215502"</f>
        <v>312300215502</v>
      </c>
      <c r="B4968" t="s">
        <v>6844</v>
      </c>
      <c r="C4968" t="s">
        <v>7</v>
      </c>
      <c r="D4968" t="s">
        <v>14</v>
      </c>
      <c r="E4968" t="s">
        <v>6727</v>
      </c>
    </row>
    <row r="4969" spans="1:5" x14ac:dyDescent="0.25">
      <c r="A4969" t="str">
        <f>"312300459386"</f>
        <v>312300459386</v>
      </c>
      <c r="B4969" t="s">
        <v>6845</v>
      </c>
      <c r="C4969" t="s">
        <v>7</v>
      </c>
      <c r="D4969" t="s">
        <v>14</v>
      </c>
      <c r="E4969" t="s">
        <v>6727</v>
      </c>
    </row>
    <row r="4970" spans="1:5" x14ac:dyDescent="0.25">
      <c r="A4970" t="str">
        <f>"312301296663"</f>
        <v>312301296663</v>
      </c>
      <c r="B4970" t="s">
        <v>6846</v>
      </c>
      <c r="C4970" t="s">
        <v>7</v>
      </c>
      <c r="D4970" t="s">
        <v>12</v>
      </c>
      <c r="E4970" t="s">
        <v>6727</v>
      </c>
    </row>
    <row r="4971" spans="1:5" x14ac:dyDescent="0.25">
      <c r="A4971" t="str">
        <f>"312301726475"</f>
        <v>312301726475</v>
      </c>
      <c r="B4971" t="s">
        <v>6847</v>
      </c>
      <c r="C4971" t="s">
        <v>7</v>
      </c>
      <c r="D4971" t="s">
        <v>14</v>
      </c>
      <c r="E4971" t="s">
        <v>6727</v>
      </c>
    </row>
    <row r="4972" spans="1:5" x14ac:dyDescent="0.25">
      <c r="A4972" t="str">
        <f>"312302386581"</f>
        <v>312302386581</v>
      </c>
      <c r="B4972" t="s">
        <v>6848</v>
      </c>
      <c r="C4972" t="s">
        <v>7</v>
      </c>
      <c r="D4972" t="s">
        <v>14</v>
      </c>
      <c r="E4972" t="s">
        <v>6727</v>
      </c>
    </row>
    <row r="4973" spans="1:5" x14ac:dyDescent="0.25">
      <c r="A4973" t="str">
        <f>"312303225185"</f>
        <v>312303225185</v>
      </c>
      <c r="B4973" t="s">
        <v>6849</v>
      </c>
      <c r="C4973" t="s">
        <v>7</v>
      </c>
      <c r="D4973" t="s">
        <v>14</v>
      </c>
      <c r="E4973" t="s">
        <v>6727</v>
      </c>
    </row>
    <row r="4974" spans="1:5" x14ac:dyDescent="0.25">
      <c r="A4974" t="str">
        <f>"312305162950"</f>
        <v>312305162950</v>
      </c>
      <c r="B4974" t="s">
        <v>6850</v>
      </c>
      <c r="C4974" t="s">
        <v>7</v>
      </c>
      <c r="D4974" t="s">
        <v>14</v>
      </c>
      <c r="E4974" t="s">
        <v>6727</v>
      </c>
    </row>
    <row r="4975" spans="1:5" x14ac:dyDescent="0.25">
      <c r="A4975" t="str">
        <f>"433801783415"</f>
        <v>433801783415</v>
      </c>
      <c r="B4975" t="s">
        <v>6851</v>
      </c>
      <c r="C4975" t="s">
        <v>7</v>
      </c>
      <c r="D4975" t="s">
        <v>14</v>
      </c>
      <c r="E4975" t="s">
        <v>6727</v>
      </c>
    </row>
    <row r="4976" spans="1:5" x14ac:dyDescent="0.25">
      <c r="A4976" t="str">
        <f>"312311687000"</f>
        <v>312311687000</v>
      </c>
      <c r="B4976" t="s">
        <v>6852</v>
      </c>
      <c r="C4976" t="s">
        <v>7</v>
      </c>
      <c r="D4976" t="s">
        <v>674</v>
      </c>
      <c r="E4976" t="s">
        <v>6727</v>
      </c>
    </row>
    <row r="4977" spans="1:6" x14ac:dyDescent="0.25">
      <c r="A4977" t="str">
        <f>"3123202732"</f>
        <v>3123202732</v>
      </c>
      <c r="B4977" t="s">
        <v>6853</v>
      </c>
      <c r="C4977" t="s">
        <v>7</v>
      </c>
      <c r="D4977" t="s">
        <v>12</v>
      </c>
      <c r="E4977" t="s">
        <v>6727</v>
      </c>
      <c r="F4977" t="s">
        <v>6854</v>
      </c>
    </row>
    <row r="4978" spans="1:6" x14ac:dyDescent="0.25">
      <c r="A4978" t="str">
        <f>"3123204480"</f>
        <v>3123204480</v>
      </c>
      <c r="B4978" t="s">
        <v>6855</v>
      </c>
      <c r="C4978" t="s">
        <v>7</v>
      </c>
      <c r="D4978" t="s">
        <v>12</v>
      </c>
      <c r="E4978" t="s">
        <v>6727</v>
      </c>
      <c r="F4978" t="s">
        <v>6856</v>
      </c>
    </row>
    <row r="4979" spans="1:6" x14ac:dyDescent="0.25">
      <c r="A4979" t="str">
        <f>"3123222866"</f>
        <v>3123222866</v>
      </c>
      <c r="B4979" t="s">
        <v>6857</v>
      </c>
      <c r="C4979" t="s">
        <v>7</v>
      </c>
      <c r="D4979" t="s">
        <v>33</v>
      </c>
      <c r="E4979" t="s">
        <v>6727</v>
      </c>
      <c r="F4979" t="s">
        <v>6858</v>
      </c>
    </row>
    <row r="4980" spans="1:6" x14ac:dyDescent="0.25">
      <c r="A4980" t="str">
        <f>"312328786143"</f>
        <v>312328786143</v>
      </c>
      <c r="B4980" t="s">
        <v>6859</v>
      </c>
      <c r="C4980" t="s">
        <v>7</v>
      </c>
      <c r="D4980" t="s">
        <v>14</v>
      </c>
      <c r="E4980" t="s">
        <v>6727</v>
      </c>
    </row>
    <row r="4981" spans="1:6" x14ac:dyDescent="0.25">
      <c r="A4981" t="str">
        <f>"3123297340"</f>
        <v>3123297340</v>
      </c>
      <c r="B4981" t="s">
        <v>6860</v>
      </c>
      <c r="C4981" t="s">
        <v>7</v>
      </c>
      <c r="D4981" t="s">
        <v>14</v>
      </c>
      <c r="E4981" t="s">
        <v>6727</v>
      </c>
      <c r="F4981" t="s">
        <v>6861</v>
      </c>
    </row>
    <row r="4982" spans="1:6" x14ac:dyDescent="0.25">
      <c r="A4982" t="str">
        <f>"3123322370"</f>
        <v>3123322370</v>
      </c>
      <c r="B4982" t="s">
        <v>6862</v>
      </c>
      <c r="C4982" t="s">
        <v>7</v>
      </c>
      <c r="D4982" t="s">
        <v>12</v>
      </c>
      <c r="E4982" t="s">
        <v>6727</v>
      </c>
      <c r="F4982" t="s">
        <v>6863</v>
      </c>
    </row>
    <row r="4983" spans="1:6" x14ac:dyDescent="0.25">
      <c r="A4983" t="str">
        <f>"3123325861"</f>
        <v>3123325861</v>
      </c>
      <c r="B4983" t="s">
        <v>6864</v>
      </c>
      <c r="C4983" t="s">
        <v>7</v>
      </c>
      <c r="D4983" t="s">
        <v>33</v>
      </c>
      <c r="E4983" t="s">
        <v>6727</v>
      </c>
      <c r="F4983" t="s">
        <v>6743</v>
      </c>
    </row>
    <row r="4984" spans="1:6" x14ac:dyDescent="0.25">
      <c r="A4984" t="str">
        <f>"3123337391"</f>
        <v>3123337391</v>
      </c>
      <c r="B4984" t="s">
        <v>6865</v>
      </c>
      <c r="C4984" t="s">
        <v>7</v>
      </c>
      <c r="D4984" t="s">
        <v>12</v>
      </c>
      <c r="E4984" t="s">
        <v>6727</v>
      </c>
      <c r="F4984" t="s">
        <v>6866</v>
      </c>
    </row>
    <row r="4985" spans="1:6" x14ac:dyDescent="0.25">
      <c r="A4985" t="str">
        <f>"3123345755"</f>
        <v>3123345755</v>
      </c>
      <c r="B4985" t="s">
        <v>6867</v>
      </c>
      <c r="C4985" t="s">
        <v>7</v>
      </c>
      <c r="D4985" t="s">
        <v>33</v>
      </c>
      <c r="E4985" t="s">
        <v>6727</v>
      </c>
      <c r="F4985" t="s">
        <v>6868</v>
      </c>
    </row>
    <row r="4986" spans="1:6" x14ac:dyDescent="0.25">
      <c r="A4986" t="str">
        <f>"3123359878"</f>
        <v>3123359878</v>
      </c>
      <c r="B4986" t="s">
        <v>3278</v>
      </c>
      <c r="C4986" t="s">
        <v>7</v>
      </c>
      <c r="D4986" t="s">
        <v>12</v>
      </c>
      <c r="E4986" t="s">
        <v>6727</v>
      </c>
      <c r="F4986" t="s">
        <v>6869</v>
      </c>
    </row>
    <row r="4987" spans="1:6" x14ac:dyDescent="0.25">
      <c r="A4987" t="str">
        <f>"3123376489"</f>
        <v>3123376489</v>
      </c>
      <c r="B4987" t="s">
        <v>6870</v>
      </c>
      <c r="C4987" t="s">
        <v>7</v>
      </c>
      <c r="D4987" t="s">
        <v>14</v>
      </c>
      <c r="E4987" t="s">
        <v>6727</v>
      </c>
      <c r="F4987" t="s">
        <v>6871</v>
      </c>
    </row>
    <row r="4988" spans="1:6" x14ac:dyDescent="0.25">
      <c r="A4988" t="str">
        <f>"312339420373"</f>
        <v>312339420373</v>
      </c>
      <c r="B4988" t="s">
        <v>6872</v>
      </c>
      <c r="C4988" t="s">
        <v>7</v>
      </c>
      <c r="D4988" t="s">
        <v>14</v>
      </c>
      <c r="E4988" t="s">
        <v>6727</v>
      </c>
    </row>
    <row r="4989" spans="1:6" x14ac:dyDescent="0.25">
      <c r="A4989" t="str">
        <f>"3123419132"</f>
        <v>3123419132</v>
      </c>
      <c r="B4989" t="s">
        <v>6873</v>
      </c>
      <c r="C4989" t="s">
        <v>7</v>
      </c>
      <c r="D4989" t="s">
        <v>12</v>
      </c>
      <c r="E4989" t="s">
        <v>6727</v>
      </c>
      <c r="F4989" t="s">
        <v>6874</v>
      </c>
    </row>
    <row r="4990" spans="1:6" x14ac:dyDescent="0.25">
      <c r="A4990" t="str">
        <f>"3123465900"</f>
        <v>3123465900</v>
      </c>
      <c r="B4990" t="s">
        <v>6875</v>
      </c>
      <c r="C4990" t="s">
        <v>7</v>
      </c>
      <c r="D4990" t="s">
        <v>14</v>
      </c>
      <c r="E4990" t="s">
        <v>6727</v>
      </c>
      <c r="F4990" t="s">
        <v>6876</v>
      </c>
    </row>
    <row r="4991" spans="1:6" x14ac:dyDescent="0.25">
      <c r="A4991" t="str">
        <f>"3123473299"</f>
        <v>3123473299</v>
      </c>
      <c r="B4991" t="s">
        <v>6877</v>
      </c>
      <c r="C4991" t="s">
        <v>7</v>
      </c>
      <c r="D4991" t="s">
        <v>14</v>
      </c>
      <c r="E4991" t="s">
        <v>6727</v>
      </c>
      <c r="F4991" t="s">
        <v>6878</v>
      </c>
    </row>
    <row r="4992" spans="1:6" x14ac:dyDescent="0.25">
      <c r="A4992" t="str">
        <f>"3123485960"</f>
        <v>3123485960</v>
      </c>
      <c r="B4992" t="s">
        <v>6879</v>
      </c>
      <c r="C4992" t="s">
        <v>7</v>
      </c>
      <c r="D4992" t="s">
        <v>33</v>
      </c>
      <c r="E4992" t="s">
        <v>6727</v>
      </c>
      <c r="F4992" t="s">
        <v>6880</v>
      </c>
    </row>
    <row r="4993" spans="1:6" x14ac:dyDescent="0.25">
      <c r="A4993" t="str">
        <f>"3127011383"</f>
        <v>3127011383</v>
      </c>
      <c r="B4993" t="s">
        <v>6881</v>
      </c>
      <c r="C4993" t="s">
        <v>7</v>
      </c>
      <c r="D4993" t="s">
        <v>12</v>
      </c>
      <c r="E4993" t="s">
        <v>6727</v>
      </c>
      <c r="F4993" t="s">
        <v>6882</v>
      </c>
    </row>
    <row r="4994" spans="1:6" x14ac:dyDescent="0.25">
      <c r="A4994" t="str">
        <f>"312703030600"</f>
        <v>312703030600</v>
      </c>
      <c r="B4994" t="s">
        <v>6883</v>
      </c>
      <c r="C4994" t="s">
        <v>7</v>
      </c>
      <c r="D4994" t="s">
        <v>14</v>
      </c>
      <c r="E4994" t="s">
        <v>6727</v>
      </c>
    </row>
    <row r="4995" spans="1:6" x14ac:dyDescent="0.25">
      <c r="A4995" t="str">
        <f>"312732694997"</f>
        <v>312732694997</v>
      </c>
      <c r="B4995" t="s">
        <v>6884</v>
      </c>
      <c r="C4995" t="s">
        <v>7</v>
      </c>
      <c r="D4995" t="s">
        <v>12</v>
      </c>
      <c r="E4995" t="s">
        <v>6727</v>
      </c>
    </row>
    <row r="4996" spans="1:6" x14ac:dyDescent="0.25">
      <c r="A4996" t="str">
        <f>"312800159609"</f>
        <v>312800159609</v>
      </c>
      <c r="B4996" t="s">
        <v>6885</v>
      </c>
      <c r="C4996" t="s">
        <v>7</v>
      </c>
      <c r="D4996" t="s">
        <v>14</v>
      </c>
      <c r="E4996" t="s">
        <v>6727</v>
      </c>
    </row>
    <row r="4997" spans="1:6" x14ac:dyDescent="0.25">
      <c r="A4997" t="str">
        <f>"3128048266"</f>
        <v>3128048266</v>
      </c>
      <c r="B4997" t="s">
        <v>6886</v>
      </c>
      <c r="C4997" t="s">
        <v>7</v>
      </c>
      <c r="D4997" t="s">
        <v>12</v>
      </c>
      <c r="E4997" t="s">
        <v>6727</v>
      </c>
      <c r="F4997" t="s">
        <v>6887</v>
      </c>
    </row>
    <row r="4998" spans="1:6" x14ac:dyDescent="0.25">
      <c r="A4998" t="str">
        <f>"312805118490"</f>
        <v>312805118490</v>
      </c>
      <c r="B4998" t="s">
        <v>6888</v>
      </c>
      <c r="C4998" t="s">
        <v>7</v>
      </c>
      <c r="D4998" t="s">
        <v>12</v>
      </c>
      <c r="E4998" t="s">
        <v>6727</v>
      </c>
    </row>
    <row r="4999" spans="1:6" x14ac:dyDescent="0.25">
      <c r="A4999" t="str">
        <f>"312808870099"</f>
        <v>312808870099</v>
      </c>
      <c r="B4999" t="s">
        <v>6889</v>
      </c>
      <c r="C4999" t="s">
        <v>7</v>
      </c>
      <c r="D4999" t="s">
        <v>14</v>
      </c>
      <c r="E4999" t="s">
        <v>6727</v>
      </c>
    </row>
    <row r="5000" spans="1:6" x14ac:dyDescent="0.25">
      <c r="A5000" t="str">
        <f>"3128096950"</f>
        <v>3128096950</v>
      </c>
      <c r="B5000" t="s">
        <v>6890</v>
      </c>
      <c r="C5000" t="s">
        <v>7</v>
      </c>
      <c r="D5000" t="s">
        <v>12</v>
      </c>
      <c r="E5000" t="s">
        <v>6727</v>
      </c>
      <c r="F5000" t="s">
        <v>6891</v>
      </c>
    </row>
    <row r="5001" spans="1:6" x14ac:dyDescent="0.25">
      <c r="A5001" t="str">
        <f>"3128099694"</f>
        <v>3128099694</v>
      </c>
      <c r="B5001" t="s">
        <v>4131</v>
      </c>
      <c r="C5001" t="s">
        <v>7</v>
      </c>
      <c r="D5001" t="s">
        <v>14</v>
      </c>
      <c r="E5001" t="s">
        <v>6727</v>
      </c>
      <c r="F5001" t="s">
        <v>6892</v>
      </c>
    </row>
    <row r="5002" spans="1:6" x14ac:dyDescent="0.25">
      <c r="A5002" t="str">
        <f>"3128109913"</f>
        <v>3128109913</v>
      </c>
      <c r="B5002" t="s">
        <v>6893</v>
      </c>
      <c r="C5002" t="s">
        <v>7</v>
      </c>
      <c r="D5002" t="s">
        <v>14</v>
      </c>
      <c r="E5002" t="s">
        <v>6727</v>
      </c>
      <c r="F5002" t="s">
        <v>6894</v>
      </c>
    </row>
    <row r="5003" spans="1:6" x14ac:dyDescent="0.25">
      <c r="A5003" t="str">
        <f>"3128117569"</f>
        <v>3128117569</v>
      </c>
      <c r="B5003" t="s">
        <v>6895</v>
      </c>
      <c r="C5003" t="s">
        <v>7</v>
      </c>
      <c r="D5003" t="s">
        <v>12</v>
      </c>
      <c r="E5003" t="s">
        <v>6727</v>
      </c>
      <c r="F5003" t="s">
        <v>6896</v>
      </c>
    </row>
    <row r="5004" spans="1:6" x14ac:dyDescent="0.25">
      <c r="A5004" t="str">
        <f>"3128142318"</f>
        <v>3128142318</v>
      </c>
      <c r="B5004" t="s">
        <v>6897</v>
      </c>
      <c r="C5004" t="s">
        <v>7</v>
      </c>
      <c r="D5004" t="s">
        <v>14</v>
      </c>
      <c r="E5004" t="s">
        <v>6727</v>
      </c>
      <c r="F5004" t="s">
        <v>6898</v>
      </c>
    </row>
    <row r="5005" spans="1:6" x14ac:dyDescent="0.25">
      <c r="A5005" t="str">
        <f>"312818951798"</f>
        <v>312818951798</v>
      </c>
      <c r="B5005" t="s">
        <v>6899</v>
      </c>
      <c r="C5005" t="s">
        <v>7</v>
      </c>
      <c r="D5005" t="s">
        <v>14</v>
      </c>
      <c r="E5005" t="s">
        <v>6727</v>
      </c>
    </row>
    <row r="5006" spans="1:6" x14ac:dyDescent="0.25">
      <c r="A5006" t="str">
        <f>"312825410849"</f>
        <v>312825410849</v>
      </c>
      <c r="B5006" t="s">
        <v>6900</v>
      </c>
      <c r="C5006" t="s">
        <v>7</v>
      </c>
      <c r="D5006" t="s">
        <v>14</v>
      </c>
      <c r="E5006" t="s">
        <v>6727</v>
      </c>
    </row>
    <row r="5007" spans="1:6" x14ac:dyDescent="0.25">
      <c r="A5007" t="str">
        <f>"312827656485"</f>
        <v>312827656485</v>
      </c>
      <c r="B5007" t="s">
        <v>6901</v>
      </c>
      <c r="C5007" t="s">
        <v>7</v>
      </c>
      <c r="D5007" t="s">
        <v>14</v>
      </c>
      <c r="E5007" t="s">
        <v>6727</v>
      </c>
    </row>
    <row r="5008" spans="1:6" x14ac:dyDescent="0.25">
      <c r="A5008" t="str">
        <f>"3123064024"</f>
        <v>3123064024</v>
      </c>
      <c r="B5008" t="s">
        <v>6902</v>
      </c>
      <c r="C5008" t="s">
        <v>7</v>
      </c>
      <c r="D5008" t="s">
        <v>12</v>
      </c>
      <c r="E5008" t="s">
        <v>6727</v>
      </c>
      <c r="F5008" t="s">
        <v>6903</v>
      </c>
    </row>
    <row r="5009" spans="1:6" x14ac:dyDescent="0.25">
      <c r="A5009" t="str">
        <f>"3123072829"</f>
        <v>3123072829</v>
      </c>
      <c r="B5009" t="s">
        <v>6904</v>
      </c>
      <c r="C5009" t="s">
        <v>7</v>
      </c>
      <c r="D5009" t="s">
        <v>33</v>
      </c>
      <c r="E5009" t="s">
        <v>6727</v>
      </c>
      <c r="F5009" t="s">
        <v>6905</v>
      </c>
    </row>
    <row r="5010" spans="1:6" x14ac:dyDescent="0.25">
      <c r="A5010" t="str">
        <f>"312308020495"</f>
        <v>312308020495</v>
      </c>
      <c r="B5010" t="s">
        <v>6906</v>
      </c>
      <c r="C5010" t="s">
        <v>7</v>
      </c>
      <c r="D5010" t="s">
        <v>14</v>
      </c>
      <c r="E5010" t="s">
        <v>6727</v>
      </c>
    </row>
    <row r="5011" spans="1:6" x14ac:dyDescent="0.25">
      <c r="A5011" t="str">
        <f>"3123102015"</f>
        <v>3123102015</v>
      </c>
      <c r="B5011" t="s">
        <v>2798</v>
      </c>
      <c r="C5011" t="s">
        <v>7</v>
      </c>
      <c r="D5011" t="s">
        <v>12</v>
      </c>
      <c r="E5011" t="s">
        <v>6727</v>
      </c>
      <c r="F5011" t="s">
        <v>6907</v>
      </c>
    </row>
    <row r="5012" spans="1:6" x14ac:dyDescent="0.25">
      <c r="A5012" t="str">
        <f>"3123163297"</f>
        <v>3123163297</v>
      </c>
      <c r="B5012" t="s">
        <v>6908</v>
      </c>
      <c r="C5012" t="s">
        <v>7</v>
      </c>
      <c r="D5012" t="s">
        <v>33</v>
      </c>
      <c r="E5012" t="s">
        <v>6727</v>
      </c>
      <c r="F5012" t="s">
        <v>6909</v>
      </c>
    </row>
    <row r="5013" spans="1:6" x14ac:dyDescent="0.25">
      <c r="A5013" t="str">
        <f>"3123183960"</f>
        <v>3123183960</v>
      </c>
      <c r="B5013" t="s">
        <v>6910</v>
      </c>
      <c r="C5013" t="s">
        <v>7</v>
      </c>
      <c r="D5013" t="s">
        <v>14</v>
      </c>
      <c r="E5013" t="s">
        <v>6727</v>
      </c>
      <c r="F5013" t="s">
        <v>6911</v>
      </c>
    </row>
    <row r="5014" spans="1:6" x14ac:dyDescent="0.25">
      <c r="A5014" t="str">
        <f>"3123204063"</f>
        <v>3123204063</v>
      </c>
      <c r="B5014" t="s">
        <v>6912</v>
      </c>
      <c r="C5014" t="s">
        <v>7</v>
      </c>
      <c r="D5014" t="s">
        <v>33</v>
      </c>
      <c r="E5014" t="s">
        <v>6727</v>
      </c>
      <c r="F5014" t="s">
        <v>6913</v>
      </c>
    </row>
    <row r="5015" spans="1:6" x14ac:dyDescent="0.25">
      <c r="A5015" t="str">
        <f>"3123225786"</f>
        <v>3123225786</v>
      </c>
      <c r="B5015" t="s">
        <v>6914</v>
      </c>
      <c r="C5015" t="s">
        <v>7</v>
      </c>
      <c r="D5015" t="s">
        <v>33</v>
      </c>
      <c r="E5015" t="s">
        <v>6727</v>
      </c>
      <c r="F5015" t="s">
        <v>6915</v>
      </c>
    </row>
    <row r="5016" spans="1:6" x14ac:dyDescent="0.25">
      <c r="A5016" t="str">
        <f>"312322836172"</f>
        <v>312322836172</v>
      </c>
      <c r="B5016" t="s">
        <v>6916</v>
      </c>
      <c r="C5016" t="s">
        <v>7</v>
      </c>
      <c r="D5016" t="s">
        <v>14</v>
      </c>
      <c r="E5016" t="s">
        <v>6727</v>
      </c>
    </row>
    <row r="5017" spans="1:6" x14ac:dyDescent="0.25">
      <c r="A5017" t="str">
        <f>"312326404744"</f>
        <v>312326404744</v>
      </c>
      <c r="B5017" t="s">
        <v>6917</v>
      </c>
      <c r="C5017" t="s">
        <v>7</v>
      </c>
      <c r="D5017" t="s">
        <v>12</v>
      </c>
      <c r="E5017" t="s">
        <v>6727</v>
      </c>
    </row>
    <row r="5018" spans="1:6" x14ac:dyDescent="0.25">
      <c r="A5018" t="str">
        <f>"312328199089"</f>
        <v>312328199089</v>
      </c>
      <c r="B5018" t="s">
        <v>6918</v>
      </c>
      <c r="C5018" t="s">
        <v>7</v>
      </c>
      <c r="D5018" t="s">
        <v>14</v>
      </c>
      <c r="E5018" t="s">
        <v>6727</v>
      </c>
    </row>
    <row r="5019" spans="1:6" x14ac:dyDescent="0.25">
      <c r="A5019" t="str">
        <f>"3123332731"</f>
        <v>3123332731</v>
      </c>
      <c r="B5019" t="s">
        <v>4879</v>
      </c>
      <c r="C5019" t="s">
        <v>7</v>
      </c>
      <c r="D5019" t="s">
        <v>33</v>
      </c>
      <c r="E5019" t="s">
        <v>6727</v>
      </c>
      <c r="F5019" t="s">
        <v>6919</v>
      </c>
    </row>
    <row r="5020" spans="1:6" x14ac:dyDescent="0.25">
      <c r="A5020" t="str">
        <f>"3123333799"</f>
        <v>3123333799</v>
      </c>
      <c r="B5020" t="s">
        <v>6920</v>
      </c>
      <c r="C5020" t="s">
        <v>7</v>
      </c>
      <c r="D5020" t="s">
        <v>14</v>
      </c>
      <c r="E5020" t="s">
        <v>6727</v>
      </c>
      <c r="F5020" t="s">
        <v>6921</v>
      </c>
    </row>
    <row r="5021" spans="1:6" x14ac:dyDescent="0.25">
      <c r="A5021" t="str">
        <f>"3123341180"</f>
        <v>3123341180</v>
      </c>
      <c r="B5021" t="s">
        <v>6922</v>
      </c>
      <c r="C5021" t="s">
        <v>7</v>
      </c>
      <c r="D5021" t="s">
        <v>33</v>
      </c>
      <c r="E5021" t="s">
        <v>6727</v>
      </c>
      <c r="F5021" t="s">
        <v>6923</v>
      </c>
    </row>
    <row r="5022" spans="1:6" x14ac:dyDescent="0.25">
      <c r="A5022" t="str">
        <f>"3123344487"</f>
        <v>3123344487</v>
      </c>
      <c r="B5022" t="s">
        <v>6924</v>
      </c>
      <c r="C5022" t="s">
        <v>7</v>
      </c>
      <c r="D5022" t="s">
        <v>33</v>
      </c>
      <c r="E5022" t="s">
        <v>6727</v>
      </c>
      <c r="F5022" t="s">
        <v>6925</v>
      </c>
    </row>
    <row r="5023" spans="1:6" x14ac:dyDescent="0.25">
      <c r="A5023" t="str">
        <f>"3123360993"</f>
        <v>3123360993</v>
      </c>
      <c r="B5023" t="s">
        <v>6926</v>
      </c>
      <c r="C5023" t="s">
        <v>7</v>
      </c>
      <c r="D5023" t="s">
        <v>14</v>
      </c>
      <c r="E5023" t="s">
        <v>6727</v>
      </c>
      <c r="F5023" t="s">
        <v>6927</v>
      </c>
    </row>
    <row r="5024" spans="1:6" x14ac:dyDescent="0.25">
      <c r="A5024" t="str">
        <f>"312336406469"</f>
        <v>312336406469</v>
      </c>
      <c r="B5024" t="s">
        <v>6928</v>
      </c>
      <c r="C5024" t="s">
        <v>7</v>
      </c>
      <c r="D5024" t="s">
        <v>14</v>
      </c>
      <c r="E5024" t="s">
        <v>6727</v>
      </c>
    </row>
    <row r="5025" spans="1:6" x14ac:dyDescent="0.25">
      <c r="A5025" t="str">
        <f>"3123365663"</f>
        <v>3123365663</v>
      </c>
      <c r="B5025" t="s">
        <v>5459</v>
      </c>
      <c r="C5025" t="s">
        <v>7</v>
      </c>
      <c r="D5025" t="s">
        <v>33</v>
      </c>
      <c r="E5025" t="s">
        <v>6727</v>
      </c>
      <c r="F5025" t="s">
        <v>6929</v>
      </c>
    </row>
    <row r="5026" spans="1:6" x14ac:dyDescent="0.25">
      <c r="A5026" t="str">
        <f>"312340160786"</f>
        <v>312340160786</v>
      </c>
      <c r="B5026" t="s">
        <v>6930</v>
      </c>
      <c r="C5026" t="s">
        <v>7</v>
      </c>
      <c r="D5026" t="s">
        <v>12</v>
      </c>
      <c r="E5026" t="s">
        <v>6727</v>
      </c>
    </row>
    <row r="5027" spans="1:6" x14ac:dyDescent="0.25">
      <c r="A5027" t="str">
        <f>"312347095624"</f>
        <v>312347095624</v>
      </c>
      <c r="B5027" t="s">
        <v>6931</v>
      </c>
      <c r="C5027" t="s">
        <v>7</v>
      </c>
      <c r="D5027" t="s">
        <v>674</v>
      </c>
      <c r="E5027" t="s">
        <v>6727</v>
      </c>
    </row>
    <row r="5028" spans="1:6" x14ac:dyDescent="0.25">
      <c r="A5028" t="str">
        <f>"3123475874"</f>
        <v>3123475874</v>
      </c>
      <c r="B5028" t="s">
        <v>6932</v>
      </c>
      <c r="C5028" t="s">
        <v>7</v>
      </c>
      <c r="D5028" t="s">
        <v>12</v>
      </c>
      <c r="E5028" t="s">
        <v>6727</v>
      </c>
      <c r="F5028" t="s">
        <v>6933</v>
      </c>
    </row>
    <row r="5029" spans="1:6" x14ac:dyDescent="0.25">
      <c r="A5029" t="str">
        <f>"312600091720"</f>
        <v>312600091720</v>
      </c>
      <c r="B5029" t="s">
        <v>6934</v>
      </c>
      <c r="C5029" t="s">
        <v>7</v>
      </c>
      <c r="D5029" t="s">
        <v>14</v>
      </c>
      <c r="E5029" t="s">
        <v>6727</v>
      </c>
    </row>
    <row r="5030" spans="1:6" x14ac:dyDescent="0.25">
      <c r="A5030" t="str">
        <f>"3126008042"</f>
        <v>3126008042</v>
      </c>
      <c r="B5030" t="s">
        <v>6935</v>
      </c>
      <c r="C5030" t="s">
        <v>7</v>
      </c>
      <c r="D5030" t="s">
        <v>14</v>
      </c>
      <c r="E5030" t="s">
        <v>6727</v>
      </c>
      <c r="F5030" t="s">
        <v>6936</v>
      </c>
    </row>
    <row r="5031" spans="1:6" x14ac:dyDescent="0.25">
      <c r="A5031" t="str">
        <f>"312603126900"</f>
        <v>312603126900</v>
      </c>
      <c r="B5031" t="s">
        <v>6937</v>
      </c>
      <c r="C5031" t="s">
        <v>7</v>
      </c>
      <c r="D5031" t="s">
        <v>14</v>
      </c>
      <c r="E5031" t="s">
        <v>6727</v>
      </c>
    </row>
    <row r="5032" spans="1:6" x14ac:dyDescent="0.25">
      <c r="A5032" t="str">
        <f>"312801844156"</f>
        <v>312801844156</v>
      </c>
      <c r="B5032" t="s">
        <v>6938</v>
      </c>
      <c r="C5032" t="s">
        <v>7</v>
      </c>
      <c r="D5032" t="s">
        <v>12</v>
      </c>
      <c r="E5032" t="s">
        <v>6727</v>
      </c>
    </row>
    <row r="5033" spans="1:6" x14ac:dyDescent="0.25">
      <c r="A5033" t="str">
        <f>"3128018945"</f>
        <v>3128018945</v>
      </c>
      <c r="B5033" t="s">
        <v>6939</v>
      </c>
      <c r="C5033" t="s">
        <v>7</v>
      </c>
      <c r="D5033" t="s">
        <v>14</v>
      </c>
      <c r="E5033" t="s">
        <v>6727</v>
      </c>
      <c r="F5033" t="s">
        <v>6940</v>
      </c>
    </row>
    <row r="5034" spans="1:6" x14ac:dyDescent="0.25">
      <c r="A5034" t="str">
        <f>"3128054615"</f>
        <v>3128054615</v>
      </c>
      <c r="B5034" t="s">
        <v>6941</v>
      </c>
      <c r="C5034" t="s">
        <v>7</v>
      </c>
      <c r="D5034" t="s">
        <v>14</v>
      </c>
      <c r="E5034" t="s">
        <v>6727</v>
      </c>
      <c r="F5034" t="s">
        <v>6942</v>
      </c>
    </row>
    <row r="5035" spans="1:6" x14ac:dyDescent="0.25">
      <c r="A5035" t="str">
        <f>"3128079553"</f>
        <v>3128079553</v>
      </c>
      <c r="B5035" t="s">
        <v>6943</v>
      </c>
      <c r="C5035" t="s">
        <v>7</v>
      </c>
      <c r="D5035" t="s">
        <v>14</v>
      </c>
      <c r="E5035" t="s">
        <v>6727</v>
      </c>
      <c r="F5035" t="s">
        <v>6944</v>
      </c>
    </row>
    <row r="5036" spans="1:6" x14ac:dyDescent="0.25">
      <c r="A5036" t="str">
        <f>"3128087314"</f>
        <v>3128087314</v>
      </c>
      <c r="B5036" t="s">
        <v>6945</v>
      </c>
      <c r="C5036" t="s">
        <v>7</v>
      </c>
      <c r="D5036" t="s">
        <v>14</v>
      </c>
      <c r="E5036" t="s">
        <v>6727</v>
      </c>
      <c r="F5036" t="s">
        <v>6946</v>
      </c>
    </row>
    <row r="5037" spans="1:6" x14ac:dyDescent="0.25">
      <c r="A5037" t="str">
        <f>"312822495700"</f>
        <v>312822495700</v>
      </c>
      <c r="B5037" t="s">
        <v>6947</v>
      </c>
      <c r="C5037" t="s">
        <v>7</v>
      </c>
      <c r="D5037" t="s">
        <v>12</v>
      </c>
      <c r="E5037" t="s">
        <v>6727</v>
      </c>
    </row>
    <row r="5038" spans="1:6" x14ac:dyDescent="0.25">
      <c r="A5038" t="str">
        <f>"3123168136"</f>
        <v>3123168136</v>
      </c>
      <c r="B5038" t="s">
        <v>6948</v>
      </c>
      <c r="C5038" t="s">
        <v>7</v>
      </c>
      <c r="D5038" t="s">
        <v>12</v>
      </c>
      <c r="E5038" t="s">
        <v>6727</v>
      </c>
      <c r="F5038" t="s">
        <v>6949</v>
      </c>
    </row>
    <row r="5039" spans="1:6" x14ac:dyDescent="0.25">
      <c r="A5039" t="str">
        <f>"3123168714"</f>
        <v>3123168714</v>
      </c>
      <c r="B5039" t="s">
        <v>6950</v>
      </c>
      <c r="C5039" t="s">
        <v>7</v>
      </c>
      <c r="D5039" t="s">
        <v>33</v>
      </c>
      <c r="E5039" t="s">
        <v>6727</v>
      </c>
      <c r="F5039" t="s">
        <v>6951</v>
      </c>
    </row>
    <row r="5040" spans="1:6" x14ac:dyDescent="0.25">
      <c r="A5040" t="str">
        <f>"3123169651"</f>
        <v>3123169651</v>
      </c>
      <c r="B5040" t="s">
        <v>6952</v>
      </c>
      <c r="C5040" t="s">
        <v>7</v>
      </c>
      <c r="D5040" t="s">
        <v>12</v>
      </c>
      <c r="E5040" t="s">
        <v>6727</v>
      </c>
      <c r="F5040" t="s">
        <v>6953</v>
      </c>
    </row>
    <row r="5041" spans="1:6" x14ac:dyDescent="0.25">
      <c r="A5041" t="str">
        <f>"312317544086"</f>
        <v>312317544086</v>
      </c>
      <c r="B5041" t="s">
        <v>6954</v>
      </c>
      <c r="C5041" t="s">
        <v>7</v>
      </c>
      <c r="D5041" t="s">
        <v>14</v>
      </c>
      <c r="E5041" t="s">
        <v>6727</v>
      </c>
    </row>
    <row r="5042" spans="1:6" x14ac:dyDescent="0.25">
      <c r="A5042" t="str">
        <f>"3123206776"</f>
        <v>3123206776</v>
      </c>
      <c r="B5042" t="s">
        <v>6955</v>
      </c>
      <c r="C5042" t="s">
        <v>7</v>
      </c>
      <c r="D5042" t="s">
        <v>14</v>
      </c>
      <c r="E5042" t="s">
        <v>6727</v>
      </c>
      <c r="F5042" t="s">
        <v>6956</v>
      </c>
    </row>
    <row r="5043" spans="1:6" x14ac:dyDescent="0.25">
      <c r="A5043" t="str">
        <f>"312323098190"</f>
        <v>312323098190</v>
      </c>
      <c r="B5043" t="s">
        <v>6957</v>
      </c>
      <c r="C5043" t="s">
        <v>7</v>
      </c>
      <c r="D5043" t="s">
        <v>14</v>
      </c>
      <c r="E5043" t="s">
        <v>6727</v>
      </c>
    </row>
    <row r="5044" spans="1:6" x14ac:dyDescent="0.25">
      <c r="A5044" t="str">
        <f>"3123233603"</f>
        <v>3123233603</v>
      </c>
      <c r="B5044" t="s">
        <v>6958</v>
      </c>
      <c r="C5044" t="s">
        <v>7</v>
      </c>
      <c r="D5044" t="s">
        <v>12</v>
      </c>
      <c r="E5044" t="s">
        <v>6727</v>
      </c>
      <c r="F5044" t="s">
        <v>6959</v>
      </c>
    </row>
    <row r="5045" spans="1:6" x14ac:dyDescent="0.25">
      <c r="A5045" t="str">
        <f>"3123302536"</f>
        <v>3123302536</v>
      </c>
      <c r="B5045" t="s">
        <v>6960</v>
      </c>
      <c r="C5045" t="s">
        <v>7</v>
      </c>
      <c r="D5045" t="s">
        <v>33</v>
      </c>
      <c r="E5045" t="s">
        <v>6727</v>
      </c>
      <c r="F5045" t="s">
        <v>6961</v>
      </c>
    </row>
    <row r="5046" spans="1:6" x14ac:dyDescent="0.25">
      <c r="A5046" t="str">
        <f>"3123331939"</f>
        <v>3123331939</v>
      </c>
      <c r="B5046" t="s">
        <v>6962</v>
      </c>
      <c r="C5046" t="s">
        <v>7</v>
      </c>
      <c r="D5046" t="s">
        <v>12</v>
      </c>
      <c r="E5046" t="s">
        <v>6727</v>
      </c>
      <c r="F5046" t="s">
        <v>6963</v>
      </c>
    </row>
    <row r="5047" spans="1:6" x14ac:dyDescent="0.25">
      <c r="A5047" t="str">
        <f>"3123359490"</f>
        <v>3123359490</v>
      </c>
      <c r="B5047" t="s">
        <v>6964</v>
      </c>
      <c r="C5047" t="s">
        <v>7</v>
      </c>
      <c r="D5047" t="s">
        <v>33</v>
      </c>
      <c r="E5047" t="s">
        <v>6727</v>
      </c>
      <c r="F5047" t="s">
        <v>6965</v>
      </c>
    </row>
    <row r="5048" spans="1:6" x14ac:dyDescent="0.25">
      <c r="A5048" t="str">
        <f>"3123393808"</f>
        <v>3123393808</v>
      </c>
      <c r="B5048" t="s">
        <v>6966</v>
      </c>
      <c r="C5048" t="s">
        <v>7</v>
      </c>
      <c r="D5048" t="s">
        <v>33</v>
      </c>
      <c r="E5048" t="s">
        <v>6727</v>
      </c>
      <c r="F5048" t="s">
        <v>6967</v>
      </c>
    </row>
    <row r="5049" spans="1:6" x14ac:dyDescent="0.25">
      <c r="A5049" t="str">
        <f>"312340370920"</f>
        <v>312340370920</v>
      </c>
      <c r="B5049" t="s">
        <v>6968</v>
      </c>
      <c r="C5049" t="s">
        <v>7</v>
      </c>
      <c r="D5049" t="s">
        <v>12</v>
      </c>
      <c r="E5049" t="s">
        <v>6727</v>
      </c>
    </row>
    <row r="5050" spans="1:6" x14ac:dyDescent="0.25">
      <c r="A5050" t="str">
        <f>"3123423499"</f>
        <v>3123423499</v>
      </c>
      <c r="B5050" t="s">
        <v>6969</v>
      </c>
      <c r="C5050" t="s">
        <v>7</v>
      </c>
      <c r="D5050" t="s">
        <v>189</v>
      </c>
      <c r="E5050" t="s">
        <v>6727</v>
      </c>
      <c r="F5050" t="s">
        <v>6970</v>
      </c>
    </row>
    <row r="5051" spans="1:6" x14ac:dyDescent="0.25">
      <c r="A5051" t="str">
        <f>"3123436346"</f>
        <v>3123436346</v>
      </c>
      <c r="B5051" t="s">
        <v>6971</v>
      </c>
      <c r="C5051" t="s">
        <v>7</v>
      </c>
      <c r="D5051" t="s">
        <v>14</v>
      </c>
      <c r="E5051" t="s">
        <v>6727</v>
      </c>
      <c r="F5051" t="s">
        <v>6972</v>
      </c>
    </row>
    <row r="5052" spans="1:6" x14ac:dyDescent="0.25">
      <c r="A5052" t="str">
        <f>"3123448077"</f>
        <v>3123448077</v>
      </c>
      <c r="B5052" t="s">
        <v>6973</v>
      </c>
      <c r="C5052" t="s">
        <v>7</v>
      </c>
      <c r="D5052" t="s">
        <v>33</v>
      </c>
      <c r="E5052" t="s">
        <v>6727</v>
      </c>
      <c r="F5052" t="s">
        <v>6974</v>
      </c>
    </row>
    <row r="5053" spans="1:6" x14ac:dyDescent="0.25">
      <c r="A5053" t="str">
        <f>"312345141307"</f>
        <v>312345141307</v>
      </c>
      <c r="B5053" t="s">
        <v>6975</v>
      </c>
      <c r="C5053" t="s">
        <v>7</v>
      </c>
      <c r="D5053" t="s">
        <v>14</v>
      </c>
      <c r="E5053" t="s">
        <v>6727</v>
      </c>
    </row>
    <row r="5054" spans="1:6" x14ac:dyDescent="0.25">
      <c r="A5054" t="str">
        <f>"3123461046"</f>
        <v>3123461046</v>
      </c>
      <c r="B5054" t="s">
        <v>6976</v>
      </c>
      <c r="C5054" t="s">
        <v>7</v>
      </c>
      <c r="D5054" t="s">
        <v>33</v>
      </c>
      <c r="E5054" t="s">
        <v>6727</v>
      </c>
      <c r="F5054" t="s">
        <v>6977</v>
      </c>
    </row>
    <row r="5055" spans="1:6" x14ac:dyDescent="0.25">
      <c r="A5055" t="str">
        <f>"312600152324"</f>
        <v>312600152324</v>
      </c>
      <c r="B5055" t="s">
        <v>6978</v>
      </c>
      <c r="C5055" t="s">
        <v>7</v>
      </c>
      <c r="D5055" t="s">
        <v>14</v>
      </c>
      <c r="E5055" t="s">
        <v>6727</v>
      </c>
    </row>
    <row r="5056" spans="1:6" x14ac:dyDescent="0.25">
      <c r="A5056" t="str">
        <f>"3126015360"</f>
        <v>3126015360</v>
      </c>
      <c r="B5056" t="s">
        <v>6979</v>
      </c>
      <c r="C5056" t="s">
        <v>7</v>
      </c>
      <c r="D5056" t="s">
        <v>14</v>
      </c>
      <c r="E5056" t="s">
        <v>6727</v>
      </c>
      <c r="F5056" t="s">
        <v>6980</v>
      </c>
    </row>
    <row r="5057" spans="1:6" x14ac:dyDescent="0.25">
      <c r="A5057" t="str">
        <f>"3126021163"</f>
        <v>3126021163</v>
      </c>
      <c r="B5057" t="s">
        <v>2697</v>
      </c>
      <c r="C5057" t="s">
        <v>7</v>
      </c>
      <c r="D5057" t="s">
        <v>14</v>
      </c>
      <c r="E5057" t="s">
        <v>6727</v>
      </c>
      <c r="F5057" t="s">
        <v>6981</v>
      </c>
    </row>
    <row r="5058" spans="1:6" x14ac:dyDescent="0.25">
      <c r="A5058" t="str">
        <f>"312605821681"</f>
        <v>312605821681</v>
      </c>
      <c r="B5058" t="s">
        <v>6982</v>
      </c>
      <c r="C5058" t="s">
        <v>7</v>
      </c>
      <c r="D5058" t="s">
        <v>14</v>
      </c>
      <c r="E5058" t="s">
        <v>6727</v>
      </c>
    </row>
    <row r="5059" spans="1:6" x14ac:dyDescent="0.25">
      <c r="A5059" t="str">
        <f>"3127009200"</f>
        <v>3127009200</v>
      </c>
      <c r="B5059" t="s">
        <v>6983</v>
      </c>
      <c r="C5059" t="s">
        <v>7</v>
      </c>
      <c r="D5059" t="s">
        <v>14</v>
      </c>
      <c r="E5059" t="s">
        <v>6727</v>
      </c>
      <c r="F5059" t="s">
        <v>6984</v>
      </c>
    </row>
    <row r="5060" spans="1:6" x14ac:dyDescent="0.25">
      <c r="A5060" t="str">
        <f>"312730005306"</f>
        <v>312730005306</v>
      </c>
      <c r="B5060" t="s">
        <v>6985</v>
      </c>
      <c r="C5060" t="s">
        <v>7</v>
      </c>
      <c r="D5060" t="s">
        <v>14</v>
      </c>
      <c r="E5060" t="s">
        <v>6727</v>
      </c>
    </row>
    <row r="5061" spans="1:6" x14ac:dyDescent="0.25">
      <c r="A5061" t="str">
        <f>"312772507499"</f>
        <v>312772507499</v>
      </c>
      <c r="B5061" t="s">
        <v>6986</v>
      </c>
      <c r="C5061" t="s">
        <v>7</v>
      </c>
      <c r="D5061" t="s">
        <v>14</v>
      </c>
      <c r="E5061" t="s">
        <v>6727</v>
      </c>
    </row>
    <row r="5062" spans="1:6" x14ac:dyDescent="0.25">
      <c r="A5062" t="str">
        <f>"3128061130"</f>
        <v>3128061130</v>
      </c>
      <c r="B5062" t="s">
        <v>6987</v>
      </c>
      <c r="C5062" t="s">
        <v>7</v>
      </c>
      <c r="D5062" t="s">
        <v>14</v>
      </c>
      <c r="E5062" t="s">
        <v>6727</v>
      </c>
      <c r="F5062" t="s">
        <v>6750</v>
      </c>
    </row>
    <row r="5063" spans="1:6" x14ac:dyDescent="0.25">
      <c r="A5063" t="str">
        <f>"3128070335"</f>
        <v>3128070335</v>
      </c>
      <c r="B5063" t="s">
        <v>6988</v>
      </c>
      <c r="C5063" t="s">
        <v>7</v>
      </c>
      <c r="D5063" t="s">
        <v>98</v>
      </c>
      <c r="E5063" t="s">
        <v>6727</v>
      </c>
      <c r="F5063" t="s">
        <v>6989</v>
      </c>
    </row>
    <row r="5064" spans="1:6" x14ac:dyDescent="0.25">
      <c r="A5064" t="str">
        <f>"312807273808"</f>
        <v>312807273808</v>
      </c>
      <c r="B5064" t="s">
        <v>6990</v>
      </c>
      <c r="C5064" t="s">
        <v>7</v>
      </c>
      <c r="D5064" t="s">
        <v>14</v>
      </c>
      <c r="E5064" t="s">
        <v>6727</v>
      </c>
    </row>
    <row r="5065" spans="1:6" x14ac:dyDescent="0.25">
      <c r="A5065" t="str">
        <f>"3128073343"</f>
        <v>3128073343</v>
      </c>
      <c r="B5065" t="s">
        <v>6991</v>
      </c>
      <c r="C5065" t="s">
        <v>7</v>
      </c>
      <c r="D5065" t="s">
        <v>14</v>
      </c>
      <c r="E5065" t="s">
        <v>6727</v>
      </c>
      <c r="F5065" t="s">
        <v>6946</v>
      </c>
    </row>
    <row r="5066" spans="1:6" x14ac:dyDescent="0.25">
      <c r="A5066" t="str">
        <f>"312818002334"</f>
        <v>312818002334</v>
      </c>
      <c r="B5066" t="s">
        <v>6992</v>
      </c>
      <c r="C5066" t="s">
        <v>7</v>
      </c>
      <c r="D5066" t="s">
        <v>14</v>
      </c>
      <c r="E5066" t="s">
        <v>6727</v>
      </c>
    </row>
    <row r="5067" spans="1:6" x14ac:dyDescent="0.25">
      <c r="A5067" t="str">
        <f>"312818310233"</f>
        <v>312818310233</v>
      </c>
      <c r="B5067" t="s">
        <v>6993</v>
      </c>
      <c r="C5067" t="s">
        <v>7</v>
      </c>
      <c r="D5067" t="s">
        <v>14</v>
      </c>
      <c r="E5067" t="s">
        <v>6727</v>
      </c>
    </row>
    <row r="5068" spans="1:6" x14ac:dyDescent="0.25">
      <c r="A5068" t="str">
        <f>"312821055142"</f>
        <v>312821055142</v>
      </c>
      <c r="B5068" t="s">
        <v>6994</v>
      </c>
      <c r="C5068" t="s">
        <v>7</v>
      </c>
      <c r="D5068" t="s">
        <v>33</v>
      </c>
      <c r="E5068" t="s">
        <v>6727</v>
      </c>
    </row>
    <row r="5069" spans="1:6" x14ac:dyDescent="0.25">
      <c r="A5069" t="str">
        <f>"312823003397"</f>
        <v>312823003397</v>
      </c>
      <c r="B5069" t="s">
        <v>6995</v>
      </c>
      <c r="C5069" t="s">
        <v>7</v>
      </c>
      <c r="D5069" t="s">
        <v>14</v>
      </c>
      <c r="E5069" t="s">
        <v>6727</v>
      </c>
    </row>
    <row r="5070" spans="1:6" x14ac:dyDescent="0.25">
      <c r="A5070" t="str">
        <f>"312825524564"</f>
        <v>312825524564</v>
      </c>
      <c r="B5070" t="s">
        <v>6996</v>
      </c>
      <c r="C5070" t="s">
        <v>7</v>
      </c>
      <c r="D5070" t="s">
        <v>33</v>
      </c>
      <c r="E5070" t="s">
        <v>6727</v>
      </c>
    </row>
    <row r="5071" spans="1:6" x14ac:dyDescent="0.25">
      <c r="A5071" t="str">
        <f>"323305476376"</f>
        <v>323305476376</v>
      </c>
      <c r="B5071" t="s">
        <v>6997</v>
      </c>
      <c r="C5071" t="s">
        <v>7</v>
      </c>
      <c r="D5071" t="s">
        <v>14</v>
      </c>
      <c r="E5071" t="s">
        <v>6998</v>
      </c>
    </row>
    <row r="5072" spans="1:6" x14ac:dyDescent="0.25">
      <c r="A5072" t="str">
        <f>"323400059083"</f>
        <v>323400059083</v>
      </c>
      <c r="B5072" t="s">
        <v>6999</v>
      </c>
      <c r="C5072" t="s">
        <v>7</v>
      </c>
      <c r="D5072" t="s">
        <v>12</v>
      </c>
      <c r="E5072" t="s">
        <v>6998</v>
      </c>
    </row>
    <row r="5073" spans="1:6" x14ac:dyDescent="0.25">
      <c r="A5073" t="str">
        <f>"323400729820"</f>
        <v>323400729820</v>
      </c>
      <c r="B5073" t="s">
        <v>7000</v>
      </c>
      <c r="C5073" t="s">
        <v>7</v>
      </c>
      <c r="D5073" t="s">
        <v>12</v>
      </c>
      <c r="E5073" t="s">
        <v>6998</v>
      </c>
    </row>
    <row r="5074" spans="1:6" x14ac:dyDescent="0.25">
      <c r="A5074" t="str">
        <f>"323401169681"</f>
        <v>323401169681</v>
      </c>
      <c r="B5074" t="s">
        <v>7001</v>
      </c>
      <c r="C5074" t="s">
        <v>7</v>
      </c>
      <c r="D5074" t="s">
        <v>14</v>
      </c>
      <c r="E5074" t="s">
        <v>6998</v>
      </c>
    </row>
    <row r="5075" spans="1:6" x14ac:dyDescent="0.25">
      <c r="A5075" t="str">
        <f>"3234051870"</f>
        <v>3234051870</v>
      </c>
      <c r="B5075" t="s">
        <v>7002</v>
      </c>
      <c r="C5075" t="s">
        <v>7</v>
      </c>
      <c r="D5075" t="s">
        <v>33</v>
      </c>
      <c r="E5075" t="s">
        <v>6998</v>
      </c>
      <c r="F5075" t="s">
        <v>7003</v>
      </c>
    </row>
    <row r="5076" spans="1:6" x14ac:dyDescent="0.25">
      <c r="A5076" t="str">
        <f>"323407865780"</f>
        <v>323407865780</v>
      </c>
      <c r="B5076" t="s">
        <v>7004</v>
      </c>
      <c r="C5076" t="s">
        <v>7</v>
      </c>
      <c r="D5076" t="s">
        <v>14</v>
      </c>
      <c r="E5076" t="s">
        <v>6998</v>
      </c>
    </row>
    <row r="5077" spans="1:6" x14ac:dyDescent="0.25">
      <c r="A5077" t="str">
        <f>"323407894809"</f>
        <v>323407894809</v>
      </c>
      <c r="B5077" t="s">
        <v>7005</v>
      </c>
      <c r="C5077" t="s">
        <v>7</v>
      </c>
      <c r="D5077" t="s">
        <v>12</v>
      </c>
      <c r="E5077" t="s">
        <v>6998</v>
      </c>
    </row>
    <row r="5078" spans="1:6" x14ac:dyDescent="0.25">
      <c r="A5078" t="str">
        <f>"323500061216"</f>
        <v>323500061216</v>
      </c>
      <c r="B5078" t="s">
        <v>7006</v>
      </c>
      <c r="C5078" t="s">
        <v>7</v>
      </c>
      <c r="D5078" t="s">
        <v>12</v>
      </c>
      <c r="E5078" t="s">
        <v>6998</v>
      </c>
    </row>
    <row r="5079" spans="1:6" x14ac:dyDescent="0.25">
      <c r="A5079" t="str">
        <f>"324102091904"</f>
        <v>324102091904</v>
      </c>
      <c r="B5079" t="s">
        <v>7007</v>
      </c>
      <c r="C5079" t="s">
        <v>7</v>
      </c>
      <c r="D5079" t="s">
        <v>14</v>
      </c>
      <c r="E5079" t="s">
        <v>6998</v>
      </c>
    </row>
    <row r="5080" spans="1:6" x14ac:dyDescent="0.25">
      <c r="A5080" t="str">
        <f>"324106724185"</f>
        <v>324106724185</v>
      </c>
      <c r="B5080" t="s">
        <v>7008</v>
      </c>
      <c r="C5080" t="s">
        <v>7</v>
      </c>
      <c r="D5080" t="s">
        <v>14</v>
      </c>
      <c r="E5080" t="s">
        <v>6998</v>
      </c>
    </row>
    <row r="5081" spans="1:6" x14ac:dyDescent="0.25">
      <c r="A5081" t="str">
        <f>"324300310107"</f>
        <v>324300310107</v>
      </c>
      <c r="B5081" t="s">
        <v>7009</v>
      </c>
      <c r="C5081" t="s">
        <v>7</v>
      </c>
      <c r="D5081" t="s">
        <v>14</v>
      </c>
      <c r="E5081" t="s">
        <v>6998</v>
      </c>
    </row>
    <row r="5082" spans="1:6" x14ac:dyDescent="0.25">
      <c r="A5082" t="str">
        <f>"3245001254"</f>
        <v>3245001254</v>
      </c>
      <c r="B5082" t="s">
        <v>7010</v>
      </c>
      <c r="C5082" t="s">
        <v>7</v>
      </c>
      <c r="D5082" t="s">
        <v>12</v>
      </c>
      <c r="E5082" t="s">
        <v>6998</v>
      </c>
      <c r="F5082" t="s">
        <v>7011</v>
      </c>
    </row>
    <row r="5083" spans="1:6" x14ac:dyDescent="0.25">
      <c r="A5083" t="str">
        <f>"324500346830"</f>
        <v>324500346830</v>
      </c>
      <c r="B5083" t="s">
        <v>7012</v>
      </c>
      <c r="C5083" t="s">
        <v>7</v>
      </c>
      <c r="D5083" t="s">
        <v>14</v>
      </c>
      <c r="E5083" t="s">
        <v>6998</v>
      </c>
    </row>
    <row r="5084" spans="1:6" x14ac:dyDescent="0.25">
      <c r="A5084" t="str">
        <f>"3245009454"</f>
        <v>3245009454</v>
      </c>
      <c r="B5084" t="s">
        <v>4600</v>
      </c>
      <c r="C5084" t="s">
        <v>7</v>
      </c>
      <c r="D5084" t="s">
        <v>674</v>
      </c>
      <c r="E5084" t="s">
        <v>6998</v>
      </c>
      <c r="F5084" t="s">
        <v>7013</v>
      </c>
    </row>
    <row r="5085" spans="1:6" x14ac:dyDescent="0.25">
      <c r="A5085" t="str">
        <f>"3245511463"</f>
        <v>3245511463</v>
      </c>
      <c r="B5085" t="s">
        <v>7014</v>
      </c>
      <c r="C5085" t="s">
        <v>7</v>
      </c>
      <c r="D5085" t="s">
        <v>12</v>
      </c>
      <c r="E5085" t="s">
        <v>6998</v>
      </c>
      <c r="F5085" t="s">
        <v>7015</v>
      </c>
    </row>
    <row r="5086" spans="1:6" x14ac:dyDescent="0.25">
      <c r="A5086" t="str">
        <f>"325003969499"</f>
        <v>325003969499</v>
      </c>
      <c r="B5086" t="s">
        <v>7016</v>
      </c>
      <c r="C5086" t="s">
        <v>7</v>
      </c>
      <c r="D5086" t="s">
        <v>14</v>
      </c>
      <c r="E5086" t="s">
        <v>6998</v>
      </c>
    </row>
    <row r="5087" spans="1:6" x14ac:dyDescent="0.25">
      <c r="A5087" t="str">
        <f>"325004801259"</f>
        <v>325004801259</v>
      </c>
      <c r="B5087" t="s">
        <v>7017</v>
      </c>
      <c r="C5087" t="s">
        <v>7</v>
      </c>
      <c r="D5087" t="s">
        <v>14</v>
      </c>
      <c r="E5087" t="s">
        <v>6998</v>
      </c>
    </row>
    <row r="5088" spans="1:6" x14ac:dyDescent="0.25">
      <c r="A5088" t="str">
        <f>"325305112439"</f>
        <v>325305112439</v>
      </c>
      <c r="B5088" t="s">
        <v>7018</v>
      </c>
      <c r="C5088" t="s">
        <v>7</v>
      </c>
      <c r="D5088" t="s">
        <v>14</v>
      </c>
      <c r="E5088" t="s">
        <v>6998</v>
      </c>
    </row>
    <row r="5089" spans="1:6" x14ac:dyDescent="0.25">
      <c r="A5089" t="str">
        <f>"325400845443"</f>
        <v>325400845443</v>
      </c>
      <c r="B5089" t="s">
        <v>7019</v>
      </c>
      <c r="C5089" t="s">
        <v>7</v>
      </c>
      <c r="D5089" t="s">
        <v>12</v>
      </c>
      <c r="E5089" t="s">
        <v>6998</v>
      </c>
    </row>
    <row r="5090" spans="1:6" x14ac:dyDescent="0.25">
      <c r="A5090" t="str">
        <f>"325402441492"</f>
        <v>325402441492</v>
      </c>
      <c r="B5090" t="s">
        <v>7020</v>
      </c>
      <c r="C5090" t="s">
        <v>7</v>
      </c>
      <c r="D5090" t="s">
        <v>14</v>
      </c>
      <c r="E5090" t="s">
        <v>6998</v>
      </c>
    </row>
    <row r="5091" spans="1:6" x14ac:dyDescent="0.25">
      <c r="A5091" t="str">
        <f>"325403155906"</f>
        <v>325403155906</v>
      </c>
      <c r="B5091" t="s">
        <v>7021</v>
      </c>
      <c r="C5091" t="s">
        <v>7</v>
      </c>
      <c r="D5091" t="s">
        <v>14</v>
      </c>
      <c r="E5091" t="s">
        <v>6998</v>
      </c>
    </row>
    <row r="5092" spans="1:6" x14ac:dyDescent="0.25">
      <c r="A5092" t="str">
        <f>"325500821904"</f>
        <v>325500821904</v>
      </c>
      <c r="B5092" t="s">
        <v>7022</v>
      </c>
      <c r="C5092" t="s">
        <v>7</v>
      </c>
      <c r="D5092" t="s">
        <v>14</v>
      </c>
      <c r="E5092" t="s">
        <v>6998</v>
      </c>
    </row>
    <row r="5093" spans="1:6" x14ac:dyDescent="0.25">
      <c r="A5093" t="str">
        <f>"325505806610"</f>
        <v>325505806610</v>
      </c>
      <c r="B5093" t="s">
        <v>7023</v>
      </c>
      <c r="C5093" t="s">
        <v>7</v>
      </c>
      <c r="D5093" t="s">
        <v>14</v>
      </c>
      <c r="E5093" t="s">
        <v>6998</v>
      </c>
    </row>
    <row r="5094" spans="1:6" x14ac:dyDescent="0.25">
      <c r="A5094" t="str">
        <f>"3255506832"</f>
        <v>3255506832</v>
      </c>
      <c r="B5094" t="s">
        <v>7024</v>
      </c>
      <c r="C5094" t="s">
        <v>7</v>
      </c>
      <c r="D5094" t="s">
        <v>12</v>
      </c>
      <c r="E5094" t="s">
        <v>6998</v>
      </c>
      <c r="F5094" t="s">
        <v>7025</v>
      </c>
    </row>
    <row r="5095" spans="1:6" x14ac:dyDescent="0.25">
      <c r="A5095" t="str">
        <f>"3257006641"</f>
        <v>3257006641</v>
      </c>
      <c r="B5095" t="s">
        <v>7026</v>
      </c>
      <c r="C5095" t="s">
        <v>7</v>
      </c>
      <c r="D5095" t="s">
        <v>8</v>
      </c>
      <c r="E5095" t="s">
        <v>6998</v>
      </c>
      <c r="F5095" t="s">
        <v>7027</v>
      </c>
    </row>
    <row r="5096" spans="1:6" x14ac:dyDescent="0.25">
      <c r="A5096" t="str">
        <f>"325700961384"</f>
        <v>325700961384</v>
      </c>
      <c r="B5096" t="s">
        <v>7028</v>
      </c>
      <c r="C5096" t="s">
        <v>7</v>
      </c>
      <c r="D5096" t="s">
        <v>14</v>
      </c>
      <c r="E5096" t="s">
        <v>6998</v>
      </c>
    </row>
    <row r="5097" spans="1:6" x14ac:dyDescent="0.25">
      <c r="A5097" t="str">
        <f>"3257040240"</f>
        <v>3257040240</v>
      </c>
      <c r="B5097" t="s">
        <v>7029</v>
      </c>
      <c r="C5097" t="s">
        <v>7</v>
      </c>
      <c r="D5097" t="s">
        <v>33</v>
      </c>
      <c r="E5097" t="s">
        <v>6998</v>
      </c>
      <c r="F5097" t="s">
        <v>7030</v>
      </c>
    </row>
    <row r="5098" spans="1:6" x14ac:dyDescent="0.25">
      <c r="A5098" t="str">
        <f>"3257056628"</f>
        <v>3257056628</v>
      </c>
      <c r="B5098" t="s">
        <v>7031</v>
      </c>
      <c r="C5098" t="s">
        <v>7</v>
      </c>
      <c r="D5098" t="s">
        <v>12</v>
      </c>
      <c r="E5098" t="s">
        <v>6998</v>
      </c>
      <c r="F5098" t="s">
        <v>7032</v>
      </c>
    </row>
    <row r="5099" spans="1:6" x14ac:dyDescent="0.25">
      <c r="A5099" t="str">
        <f>"3257079431"</f>
        <v>3257079431</v>
      </c>
      <c r="B5099" t="s">
        <v>7033</v>
      </c>
      <c r="C5099" t="s">
        <v>7</v>
      </c>
      <c r="D5099" t="s">
        <v>33</v>
      </c>
      <c r="E5099" t="s">
        <v>6998</v>
      </c>
      <c r="F5099" t="s">
        <v>7034</v>
      </c>
    </row>
    <row r="5100" spans="1:6" x14ac:dyDescent="0.25">
      <c r="A5100" t="str">
        <f>"3234037393"</f>
        <v>3234037393</v>
      </c>
      <c r="B5100" t="s">
        <v>7035</v>
      </c>
      <c r="C5100" t="s">
        <v>7</v>
      </c>
      <c r="D5100" t="s">
        <v>33</v>
      </c>
      <c r="E5100" t="s">
        <v>6998</v>
      </c>
      <c r="F5100" t="s">
        <v>7036</v>
      </c>
    </row>
    <row r="5101" spans="1:6" x14ac:dyDescent="0.25">
      <c r="A5101" t="str">
        <f>"3235003485"</f>
        <v>3235003485</v>
      </c>
      <c r="B5101" t="s">
        <v>7037</v>
      </c>
      <c r="C5101" t="s">
        <v>7</v>
      </c>
      <c r="D5101" t="s">
        <v>12</v>
      </c>
      <c r="E5101" t="s">
        <v>6998</v>
      </c>
      <c r="F5101" t="s">
        <v>7038</v>
      </c>
    </row>
    <row r="5102" spans="1:6" x14ac:dyDescent="0.25">
      <c r="A5102" t="str">
        <f>"3241005089"</f>
        <v>3241005089</v>
      </c>
      <c r="B5102" t="s">
        <v>7039</v>
      </c>
      <c r="C5102" t="s">
        <v>7</v>
      </c>
      <c r="D5102" t="s">
        <v>14</v>
      </c>
      <c r="E5102" t="s">
        <v>6998</v>
      </c>
      <c r="F5102" t="s">
        <v>7040</v>
      </c>
    </row>
    <row r="5103" spans="1:6" x14ac:dyDescent="0.25">
      <c r="A5103" t="str">
        <f>"3241504095"</f>
        <v>3241504095</v>
      </c>
      <c r="B5103" t="s">
        <v>7041</v>
      </c>
      <c r="C5103" t="s">
        <v>7</v>
      </c>
      <c r="D5103" t="s">
        <v>12</v>
      </c>
      <c r="E5103" t="s">
        <v>6998</v>
      </c>
      <c r="F5103" t="s">
        <v>7042</v>
      </c>
    </row>
    <row r="5104" spans="1:6" x14ac:dyDescent="0.25">
      <c r="A5104" t="str">
        <f>"3245513206"</f>
        <v>3245513206</v>
      </c>
      <c r="B5104" t="s">
        <v>7043</v>
      </c>
      <c r="C5104" t="s">
        <v>7</v>
      </c>
      <c r="D5104" t="s">
        <v>12</v>
      </c>
      <c r="E5104" t="s">
        <v>6998</v>
      </c>
      <c r="F5104" t="s">
        <v>7044</v>
      </c>
    </row>
    <row r="5105" spans="1:6" x14ac:dyDescent="0.25">
      <c r="A5105" t="str">
        <f>"3245515066"</f>
        <v>3245515066</v>
      </c>
      <c r="B5105" t="s">
        <v>7045</v>
      </c>
      <c r="C5105" t="s">
        <v>7</v>
      </c>
      <c r="D5105" t="s">
        <v>33</v>
      </c>
      <c r="E5105" t="s">
        <v>6998</v>
      </c>
      <c r="F5105" t="s">
        <v>7046</v>
      </c>
    </row>
    <row r="5106" spans="1:6" x14ac:dyDescent="0.25">
      <c r="A5106" t="str">
        <f>"325002665554"</f>
        <v>325002665554</v>
      </c>
      <c r="B5106" t="s">
        <v>7047</v>
      </c>
      <c r="C5106" t="s">
        <v>7</v>
      </c>
      <c r="D5106" t="s">
        <v>14</v>
      </c>
      <c r="E5106" t="s">
        <v>6998</v>
      </c>
    </row>
    <row r="5107" spans="1:6" x14ac:dyDescent="0.25">
      <c r="A5107" t="str">
        <f>"325201837303"</f>
        <v>325201837303</v>
      </c>
      <c r="B5107" t="s">
        <v>7048</v>
      </c>
      <c r="C5107" t="s">
        <v>7</v>
      </c>
      <c r="D5107" t="s">
        <v>14</v>
      </c>
      <c r="E5107" t="s">
        <v>6998</v>
      </c>
    </row>
    <row r="5108" spans="1:6" x14ac:dyDescent="0.25">
      <c r="A5108" t="str">
        <f>"325401456457"</f>
        <v>325401456457</v>
      </c>
      <c r="B5108" t="s">
        <v>7049</v>
      </c>
      <c r="C5108" t="s">
        <v>7</v>
      </c>
      <c r="D5108" t="s">
        <v>14</v>
      </c>
      <c r="E5108" t="s">
        <v>6998</v>
      </c>
    </row>
    <row r="5109" spans="1:6" x14ac:dyDescent="0.25">
      <c r="A5109" t="str">
        <f>"325501301190"</f>
        <v>325501301190</v>
      </c>
      <c r="B5109" t="s">
        <v>7050</v>
      </c>
      <c r="C5109" t="s">
        <v>7</v>
      </c>
      <c r="D5109" t="s">
        <v>12</v>
      </c>
      <c r="E5109" t="s">
        <v>6998</v>
      </c>
    </row>
    <row r="5110" spans="1:6" x14ac:dyDescent="0.25">
      <c r="A5110" t="str">
        <f>"325501962150"</f>
        <v>325501962150</v>
      </c>
      <c r="B5110" t="s">
        <v>7051</v>
      </c>
      <c r="C5110" t="s">
        <v>7</v>
      </c>
      <c r="D5110" t="s">
        <v>12</v>
      </c>
      <c r="E5110" t="s">
        <v>6998</v>
      </c>
    </row>
    <row r="5111" spans="1:6" x14ac:dyDescent="0.25">
      <c r="A5111" t="str">
        <f>"325502276891"</f>
        <v>325502276891</v>
      </c>
      <c r="B5111" t="s">
        <v>7052</v>
      </c>
      <c r="C5111" t="s">
        <v>7</v>
      </c>
      <c r="D5111" t="s">
        <v>14</v>
      </c>
      <c r="E5111" t="s">
        <v>6998</v>
      </c>
    </row>
    <row r="5112" spans="1:6" x14ac:dyDescent="0.25">
      <c r="A5112" t="str">
        <f>"3257001259"</f>
        <v>3257001259</v>
      </c>
      <c r="B5112" t="s">
        <v>7053</v>
      </c>
      <c r="C5112" t="s">
        <v>7</v>
      </c>
      <c r="D5112" t="s">
        <v>33</v>
      </c>
      <c r="E5112" t="s">
        <v>6998</v>
      </c>
      <c r="F5112" t="s">
        <v>7054</v>
      </c>
    </row>
    <row r="5113" spans="1:6" x14ac:dyDescent="0.25">
      <c r="A5113" t="str">
        <f>"3257002460"</f>
        <v>3257002460</v>
      </c>
      <c r="B5113" t="s">
        <v>7055</v>
      </c>
      <c r="C5113" t="s">
        <v>7</v>
      </c>
      <c r="D5113" t="s">
        <v>14</v>
      </c>
      <c r="E5113" t="s">
        <v>6998</v>
      </c>
      <c r="F5113" t="s">
        <v>7056</v>
      </c>
    </row>
    <row r="5114" spans="1:6" x14ac:dyDescent="0.25">
      <c r="A5114" t="str">
        <f>"3257014272"</f>
        <v>3257014272</v>
      </c>
      <c r="B5114" t="s">
        <v>7057</v>
      </c>
      <c r="C5114" t="s">
        <v>7</v>
      </c>
      <c r="D5114" t="s">
        <v>14</v>
      </c>
      <c r="E5114" t="s">
        <v>6998</v>
      </c>
      <c r="F5114" t="s">
        <v>7058</v>
      </c>
    </row>
    <row r="5115" spans="1:6" x14ac:dyDescent="0.25">
      <c r="A5115" t="str">
        <f>"3257021664"</f>
        <v>3257021664</v>
      </c>
      <c r="B5115" t="s">
        <v>7059</v>
      </c>
      <c r="C5115" t="s">
        <v>7</v>
      </c>
      <c r="D5115" t="s">
        <v>12</v>
      </c>
      <c r="E5115" t="s">
        <v>6998</v>
      </c>
      <c r="F5115" t="s">
        <v>7060</v>
      </c>
    </row>
    <row r="5116" spans="1:6" x14ac:dyDescent="0.25">
      <c r="A5116" t="str">
        <f>"3257043594"</f>
        <v>3257043594</v>
      </c>
      <c r="B5116" t="s">
        <v>7061</v>
      </c>
      <c r="C5116" t="s">
        <v>7</v>
      </c>
      <c r="D5116" t="s">
        <v>33</v>
      </c>
      <c r="E5116" t="s">
        <v>6998</v>
      </c>
      <c r="F5116" t="s">
        <v>7062</v>
      </c>
    </row>
    <row r="5117" spans="1:6" x14ac:dyDescent="0.25">
      <c r="A5117" t="str">
        <f>"3257072884"</f>
        <v>3257072884</v>
      </c>
      <c r="B5117" t="s">
        <v>7063</v>
      </c>
      <c r="C5117" t="s">
        <v>7</v>
      </c>
      <c r="D5117" t="s">
        <v>33</v>
      </c>
      <c r="E5117" t="s">
        <v>6998</v>
      </c>
      <c r="F5117" t="s">
        <v>7064</v>
      </c>
    </row>
    <row r="5118" spans="1:6" x14ac:dyDescent="0.25">
      <c r="A5118" t="str">
        <f>"3257075130"</f>
        <v>3257075130</v>
      </c>
      <c r="B5118" t="s">
        <v>7065</v>
      </c>
      <c r="C5118" t="s">
        <v>7</v>
      </c>
      <c r="D5118" t="s">
        <v>189</v>
      </c>
      <c r="E5118" t="s">
        <v>6998</v>
      </c>
      <c r="F5118" t="s">
        <v>7066</v>
      </c>
    </row>
    <row r="5119" spans="1:6" x14ac:dyDescent="0.25">
      <c r="A5119" t="str">
        <f>"3257078357"</f>
        <v>3257078357</v>
      </c>
      <c r="B5119" t="s">
        <v>7067</v>
      </c>
      <c r="C5119" t="s">
        <v>7</v>
      </c>
      <c r="D5119" t="s">
        <v>146</v>
      </c>
      <c r="E5119" t="s">
        <v>6998</v>
      </c>
      <c r="F5119" t="s">
        <v>7068</v>
      </c>
    </row>
    <row r="5120" spans="1:6" x14ac:dyDescent="0.25">
      <c r="A5120" t="str">
        <f>"323201258768"</f>
        <v>323201258768</v>
      </c>
      <c r="B5120" t="s">
        <v>7069</v>
      </c>
      <c r="C5120" t="s">
        <v>7</v>
      </c>
      <c r="D5120" t="s">
        <v>14</v>
      </c>
      <c r="E5120" t="s">
        <v>6998</v>
      </c>
    </row>
    <row r="5121" spans="1:6" x14ac:dyDescent="0.25">
      <c r="A5121" t="str">
        <f>"323203427041"</f>
        <v>323203427041</v>
      </c>
      <c r="B5121" t="s">
        <v>7070</v>
      </c>
      <c r="C5121" t="s">
        <v>7</v>
      </c>
      <c r="D5121" t="s">
        <v>33</v>
      </c>
      <c r="E5121" t="s">
        <v>6998</v>
      </c>
    </row>
    <row r="5122" spans="1:6" x14ac:dyDescent="0.25">
      <c r="A5122" t="str">
        <f>"323212695745"</f>
        <v>323212695745</v>
      </c>
      <c r="B5122" t="s">
        <v>7071</v>
      </c>
      <c r="C5122" t="s">
        <v>7</v>
      </c>
      <c r="D5122" t="s">
        <v>12</v>
      </c>
      <c r="E5122" t="s">
        <v>6998</v>
      </c>
    </row>
    <row r="5123" spans="1:6" x14ac:dyDescent="0.25">
      <c r="A5123" t="str">
        <f>"323400928209"</f>
        <v>323400928209</v>
      </c>
      <c r="B5123" t="s">
        <v>7072</v>
      </c>
      <c r="C5123" t="s">
        <v>7</v>
      </c>
      <c r="D5123" t="s">
        <v>12</v>
      </c>
      <c r="E5123" t="s">
        <v>6998</v>
      </c>
    </row>
    <row r="5124" spans="1:6" x14ac:dyDescent="0.25">
      <c r="A5124" t="str">
        <f>"323401146405"</f>
        <v>323401146405</v>
      </c>
      <c r="B5124" t="s">
        <v>7073</v>
      </c>
      <c r="C5124" t="s">
        <v>7</v>
      </c>
      <c r="D5124" t="s">
        <v>12</v>
      </c>
      <c r="E5124" t="s">
        <v>6998</v>
      </c>
    </row>
    <row r="5125" spans="1:6" x14ac:dyDescent="0.25">
      <c r="A5125" t="str">
        <f>"323408847833"</f>
        <v>323408847833</v>
      </c>
      <c r="B5125" t="s">
        <v>7074</v>
      </c>
      <c r="C5125" t="s">
        <v>7</v>
      </c>
      <c r="D5125" t="s">
        <v>14</v>
      </c>
      <c r="E5125" t="s">
        <v>6998</v>
      </c>
    </row>
    <row r="5126" spans="1:6" x14ac:dyDescent="0.25">
      <c r="A5126" t="str">
        <f>"323502675645"</f>
        <v>323502675645</v>
      </c>
      <c r="B5126" t="s">
        <v>7075</v>
      </c>
      <c r="C5126" t="s">
        <v>7</v>
      </c>
      <c r="D5126" t="s">
        <v>14</v>
      </c>
      <c r="E5126" t="s">
        <v>6998</v>
      </c>
    </row>
    <row r="5127" spans="1:6" x14ac:dyDescent="0.25">
      <c r="A5127" t="str">
        <f>"323503910404"</f>
        <v>323503910404</v>
      </c>
      <c r="B5127" t="s">
        <v>7076</v>
      </c>
      <c r="C5127" t="s">
        <v>7</v>
      </c>
      <c r="D5127" t="s">
        <v>14</v>
      </c>
      <c r="E5127" t="s">
        <v>6998</v>
      </c>
    </row>
    <row r="5128" spans="1:6" x14ac:dyDescent="0.25">
      <c r="A5128" t="str">
        <f>"324300227219"</f>
        <v>324300227219</v>
      </c>
      <c r="B5128" t="s">
        <v>7077</v>
      </c>
      <c r="C5128" t="s">
        <v>7</v>
      </c>
      <c r="D5128" t="s">
        <v>14</v>
      </c>
      <c r="E5128" t="s">
        <v>6998</v>
      </c>
    </row>
    <row r="5129" spans="1:6" x14ac:dyDescent="0.25">
      <c r="A5129" t="str">
        <f>"3245012129"</f>
        <v>3245012129</v>
      </c>
      <c r="B5129" t="s">
        <v>7078</v>
      </c>
      <c r="C5129" t="s">
        <v>7</v>
      </c>
      <c r="D5129" t="s">
        <v>12</v>
      </c>
      <c r="E5129" t="s">
        <v>6998</v>
      </c>
      <c r="F5129" t="s">
        <v>7079</v>
      </c>
    </row>
    <row r="5130" spans="1:6" x14ac:dyDescent="0.25">
      <c r="A5130" t="str">
        <f>"3245510452"</f>
        <v>3245510452</v>
      </c>
      <c r="B5130" t="s">
        <v>7080</v>
      </c>
      <c r="C5130" t="s">
        <v>7</v>
      </c>
      <c r="D5130" t="s">
        <v>33</v>
      </c>
      <c r="E5130" t="s">
        <v>6998</v>
      </c>
      <c r="F5130" t="s">
        <v>7081</v>
      </c>
    </row>
    <row r="5131" spans="1:6" x14ac:dyDescent="0.25">
      <c r="A5131" t="str">
        <f>"324901072714"</f>
        <v>324901072714</v>
      </c>
      <c r="B5131" t="s">
        <v>7082</v>
      </c>
      <c r="C5131" t="s">
        <v>7</v>
      </c>
      <c r="D5131" t="s">
        <v>14</v>
      </c>
      <c r="E5131" t="s">
        <v>6998</v>
      </c>
    </row>
    <row r="5132" spans="1:6" x14ac:dyDescent="0.25">
      <c r="A5132" t="str">
        <f>"3250521481"</f>
        <v>3250521481</v>
      </c>
      <c r="B5132" t="s">
        <v>7083</v>
      </c>
      <c r="C5132" t="s">
        <v>7</v>
      </c>
      <c r="D5132" t="s">
        <v>14</v>
      </c>
      <c r="E5132" t="s">
        <v>6998</v>
      </c>
      <c r="F5132" t="s">
        <v>7084</v>
      </c>
    </row>
    <row r="5133" spans="1:6" x14ac:dyDescent="0.25">
      <c r="A5133" t="str">
        <f>"3252000205"</f>
        <v>3252000205</v>
      </c>
      <c r="B5133" t="s">
        <v>7085</v>
      </c>
      <c r="C5133" t="s">
        <v>7</v>
      </c>
      <c r="D5133" t="s">
        <v>14</v>
      </c>
      <c r="E5133" t="s">
        <v>6998</v>
      </c>
      <c r="F5133" t="s">
        <v>7086</v>
      </c>
    </row>
    <row r="5134" spans="1:6" x14ac:dyDescent="0.25">
      <c r="A5134" t="str">
        <f>"325200578631"</f>
        <v>325200578631</v>
      </c>
      <c r="B5134" t="s">
        <v>7087</v>
      </c>
      <c r="C5134" t="s">
        <v>7</v>
      </c>
      <c r="D5134" t="s">
        <v>12</v>
      </c>
      <c r="E5134" t="s">
        <v>6998</v>
      </c>
    </row>
    <row r="5135" spans="1:6" x14ac:dyDescent="0.25">
      <c r="A5135" t="str">
        <f>"325302929159"</f>
        <v>325302929159</v>
      </c>
      <c r="B5135" t="s">
        <v>7088</v>
      </c>
      <c r="C5135" t="s">
        <v>7</v>
      </c>
      <c r="D5135" t="s">
        <v>14</v>
      </c>
      <c r="E5135" t="s">
        <v>6998</v>
      </c>
    </row>
    <row r="5136" spans="1:6" x14ac:dyDescent="0.25">
      <c r="A5136" t="str">
        <f>"325500215903"</f>
        <v>325500215903</v>
      </c>
      <c r="B5136" t="s">
        <v>7089</v>
      </c>
      <c r="C5136" t="s">
        <v>7</v>
      </c>
      <c r="D5136" t="s">
        <v>14</v>
      </c>
      <c r="E5136" t="s">
        <v>6998</v>
      </c>
    </row>
    <row r="5137" spans="1:6" x14ac:dyDescent="0.25">
      <c r="A5137" t="str">
        <f>"325501626649"</f>
        <v>325501626649</v>
      </c>
      <c r="B5137" t="s">
        <v>7090</v>
      </c>
      <c r="C5137" t="s">
        <v>7</v>
      </c>
      <c r="D5137" t="s">
        <v>14</v>
      </c>
      <c r="E5137" t="s">
        <v>6998</v>
      </c>
    </row>
    <row r="5138" spans="1:6" x14ac:dyDescent="0.25">
      <c r="A5138" t="str">
        <f>"325501799899"</f>
        <v>325501799899</v>
      </c>
      <c r="B5138" t="s">
        <v>7091</v>
      </c>
      <c r="C5138" t="s">
        <v>7</v>
      </c>
      <c r="D5138" t="s">
        <v>12</v>
      </c>
      <c r="E5138" t="s">
        <v>6998</v>
      </c>
    </row>
    <row r="5139" spans="1:6" x14ac:dyDescent="0.25">
      <c r="A5139" t="str">
        <f>"325505383700"</f>
        <v>325505383700</v>
      </c>
      <c r="B5139" t="s">
        <v>7092</v>
      </c>
      <c r="C5139" t="s">
        <v>7</v>
      </c>
      <c r="D5139" t="s">
        <v>14</v>
      </c>
      <c r="E5139" t="s">
        <v>6998</v>
      </c>
    </row>
    <row r="5140" spans="1:6" x14ac:dyDescent="0.25">
      <c r="A5140" t="str">
        <f>"3257027419"</f>
        <v>3257027419</v>
      </c>
      <c r="B5140" t="s">
        <v>7093</v>
      </c>
      <c r="C5140" t="s">
        <v>7</v>
      </c>
      <c r="D5140" t="s">
        <v>12</v>
      </c>
      <c r="E5140" t="s">
        <v>6998</v>
      </c>
      <c r="F5140" t="s">
        <v>7094</v>
      </c>
    </row>
    <row r="5141" spans="1:6" x14ac:dyDescent="0.25">
      <c r="A5141" t="str">
        <f>"3257036942"</f>
        <v>3257036942</v>
      </c>
      <c r="B5141" t="s">
        <v>7095</v>
      </c>
      <c r="C5141" t="s">
        <v>7</v>
      </c>
      <c r="D5141" t="s">
        <v>33</v>
      </c>
      <c r="E5141" t="s">
        <v>6998</v>
      </c>
      <c r="F5141" t="s">
        <v>7096</v>
      </c>
    </row>
    <row r="5142" spans="1:6" x14ac:dyDescent="0.25">
      <c r="A5142" t="str">
        <f>"3257058030"</f>
        <v>3257058030</v>
      </c>
      <c r="B5142" t="s">
        <v>7097</v>
      </c>
      <c r="C5142" t="s">
        <v>7</v>
      </c>
      <c r="D5142" t="s">
        <v>674</v>
      </c>
      <c r="E5142" t="s">
        <v>6998</v>
      </c>
      <c r="F5142" t="s">
        <v>7098</v>
      </c>
    </row>
    <row r="5143" spans="1:6" x14ac:dyDescent="0.25">
      <c r="A5143" t="str">
        <f>"3257058350"</f>
        <v>3257058350</v>
      </c>
      <c r="B5143" t="s">
        <v>7099</v>
      </c>
      <c r="C5143" t="s">
        <v>7</v>
      </c>
      <c r="D5143" t="s">
        <v>33</v>
      </c>
      <c r="E5143" t="s">
        <v>6998</v>
      </c>
      <c r="F5143" t="s">
        <v>7100</v>
      </c>
    </row>
    <row r="5144" spans="1:6" x14ac:dyDescent="0.25">
      <c r="A5144" t="str">
        <f>"3257068937"</f>
        <v>3257068937</v>
      </c>
      <c r="B5144" t="s">
        <v>7101</v>
      </c>
      <c r="C5144" t="s">
        <v>7</v>
      </c>
      <c r="D5144" t="s">
        <v>12</v>
      </c>
      <c r="E5144" t="s">
        <v>6998</v>
      </c>
      <c r="F5144" t="s">
        <v>7102</v>
      </c>
    </row>
    <row r="5145" spans="1:6" x14ac:dyDescent="0.25">
      <c r="A5145" t="str">
        <f>"3257074257"</f>
        <v>3257074257</v>
      </c>
      <c r="B5145" t="s">
        <v>7103</v>
      </c>
      <c r="C5145" t="s">
        <v>7</v>
      </c>
      <c r="D5145" t="s">
        <v>33</v>
      </c>
      <c r="E5145" t="s">
        <v>6998</v>
      </c>
      <c r="F5145" t="s">
        <v>7104</v>
      </c>
    </row>
    <row r="5146" spans="1:6" x14ac:dyDescent="0.25">
      <c r="A5146" t="str">
        <f>"614004008850"</f>
        <v>614004008850</v>
      </c>
      <c r="B5146" t="s">
        <v>7105</v>
      </c>
      <c r="C5146" t="s">
        <v>7</v>
      </c>
      <c r="D5146" t="s">
        <v>14</v>
      </c>
      <c r="E5146" t="s">
        <v>6998</v>
      </c>
    </row>
    <row r="5147" spans="1:6" x14ac:dyDescent="0.25">
      <c r="A5147" t="str">
        <f>"7731473703"</f>
        <v>7731473703</v>
      </c>
      <c r="B5147" t="s">
        <v>7106</v>
      </c>
      <c r="C5147" t="s">
        <v>7</v>
      </c>
      <c r="D5147" t="s">
        <v>33</v>
      </c>
      <c r="E5147" t="s">
        <v>6998</v>
      </c>
      <c r="F5147" t="s">
        <v>7107</v>
      </c>
    </row>
    <row r="5148" spans="1:6" x14ac:dyDescent="0.25">
      <c r="A5148" t="str">
        <f>"320206797920"</f>
        <v>320206797920</v>
      </c>
      <c r="B5148" t="s">
        <v>7108</v>
      </c>
      <c r="C5148" t="s">
        <v>7</v>
      </c>
      <c r="D5148" t="s">
        <v>14</v>
      </c>
      <c r="E5148" t="s">
        <v>6998</v>
      </c>
    </row>
    <row r="5149" spans="1:6" x14ac:dyDescent="0.25">
      <c r="A5149" t="str">
        <f>"320303972750"</f>
        <v>320303972750</v>
      </c>
      <c r="B5149" t="s">
        <v>7109</v>
      </c>
      <c r="C5149" t="s">
        <v>7</v>
      </c>
      <c r="D5149" t="s">
        <v>14</v>
      </c>
      <c r="E5149" t="s">
        <v>6998</v>
      </c>
    </row>
    <row r="5150" spans="1:6" x14ac:dyDescent="0.25">
      <c r="A5150" t="str">
        <f>"322400026142"</f>
        <v>322400026142</v>
      </c>
      <c r="B5150" t="s">
        <v>7110</v>
      </c>
      <c r="C5150" t="s">
        <v>7</v>
      </c>
      <c r="D5150" t="s">
        <v>14</v>
      </c>
      <c r="E5150" t="s">
        <v>6998</v>
      </c>
    </row>
    <row r="5151" spans="1:6" x14ac:dyDescent="0.25">
      <c r="A5151" t="str">
        <f>"322402704379"</f>
        <v>322402704379</v>
      </c>
      <c r="B5151" t="s">
        <v>7111</v>
      </c>
      <c r="C5151" t="s">
        <v>7</v>
      </c>
      <c r="D5151" t="s">
        <v>14</v>
      </c>
      <c r="E5151" t="s">
        <v>6998</v>
      </c>
    </row>
    <row r="5152" spans="1:6" x14ac:dyDescent="0.25">
      <c r="A5152" t="str">
        <f>"322500004791"</f>
        <v>322500004791</v>
      </c>
      <c r="B5152" t="s">
        <v>7112</v>
      </c>
      <c r="C5152" t="s">
        <v>7</v>
      </c>
      <c r="D5152" t="s">
        <v>14</v>
      </c>
      <c r="E5152" t="s">
        <v>6998</v>
      </c>
    </row>
    <row r="5153" spans="1:6" x14ac:dyDescent="0.25">
      <c r="A5153" t="str">
        <f>"322800765638"</f>
        <v>322800765638</v>
      </c>
      <c r="B5153" t="s">
        <v>7113</v>
      </c>
      <c r="C5153" t="s">
        <v>7</v>
      </c>
      <c r="D5153" t="s">
        <v>14</v>
      </c>
      <c r="E5153" t="s">
        <v>6998</v>
      </c>
    </row>
    <row r="5154" spans="1:6" x14ac:dyDescent="0.25">
      <c r="A5154" t="str">
        <f>"323406442912"</f>
        <v>323406442912</v>
      </c>
      <c r="B5154" t="s">
        <v>7114</v>
      </c>
      <c r="C5154" t="s">
        <v>7</v>
      </c>
      <c r="D5154" t="s">
        <v>14</v>
      </c>
      <c r="E5154" t="s">
        <v>6998</v>
      </c>
    </row>
    <row r="5155" spans="1:6" x14ac:dyDescent="0.25">
      <c r="A5155" t="str">
        <f>"324300973961"</f>
        <v>324300973961</v>
      </c>
      <c r="B5155" t="s">
        <v>7115</v>
      </c>
      <c r="C5155" t="s">
        <v>7</v>
      </c>
      <c r="D5155" t="s">
        <v>14</v>
      </c>
      <c r="E5155" t="s">
        <v>6998</v>
      </c>
    </row>
    <row r="5156" spans="1:6" x14ac:dyDescent="0.25">
      <c r="A5156" t="str">
        <f>"325502318615"</f>
        <v>325502318615</v>
      </c>
      <c r="B5156" t="s">
        <v>7116</v>
      </c>
      <c r="C5156" t="s">
        <v>7</v>
      </c>
      <c r="D5156" t="s">
        <v>14</v>
      </c>
      <c r="E5156" t="s">
        <v>6998</v>
      </c>
    </row>
    <row r="5157" spans="1:6" x14ac:dyDescent="0.25">
      <c r="A5157" t="str">
        <f>"3257051210"</f>
        <v>3257051210</v>
      </c>
      <c r="B5157" t="s">
        <v>7117</v>
      </c>
      <c r="C5157" t="s">
        <v>7</v>
      </c>
      <c r="D5157" t="s">
        <v>33</v>
      </c>
      <c r="E5157" t="s">
        <v>6998</v>
      </c>
      <c r="F5157" t="s">
        <v>7118</v>
      </c>
    </row>
    <row r="5158" spans="1:6" x14ac:dyDescent="0.25">
      <c r="A5158" t="str">
        <f>"234102669402"</f>
        <v>234102669402</v>
      </c>
      <c r="B5158" t="s">
        <v>7119</v>
      </c>
      <c r="C5158" t="s">
        <v>7</v>
      </c>
      <c r="D5158" t="s">
        <v>33</v>
      </c>
      <c r="E5158" t="s">
        <v>6998</v>
      </c>
    </row>
    <row r="5159" spans="1:6" x14ac:dyDescent="0.25">
      <c r="A5159" t="str">
        <f>"3200000363"</f>
        <v>3200000363</v>
      </c>
      <c r="B5159" t="s">
        <v>7120</v>
      </c>
      <c r="C5159" t="s">
        <v>7</v>
      </c>
      <c r="D5159" t="s">
        <v>189</v>
      </c>
      <c r="E5159" t="s">
        <v>6998</v>
      </c>
      <c r="F5159" t="s">
        <v>7121</v>
      </c>
    </row>
    <row r="5160" spans="1:6" x14ac:dyDescent="0.25">
      <c r="A5160" t="str">
        <f>"3200004600"</f>
        <v>3200004600</v>
      </c>
      <c r="B5160" t="s">
        <v>7122</v>
      </c>
      <c r="C5160" t="s">
        <v>7</v>
      </c>
      <c r="D5160" t="s">
        <v>28</v>
      </c>
      <c r="E5160" t="s">
        <v>6998</v>
      </c>
      <c r="F5160" t="s">
        <v>7123</v>
      </c>
    </row>
    <row r="5161" spans="1:6" x14ac:dyDescent="0.25">
      <c r="A5161" t="str">
        <f>"3200006573"</f>
        <v>3200006573</v>
      </c>
      <c r="B5161" t="s">
        <v>7124</v>
      </c>
      <c r="C5161" t="s">
        <v>7</v>
      </c>
      <c r="D5161" t="s">
        <v>12</v>
      </c>
      <c r="E5161" t="s">
        <v>6998</v>
      </c>
      <c r="F5161" t="s">
        <v>7125</v>
      </c>
    </row>
    <row r="5162" spans="1:6" x14ac:dyDescent="0.25">
      <c r="A5162" t="str">
        <f>"3200007545"</f>
        <v>3200007545</v>
      </c>
      <c r="B5162" t="s">
        <v>7126</v>
      </c>
      <c r="C5162" t="s">
        <v>7</v>
      </c>
      <c r="D5162" t="s">
        <v>14</v>
      </c>
      <c r="E5162" t="s">
        <v>6998</v>
      </c>
      <c r="F5162" t="s">
        <v>7127</v>
      </c>
    </row>
    <row r="5163" spans="1:6" x14ac:dyDescent="0.25">
      <c r="A5163" t="str">
        <f>"3200010080"</f>
        <v>3200010080</v>
      </c>
      <c r="B5163" t="s">
        <v>7128</v>
      </c>
      <c r="C5163" t="s">
        <v>7</v>
      </c>
      <c r="D5163" t="s">
        <v>12</v>
      </c>
      <c r="E5163" t="s">
        <v>6998</v>
      </c>
      <c r="F5163" t="s">
        <v>7129</v>
      </c>
    </row>
    <row r="5164" spans="1:6" x14ac:dyDescent="0.25">
      <c r="A5164" t="str">
        <f>"3201000493"</f>
        <v>3201000493</v>
      </c>
      <c r="B5164" t="s">
        <v>7130</v>
      </c>
      <c r="C5164" t="s">
        <v>7</v>
      </c>
      <c r="D5164" t="s">
        <v>14</v>
      </c>
      <c r="E5164" t="s">
        <v>6998</v>
      </c>
      <c r="F5164" t="s">
        <v>7131</v>
      </c>
    </row>
    <row r="5165" spans="1:6" x14ac:dyDescent="0.25">
      <c r="A5165" t="str">
        <f>"320205878559"</f>
        <v>320205878559</v>
      </c>
      <c r="B5165" t="s">
        <v>7132</v>
      </c>
      <c r="C5165" t="s">
        <v>7</v>
      </c>
      <c r="D5165" t="s">
        <v>14</v>
      </c>
      <c r="E5165" t="s">
        <v>6998</v>
      </c>
    </row>
    <row r="5166" spans="1:6" x14ac:dyDescent="0.25">
      <c r="A5166" t="str">
        <f>"320302345771"</f>
        <v>320302345771</v>
      </c>
      <c r="B5166" t="s">
        <v>7133</v>
      </c>
      <c r="C5166" t="s">
        <v>7</v>
      </c>
      <c r="D5166" t="s">
        <v>14</v>
      </c>
      <c r="E5166" t="s">
        <v>6998</v>
      </c>
    </row>
    <row r="5167" spans="1:6" x14ac:dyDescent="0.25">
      <c r="A5167" t="str">
        <f>"320303637801"</f>
        <v>320303637801</v>
      </c>
      <c r="B5167" t="s">
        <v>7134</v>
      </c>
      <c r="C5167" t="s">
        <v>7</v>
      </c>
      <c r="D5167" t="s">
        <v>14</v>
      </c>
      <c r="E5167" t="s">
        <v>6998</v>
      </c>
    </row>
    <row r="5168" spans="1:6" x14ac:dyDescent="0.25">
      <c r="A5168" t="str">
        <f>"320403001946"</f>
        <v>320403001946</v>
      </c>
      <c r="B5168" t="s">
        <v>7135</v>
      </c>
      <c r="C5168" t="s">
        <v>7</v>
      </c>
      <c r="D5168" t="s">
        <v>14</v>
      </c>
      <c r="E5168" t="s">
        <v>6998</v>
      </c>
    </row>
    <row r="5169" spans="1:6" x14ac:dyDescent="0.25">
      <c r="A5169" t="str">
        <f>"320500096291"</f>
        <v>320500096291</v>
      </c>
      <c r="B5169" t="s">
        <v>7136</v>
      </c>
      <c r="C5169" t="s">
        <v>7</v>
      </c>
      <c r="D5169" t="s">
        <v>14</v>
      </c>
      <c r="E5169" t="s">
        <v>6998</v>
      </c>
    </row>
    <row r="5170" spans="1:6" x14ac:dyDescent="0.25">
      <c r="A5170" t="str">
        <f>"320600013612"</f>
        <v>320600013612</v>
      </c>
      <c r="B5170" t="s">
        <v>7137</v>
      </c>
      <c r="C5170" t="s">
        <v>7</v>
      </c>
      <c r="D5170" t="s">
        <v>14</v>
      </c>
      <c r="E5170" t="s">
        <v>6998</v>
      </c>
    </row>
    <row r="5171" spans="1:6" x14ac:dyDescent="0.25">
      <c r="A5171" t="str">
        <f>"320600924647"</f>
        <v>320600924647</v>
      </c>
      <c r="B5171" t="s">
        <v>7138</v>
      </c>
      <c r="C5171" t="s">
        <v>7</v>
      </c>
      <c r="D5171" t="s">
        <v>14</v>
      </c>
      <c r="E5171" t="s">
        <v>6998</v>
      </c>
    </row>
    <row r="5172" spans="1:6" x14ac:dyDescent="0.25">
      <c r="A5172" t="str">
        <f>"3210004039"</f>
        <v>3210004039</v>
      </c>
      <c r="B5172" t="s">
        <v>7139</v>
      </c>
      <c r="C5172" t="s">
        <v>7</v>
      </c>
      <c r="D5172" t="s">
        <v>12</v>
      </c>
      <c r="E5172" t="s">
        <v>6998</v>
      </c>
      <c r="F5172" t="s">
        <v>7140</v>
      </c>
    </row>
    <row r="5173" spans="1:6" x14ac:dyDescent="0.25">
      <c r="A5173" t="str">
        <f>"321200044262"</f>
        <v>321200044262</v>
      </c>
      <c r="B5173" t="s">
        <v>7141</v>
      </c>
      <c r="C5173" t="s">
        <v>7</v>
      </c>
      <c r="D5173" t="s">
        <v>14</v>
      </c>
      <c r="E5173" t="s">
        <v>6998</v>
      </c>
    </row>
    <row r="5174" spans="1:6" x14ac:dyDescent="0.25">
      <c r="A5174" t="str">
        <f>"321200660381"</f>
        <v>321200660381</v>
      </c>
      <c r="B5174" t="s">
        <v>7142</v>
      </c>
      <c r="C5174" t="s">
        <v>7</v>
      </c>
      <c r="D5174" t="s">
        <v>14</v>
      </c>
      <c r="E5174" t="s">
        <v>6998</v>
      </c>
    </row>
    <row r="5175" spans="1:6" x14ac:dyDescent="0.25">
      <c r="A5175" t="str">
        <f>"321400915478"</f>
        <v>321400915478</v>
      </c>
      <c r="B5175" t="s">
        <v>7143</v>
      </c>
      <c r="C5175" t="s">
        <v>7</v>
      </c>
      <c r="D5175" t="s">
        <v>12</v>
      </c>
      <c r="E5175" t="s">
        <v>6998</v>
      </c>
    </row>
    <row r="5176" spans="1:6" x14ac:dyDescent="0.25">
      <c r="A5176" t="str">
        <f>"321600748538"</f>
        <v>321600748538</v>
      </c>
      <c r="B5176" t="s">
        <v>7144</v>
      </c>
      <c r="C5176" t="s">
        <v>7</v>
      </c>
      <c r="D5176" t="s">
        <v>14</v>
      </c>
      <c r="E5176" t="s">
        <v>6998</v>
      </c>
    </row>
    <row r="5177" spans="1:6" x14ac:dyDescent="0.25">
      <c r="A5177" t="str">
        <f>"322301752947"</f>
        <v>322301752947</v>
      </c>
      <c r="B5177" t="s">
        <v>7145</v>
      </c>
      <c r="C5177" t="s">
        <v>7</v>
      </c>
      <c r="D5177" t="s">
        <v>14</v>
      </c>
      <c r="E5177" t="s">
        <v>6998</v>
      </c>
    </row>
    <row r="5178" spans="1:6" x14ac:dyDescent="0.25">
      <c r="A5178" t="str">
        <f>"322400000923"</f>
        <v>322400000923</v>
      </c>
      <c r="B5178" t="s">
        <v>7146</v>
      </c>
      <c r="C5178" t="s">
        <v>7</v>
      </c>
      <c r="D5178" t="s">
        <v>14</v>
      </c>
      <c r="E5178" t="s">
        <v>6998</v>
      </c>
    </row>
    <row r="5179" spans="1:6" x14ac:dyDescent="0.25">
      <c r="A5179" t="str">
        <f>"322400243115"</f>
        <v>322400243115</v>
      </c>
      <c r="B5179" t="s">
        <v>7147</v>
      </c>
      <c r="C5179" t="s">
        <v>7</v>
      </c>
      <c r="D5179" t="s">
        <v>14</v>
      </c>
      <c r="E5179" t="s">
        <v>6998</v>
      </c>
    </row>
    <row r="5180" spans="1:6" x14ac:dyDescent="0.25">
      <c r="A5180" t="str">
        <f>"322700062600"</f>
        <v>322700062600</v>
      </c>
      <c r="B5180" t="s">
        <v>7148</v>
      </c>
      <c r="C5180" t="s">
        <v>7</v>
      </c>
      <c r="D5180" t="s">
        <v>14</v>
      </c>
      <c r="E5180" t="s">
        <v>6998</v>
      </c>
    </row>
    <row r="5181" spans="1:6" x14ac:dyDescent="0.25">
      <c r="A5181" t="str">
        <f>"322700088213"</f>
        <v>322700088213</v>
      </c>
      <c r="B5181" t="s">
        <v>7149</v>
      </c>
      <c r="C5181" t="s">
        <v>7</v>
      </c>
      <c r="D5181" t="s">
        <v>14</v>
      </c>
      <c r="E5181" t="s">
        <v>6998</v>
      </c>
    </row>
    <row r="5182" spans="1:6" x14ac:dyDescent="0.25">
      <c r="A5182" t="str">
        <f>"322700855905"</f>
        <v>322700855905</v>
      </c>
      <c r="B5182" t="s">
        <v>7150</v>
      </c>
      <c r="C5182" t="s">
        <v>7</v>
      </c>
      <c r="D5182" t="s">
        <v>14</v>
      </c>
      <c r="E5182" t="s">
        <v>6998</v>
      </c>
    </row>
    <row r="5183" spans="1:6" x14ac:dyDescent="0.25">
      <c r="A5183" t="str">
        <f>"322800018964"</f>
        <v>322800018964</v>
      </c>
      <c r="B5183" t="s">
        <v>7151</v>
      </c>
      <c r="C5183" t="s">
        <v>7</v>
      </c>
      <c r="D5183" t="s">
        <v>14</v>
      </c>
      <c r="E5183" t="s">
        <v>6998</v>
      </c>
    </row>
    <row r="5184" spans="1:6" x14ac:dyDescent="0.25">
      <c r="A5184" t="str">
        <f>"322801288924"</f>
        <v>322801288924</v>
      </c>
      <c r="B5184" t="s">
        <v>7152</v>
      </c>
      <c r="C5184" t="s">
        <v>7</v>
      </c>
      <c r="D5184" t="s">
        <v>14</v>
      </c>
      <c r="E5184" t="s">
        <v>6998</v>
      </c>
    </row>
    <row r="5185" spans="1:6" x14ac:dyDescent="0.25">
      <c r="A5185" t="str">
        <f>"3229001232"</f>
        <v>3229001232</v>
      </c>
      <c r="B5185" t="s">
        <v>7153</v>
      </c>
      <c r="C5185" t="s">
        <v>7</v>
      </c>
      <c r="D5185" t="s">
        <v>14</v>
      </c>
      <c r="E5185" t="s">
        <v>6998</v>
      </c>
      <c r="F5185" t="s">
        <v>7154</v>
      </c>
    </row>
    <row r="5186" spans="1:6" x14ac:dyDescent="0.25">
      <c r="A5186" t="str">
        <f>"322901722020"</f>
        <v>322901722020</v>
      </c>
      <c r="B5186" t="s">
        <v>7155</v>
      </c>
      <c r="C5186" t="s">
        <v>7</v>
      </c>
      <c r="D5186" t="s">
        <v>14</v>
      </c>
      <c r="E5186" t="s">
        <v>6998</v>
      </c>
    </row>
    <row r="5187" spans="1:6" x14ac:dyDescent="0.25">
      <c r="A5187" t="str">
        <f>"323200011976"</f>
        <v>323200011976</v>
      </c>
      <c r="B5187" t="s">
        <v>7156</v>
      </c>
      <c r="C5187" t="s">
        <v>7</v>
      </c>
      <c r="D5187" t="s">
        <v>12</v>
      </c>
      <c r="E5187" t="s">
        <v>6998</v>
      </c>
    </row>
    <row r="5188" spans="1:6" x14ac:dyDescent="0.25">
      <c r="A5188" t="str">
        <f>"323200919870"</f>
        <v>323200919870</v>
      </c>
      <c r="B5188" t="s">
        <v>7157</v>
      </c>
      <c r="C5188" t="s">
        <v>7</v>
      </c>
      <c r="D5188" t="s">
        <v>14</v>
      </c>
      <c r="E5188" t="s">
        <v>6998</v>
      </c>
    </row>
    <row r="5189" spans="1:6" x14ac:dyDescent="0.25">
      <c r="A5189" t="str">
        <f>"3232022024"</f>
        <v>3232022024</v>
      </c>
      <c r="B5189" t="s">
        <v>7158</v>
      </c>
      <c r="C5189" t="s">
        <v>7</v>
      </c>
      <c r="D5189" t="s">
        <v>12</v>
      </c>
      <c r="E5189" t="s">
        <v>6998</v>
      </c>
      <c r="F5189" t="s">
        <v>7159</v>
      </c>
    </row>
    <row r="5190" spans="1:6" x14ac:dyDescent="0.25">
      <c r="A5190" t="str">
        <f>"323204501393"</f>
        <v>323204501393</v>
      </c>
      <c r="B5190" t="s">
        <v>7160</v>
      </c>
      <c r="C5190" t="s">
        <v>7</v>
      </c>
      <c r="D5190" t="s">
        <v>14</v>
      </c>
      <c r="E5190" t="s">
        <v>6998</v>
      </c>
    </row>
    <row r="5191" spans="1:6" x14ac:dyDescent="0.25">
      <c r="A5191" t="str">
        <f>"323211606728"</f>
        <v>323211606728</v>
      </c>
      <c r="B5191" t="s">
        <v>7161</v>
      </c>
      <c r="C5191" t="s">
        <v>7</v>
      </c>
      <c r="D5191" t="s">
        <v>14</v>
      </c>
      <c r="E5191" t="s">
        <v>6998</v>
      </c>
    </row>
    <row r="5192" spans="1:6" x14ac:dyDescent="0.25">
      <c r="A5192" t="str">
        <f>"323211847610"</f>
        <v>323211847610</v>
      </c>
      <c r="B5192" t="s">
        <v>7162</v>
      </c>
      <c r="C5192" t="s">
        <v>7</v>
      </c>
      <c r="D5192" t="s">
        <v>12</v>
      </c>
      <c r="E5192" t="s">
        <v>6998</v>
      </c>
    </row>
    <row r="5193" spans="1:6" x14ac:dyDescent="0.25">
      <c r="A5193" t="str">
        <f>"320203454547"</f>
        <v>320203454547</v>
      </c>
      <c r="B5193" t="s">
        <v>7163</v>
      </c>
      <c r="C5193" t="s">
        <v>7</v>
      </c>
      <c r="D5193" t="s">
        <v>14</v>
      </c>
      <c r="E5193" t="s">
        <v>6998</v>
      </c>
    </row>
    <row r="5194" spans="1:6" x14ac:dyDescent="0.25">
      <c r="A5194" t="str">
        <f>"320300239601"</f>
        <v>320300239601</v>
      </c>
      <c r="B5194" t="s">
        <v>7164</v>
      </c>
      <c r="C5194" t="s">
        <v>7</v>
      </c>
      <c r="D5194" t="s">
        <v>14</v>
      </c>
      <c r="E5194" t="s">
        <v>6998</v>
      </c>
    </row>
    <row r="5195" spans="1:6" x14ac:dyDescent="0.25">
      <c r="A5195" t="str">
        <f>"320304616755"</f>
        <v>320304616755</v>
      </c>
      <c r="B5195" t="s">
        <v>7165</v>
      </c>
      <c r="C5195" t="s">
        <v>7</v>
      </c>
      <c r="D5195" t="s">
        <v>14</v>
      </c>
      <c r="E5195" t="s">
        <v>6998</v>
      </c>
    </row>
    <row r="5196" spans="1:6" x14ac:dyDescent="0.25">
      <c r="A5196" t="str">
        <f>"3206003603"</f>
        <v>3206003603</v>
      </c>
      <c r="B5196" t="s">
        <v>7166</v>
      </c>
      <c r="C5196" t="s">
        <v>7</v>
      </c>
      <c r="D5196" t="s">
        <v>14</v>
      </c>
      <c r="E5196" t="s">
        <v>6998</v>
      </c>
      <c r="F5196" t="s">
        <v>7167</v>
      </c>
    </row>
    <row r="5197" spans="1:6" x14ac:dyDescent="0.25">
      <c r="A5197" t="str">
        <f>"3207003998"</f>
        <v>3207003998</v>
      </c>
      <c r="B5197" t="s">
        <v>7168</v>
      </c>
      <c r="C5197" t="s">
        <v>7</v>
      </c>
      <c r="D5197" t="s">
        <v>14</v>
      </c>
      <c r="E5197" t="s">
        <v>6998</v>
      </c>
      <c r="F5197" t="s">
        <v>7169</v>
      </c>
    </row>
    <row r="5198" spans="1:6" x14ac:dyDescent="0.25">
      <c r="A5198" t="str">
        <f>"321202671685"</f>
        <v>321202671685</v>
      </c>
      <c r="B5198" t="s">
        <v>7170</v>
      </c>
      <c r="C5198" t="s">
        <v>7</v>
      </c>
      <c r="D5198" t="s">
        <v>14</v>
      </c>
      <c r="E5198" t="s">
        <v>6998</v>
      </c>
    </row>
    <row r="5199" spans="1:6" x14ac:dyDescent="0.25">
      <c r="A5199" t="str">
        <f>"321400278557"</f>
        <v>321400278557</v>
      </c>
      <c r="B5199" t="s">
        <v>7171</v>
      </c>
      <c r="C5199" t="s">
        <v>7</v>
      </c>
      <c r="D5199" t="s">
        <v>14</v>
      </c>
      <c r="E5199" t="s">
        <v>6998</v>
      </c>
    </row>
    <row r="5200" spans="1:6" x14ac:dyDescent="0.25">
      <c r="A5200" t="str">
        <f>"321701005987"</f>
        <v>321701005987</v>
      </c>
      <c r="B5200" t="s">
        <v>7172</v>
      </c>
      <c r="C5200" t="s">
        <v>7</v>
      </c>
      <c r="D5200" t="s">
        <v>14</v>
      </c>
      <c r="E5200" t="s">
        <v>6998</v>
      </c>
    </row>
    <row r="5201" spans="1:6" x14ac:dyDescent="0.25">
      <c r="A5201" t="str">
        <f>"321801584135"</f>
        <v>321801584135</v>
      </c>
      <c r="B5201" t="s">
        <v>7173</v>
      </c>
      <c r="C5201" t="s">
        <v>7</v>
      </c>
      <c r="D5201" t="s">
        <v>14</v>
      </c>
      <c r="E5201" t="s">
        <v>6998</v>
      </c>
    </row>
    <row r="5202" spans="1:6" x14ac:dyDescent="0.25">
      <c r="A5202" t="str">
        <f>"322600059025"</f>
        <v>322600059025</v>
      </c>
      <c r="B5202" t="s">
        <v>7174</v>
      </c>
      <c r="C5202" t="s">
        <v>7</v>
      </c>
      <c r="D5202" t="s">
        <v>12</v>
      </c>
      <c r="E5202" t="s">
        <v>6998</v>
      </c>
    </row>
    <row r="5203" spans="1:6" x14ac:dyDescent="0.25">
      <c r="A5203" t="str">
        <f>"3227004083"</f>
        <v>3227004083</v>
      </c>
      <c r="B5203" t="s">
        <v>7175</v>
      </c>
      <c r="C5203" t="s">
        <v>7</v>
      </c>
      <c r="D5203" t="s">
        <v>33</v>
      </c>
      <c r="E5203" t="s">
        <v>6998</v>
      </c>
      <c r="F5203" t="s">
        <v>7176</v>
      </c>
    </row>
    <row r="5204" spans="1:6" x14ac:dyDescent="0.25">
      <c r="A5204" t="str">
        <f>"323002591274"</f>
        <v>323002591274</v>
      </c>
      <c r="B5204" t="s">
        <v>7177</v>
      </c>
      <c r="C5204" t="s">
        <v>7</v>
      </c>
      <c r="D5204" t="s">
        <v>14</v>
      </c>
      <c r="E5204" t="s">
        <v>6998</v>
      </c>
    </row>
    <row r="5205" spans="1:6" x14ac:dyDescent="0.25">
      <c r="A5205" t="str">
        <f>"323100171599"</f>
        <v>323100171599</v>
      </c>
      <c r="B5205" t="s">
        <v>7178</v>
      </c>
      <c r="C5205" t="s">
        <v>7</v>
      </c>
      <c r="D5205" t="s">
        <v>14</v>
      </c>
      <c r="E5205" t="s">
        <v>6998</v>
      </c>
    </row>
    <row r="5206" spans="1:6" x14ac:dyDescent="0.25">
      <c r="A5206" t="str">
        <f>"323102130196"</f>
        <v>323102130196</v>
      </c>
      <c r="B5206" t="s">
        <v>7179</v>
      </c>
      <c r="C5206" t="s">
        <v>7</v>
      </c>
      <c r="D5206" t="s">
        <v>14</v>
      </c>
      <c r="E5206" t="s">
        <v>6998</v>
      </c>
    </row>
    <row r="5207" spans="1:6" x14ac:dyDescent="0.25">
      <c r="A5207" t="str">
        <f>"323200087005"</f>
        <v>323200087005</v>
      </c>
      <c r="B5207" t="s">
        <v>7180</v>
      </c>
      <c r="C5207" t="s">
        <v>7</v>
      </c>
      <c r="D5207" t="s">
        <v>14</v>
      </c>
      <c r="E5207" t="s">
        <v>6998</v>
      </c>
    </row>
    <row r="5208" spans="1:6" x14ac:dyDescent="0.25">
      <c r="A5208" t="str">
        <f>"3200001409"</f>
        <v>3200001409</v>
      </c>
      <c r="B5208" t="s">
        <v>7181</v>
      </c>
      <c r="C5208" t="s">
        <v>7</v>
      </c>
      <c r="D5208" t="s">
        <v>33</v>
      </c>
      <c r="E5208" t="s">
        <v>6998</v>
      </c>
      <c r="F5208" t="s">
        <v>7182</v>
      </c>
    </row>
    <row r="5209" spans="1:6" x14ac:dyDescent="0.25">
      <c r="A5209" t="str">
        <f>"320200003088"</f>
        <v>320200003088</v>
      </c>
      <c r="B5209" t="s">
        <v>7183</v>
      </c>
      <c r="C5209" t="s">
        <v>7</v>
      </c>
      <c r="D5209" t="s">
        <v>14</v>
      </c>
      <c r="E5209" t="s">
        <v>6998</v>
      </c>
    </row>
    <row r="5210" spans="1:6" x14ac:dyDescent="0.25">
      <c r="A5210" t="str">
        <f>"320200003151"</f>
        <v>320200003151</v>
      </c>
      <c r="B5210" t="s">
        <v>7184</v>
      </c>
      <c r="C5210" t="s">
        <v>7</v>
      </c>
      <c r="D5210" t="s">
        <v>14</v>
      </c>
      <c r="E5210" t="s">
        <v>6998</v>
      </c>
    </row>
    <row r="5211" spans="1:6" x14ac:dyDescent="0.25">
      <c r="A5211" t="str">
        <f>"320300123981"</f>
        <v>320300123981</v>
      </c>
      <c r="B5211" t="s">
        <v>7185</v>
      </c>
      <c r="C5211" t="s">
        <v>7</v>
      </c>
      <c r="D5211" t="s">
        <v>14</v>
      </c>
      <c r="E5211" t="s">
        <v>6998</v>
      </c>
    </row>
    <row r="5212" spans="1:6" x14ac:dyDescent="0.25">
      <c r="A5212" t="str">
        <f>"320300298283"</f>
        <v>320300298283</v>
      </c>
      <c r="B5212" t="s">
        <v>7186</v>
      </c>
      <c r="C5212" t="s">
        <v>7</v>
      </c>
      <c r="D5212" t="s">
        <v>14</v>
      </c>
      <c r="E5212" t="s">
        <v>6998</v>
      </c>
    </row>
    <row r="5213" spans="1:6" x14ac:dyDescent="0.25">
      <c r="A5213" t="str">
        <f>"320300472171"</f>
        <v>320300472171</v>
      </c>
      <c r="B5213" t="s">
        <v>7187</v>
      </c>
      <c r="C5213" t="s">
        <v>7</v>
      </c>
      <c r="D5213" t="s">
        <v>12</v>
      </c>
      <c r="E5213" t="s">
        <v>6998</v>
      </c>
    </row>
    <row r="5214" spans="1:6" x14ac:dyDescent="0.25">
      <c r="A5214" t="str">
        <f>"320304792493"</f>
        <v>320304792493</v>
      </c>
      <c r="B5214" t="s">
        <v>7188</v>
      </c>
      <c r="C5214" t="s">
        <v>7</v>
      </c>
      <c r="D5214" t="s">
        <v>14</v>
      </c>
      <c r="E5214" t="s">
        <v>6998</v>
      </c>
    </row>
    <row r="5215" spans="1:6" x14ac:dyDescent="0.25">
      <c r="A5215" t="str">
        <f>"320400219239"</f>
        <v>320400219239</v>
      </c>
      <c r="B5215" t="s">
        <v>7189</v>
      </c>
      <c r="C5215" t="s">
        <v>7</v>
      </c>
      <c r="D5215" t="s">
        <v>14</v>
      </c>
      <c r="E5215" t="s">
        <v>6998</v>
      </c>
    </row>
    <row r="5216" spans="1:6" x14ac:dyDescent="0.25">
      <c r="A5216" t="str">
        <f>"320401789312"</f>
        <v>320401789312</v>
      </c>
      <c r="B5216" t="s">
        <v>7190</v>
      </c>
      <c r="C5216" t="s">
        <v>7</v>
      </c>
      <c r="D5216" t="s">
        <v>14</v>
      </c>
      <c r="E5216" t="s">
        <v>6998</v>
      </c>
    </row>
    <row r="5217" spans="1:6" x14ac:dyDescent="0.25">
      <c r="A5217" t="str">
        <f>"320500039092"</f>
        <v>320500039092</v>
      </c>
      <c r="B5217" t="s">
        <v>7191</v>
      </c>
      <c r="C5217" t="s">
        <v>7</v>
      </c>
      <c r="D5217" t="s">
        <v>14</v>
      </c>
      <c r="E5217" t="s">
        <v>6998</v>
      </c>
    </row>
    <row r="5218" spans="1:6" x14ac:dyDescent="0.25">
      <c r="A5218" t="str">
        <f>"3206000049"</f>
        <v>3206000049</v>
      </c>
      <c r="B5218" t="s">
        <v>7192</v>
      </c>
      <c r="C5218" t="s">
        <v>7</v>
      </c>
      <c r="D5218" t="s">
        <v>14</v>
      </c>
      <c r="E5218" t="s">
        <v>6998</v>
      </c>
      <c r="F5218" t="s">
        <v>7193</v>
      </c>
    </row>
    <row r="5219" spans="1:6" x14ac:dyDescent="0.25">
      <c r="A5219" t="str">
        <f>"320600291419"</f>
        <v>320600291419</v>
      </c>
      <c r="B5219" t="s">
        <v>7194</v>
      </c>
      <c r="C5219" t="s">
        <v>7</v>
      </c>
      <c r="D5219" t="s">
        <v>14</v>
      </c>
      <c r="E5219" t="s">
        <v>6998</v>
      </c>
    </row>
    <row r="5220" spans="1:6" x14ac:dyDescent="0.25">
      <c r="A5220" t="str">
        <f>"320700688231"</f>
        <v>320700688231</v>
      </c>
      <c r="B5220" t="s">
        <v>7195</v>
      </c>
      <c r="C5220" t="s">
        <v>7</v>
      </c>
      <c r="D5220" t="s">
        <v>12</v>
      </c>
      <c r="E5220" t="s">
        <v>6998</v>
      </c>
    </row>
    <row r="5221" spans="1:6" x14ac:dyDescent="0.25">
      <c r="A5221" t="str">
        <f>"320702439304"</f>
        <v>320702439304</v>
      </c>
      <c r="B5221" t="s">
        <v>7196</v>
      </c>
      <c r="C5221" t="s">
        <v>7</v>
      </c>
      <c r="D5221" t="s">
        <v>14</v>
      </c>
      <c r="E5221" t="s">
        <v>6998</v>
      </c>
    </row>
    <row r="5222" spans="1:6" x14ac:dyDescent="0.25">
      <c r="A5222" t="str">
        <f>"321000009609"</f>
        <v>321000009609</v>
      </c>
      <c r="B5222" t="s">
        <v>7197</v>
      </c>
      <c r="C5222" t="s">
        <v>7</v>
      </c>
      <c r="D5222" t="s">
        <v>14</v>
      </c>
      <c r="E5222" t="s">
        <v>6998</v>
      </c>
    </row>
    <row r="5223" spans="1:6" x14ac:dyDescent="0.25">
      <c r="A5223" t="str">
        <f>"321500162676"</f>
        <v>321500162676</v>
      </c>
      <c r="B5223" t="s">
        <v>7198</v>
      </c>
      <c r="C5223" t="s">
        <v>7</v>
      </c>
      <c r="D5223" t="s">
        <v>14</v>
      </c>
      <c r="E5223" t="s">
        <v>6998</v>
      </c>
    </row>
    <row r="5224" spans="1:6" x14ac:dyDescent="0.25">
      <c r="A5224" t="str">
        <f>"3215002691"</f>
        <v>3215002691</v>
      </c>
      <c r="B5224" t="s">
        <v>7199</v>
      </c>
      <c r="C5224" t="s">
        <v>7</v>
      </c>
      <c r="D5224" t="s">
        <v>14</v>
      </c>
      <c r="E5224" t="s">
        <v>6998</v>
      </c>
      <c r="F5224" t="s">
        <v>7200</v>
      </c>
    </row>
    <row r="5225" spans="1:6" x14ac:dyDescent="0.25">
      <c r="A5225" t="str">
        <f>"321600622704"</f>
        <v>321600622704</v>
      </c>
      <c r="B5225" t="s">
        <v>7201</v>
      </c>
      <c r="C5225" t="s">
        <v>7</v>
      </c>
      <c r="D5225" t="s">
        <v>14</v>
      </c>
      <c r="E5225" t="s">
        <v>6998</v>
      </c>
    </row>
    <row r="5226" spans="1:6" x14ac:dyDescent="0.25">
      <c r="A5226" t="str">
        <f>"321601396134"</f>
        <v>321601396134</v>
      </c>
      <c r="B5226" t="s">
        <v>7202</v>
      </c>
      <c r="C5226" t="s">
        <v>7</v>
      </c>
      <c r="D5226" t="s">
        <v>14</v>
      </c>
      <c r="E5226" t="s">
        <v>6998</v>
      </c>
    </row>
    <row r="5227" spans="1:6" x14ac:dyDescent="0.25">
      <c r="A5227" t="str">
        <f>"321701760683"</f>
        <v>321701760683</v>
      </c>
      <c r="B5227" t="s">
        <v>7203</v>
      </c>
      <c r="C5227" t="s">
        <v>7</v>
      </c>
      <c r="D5227" t="s">
        <v>12</v>
      </c>
      <c r="E5227" t="s">
        <v>6998</v>
      </c>
    </row>
    <row r="5228" spans="1:6" x14ac:dyDescent="0.25">
      <c r="A5228" t="str">
        <f>"322200003765"</f>
        <v>322200003765</v>
      </c>
      <c r="B5228" t="s">
        <v>7204</v>
      </c>
      <c r="C5228" t="s">
        <v>7</v>
      </c>
      <c r="D5228" t="s">
        <v>14</v>
      </c>
      <c r="E5228" t="s">
        <v>6998</v>
      </c>
    </row>
    <row r="5229" spans="1:6" x14ac:dyDescent="0.25">
      <c r="A5229" t="str">
        <f>"322901612892"</f>
        <v>322901612892</v>
      </c>
      <c r="B5229" t="s">
        <v>7205</v>
      </c>
      <c r="C5229" t="s">
        <v>7</v>
      </c>
      <c r="D5229" t="s">
        <v>14</v>
      </c>
      <c r="E5229" t="s">
        <v>6998</v>
      </c>
    </row>
    <row r="5230" spans="1:6" x14ac:dyDescent="0.25">
      <c r="A5230" t="str">
        <f>"323000861609"</f>
        <v>323000861609</v>
      </c>
      <c r="B5230" t="s">
        <v>7206</v>
      </c>
      <c r="C5230" t="s">
        <v>7</v>
      </c>
      <c r="D5230" t="s">
        <v>14</v>
      </c>
      <c r="E5230" t="s">
        <v>6998</v>
      </c>
    </row>
    <row r="5231" spans="1:6" x14ac:dyDescent="0.25">
      <c r="A5231" t="str">
        <f>"323002027484"</f>
        <v>323002027484</v>
      </c>
      <c r="B5231" t="s">
        <v>7207</v>
      </c>
      <c r="C5231" t="s">
        <v>7</v>
      </c>
      <c r="D5231" t="s">
        <v>14</v>
      </c>
      <c r="E5231" t="s">
        <v>6998</v>
      </c>
    </row>
    <row r="5232" spans="1:6" x14ac:dyDescent="0.25">
      <c r="A5232" t="str">
        <f>"323101552798"</f>
        <v>323101552798</v>
      </c>
      <c r="B5232" t="s">
        <v>7208</v>
      </c>
      <c r="C5232" t="s">
        <v>7</v>
      </c>
      <c r="D5232" t="s">
        <v>14</v>
      </c>
      <c r="E5232" t="s">
        <v>6998</v>
      </c>
    </row>
    <row r="5233" spans="1:6" x14ac:dyDescent="0.25">
      <c r="A5233" t="str">
        <f>"323200148160"</f>
        <v>323200148160</v>
      </c>
      <c r="B5233" t="s">
        <v>7209</v>
      </c>
      <c r="C5233" t="s">
        <v>7</v>
      </c>
      <c r="D5233" t="s">
        <v>12</v>
      </c>
      <c r="E5233" t="s">
        <v>6998</v>
      </c>
    </row>
    <row r="5234" spans="1:6" x14ac:dyDescent="0.25">
      <c r="A5234" t="str">
        <f>"3232027696"</f>
        <v>3232027696</v>
      </c>
      <c r="B5234" t="s">
        <v>7210</v>
      </c>
      <c r="C5234" t="s">
        <v>7</v>
      </c>
      <c r="D5234" t="s">
        <v>12</v>
      </c>
      <c r="E5234" t="s">
        <v>6998</v>
      </c>
      <c r="F5234" t="s">
        <v>7211</v>
      </c>
    </row>
    <row r="5235" spans="1:6" x14ac:dyDescent="0.25">
      <c r="A5235" t="str">
        <f>"3232029478"</f>
        <v>3232029478</v>
      </c>
      <c r="B5235" t="s">
        <v>7212</v>
      </c>
      <c r="C5235" t="s">
        <v>7</v>
      </c>
      <c r="D5235" t="s">
        <v>12</v>
      </c>
      <c r="E5235" t="s">
        <v>6998</v>
      </c>
      <c r="F5235" t="s">
        <v>7213</v>
      </c>
    </row>
    <row r="5236" spans="1:6" x14ac:dyDescent="0.25">
      <c r="A5236" t="str">
        <f>"323300914717"</f>
        <v>323300914717</v>
      </c>
      <c r="B5236" t="s">
        <v>7214</v>
      </c>
      <c r="C5236" t="s">
        <v>7</v>
      </c>
      <c r="D5236" t="s">
        <v>14</v>
      </c>
      <c r="E5236" t="s">
        <v>6998</v>
      </c>
    </row>
    <row r="5237" spans="1:6" x14ac:dyDescent="0.25">
      <c r="A5237" t="str">
        <f>"323305488886"</f>
        <v>323305488886</v>
      </c>
      <c r="B5237" t="s">
        <v>7215</v>
      </c>
      <c r="C5237" t="s">
        <v>7</v>
      </c>
      <c r="D5237" t="s">
        <v>12</v>
      </c>
      <c r="E5237" t="s">
        <v>6998</v>
      </c>
    </row>
    <row r="5238" spans="1:6" x14ac:dyDescent="0.25">
      <c r="A5238" t="str">
        <f>"323400176608"</f>
        <v>323400176608</v>
      </c>
      <c r="B5238" t="s">
        <v>7216</v>
      </c>
      <c r="C5238" t="s">
        <v>7</v>
      </c>
      <c r="D5238" t="s">
        <v>14</v>
      </c>
      <c r="E5238" t="s">
        <v>6998</v>
      </c>
    </row>
    <row r="5239" spans="1:6" x14ac:dyDescent="0.25">
      <c r="A5239" t="str">
        <f>"3300013052"</f>
        <v>3300013052</v>
      </c>
      <c r="B5239" t="s">
        <v>7217</v>
      </c>
      <c r="C5239" t="s">
        <v>7</v>
      </c>
      <c r="D5239" t="s">
        <v>33</v>
      </c>
      <c r="E5239" t="s">
        <v>7218</v>
      </c>
      <c r="F5239" t="s">
        <v>7219</v>
      </c>
    </row>
    <row r="5240" spans="1:6" x14ac:dyDescent="0.25">
      <c r="A5240" t="str">
        <f>"3300021800"</f>
        <v>3300021800</v>
      </c>
      <c r="B5240" t="s">
        <v>7220</v>
      </c>
      <c r="C5240" t="s">
        <v>7</v>
      </c>
      <c r="D5240" t="s">
        <v>12</v>
      </c>
      <c r="E5240" t="s">
        <v>7218</v>
      </c>
      <c r="F5240" t="s">
        <v>7221</v>
      </c>
    </row>
    <row r="5241" spans="1:6" x14ac:dyDescent="0.25">
      <c r="A5241" t="str">
        <f>"330100029890"</f>
        <v>330100029890</v>
      </c>
      <c r="B5241" t="s">
        <v>7222</v>
      </c>
      <c r="C5241" t="s">
        <v>7</v>
      </c>
      <c r="D5241" t="s">
        <v>14</v>
      </c>
      <c r="E5241" t="s">
        <v>7218</v>
      </c>
    </row>
    <row r="5242" spans="1:6" x14ac:dyDescent="0.25">
      <c r="A5242" t="str">
        <f>"330100765716"</f>
        <v>330100765716</v>
      </c>
      <c r="B5242" t="s">
        <v>7223</v>
      </c>
      <c r="C5242" t="s">
        <v>7</v>
      </c>
      <c r="D5242" t="s">
        <v>14</v>
      </c>
      <c r="E5242" t="s">
        <v>7218</v>
      </c>
    </row>
    <row r="5243" spans="1:6" x14ac:dyDescent="0.25">
      <c r="A5243" t="str">
        <f>"330108515980"</f>
        <v>330108515980</v>
      </c>
      <c r="B5243" t="s">
        <v>7224</v>
      </c>
      <c r="C5243" t="s">
        <v>7</v>
      </c>
      <c r="D5243" t="s">
        <v>14</v>
      </c>
      <c r="E5243" t="s">
        <v>7218</v>
      </c>
    </row>
    <row r="5244" spans="1:6" x14ac:dyDescent="0.25">
      <c r="A5244" t="str">
        <f>"3302005988"</f>
        <v>3302005988</v>
      </c>
      <c r="B5244" t="s">
        <v>7225</v>
      </c>
      <c r="C5244" t="s">
        <v>7</v>
      </c>
      <c r="D5244" t="s">
        <v>98</v>
      </c>
      <c r="E5244" t="s">
        <v>7218</v>
      </c>
      <c r="F5244" t="s">
        <v>7226</v>
      </c>
    </row>
    <row r="5245" spans="1:6" x14ac:dyDescent="0.25">
      <c r="A5245" t="str">
        <f>"330300014227"</f>
        <v>330300014227</v>
      </c>
      <c r="B5245" t="s">
        <v>7227</v>
      </c>
      <c r="C5245" t="s">
        <v>7</v>
      </c>
      <c r="D5245" t="s">
        <v>14</v>
      </c>
      <c r="E5245" t="s">
        <v>7218</v>
      </c>
    </row>
    <row r="5246" spans="1:6" x14ac:dyDescent="0.25">
      <c r="A5246" t="str">
        <f>"330302148931"</f>
        <v>330302148931</v>
      </c>
      <c r="B5246" t="s">
        <v>7228</v>
      </c>
      <c r="C5246" t="s">
        <v>7</v>
      </c>
      <c r="D5246" t="s">
        <v>14</v>
      </c>
      <c r="E5246" t="s">
        <v>7218</v>
      </c>
    </row>
    <row r="5247" spans="1:6" x14ac:dyDescent="0.25">
      <c r="A5247" t="str">
        <f>"330403580908"</f>
        <v>330403580908</v>
      </c>
      <c r="B5247" t="s">
        <v>7229</v>
      </c>
      <c r="C5247" t="s">
        <v>7</v>
      </c>
      <c r="D5247" t="s">
        <v>14</v>
      </c>
      <c r="E5247" t="s">
        <v>7218</v>
      </c>
    </row>
    <row r="5248" spans="1:6" x14ac:dyDescent="0.25">
      <c r="A5248" t="str">
        <f>"330504277094"</f>
        <v>330504277094</v>
      </c>
      <c r="B5248" t="s">
        <v>7230</v>
      </c>
      <c r="C5248" t="s">
        <v>7</v>
      </c>
      <c r="D5248" t="s">
        <v>12</v>
      </c>
      <c r="E5248" t="s">
        <v>7218</v>
      </c>
    </row>
    <row r="5249" spans="1:6" x14ac:dyDescent="0.25">
      <c r="A5249" t="str">
        <f>"3305052400"</f>
        <v>3305052400</v>
      </c>
      <c r="B5249" t="s">
        <v>7231</v>
      </c>
      <c r="C5249" t="s">
        <v>7</v>
      </c>
      <c r="D5249" t="s">
        <v>12</v>
      </c>
      <c r="E5249" t="s">
        <v>7218</v>
      </c>
      <c r="F5249" t="s">
        <v>7232</v>
      </c>
    </row>
    <row r="5250" spans="1:6" x14ac:dyDescent="0.25">
      <c r="A5250" t="str">
        <f>"3305718761"</f>
        <v>3305718761</v>
      </c>
      <c r="B5250" t="s">
        <v>7233</v>
      </c>
      <c r="C5250" t="s">
        <v>7</v>
      </c>
      <c r="D5250" t="s">
        <v>33</v>
      </c>
      <c r="E5250" t="s">
        <v>7218</v>
      </c>
      <c r="F5250" t="s">
        <v>7234</v>
      </c>
    </row>
    <row r="5251" spans="1:6" x14ac:dyDescent="0.25">
      <c r="A5251" t="str">
        <f>"330572616299"</f>
        <v>330572616299</v>
      </c>
      <c r="B5251" t="s">
        <v>7235</v>
      </c>
      <c r="C5251" t="s">
        <v>7</v>
      </c>
      <c r="D5251" t="s">
        <v>14</v>
      </c>
      <c r="E5251" t="s">
        <v>7218</v>
      </c>
    </row>
    <row r="5252" spans="1:6" x14ac:dyDescent="0.25">
      <c r="A5252" t="str">
        <f>"3305792540"</f>
        <v>3305792540</v>
      </c>
      <c r="B5252" t="s">
        <v>7236</v>
      </c>
      <c r="C5252" t="s">
        <v>7</v>
      </c>
      <c r="D5252" t="s">
        <v>12</v>
      </c>
      <c r="E5252" t="s">
        <v>7218</v>
      </c>
      <c r="F5252" t="s">
        <v>7237</v>
      </c>
    </row>
    <row r="5253" spans="1:6" x14ac:dyDescent="0.25">
      <c r="A5253" t="str">
        <f>"3305800423"</f>
        <v>3305800423</v>
      </c>
      <c r="B5253" t="s">
        <v>7238</v>
      </c>
      <c r="C5253" t="s">
        <v>7</v>
      </c>
      <c r="D5253" t="s">
        <v>33</v>
      </c>
      <c r="E5253" t="s">
        <v>7218</v>
      </c>
      <c r="F5253" t="s">
        <v>7239</v>
      </c>
    </row>
    <row r="5254" spans="1:6" x14ac:dyDescent="0.25">
      <c r="A5254" t="str">
        <f>"330600273470"</f>
        <v>330600273470</v>
      </c>
      <c r="B5254" t="s">
        <v>7240</v>
      </c>
      <c r="C5254" t="s">
        <v>7</v>
      </c>
      <c r="D5254" t="s">
        <v>14</v>
      </c>
      <c r="E5254" t="s">
        <v>7218</v>
      </c>
    </row>
    <row r="5255" spans="1:6" x14ac:dyDescent="0.25">
      <c r="A5255" t="str">
        <f>"330700696817"</f>
        <v>330700696817</v>
      </c>
      <c r="B5255" t="s">
        <v>7241</v>
      </c>
      <c r="C5255" t="s">
        <v>7</v>
      </c>
      <c r="D5255" t="s">
        <v>12</v>
      </c>
      <c r="E5255" t="s">
        <v>7218</v>
      </c>
    </row>
    <row r="5256" spans="1:6" x14ac:dyDescent="0.25">
      <c r="A5256" t="str">
        <f>"3307011304"</f>
        <v>3307011304</v>
      </c>
      <c r="B5256" t="s">
        <v>7242</v>
      </c>
      <c r="C5256" t="s">
        <v>7</v>
      </c>
      <c r="D5256" t="s">
        <v>12</v>
      </c>
      <c r="E5256" t="s">
        <v>7218</v>
      </c>
      <c r="F5256" t="s">
        <v>7243</v>
      </c>
    </row>
    <row r="5257" spans="1:6" x14ac:dyDescent="0.25">
      <c r="A5257" t="str">
        <f>"330706302339"</f>
        <v>330706302339</v>
      </c>
      <c r="B5257" t="s">
        <v>7244</v>
      </c>
      <c r="C5257" t="s">
        <v>7</v>
      </c>
      <c r="D5257" t="s">
        <v>14</v>
      </c>
      <c r="E5257" t="s">
        <v>7218</v>
      </c>
    </row>
    <row r="5258" spans="1:6" x14ac:dyDescent="0.25">
      <c r="A5258" t="str">
        <f>"330972245747"</f>
        <v>330972245747</v>
      </c>
      <c r="B5258" t="s">
        <v>7245</v>
      </c>
      <c r="C5258" t="s">
        <v>7</v>
      </c>
      <c r="D5258" t="s">
        <v>14</v>
      </c>
      <c r="E5258" t="s">
        <v>7218</v>
      </c>
    </row>
    <row r="5259" spans="1:6" x14ac:dyDescent="0.25">
      <c r="A5259" t="str">
        <f>"331300002390"</f>
        <v>331300002390</v>
      </c>
      <c r="B5259" t="s">
        <v>7246</v>
      </c>
      <c r="C5259" t="s">
        <v>7</v>
      </c>
      <c r="D5259" t="s">
        <v>14</v>
      </c>
      <c r="E5259" t="s">
        <v>7218</v>
      </c>
    </row>
    <row r="5260" spans="1:6" x14ac:dyDescent="0.25">
      <c r="A5260" t="str">
        <f>"331403911580"</f>
        <v>331403911580</v>
      </c>
      <c r="B5260" t="s">
        <v>7247</v>
      </c>
      <c r="C5260" t="s">
        <v>7</v>
      </c>
      <c r="D5260" t="s">
        <v>12</v>
      </c>
      <c r="E5260" t="s">
        <v>7218</v>
      </c>
    </row>
    <row r="5261" spans="1:6" x14ac:dyDescent="0.25">
      <c r="A5261" t="str">
        <f>"331404360569"</f>
        <v>331404360569</v>
      </c>
      <c r="B5261" t="s">
        <v>7248</v>
      </c>
      <c r="C5261" t="s">
        <v>7</v>
      </c>
      <c r="D5261" t="s">
        <v>12</v>
      </c>
      <c r="E5261" t="s">
        <v>7218</v>
      </c>
    </row>
    <row r="5262" spans="1:6" x14ac:dyDescent="0.25">
      <c r="A5262" t="str">
        <f>"331500342361"</f>
        <v>331500342361</v>
      </c>
      <c r="B5262" t="s">
        <v>7249</v>
      </c>
      <c r="C5262" t="s">
        <v>7</v>
      </c>
      <c r="D5262" t="s">
        <v>14</v>
      </c>
      <c r="E5262" t="s">
        <v>7218</v>
      </c>
    </row>
    <row r="5263" spans="1:6" x14ac:dyDescent="0.25">
      <c r="A5263" t="str">
        <f>"3316020859"</f>
        <v>3316020859</v>
      </c>
      <c r="B5263" t="s">
        <v>7250</v>
      </c>
      <c r="C5263" t="s">
        <v>7</v>
      </c>
      <c r="D5263" t="s">
        <v>146</v>
      </c>
      <c r="E5263" t="s">
        <v>7218</v>
      </c>
      <c r="F5263" t="s">
        <v>7251</v>
      </c>
    </row>
    <row r="5264" spans="1:6" x14ac:dyDescent="0.25">
      <c r="A5264" t="str">
        <f>"331603290066"</f>
        <v>331603290066</v>
      </c>
      <c r="B5264" t="s">
        <v>7252</v>
      </c>
      <c r="C5264" t="s">
        <v>7</v>
      </c>
      <c r="D5264" t="s">
        <v>14</v>
      </c>
      <c r="E5264" t="s">
        <v>7218</v>
      </c>
    </row>
    <row r="5265" spans="1:6" x14ac:dyDescent="0.25">
      <c r="A5265" t="str">
        <f>"331701229704"</f>
        <v>331701229704</v>
      </c>
      <c r="B5265" t="s">
        <v>7253</v>
      </c>
      <c r="C5265" t="s">
        <v>7</v>
      </c>
      <c r="D5265" t="s">
        <v>14</v>
      </c>
      <c r="E5265" t="s">
        <v>7218</v>
      </c>
    </row>
    <row r="5266" spans="1:6" x14ac:dyDescent="0.25">
      <c r="A5266" t="str">
        <f>"331901387602"</f>
        <v>331901387602</v>
      </c>
      <c r="B5266" t="s">
        <v>7254</v>
      </c>
      <c r="C5266" t="s">
        <v>7</v>
      </c>
      <c r="D5266" t="s">
        <v>14</v>
      </c>
      <c r="E5266" t="s">
        <v>7218</v>
      </c>
    </row>
    <row r="5267" spans="1:6" x14ac:dyDescent="0.25">
      <c r="A5267" t="str">
        <f>"332000218456"</f>
        <v>332000218456</v>
      </c>
      <c r="B5267" t="s">
        <v>7255</v>
      </c>
      <c r="C5267" t="s">
        <v>7</v>
      </c>
      <c r="D5267" t="s">
        <v>12</v>
      </c>
      <c r="E5267" t="s">
        <v>7218</v>
      </c>
    </row>
    <row r="5268" spans="1:6" x14ac:dyDescent="0.25">
      <c r="A5268" t="str">
        <f>"3300018903"</f>
        <v>3300018903</v>
      </c>
      <c r="B5268" t="s">
        <v>7256</v>
      </c>
      <c r="C5268" t="s">
        <v>7</v>
      </c>
      <c r="D5268" t="s">
        <v>14</v>
      </c>
      <c r="E5268" t="s">
        <v>7218</v>
      </c>
      <c r="F5268" t="s">
        <v>7257</v>
      </c>
    </row>
    <row r="5269" spans="1:6" x14ac:dyDescent="0.25">
      <c r="A5269" t="str">
        <f>"330108678624"</f>
        <v>330108678624</v>
      </c>
      <c r="B5269" t="s">
        <v>7258</v>
      </c>
      <c r="C5269" t="s">
        <v>7</v>
      </c>
      <c r="D5269" t="s">
        <v>14</v>
      </c>
      <c r="E5269" t="s">
        <v>7218</v>
      </c>
    </row>
    <row r="5270" spans="1:6" x14ac:dyDescent="0.25">
      <c r="A5270" t="str">
        <f>"330301945980"</f>
        <v>330301945980</v>
      </c>
      <c r="B5270" t="s">
        <v>7259</v>
      </c>
      <c r="C5270" t="s">
        <v>7</v>
      </c>
      <c r="D5270" t="s">
        <v>14</v>
      </c>
      <c r="E5270" t="s">
        <v>7218</v>
      </c>
    </row>
    <row r="5271" spans="1:6" x14ac:dyDescent="0.25">
      <c r="A5271" t="str">
        <f>"330302035568"</f>
        <v>330302035568</v>
      </c>
      <c r="B5271" t="s">
        <v>7260</v>
      </c>
      <c r="C5271" t="s">
        <v>7</v>
      </c>
      <c r="D5271" t="s">
        <v>14</v>
      </c>
      <c r="E5271" t="s">
        <v>7218</v>
      </c>
    </row>
    <row r="5272" spans="1:6" x14ac:dyDescent="0.25">
      <c r="A5272" t="str">
        <f>"330302916728"</f>
        <v>330302916728</v>
      </c>
      <c r="B5272" t="s">
        <v>7261</v>
      </c>
      <c r="C5272" t="s">
        <v>7</v>
      </c>
      <c r="D5272" t="s">
        <v>14</v>
      </c>
      <c r="E5272" t="s">
        <v>7218</v>
      </c>
    </row>
    <row r="5273" spans="1:6" x14ac:dyDescent="0.25">
      <c r="A5273" t="str">
        <f>"3303036160"</f>
        <v>3303036160</v>
      </c>
      <c r="B5273" t="s">
        <v>7262</v>
      </c>
      <c r="C5273" t="s">
        <v>7</v>
      </c>
      <c r="D5273" t="s">
        <v>14</v>
      </c>
      <c r="E5273" t="s">
        <v>7218</v>
      </c>
      <c r="F5273" t="s">
        <v>7263</v>
      </c>
    </row>
    <row r="5274" spans="1:6" x14ac:dyDescent="0.25">
      <c r="A5274" t="str">
        <f>"3304026408"</f>
        <v>3304026408</v>
      </c>
      <c r="B5274" t="s">
        <v>7264</v>
      </c>
      <c r="C5274" t="s">
        <v>7</v>
      </c>
      <c r="D5274" t="s">
        <v>14</v>
      </c>
      <c r="E5274" t="s">
        <v>7218</v>
      </c>
      <c r="F5274" t="s">
        <v>7265</v>
      </c>
    </row>
    <row r="5275" spans="1:6" x14ac:dyDescent="0.25">
      <c r="A5275" t="str">
        <f>"330501177856"</f>
        <v>330501177856</v>
      </c>
      <c r="B5275" t="s">
        <v>7266</v>
      </c>
      <c r="C5275" t="s">
        <v>7</v>
      </c>
      <c r="D5275" t="s">
        <v>14</v>
      </c>
      <c r="E5275" t="s">
        <v>7218</v>
      </c>
    </row>
    <row r="5276" spans="1:6" x14ac:dyDescent="0.25">
      <c r="A5276" t="str">
        <f>"330501510176"</f>
        <v>330501510176</v>
      </c>
      <c r="B5276" t="s">
        <v>7267</v>
      </c>
      <c r="C5276" t="s">
        <v>7</v>
      </c>
      <c r="D5276" t="s">
        <v>14</v>
      </c>
      <c r="E5276" t="s">
        <v>7218</v>
      </c>
    </row>
    <row r="5277" spans="1:6" x14ac:dyDescent="0.25">
      <c r="A5277" t="str">
        <f>"330508507609"</f>
        <v>330508507609</v>
      </c>
      <c r="B5277" t="s">
        <v>7268</v>
      </c>
      <c r="C5277" t="s">
        <v>7</v>
      </c>
      <c r="D5277" t="s">
        <v>14</v>
      </c>
      <c r="E5277" t="s">
        <v>7218</v>
      </c>
    </row>
    <row r="5278" spans="1:6" x14ac:dyDescent="0.25">
      <c r="A5278" t="str">
        <f>"330509389683"</f>
        <v>330509389683</v>
      </c>
      <c r="B5278" t="s">
        <v>7269</v>
      </c>
      <c r="C5278" t="s">
        <v>7</v>
      </c>
      <c r="D5278" t="s">
        <v>14</v>
      </c>
      <c r="E5278" t="s">
        <v>7218</v>
      </c>
    </row>
    <row r="5279" spans="1:6" x14ac:dyDescent="0.25">
      <c r="A5279" t="str">
        <f>"330573784722"</f>
        <v>330573784722</v>
      </c>
      <c r="B5279" t="s">
        <v>7270</v>
      </c>
      <c r="C5279" t="s">
        <v>7</v>
      </c>
      <c r="D5279" t="s">
        <v>12</v>
      </c>
      <c r="E5279" t="s">
        <v>7218</v>
      </c>
    </row>
    <row r="5280" spans="1:6" x14ac:dyDescent="0.25">
      <c r="A5280" t="str">
        <f>"330573906000"</f>
        <v>330573906000</v>
      </c>
      <c r="B5280" t="s">
        <v>7271</v>
      </c>
      <c r="C5280" t="s">
        <v>7</v>
      </c>
      <c r="D5280" t="s">
        <v>14</v>
      </c>
      <c r="E5280" t="s">
        <v>7218</v>
      </c>
    </row>
    <row r="5281" spans="1:6" x14ac:dyDescent="0.25">
      <c r="A5281" t="str">
        <f>"330574343671"</f>
        <v>330574343671</v>
      </c>
      <c r="B5281" t="s">
        <v>7272</v>
      </c>
      <c r="C5281" t="s">
        <v>7</v>
      </c>
      <c r="D5281" t="s">
        <v>14</v>
      </c>
      <c r="E5281" t="s">
        <v>7218</v>
      </c>
    </row>
    <row r="5282" spans="1:6" x14ac:dyDescent="0.25">
      <c r="A5282" t="str">
        <f>"330574955850"</f>
        <v>330574955850</v>
      </c>
      <c r="B5282" t="s">
        <v>7273</v>
      </c>
      <c r="C5282" t="s">
        <v>7</v>
      </c>
      <c r="D5282" t="s">
        <v>14</v>
      </c>
      <c r="E5282" t="s">
        <v>7218</v>
      </c>
    </row>
    <row r="5283" spans="1:6" x14ac:dyDescent="0.25">
      <c r="A5283" t="str">
        <f>"330600125739"</f>
        <v>330600125739</v>
      </c>
      <c r="B5283" t="s">
        <v>7274</v>
      </c>
      <c r="C5283" t="s">
        <v>7</v>
      </c>
      <c r="D5283" t="s">
        <v>14</v>
      </c>
      <c r="E5283" t="s">
        <v>7218</v>
      </c>
    </row>
    <row r="5284" spans="1:6" x14ac:dyDescent="0.25">
      <c r="A5284" t="str">
        <f>"330600349150"</f>
        <v>330600349150</v>
      </c>
      <c r="B5284" t="s">
        <v>7275</v>
      </c>
      <c r="C5284" t="s">
        <v>7</v>
      </c>
      <c r="D5284" t="s">
        <v>14</v>
      </c>
      <c r="E5284" t="s">
        <v>7218</v>
      </c>
    </row>
    <row r="5285" spans="1:6" x14ac:dyDescent="0.25">
      <c r="A5285" t="str">
        <f>"3306014359"</f>
        <v>3306014359</v>
      </c>
      <c r="B5285" t="s">
        <v>7276</v>
      </c>
      <c r="C5285" t="s">
        <v>7</v>
      </c>
      <c r="D5285" t="s">
        <v>14</v>
      </c>
      <c r="E5285" t="s">
        <v>7218</v>
      </c>
      <c r="F5285" t="s">
        <v>7277</v>
      </c>
    </row>
    <row r="5286" spans="1:6" x14ac:dyDescent="0.25">
      <c r="A5286" t="str">
        <f>"330700509947"</f>
        <v>330700509947</v>
      </c>
      <c r="B5286" t="s">
        <v>7278</v>
      </c>
      <c r="C5286" t="s">
        <v>7</v>
      </c>
      <c r="D5286" t="s">
        <v>14</v>
      </c>
      <c r="E5286" t="s">
        <v>7218</v>
      </c>
    </row>
    <row r="5287" spans="1:6" x14ac:dyDescent="0.25">
      <c r="A5287" t="str">
        <f>"330705190661"</f>
        <v>330705190661</v>
      </c>
      <c r="B5287" t="s">
        <v>7279</v>
      </c>
      <c r="C5287" t="s">
        <v>7</v>
      </c>
      <c r="D5287" t="s">
        <v>14</v>
      </c>
      <c r="E5287" t="s">
        <v>7218</v>
      </c>
    </row>
    <row r="5288" spans="1:6" x14ac:dyDescent="0.25">
      <c r="A5288" t="str">
        <f>"330801102805"</f>
        <v>330801102805</v>
      </c>
      <c r="B5288" t="s">
        <v>7280</v>
      </c>
      <c r="C5288" t="s">
        <v>7</v>
      </c>
      <c r="D5288" t="s">
        <v>14</v>
      </c>
      <c r="E5288" t="s">
        <v>7218</v>
      </c>
    </row>
    <row r="5289" spans="1:6" x14ac:dyDescent="0.25">
      <c r="A5289" t="str">
        <f>"331102958666"</f>
        <v>331102958666</v>
      </c>
      <c r="B5289" t="s">
        <v>7281</v>
      </c>
      <c r="C5289" t="s">
        <v>7</v>
      </c>
      <c r="D5289" t="s">
        <v>14</v>
      </c>
      <c r="E5289" t="s">
        <v>7218</v>
      </c>
    </row>
    <row r="5290" spans="1:6" x14ac:dyDescent="0.25">
      <c r="A5290" t="str">
        <f>"331104055331"</f>
        <v>331104055331</v>
      </c>
      <c r="B5290" t="s">
        <v>7282</v>
      </c>
      <c r="C5290" t="s">
        <v>7</v>
      </c>
      <c r="D5290" t="s">
        <v>14</v>
      </c>
      <c r="E5290" t="s">
        <v>7218</v>
      </c>
    </row>
    <row r="5291" spans="1:6" x14ac:dyDescent="0.25">
      <c r="A5291" t="str">
        <f>"331202978874"</f>
        <v>331202978874</v>
      </c>
      <c r="B5291" t="s">
        <v>7283</v>
      </c>
      <c r="C5291" t="s">
        <v>7</v>
      </c>
      <c r="D5291" t="s">
        <v>14</v>
      </c>
      <c r="E5291" t="s">
        <v>7218</v>
      </c>
    </row>
    <row r="5292" spans="1:6" x14ac:dyDescent="0.25">
      <c r="A5292" t="str">
        <f>"3314008165"</f>
        <v>3314008165</v>
      </c>
      <c r="B5292" t="s">
        <v>7284</v>
      </c>
      <c r="C5292" t="s">
        <v>7</v>
      </c>
      <c r="D5292" t="s">
        <v>14</v>
      </c>
      <c r="E5292" t="s">
        <v>7218</v>
      </c>
      <c r="F5292" t="s">
        <v>7285</v>
      </c>
    </row>
    <row r="5293" spans="1:6" x14ac:dyDescent="0.25">
      <c r="A5293" t="str">
        <f>"331600905434"</f>
        <v>331600905434</v>
      </c>
      <c r="B5293" t="s">
        <v>7286</v>
      </c>
      <c r="C5293" t="s">
        <v>7</v>
      </c>
      <c r="D5293" t="s">
        <v>14</v>
      </c>
      <c r="E5293" t="s">
        <v>7218</v>
      </c>
    </row>
    <row r="5294" spans="1:6" x14ac:dyDescent="0.25">
      <c r="A5294" t="str">
        <f>"3316011773"</f>
        <v>3316011773</v>
      </c>
      <c r="B5294" t="s">
        <v>7287</v>
      </c>
      <c r="C5294" t="s">
        <v>7</v>
      </c>
      <c r="D5294" t="s">
        <v>14</v>
      </c>
      <c r="E5294" t="s">
        <v>7218</v>
      </c>
      <c r="F5294" t="s">
        <v>7288</v>
      </c>
    </row>
    <row r="5295" spans="1:6" x14ac:dyDescent="0.25">
      <c r="A5295" t="str">
        <f>"331603450792"</f>
        <v>331603450792</v>
      </c>
      <c r="B5295" t="s">
        <v>7289</v>
      </c>
      <c r="C5295" t="s">
        <v>7</v>
      </c>
      <c r="D5295" t="s">
        <v>14</v>
      </c>
      <c r="E5295" t="s">
        <v>7218</v>
      </c>
    </row>
    <row r="5296" spans="1:6" x14ac:dyDescent="0.25">
      <c r="A5296" t="str">
        <f>"3319009980"</f>
        <v>3319009980</v>
      </c>
      <c r="B5296" t="s">
        <v>7290</v>
      </c>
      <c r="C5296" t="s">
        <v>7</v>
      </c>
      <c r="D5296" t="s">
        <v>14</v>
      </c>
      <c r="E5296" t="s">
        <v>7218</v>
      </c>
      <c r="F5296" t="s">
        <v>7291</v>
      </c>
    </row>
    <row r="5297" spans="1:6" x14ac:dyDescent="0.25">
      <c r="A5297" t="str">
        <f>"332101302400"</f>
        <v>332101302400</v>
      </c>
      <c r="B5297" t="s">
        <v>7292</v>
      </c>
      <c r="C5297" t="s">
        <v>7</v>
      </c>
      <c r="D5297" t="s">
        <v>14</v>
      </c>
      <c r="E5297" t="s">
        <v>7218</v>
      </c>
    </row>
    <row r="5298" spans="1:6" x14ac:dyDescent="0.25">
      <c r="A5298" t="str">
        <f>"3300009056"</f>
        <v>3300009056</v>
      </c>
      <c r="B5298" t="s">
        <v>7293</v>
      </c>
      <c r="C5298" t="s">
        <v>7</v>
      </c>
      <c r="D5298" t="s">
        <v>33</v>
      </c>
      <c r="E5298" t="s">
        <v>7218</v>
      </c>
      <c r="F5298" t="s">
        <v>7294</v>
      </c>
    </row>
    <row r="5299" spans="1:6" x14ac:dyDescent="0.25">
      <c r="A5299" t="str">
        <f>"3300018935"</f>
        <v>3300018935</v>
      </c>
      <c r="B5299" t="s">
        <v>7295</v>
      </c>
      <c r="C5299" t="s">
        <v>7</v>
      </c>
      <c r="D5299" t="s">
        <v>14</v>
      </c>
      <c r="E5299" t="s">
        <v>7218</v>
      </c>
      <c r="F5299" t="s">
        <v>7296</v>
      </c>
    </row>
    <row r="5300" spans="1:6" x14ac:dyDescent="0.25">
      <c r="A5300" t="str">
        <f>"3301037112"</f>
        <v>3301037112</v>
      </c>
      <c r="B5300" t="s">
        <v>7297</v>
      </c>
      <c r="C5300" t="s">
        <v>7</v>
      </c>
      <c r="D5300" t="s">
        <v>12</v>
      </c>
      <c r="E5300" t="s">
        <v>7218</v>
      </c>
      <c r="F5300" t="s">
        <v>7298</v>
      </c>
    </row>
    <row r="5301" spans="1:6" x14ac:dyDescent="0.25">
      <c r="A5301" t="str">
        <f>"3302018810"</f>
        <v>3302018810</v>
      </c>
      <c r="B5301" t="s">
        <v>7299</v>
      </c>
      <c r="C5301" t="s">
        <v>7</v>
      </c>
      <c r="D5301" t="s">
        <v>98</v>
      </c>
      <c r="E5301" t="s">
        <v>7218</v>
      </c>
      <c r="F5301" t="s">
        <v>7300</v>
      </c>
    </row>
    <row r="5302" spans="1:6" x14ac:dyDescent="0.25">
      <c r="A5302" t="str">
        <f>"330300023133"</f>
        <v>330300023133</v>
      </c>
      <c r="B5302" t="s">
        <v>7301</v>
      </c>
      <c r="C5302" t="s">
        <v>7</v>
      </c>
      <c r="D5302" t="s">
        <v>14</v>
      </c>
      <c r="E5302" t="s">
        <v>7218</v>
      </c>
    </row>
    <row r="5303" spans="1:6" x14ac:dyDescent="0.25">
      <c r="A5303" t="str">
        <f>"330301021562"</f>
        <v>330301021562</v>
      </c>
      <c r="B5303" t="s">
        <v>7302</v>
      </c>
      <c r="C5303" t="s">
        <v>7</v>
      </c>
      <c r="D5303" t="s">
        <v>14</v>
      </c>
      <c r="E5303" t="s">
        <v>7218</v>
      </c>
    </row>
    <row r="5304" spans="1:6" x14ac:dyDescent="0.25">
      <c r="A5304" t="str">
        <f>"330301129012"</f>
        <v>330301129012</v>
      </c>
      <c r="B5304" t="s">
        <v>7303</v>
      </c>
      <c r="C5304" t="s">
        <v>7</v>
      </c>
      <c r="D5304" t="s">
        <v>14</v>
      </c>
      <c r="E5304" t="s">
        <v>7218</v>
      </c>
    </row>
    <row r="5305" spans="1:6" x14ac:dyDescent="0.25">
      <c r="A5305" t="str">
        <f>"330302420979"</f>
        <v>330302420979</v>
      </c>
      <c r="B5305" t="s">
        <v>7304</v>
      </c>
      <c r="C5305" t="s">
        <v>7</v>
      </c>
      <c r="D5305" t="s">
        <v>14</v>
      </c>
      <c r="E5305" t="s">
        <v>7218</v>
      </c>
    </row>
    <row r="5306" spans="1:6" x14ac:dyDescent="0.25">
      <c r="A5306" t="str">
        <f>"3303035551"</f>
        <v>3303035551</v>
      </c>
      <c r="B5306" t="s">
        <v>7305</v>
      </c>
      <c r="C5306" t="s">
        <v>7</v>
      </c>
      <c r="D5306" t="s">
        <v>12</v>
      </c>
      <c r="E5306" t="s">
        <v>7218</v>
      </c>
      <c r="F5306" t="s">
        <v>7306</v>
      </c>
    </row>
    <row r="5307" spans="1:6" x14ac:dyDescent="0.25">
      <c r="A5307" t="str">
        <f>"3304015188"</f>
        <v>3304015188</v>
      </c>
      <c r="B5307" t="s">
        <v>7307</v>
      </c>
      <c r="C5307" t="s">
        <v>7</v>
      </c>
      <c r="D5307" t="s">
        <v>33</v>
      </c>
      <c r="E5307" t="s">
        <v>7218</v>
      </c>
      <c r="F5307" t="s">
        <v>7308</v>
      </c>
    </row>
    <row r="5308" spans="1:6" x14ac:dyDescent="0.25">
      <c r="A5308" t="str">
        <f>"3304026729"</f>
        <v>3304026729</v>
      </c>
      <c r="B5308" t="s">
        <v>7309</v>
      </c>
      <c r="C5308" t="s">
        <v>7</v>
      </c>
      <c r="D5308" t="s">
        <v>12</v>
      </c>
      <c r="E5308" t="s">
        <v>7218</v>
      </c>
      <c r="F5308" t="s">
        <v>7310</v>
      </c>
    </row>
    <row r="5309" spans="1:6" x14ac:dyDescent="0.25">
      <c r="A5309" t="str">
        <f>"330505697422"</f>
        <v>330505697422</v>
      </c>
      <c r="B5309" t="s">
        <v>7311</v>
      </c>
      <c r="C5309" t="s">
        <v>7</v>
      </c>
      <c r="D5309" t="s">
        <v>14</v>
      </c>
      <c r="E5309" t="s">
        <v>7218</v>
      </c>
    </row>
    <row r="5310" spans="1:6" x14ac:dyDescent="0.25">
      <c r="A5310" t="str">
        <f>"330602897441"</f>
        <v>330602897441</v>
      </c>
      <c r="B5310" t="s">
        <v>7312</v>
      </c>
      <c r="C5310" t="s">
        <v>7</v>
      </c>
      <c r="D5310" t="s">
        <v>14</v>
      </c>
      <c r="E5310" t="s">
        <v>7218</v>
      </c>
    </row>
    <row r="5311" spans="1:6" x14ac:dyDescent="0.25">
      <c r="A5311" t="str">
        <f>"330700687058"</f>
        <v>330700687058</v>
      </c>
      <c r="B5311" t="s">
        <v>7313</v>
      </c>
      <c r="C5311" t="s">
        <v>7</v>
      </c>
      <c r="D5311" t="s">
        <v>14</v>
      </c>
      <c r="E5311" t="s">
        <v>7218</v>
      </c>
    </row>
    <row r="5312" spans="1:6" x14ac:dyDescent="0.25">
      <c r="A5312" t="str">
        <f>"330701930227"</f>
        <v>330701930227</v>
      </c>
      <c r="B5312" t="s">
        <v>7314</v>
      </c>
      <c r="C5312" t="s">
        <v>7</v>
      </c>
      <c r="D5312" t="s">
        <v>14</v>
      </c>
      <c r="E5312" t="s">
        <v>7218</v>
      </c>
    </row>
    <row r="5313" spans="1:6" x14ac:dyDescent="0.25">
      <c r="A5313" t="str">
        <f>"330900172585"</f>
        <v>330900172585</v>
      </c>
      <c r="B5313" t="s">
        <v>7315</v>
      </c>
      <c r="C5313" t="s">
        <v>7</v>
      </c>
      <c r="D5313" t="s">
        <v>14</v>
      </c>
      <c r="E5313" t="s">
        <v>7218</v>
      </c>
    </row>
    <row r="5314" spans="1:6" x14ac:dyDescent="0.25">
      <c r="A5314" t="str">
        <f>"330901297097"</f>
        <v>330901297097</v>
      </c>
      <c r="B5314" t="s">
        <v>7316</v>
      </c>
      <c r="C5314" t="s">
        <v>7</v>
      </c>
      <c r="D5314" t="s">
        <v>14</v>
      </c>
      <c r="E5314" t="s">
        <v>7218</v>
      </c>
    </row>
    <row r="5315" spans="1:6" x14ac:dyDescent="0.25">
      <c r="A5315" t="str">
        <f>"3309459733"</f>
        <v>3309459733</v>
      </c>
      <c r="B5315" t="s">
        <v>7317</v>
      </c>
      <c r="C5315" t="s">
        <v>7</v>
      </c>
      <c r="D5315" t="s">
        <v>14</v>
      </c>
      <c r="E5315" t="s">
        <v>7218</v>
      </c>
      <c r="F5315" t="s">
        <v>7318</v>
      </c>
    </row>
    <row r="5316" spans="1:6" x14ac:dyDescent="0.25">
      <c r="A5316" t="str">
        <f>"331105111155"</f>
        <v>331105111155</v>
      </c>
      <c r="B5316" t="s">
        <v>7319</v>
      </c>
      <c r="C5316" t="s">
        <v>7</v>
      </c>
      <c r="D5316" t="s">
        <v>12</v>
      </c>
      <c r="E5316" t="s">
        <v>7218</v>
      </c>
    </row>
    <row r="5317" spans="1:6" x14ac:dyDescent="0.25">
      <c r="A5317" t="str">
        <f>"3312000442"</f>
        <v>3312000442</v>
      </c>
      <c r="B5317" t="s">
        <v>7320</v>
      </c>
      <c r="C5317" t="s">
        <v>7</v>
      </c>
      <c r="D5317" t="s">
        <v>12</v>
      </c>
      <c r="E5317" t="s">
        <v>7218</v>
      </c>
      <c r="F5317" t="s">
        <v>7321</v>
      </c>
    </row>
    <row r="5318" spans="1:6" x14ac:dyDescent="0.25">
      <c r="A5318" t="str">
        <f>"331200062490"</f>
        <v>331200062490</v>
      </c>
      <c r="B5318" t="s">
        <v>7322</v>
      </c>
      <c r="C5318" t="s">
        <v>7</v>
      </c>
      <c r="D5318" t="s">
        <v>14</v>
      </c>
      <c r="E5318" t="s">
        <v>7218</v>
      </c>
    </row>
    <row r="5319" spans="1:6" x14ac:dyDescent="0.25">
      <c r="A5319" t="str">
        <f>"331301558038"</f>
        <v>331301558038</v>
      </c>
      <c r="B5319" t="s">
        <v>7323</v>
      </c>
      <c r="C5319" t="s">
        <v>7</v>
      </c>
      <c r="D5319" t="s">
        <v>14</v>
      </c>
      <c r="E5319" t="s">
        <v>7218</v>
      </c>
    </row>
    <row r="5320" spans="1:6" x14ac:dyDescent="0.25">
      <c r="A5320" t="str">
        <f>"331399024576"</f>
        <v>331399024576</v>
      </c>
      <c r="B5320" t="s">
        <v>7324</v>
      </c>
      <c r="C5320" t="s">
        <v>7</v>
      </c>
      <c r="D5320" t="s">
        <v>14</v>
      </c>
      <c r="E5320" t="s">
        <v>7218</v>
      </c>
    </row>
    <row r="5321" spans="1:6" x14ac:dyDescent="0.25">
      <c r="A5321" t="str">
        <f>"331604317472"</f>
        <v>331604317472</v>
      </c>
      <c r="B5321" t="s">
        <v>7325</v>
      </c>
      <c r="C5321" t="s">
        <v>7</v>
      </c>
      <c r="D5321" t="s">
        <v>14</v>
      </c>
      <c r="E5321" t="s">
        <v>7218</v>
      </c>
    </row>
    <row r="5322" spans="1:6" x14ac:dyDescent="0.25">
      <c r="A5322" t="str">
        <f>"331900129905"</f>
        <v>331900129905</v>
      </c>
      <c r="B5322" t="s">
        <v>7326</v>
      </c>
      <c r="C5322" t="s">
        <v>7</v>
      </c>
      <c r="D5322" t="s">
        <v>14</v>
      </c>
      <c r="E5322" t="s">
        <v>7218</v>
      </c>
    </row>
    <row r="5323" spans="1:6" x14ac:dyDescent="0.25">
      <c r="A5323" t="str">
        <f>"522301929050"</f>
        <v>522301929050</v>
      </c>
      <c r="B5323" t="s">
        <v>7327</v>
      </c>
      <c r="C5323" t="s">
        <v>7</v>
      </c>
      <c r="D5323" t="s">
        <v>12</v>
      </c>
      <c r="E5323" t="s">
        <v>7218</v>
      </c>
    </row>
    <row r="5324" spans="1:6" x14ac:dyDescent="0.25">
      <c r="A5324" t="str">
        <f>"332300009703"</f>
        <v>332300009703</v>
      </c>
      <c r="B5324" t="s">
        <v>7328</v>
      </c>
      <c r="C5324" t="s">
        <v>7</v>
      </c>
      <c r="D5324" t="s">
        <v>12</v>
      </c>
      <c r="E5324" t="s">
        <v>7218</v>
      </c>
    </row>
    <row r="5325" spans="1:6" x14ac:dyDescent="0.25">
      <c r="A5325" t="str">
        <f>"3323007351"</f>
        <v>3323007351</v>
      </c>
      <c r="B5325" t="s">
        <v>7329</v>
      </c>
      <c r="C5325" t="s">
        <v>7</v>
      </c>
      <c r="D5325" t="s">
        <v>33</v>
      </c>
      <c r="E5325" t="s">
        <v>7218</v>
      </c>
      <c r="F5325" t="s">
        <v>7330</v>
      </c>
    </row>
    <row r="5326" spans="1:6" x14ac:dyDescent="0.25">
      <c r="A5326" t="str">
        <f>"3323010629"</f>
        <v>3323010629</v>
      </c>
      <c r="B5326" t="s">
        <v>7331</v>
      </c>
      <c r="C5326" t="s">
        <v>7</v>
      </c>
      <c r="D5326" t="s">
        <v>14</v>
      </c>
      <c r="E5326" t="s">
        <v>7218</v>
      </c>
      <c r="F5326" t="s">
        <v>7332</v>
      </c>
    </row>
    <row r="5327" spans="1:6" x14ac:dyDescent="0.25">
      <c r="A5327" t="str">
        <f>"332301410403"</f>
        <v>332301410403</v>
      </c>
      <c r="B5327" t="s">
        <v>7333</v>
      </c>
      <c r="C5327" t="s">
        <v>7</v>
      </c>
      <c r="D5327" t="s">
        <v>14</v>
      </c>
      <c r="E5327" t="s">
        <v>7218</v>
      </c>
    </row>
    <row r="5328" spans="1:6" x14ac:dyDescent="0.25">
      <c r="A5328" t="str">
        <f>"332704964193"</f>
        <v>332704964193</v>
      </c>
      <c r="B5328" t="s">
        <v>7334</v>
      </c>
      <c r="C5328" t="s">
        <v>7</v>
      </c>
      <c r="D5328" t="s">
        <v>12</v>
      </c>
      <c r="E5328" t="s">
        <v>7218</v>
      </c>
    </row>
    <row r="5329" spans="1:6" x14ac:dyDescent="0.25">
      <c r="A5329" t="str">
        <f>"332705307803"</f>
        <v>332705307803</v>
      </c>
      <c r="B5329" t="s">
        <v>7335</v>
      </c>
      <c r="C5329" t="s">
        <v>7</v>
      </c>
      <c r="D5329" t="s">
        <v>12</v>
      </c>
      <c r="E5329" t="s">
        <v>7218</v>
      </c>
    </row>
    <row r="5330" spans="1:6" x14ac:dyDescent="0.25">
      <c r="A5330" t="str">
        <f>"3327147448"</f>
        <v>3327147448</v>
      </c>
      <c r="B5330" t="s">
        <v>7336</v>
      </c>
      <c r="C5330" t="s">
        <v>7</v>
      </c>
      <c r="D5330" t="s">
        <v>33</v>
      </c>
      <c r="E5330" t="s">
        <v>7218</v>
      </c>
      <c r="F5330" t="s">
        <v>7337</v>
      </c>
    </row>
    <row r="5331" spans="1:6" x14ac:dyDescent="0.25">
      <c r="A5331" t="str">
        <f>"3327315678"</f>
        <v>3327315678</v>
      </c>
      <c r="B5331" t="s">
        <v>7338</v>
      </c>
      <c r="C5331" t="s">
        <v>7</v>
      </c>
      <c r="D5331" t="s">
        <v>33</v>
      </c>
      <c r="E5331" t="s">
        <v>7218</v>
      </c>
      <c r="F5331" t="s">
        <v>7339</v>
      </c>
    </row>
    <row r="5332" spans="1:6" x14ac:dyDescent="0.25">
      <c r="A5332" t="str">
        <f>"332800222564"</f>
        <v>332800222564</v>
      </c>
      <c r="B5332" t="s">
        <v>7340</v>
      </c>
      <c r="C5332" t="s">
        <v>7</v>
      </c>
      <c r="D5332" t="s">
        <v>12</v>
      </c>
      <c r="E5332" t="s">
        <v>7218</v>
      </c>
    </row>
    <row r="5333" spans="1:6" x14ac:dyDescent="0.25">
      <c r="A5333" t="str">
        <f>"3328021720"</f>
        <v>3328021720</v>
      </c>
      <c r="B5333" t="s">
        <v>7341</v>
      </c>
      <c r="C5333" t="s">
        <v>7</v>
      </c>
      <c r="D5333" t="s">
        <v>33</v>
      </c>
      <c r="E5333" t="s">
        <v>7218</v>
      </c>
      <c r="F5333" t="s">
        <v>7342</v>
      </c>
    </row>
    <row r="5334" spans="1:6" x14ac:dyDescent="0.25">
      <c r="A5334" t="str">
        <f>"3328028595"</f>
        <v>3328028595</v>
      </c>
      <c r="B5334" t="s">
        <v>7343</v>
      </c>
      <c r="C5334" t="s">
        <v>7</v>
      </c>
      <c r="D5334" t="s">
        <v>14</v>
      </c>
      <c r="E5334" t="s">
        <v>7218</v>
      </c>
      <c r="F5334" t="s">
        <v>7344</v>
      </c>
    </row>
    <row r="5335" spans="1:6" x14ac:dyDescent="0.25">
      <c r="A5335" t="str">
        <f>"3328411832"</f>
        <v>3328411832</v>
      </c>
      <c r="B5335" t="s">
        <v>7345</v>
      </c>
      <c r="C5335" t="s">
        <v>7</v>
      </c>
      <c r="D5335" t="s">
        <v>33</v>
      </c>
      <c r="E5335" t="s">
        <v>7218</v>
      </c>
      <c r="F5335" t="s">
        <v>7346</v>
      </c>
    </row>
    <row r="5336" spans="1:6" x14ac:dyDescent="0.25">
      <c r="A5336" t="str">
        <f>"3328468437"</f>
        <v>3328468437</v>
      </c>
      <c r="B5336" t="s">
        <v>7347</v>
      </c>
      <c r="C5336" t="s">
        <v>7</v>
      </c>
      <c r="D5336" t="s">
        <v>14</v>
      </c>
      <c r="E5336" t="s">
        <v>7218</v>
      </c>
      <c r="F5336" t="s">
        <v>7348</v>
      </c>
    </row>
    <row r="5337" spans="1:6" x14ac:dyDescent="0.25">
      <c r="A5337" t="str">
        <f>"332900236049"</f>
        <v>332900236049</v>
      </c>
      <c r="B5337" t="s">
        <v>7349</v>
      </c>
      <c r="C5337" t="s">
        <v>7</v>
      </c>
      <c r="D5337" t="s">
        <v>14</v>
      </c>
      <c r="E5337" t="s">
        <v>7218</v>
      </c>
    </row>
    <row r="5338" spans="1:6" x14ac:dyDescent="0.25">
      <c r="A5338" t="str">
        <f>"332900354236"</f>
        <v>332900354236</v>
      </c>
      <c r="B5338" t="s">
        <v>7350</v>
      </c>
      <c r="C5338" t="s">
        <v>7</v>
      </c>
      <c r="D5338" t="s">
        <v>14</v>
      </c>
      <c r="E5338" t="s">
        <v>7218</v>
      </c>
    </row>
    <row r="5339" spans="1:6" x14ac:dyDescent="0.25">
      <c r="A5339" t="str">
        <f>"332901111130"</f>
        <v>332901111130</v>
      </c>
      <c r="B5339" t="s">
        <v>7351</v>
      </c>
      <c r="C5339" t="s">
        <v>7</v>
      </c>
      <c r="D5339" t="s">
        <v>12</v>
      </c>
      <c r="E5339" t="s">
        <v>7218</v>
      </c>
    </row>
    <row r="5340" spans="1:6" x14ac:dyDescent="0.25">
      <c r="A5340" t="str">
        <f>"3329080950"</f>
        <v>3329080950</v>
      </c>
      <c r="B5340" t="s">
        <v>7352</v>
      </c>
      <c r="C5340" t="s">
        <v>7</v>
      </c>
      <c r="D5340" t="s">
        <v>14</v>
      </c>
      <c r="E5340" t="s">
        <v>7218</v>
      </c>
      <c r="F5340" t="s">
        <v>7353</v>
      </c>
    </row>
    <row r="5341" spans="1:6" x14ac:dyDescent="0.25">
      <c r="A5341" t="str">
        <f>"332908718693"</f>
        <v>332908718693</v>
      </c>
      <c r="B5341" t="s">
        <v>7354</v>
      </c>
      <c r="C5341" t="s">
        <v>7</v>
      </c>
      <c r="D5341" t="s">
        <v>14</v>
      </c>
      <c r="E5341" t="s">
        <v>7218</v>
      </c>
    </row>
    <row r="5342" spans="1:6" x14ac:dyDescent="0.25">
      <c r="A5342" t="str">
        <f>"332919721151"</f>
        <v>332919721151</v>
      </c>
      <c r="B5342" t="s">
        <v>7355</v>
      </c>
      <c r="C5342" t="s">
        <v>7</v>
      </c>
      <c r="D5342" t="s">
        <v>14</v>
      </c>
      <c r="E5342" t="s">
        <v>7218</v>
      </c>
    </row>
    <row r="5343" spans="1:6" x14ac:dyDescent="0.25">
      <c r="A5343" t="str">
        <f>"3334016830"</f>
        <v>3334016830</v>
      </c>
      <c r="B5343" t="s">
        <v>7356</v>
      </c>
      <c r="C5343" t="s">
        <v>7</v>
      </c>
      <c r="D5343" t="s">
        <v>14</v>
      </c>
      <c r="E5343" t="s">
        <v>7218</v>
      </c>
      <c r="F5343" t="s">
        <v>7357</v>
      </c>
    </row>
    <row r="5344" spans="1:6" x14ac:dyDescent="0.25">
      <c r="A5344" t="str">
        <f>"3334023637"</f>
        <v>3334023637</v>
      </c>
      <c r="B5344" t="s">
        <v>7358</v>
      </c>
      <c r="C5344" t="s">
        <v>7</v>
      </c>
      <c r="D5344" t="s">
        <v>14</v>
      </c>
      <c r="E5344" t="s">
        <v>7218</v>
      </c>
      <c r="F5344" t="s">
        <v>7359</v>
      </c>
    </row>
    <row r="5345" spans="1:6" x14ac:dyDescent="0.25">
      <c r="A5345" t="str">
        <f>"333410712212"</f>
        <v>333410712212</v>
      </c>
      <c r="B5345" t="s">
        <v>7360</v>
      </c>
      <c r="C5345" t="s">
        <v>7</v>
      </c>
      <c r="D5345" t="s">
        <v>12</v>
      </c>
      <c r="E5345" t="s">
        <v>7218</v>
      </c>
    </row>
    <row r="5346" spans="1:6" x14ac:dyDescent="0.25">
      <c r="A5346" t="str">
        <f>"332600012802"</f>
        <v>332600012802</v>
      </c>
      <c r="B5346" t="s">
        <v>7361</v>
      </c>
      <c r="C5346" t="s">
        <v>7</v>
      </c>
      <c r="D5346" t="s">
        <v>14</v>
      </c>
      <c r="E5346" t="s">
        <v>7218</v>
      </c>
    </row>
    <row r="5347" spans="1:6" x14ac:dyDescent="0.25">
      <c r="A5347" t="str">
        <f>"3327101563"</f>
        <v>3327101563</v>
      </c>
      <c r="B5347" t="s">
        <v>7362</v>
      </c>
      <c r="C5347" t="s">
        <v>7</v>
      </c>
      <c r="D5347" t="s">
        <v>14</v>
      </c>
      <c r="E5347" t="s">
        <v>7218</v>
      </c>
      <c r="F5347" t="s">
        <v>7363</v>
      </c>
    </row>
    <row r="5348" spans="1:6" x14ac:dyDescent="0.25">
      <c r="A5348" t="str">
        <f>"3327105984"</f>
        <v>3327105984</v>
      </c>
      <c r="B5348" t="s">
        <v>7364</v>
      </c>
      <c r="C5348" t="s">
        <v>7</v>
      </c>
      <c r="D5348" t="s">
        <v>12</v>
      </c>
      <c r="E5348" t="s">
        <v>7218</v>
      </c>
      <c r="F5348" t="s">
        <v>7365</v>
      </c>
    </row>
    <row r="5349" spans="1:6" x14ac:dyDescent="0.25">
      <c r="A5349" t="str">
        <f>"3327123052"</f>
        <v>3327123052</v>
      </c>
      <c r="B5349" t="s">
        <v>7366</v>
      </c>
      <c r="C5349" t="s">
        <v>7</v>
      </c>
      <c r="D5349" t="s">
        <v>33</v>
      </c>
      <c r="E5349" t="s">
        <v>7218</v>
      </c>
      <c r="F5349" t="s">
        <v>7367</v>
      </c>
    </row>
    <row r="5350" spans="1:6" x14ac:dyDescent="0.25">
      <c r="A5350" t="str">
        <f>"3327141735"</f>
        <v>3327141735</v>
      </c>
      <c r="B5350" t="s">
        <v>7368</v>
      </c>
      <c r="C5350" t="s">
        <v>7</v>
      </c>
      <c r="D5350" t="s">
        <v>12</v>
      </c>
      <c r="E5350" t="s">
        <v>7218</v>
      </c>
      <c r="F5350" t="s">
        <v>7369</v>
      </c>
    </row>
    <row r="5351" spans="1:6" x14ac:dyDescent="0.25">
      <c r="A5351" t="str">
        <f>"332762926052"</f>
        <v>332762926052</v>
      </c>
      <c r="B5351" t="s">
        <v>7370</v>
      </c>
      <c r="C5351" t="s">
        <v>7</v>
      </c>
      <c r="D5351" t="s">
        <v>33</v>
      </c>
      <c r="E5351" t="s">
        <v>7218</v>
      </c>
    </row>
    <row r="5352" spans="1:6" x14ac:dyDescent="0.25">
      <c r="A5352" t="str">
        <f>"3327828422"</f>
        <v>3327828422</v>
      </c>
      <c r="B5352" t="s">
        <v>7371</v>
      </c>
      <c r="C5352" t="s">
        <v>7</v>
      </c>
      <c r="D5352" t="s">
        <v>12</v>
      </c>
      <c r="E5352" t="s">
        <v>7218</v>
      </c>
      <c r="F5352" t="s">
        <v>7372</v>
      </c>
    </row>
    <row r="5353" spans="1:6" x14ac:dyDescent="0.25">
      <c r="A5353" t="str">
        <f>"3328004241"</f>
        <v>3328004241</v>
      </c>
      <c r="B5353" t="s">
        <v>5649</v>
      </c>
      <c r="C5353" t="s">
        <v>7</v>
      </c>
      <c r="D5353" t="s">
        <v>33</v>
      </c>
      <c r="E5353" t="s">
        <v>7218</v>
      </c>
      <c r="F5353" t="s">
        <v>7373</v>
      </c>
    </row>
    <row r="5354" spans="1:6" x14ac:dyDescent="0.25">
      <c r="A5354" t="str">
        <f>"3328008165"</f>
        <v>3328008165</v>
      </c>
      <c r="B5354" t="s">
        <v>7374</v>
      </c>
      <c r="C5354" t="s">
        <v>7</v>
      </c>
      <c r="D5354" t="s">
        <v>33</v>
      </c>
      <c r="E5354" t="s">
        <v>7218</v>
      </c>
      <c r="F5354" t="s">
        <v>7375</v>
      </c>
    </row>
    <row r="5355" spans="1:6" x14ac:dyDescent="0.25">
      <c r="A5355" t="str">
        <f>"3328014345"</f>
        <v>3328014345</v>
      </c>
      <c r="B5355" t="s">
        <v>7376</v>
      </c>
      <c r="C5355" t="s">
        <v>7</v>
      </c>
      <c r="D5355" t="s">
        <v>14</v>
      </c>
      <c r="E5355" t="s">
        <v>7218</v>
      </c>
      <c r="F5355" t="s">
        <v>7377</v>
      </c>
    </row>
    <row r="5356" spans="1:6" x14ac:dyDescent="0.25">
      <c r="A5356" t="str">
        <f>"3328430377"</f>
        <v>3328430377</v>
      </c>
      <c r="B5356" t="s">
        <v>7378</v>
      </c>
      <c r="C5356" t="s">
        <v>7</v>
      </c>
      <c r="D5356" t="s">
        <v>14</v>
      </c>
      <c r="E5356" t="s">
        <v>7218</v>
      </c>
      <c r="F5356" t="s">
        <v>7379</v>
      </c>
    </row>
    <row r="5357" spans="1:6" x14ac:dyDescent="0.25">
      <c r="A5357" t="str">
        <f>"3328486299"</f>
        <v>3328486299</v>
      </c>
      <c r="B5357" t="s">
        <v>6958</v>
      </c>
      <c r="C5357" t="s">
        <v>7</v>
      </c>
      <c r="D5357" t="s">
        <v>33</v>
      </c>
      <c r="E5357" t="s">
        <v>7218</v>
      </c>
      <c r="F5357" t="s">
        <v>7380</v>
      </c>
    </row>
    <row r="5358" spans="1:6" x14ac:dyDescent="0.25">
      <c r="A5358" t="str">
        <f>"332900001953"</f>
        <v>332900001953</v>
      </c>
      <c r="B5358" t="s">
        <v>7381</v>
      </c>
      <c r="C5358" t="s">
        <v>7</v>
      </c>
      <c r="D5358" t="s">
        <v>14</v>
      </c>
      <c r="E5358" t="s">
        <v>7218</v>
      </c>
    </row>
    <row r="5359" spans="1:6" x14ac:dyDescent="0.25">
      <c r="A5359" t="str">
        <f>"332900410579"</f>
        <v>332900410579</v>
      </c>
      <c r="B5359" t="s">
        <v>7382</v>
      </c>
      <c r="C5359" t="s">
        <v>7</v>
      </c>
      <c r="D5359" t="s">
        <v>14</v>
      </c>
      <c r="E5359" t="s">
        <v>7218</v>
      </c>
    </row>
    <row r="5360" spans="1:6" x14ac:dyDescent="0.25">
      <c r="A5360" t="str">
        <f>"332901111204"</f>
        <v>332901111204</v>
      </c>
      <c r="B5360" t="s">
        <v>7383</v>
      </c>
      <c r="C5360" t="s">
        <v>7</v>
      </c>
      <c r="D5360" t="s">
        <v>12</v>
      </c>
      <c r="E5360" t="s">
        <v>7218</v>
      </c>
    </row>
    <row r="5361" spans="1:6" x14ac:dyDescent="0.25">
      <c r="A5361" t="str">
        <f>"332902860894"</f>
        <v>332902860894</v>
      </c>
      <c r="B5361" t="s">
        <v>7384</v>
      </c>
      <c r="C5361" t="s">
        <v>7</v>
      </c>
      <c r="D5361" t="s">
        <v>14</v>
      </c>
      <c r="E5361" t="s">
        <v>7218</v>
      </c>
    </row>
    <row r="5362" spans="1:6" x14ac:dyDescent="0.25">
      <c r="A5362" t="str">
        <f>"3329054189"</f>
        <v>3329054189</v>
      </c>
      <c r="B5362" t="s">
        <v>7385</v>
      </c>
      <c r="C5362" t="s">
        <v>7</v>
      </c>
      <c r="D5362" t="s">
        <v>12</v>
      </c>
      <c r="E5362" t="s">
        <v>7218</v>
      </c>
      <c r="F5362" t="s">
        <v>7386</v>
      </c>
    </row>
    <row r="5363" spans="1:6" x14ac:dyDescent="0.25">
      <c r="A5363" t="str">
        <f>"332906392005"</f>
        <v>332906392005</v>
      </c>
      <c r="B5363" t="s">
        <v>7387</v>
      </c>
      <c r="C5363" t="s">
        <v>7</v>
      </c>
      <c r="D5363" t="s">
        <v>33</v>
      </c>
      <c r="E5363" t="s">
        <v>7218</v>
      </c>
    </row>
    <row r="5364" spans="1:6" x14ac:dyDescent="0.25">
      <c r="A5364" t="str">
        <f>"3329081792"</f>
        <v>3329081792</v>
      </c>
      <c r="B5364" t="s">
        <v>7388</v>
      </c>
      <c r="C5364" t="s">
        <v>7</v>
      </c>
      <c r="D5364" t="s">
        <v>12</v>
      </c>
      <c r="E5364" t="s">
        <v>7218</v>
      </c>
      <c r="F5364" t="s">
        <v>7389</v>
      </c>
    </row>
    <row r="5365" spans="1:6" x14ac:dyDescent="0.25">
      <c r="A5365" t="str">
        <f>"3334023605"</f>
        <v>3334023605</v>
      </c>
      <c r="B5365" t="s">
        <v>7390</v>
      </c>
      <c r="C5365" t="s">
        <v>7</v>
      </c>
      <c r="D5365" t="s">
        <v>33</v>
      </c>
      <c r="E5365" t="s">
        <v>7218</v>
      </c>
      <c r="F5365" t="s">
        <v>7391</v>
      </c>
    </row>
    <row r="5366" spans="1:6" x14ac:dyDescent="0.25">
      <c r="A5366" t="str">
        <f>"333410268928"</f>
        <v>333410268928</v>
      </c>
      <c r="B5366" t="s">
        <v>7392</v>
      </c>
      <c r="C5366" t="s">
        <v>7</v>
      </c>
      <c r="D5366" t="s">
        <v>14</v>
      </c>
      <c r="E5366" t="s">
        <v>7218</v>
      </c>
    </row>
    <row r="5367" spans="1:6" x14ac:dyDescent="0.25">
      <c r="A5367" t="str">
        <f>"333800623720"</f>
        <v>333800623720</v>
      </c>
      <c r="B5367" t="s">
        <v>7393</v>
      </c>
      <c r="C5367" t="s">
        <v>7</v>
      </c>
      <c r="D5367" t="s">
        <v>12</v>
      </c>
      <c r="E5367" t="s">
        <v>7218</v>
      </c>
    </row>
    <row r="5368" spans="1:6" x14ac:dyDescent="0.25">
      <c r="A5368" t="str">
        <f>"332110203460"</f>
        <v>332110203460</v>
      </c>
      <c r="B5368" t="s">
        <v>7394</v>
      </c>
      <c r="C5368" t="s">
        <v>7</v>
      </c>
      <c r="D5368" t="s">
        <v>14</v>
      </c>
      <c r="E5368" t="s">
        <v>7218</v>
      </c>
    </row>
    <row r="5369" spans="1:6" x14ac:dyDescent="0.25">
      <c r="A5369" t="str">
        <f>"332400675714"</f>
        <v>332400675714</v>
      </c>
      <c r="B5369" t="s">
        <v>7395</v>
      </c>
      <c r="C5369" t="s">
        <v>7</v>
      </c>
      <c r="D5369" t="s">
        <v>14</v>
      </c>
      <c r="E5369" t="s">
        <v>7218</v>
      </c>
    </row>
    <row r="5370" spans="1:6" x14ac:dyDescent="0.25">
      <c r="A5370" t="str">
        <f>"332402724822"</f>
        <v>332402724822</v>
      </c>
      <c r="B5370" t="s">
        <v>7396</v>
      </c>
      <c r="C5370" t="s">
        <v>7</v>
      </c>
      <c r="D5370" t="s">
        <v>14</v>
      </c>
      <c r="E5370" t="s">
        <v>7218</v>
      </c>
    </row>
    <row r="5371" spans="1:6" x14ac:dyDescent="0.25">
      <c r="A5371" t="str">
        <f>"332404591134"</f>
        <v>332404591134</v>
      </c>
      <c r="B5371" t="s">
        <v>7397</v>
      </c>
      <c r="C5371" t="s">
        <v>7</v>
      </c>
      <c r="D5371" t="s">
        <v>14</v>
      </c>
      <c r="E5371" t="s">
        <v>7218</v>
      </c>
    </row>
    <row r="5372" spans="1:6" x14ac:dyDescent="0.25">
      <c r="A5372" t="str">
        <f>"332500016296"</f>
        <v>332500016296</v>
      </c>
      <c r="B5372" t="s">
        <v>7398</v>
      </c>
      <c r="C5372" t="s">
        <v>7</v>
      </c>
      <c r="D5372" t="s">
        <v>14</v>
      </c>
      <c r="E5372" t="s">
        <v>7218</v>
      </c>
    </row>
    <row r="5373" spans="1:6" x14ac:dyDescent="0.25">
      <c r="A5373" t="str">
        <f>"332500031368"</f>
        <v>332500031368</v>
      </c>
      <c r="B5373" t="s">
        <v>7399</v>
      </c>
      <c r="C5373" t="s">
        <v>7</v>
      </c>
      <c r="D5373" t="s">
        <v>12</v>
      </c>
      <c r="E5373" t="s">
        <v>7218</v>
      </c>
    </row>
    <row r="5374" spans="1:6" x14ac:dyDescent="0.25">
      <c r="A5374" t="str">
        <f>"332500043099"</f>
        <v>332500043099</v>
      </c>
      <c r="B5374" t="s">
        <v>7400</v>
      </c>
      <c r="C5374" t="s">
        <v>7</v>
      </c>
      <c r="D5374" t="s">
        <v>12</v>
      </c>
      <c r="E5374" t="s">
        <v>7218</v>
      </c>
    </row>
    <row r="5375" spans="1:6" x14ac:dyDescent="0.25">
      <c r="A5375" t="str">
        <f>"332602451668"</f>
        <v>332602451668</v>
      </c>
      <c r="B5375" t="s">
        <v>7401</v>
      </c>
      <c r="C5375" t="s">
        <v>7</v>
      </c>
      <c r="D5375" t="s">
        <v>14</v>
      </c>
      <c r="E5375" t="s">
        <v>7218</v>
      </c>
    </row>
    <row r="5376" spans="1:6" x14ac:dyDescent="0.25">
      <c r="A5376" t="str">
        <f>"332604093369"</f>
        <v>332604093369</v>
      </c>
      <c r="B5376" t="s">
        <v>7402</v>
      </c>
      <c r="C5376" t="s">
        <v>7</v>
      </c>
      <c r="D5376" t="s">
        <v>14</v>
      </c>
      <c r="E5376" t="s">
        <v>7218</v>
      </c>
    </row>
    <row r="5377" spans="1:6" x14ac:dyDescent="0.25">
      <c r="A5377" t="str">
        <f>"332700414907"</f>
        <v>332700414907</v>
      </c>
      <c r="B5377" t="s">
        <v>7403</v>
      </c>
      <c r="C5377" t="s">
        <v>7</v>
      </c>
      <c r="D5377" t="s">
        <v>14</v>
      </c>
      <c r="E5377" t="s">
        <v>7218</v>
      </c>
    </row>
    <row r="5378" spans="1:6" x14ac:dyDescent="0.25">
      <c r="A5378" t="str">
        <f>"332701074308"</f>
        <v>332701074308</v>
      </c>
      <c r="B5378" t="s">
        <v>7404</v>
      </c>
      <c r="C5378" t="s">
        <v>7</v>
      </c>
      <c r="D5378" t="s">
        <v>14</v>
      </c>
      <c r="E5378" t="s">
        <v>7218</v>
      </c>
    </row>
    <row r="5379" spans="1:6" x14ac:dyDescent="0.25">
      <c r="A5379" t="str">
        <f>"332701254928"</f>
        <v>332701254928</v>
      </c>
      <c r="B5379" t="s">
        <v>7405</v>
      </c>
      <c r="C5379" t="s">
        <v>7</v>
      </c>
      <c r="D5379" t="s">
        <v>12</v>
      </c>
      <c r="E5379" t="s">
        <v>7218</v>
      </c>
    </row>
    <row r="5380" spans="1:6" x14ac:dyDescent="0.25">
      <c r="A5380" t="str">
        <f>"332708983013"</f>
        <v>332708983013</v>
      </c>
      <c r="B5380" t="s">
        <v>7406</v>
      </c>
      <c r="C5380" t="s">
        <v>7</v>
      </c>
      <c r="D5380" t="s">
        <v>12</v>
      </c>
      <c r="E5380" t="s">
        <v>7218</v>
      </c>
    </row>
    <row r="5381" spans="1:6" x14ac:dyDescent="0.25">
      <c r="A5381" t="str">
        <f>"332711492174"</f>
        <v>332711492174</v>
      </c>
      <c r="B5381" t="s">
        <v>7407</v>
      </c>
      <c r="C5381" t="s">
        <v>7</v>
      </c>
      <c r="D5381" t="s">
        <v>12</v>
      </c>
      <c r="E5381" t="s">
        <v>7218</v>
      </c>
    </row>
    <row r="5382" spans="1:6" x14ac:dyDescent="0.25">
      <c r="A5382" t="str">
        <f>"3327138531"</f>
        <v>3327138531</v>
      </c>
      <c r="B5382" t="s">
        <v>7408</v>
      </c>
      <c r="C5382" t="s">
        <v>7</v>
      </c>
      <c r="D5382" t="s">
        <v>33</v>
      </c>
      <c r="E5382" t="s">
        <v>7218</v>
      </c>
      <c r="F5382" t="s">
        <v>7409</v>
      </c>
    </row>
    <row r="5383" spans="1:6" x14ac:dyDescent="0.25">
      <c r="A5383" t="str">
        <f>"3327138718"</f>
        <v>3327138718</v>
      </c>
      <c r="B5383" t="s">
        <v>7410</v>
      </c>
      <c r="C5383" t="s">
        <v>7</v>
      </c>
      <c r="D5383" t="s">
        <v>674</v>
      </c>
      <c r="E5383" t="s">
        <v>7218</v>
      </c>
      <c r="F5383" t="s">
        <v>7411</v>
      </c>
    </row>
    <row r="5384" spans="1:6" x14ac:dyDescent="0.25">
      <c r="A5384" t="str">
        <f>"3327141090"</f>
        <v>3327141090</v>
      </c>
      <c r="B5384" t="s">
        <v>7412</v>
      </c>
      <c r="C5384" t="s">
        <v>7</v>
      </c>
      <c r="D5384" t="s">
        <v>33</v>
      </c>
      <c r="E5384" t="s">
        <v>7218</v>
      </c>
      <c r="F5384" t="s">
        <v>7413</v>
      </c>
    </row>
    <row r="5385" spans="1:6" x14ac:dyDescent="0.25">
      <c r="A5385" t="str">
        <f>"3327149822"</f>
        <v>3327149822</v>
      </c>
      <c r="B5385" t="s">
        <v>7414</v>
      </c>
      <c r="C5385" t="s">
        <v>7</v>
      </c>
      <c r="D5385" t="s">
        <v>12</v>
      </c>
      <c r="E5385" t="s">
        <v>7218</v>
      </c>
      <c r="F5385" t="s">
        <v>7415</v>
      </c>
    </row>
    <row r="5386" spans="1:6" x14ac:dyDescent="0.25">
      <c r="A5386" t="str">
        <f>"332760534388"</f>
        <v>332760534388</v>
      </c>
      <c r="B5386" t="s">
        <v>7416</v>
      </c>
      <c r="C5386" t="s">
        <v>7</v>
      </c>
      <c r="D5386" t="s">
        <v>12</v>
      </c>
      <c r="E5386" t="s">
        <v>7218</v>
      </c>
    </row>
    <row r="5387" spans="1:6" x14ac:dyDescent="0.25">
      <c r="A5387" t="str">
        <f>"3327821184"</f>
        <v>3327821184</v>
      </c>
      <c r="B5387" t="s">
        <v>7417</v>
      </c>
      <c r="C5387" t="s">
        <v>7</v>
      </c>
      <c r="D5387" t="s">
        <v>33</v>
      </c>
      <c r="E5387" t="s">
        <v>7218</v>
      </c>
      <c r="F5387" t="s">
        <v>7418</v>
      </c>
    </row>
    <row r="5388" spans="1:6" x14ac:dyDescent="0.25">
      <c r="A5388" t="str">
        <f>"3327829867"</f>
        <v>3327829867</v>
      </c>
      <c r="B5388" t="s">
        <v>7419</v>
      </c>
      <c r="C5388" t="s">
        <v>7</v>
      </c>
      <c r="D5388" t="s">
        <v>33</v>
      </c>
      <c r="E5388" t="s">
        <v>7218</v>
      </c>
      <c r="F5388" t="s">
        <v>7420</v>
      </c>
    </row>
    <row r="5389" spans="1:6" x14ac:dyDescent="0.25">
      <c r="A5389" t="str">
        <f>"3327852986"</f>
        <v>3327852986</v>
      </c>
      <c r="B5389" t="s">
        <v>7421</v>
      </c>
      <c r="C5389" t="s">
        <v>7</v>
      </c>
      <c r="D5389" t="s">
        <v>12</v>
      </c>
      <c r="E5389" t="s">
        <v>7218</v>
      </c>
      <c r="F5389" t="s">
        <v>7422</v>
      </c>
    </row>
    <row r="5390" spans="1:6" x14ac:dyDescent="0.25">
      <c r="A5390" t="str">
        <f>"3328017057"</f>
        <v>3328017057</v>
      </c>
      <c r="B5390" t="s">
        <v>7423</v>
      </c>
      <c r="C5390" t="s">
        <v>7</v>
      </c>
      <c r="D5390" t="s">
        <v>146</v>
      </c>
      <c r="E5390" t="s">
        <v>7218</v>
      </c>
      <c r="F5390" t="s">
        <v>7424</v>
      </c>
    </row>
    <row r="5391" spans="1:6" x14ac:dyDescent="0.25">
      <c r="A5391" t="str">
        <f>"3328022730"</f>
        <v>3328022730</v>
      </c>
      <c r="B5391" t="s">
        <v>7425</v>
      </c>
      <c r="C5391" t="s">
        <v>7</v>
      </c>
      <c r="D5391" t="s">
        <v>12</v>
      </c>
      <c r="E5391" t="s">
        <v>7218</v>
      </c>
      <c r="F5391" t="s">
        <v>7426</v>
      </c>
    </row>
    <row r="5392" spans="1:6" x14ac:dyDescent="0.25">
      <c r="A5392" t="str">
        <f>"3328424969"</f>
        <v>3328424969</v>
      </c>
      <c r="B5392" t="s">
        <v>7427</v>
      </c>
      <c r="C5392" t="s">
        <v>7</v>
      </c>
      <c r="D5392" t="s">
        <v>1430</v>
      </c>
      <c r="E5392" t="s">
        <v>7218</v>
      </c>
      <c r="F5392" t="s">
        <v>7428</v>
      </c>
    </row>
    <row r="5393" spans="1:6" x14ac:dyDescent="0.25">
      <c r="A5393" t="str">
        <f>"3328431476"</f>
        <v>3328431476</v>
      </c>
      <c r="B5393" t="s">
        <v>7429</v>
      </c>
      <c r="C5393" t="s">
        <v>7</v>
      </c>
      <c r="D5393" t="s">
        <v>463</v>
      </c>
      <c r="E5393" t="s">
        <v>7218</v>
      </c>
      <c r="F5393" t="s">
        <v>7430</v>
      </c>
    </row>
    <row r="5394" spans="1:6" x14ac:dyDescent="0.25">
      <c r="A5394" t="str">
        <f>"3328488553"</f>
        <v>3328488553</v>
      </c>
      <c r="B5394" t="s">
        <v>7431</v>
      </c>
      <c r="C5394" t="s">
        <v>7</v>
      </c>
      <c r="D5394" t="s">
        <v>14</v>
      </c>
      <c r="E5394" t="s">
        <v>7218</v>
      </c>
      <c r="F5394" t="s">
        <v>7432</v>
      </c>
    </row>
    <row r="5395" spans="1:6" x14ac:dyDescent="0.25">
      <c r="A5395" t="str">
        <f>"3328499989"</f>
        <v>3328499989</v>
      </c>
      <c r="B5395" t="s">
        <v>7433</v>
      </c>
      <c r="C5395" t="s">
        <v>7</v>
      </c>
      <c r="D5395" t="s">
        <v>14</v>
      </c>
      <c r="E5395" t="s">
        <v>7218</v>
      </c>
      <c r="F5395" t="s">
        <v>7434</v>
      </c>
    </row>
    <row r="5396" spans="1:6" x14ac:dyDescent="0.25">
      <c r="A5396" t="str">
        <f>"332900220306"</f>
        <v>332900220306</v>
      </c>
      <c r="B5396" t="s">
        <v>7435</v>
      </c>
      <c r="C5396" t="s">
        <v>7</v>
      </c>
      <c r="D5396" t="s">
        <v>14</v>
      </c>
      <c r="E5396" t="s">
        <v>7218</v>
      </c>
    </row>
    <row r="5397" spans="1:6" x14ac:dyDescent="0.25">
      <c r="A5397" t="str">
        <f>"332900821025"</f>
        <v>332900821025</v>
      </c>
      <c r="B5397" t="s">
        <v>7436</v>
      </c>
      <c r="C5397" t="s">
        <v>7</v>
      </c>
      <c r="D5397" t="s">
        <v>14</v>
      </c>
      <c r="E5397" t="s">
        <v>7218</v>
      </c>
    </row>
    <row r="5398" spans="1:6" x14ac:dyDescent="0.25">
      <c r="A5398" t="str">
        <f>"3329060351"</f>
        <v>3329060351</v>
      </c>
      <c r="B5398" t="s">
        <v>7437</v>
      </c>
      <c r="C5398" t="s">
        <v>7</v>
      </c>
      <c r="D5398" t="s">
        <v>12</v>
      </c>
      <c r="E5398" t="s">
        <v>7218</v>
      </c>
      <c r="F5398" t="s">
        <v>7438</v>
      </c>
    </row>
    <row r="5399" spans="1:6" x14ac:dyDescent="0.25">
      <c r="A5399" t="str">
        <f>"3329062398"</f>
        <v>3329062398</v>
      </c>
      <c r="B5399" t="s">
        <v>7439</v>
      </c>
      <c r="C5399" t="s">
        <v>7</v>
      </c>
      <c r="D5399" t="s">
        <v>33</v>
      </c>
      <c r="E5399" t="s">
        <v>7218</v>
      </c>
      <c r="F5399" t="s">
        <v>7440</v>
      </c>
    </row>
    <row r="5400" spans="1:6" x14ac:dyDescent="0.25">
      <c r="A5400" t="str">
        <f>"3329079634"</f>
        <v>3329079634</v>
      </c>
      <c r="B5400" t="s">
        <v>7441</v>
      </c>
      <c r="C5400" t="s">
        <v>7</v>
      </c>
      <c r="D5400" t="s">
        <v>12</v>
      </c>
      <c r="E5400" t="s">
        <v>7218</v>
      </c>
      <c r="F5400" t="s">
        <v>7442</v>
      </c>
    </row>
    <row r="5401" spans="1:6" x14ac:dyDescent="0.25">
      <c r="A5401" t="str">
        <f>"3329091543"</f>
        <v>3329091543</v>
      </c>
      <c r="B5401" t="s">
        <v>7443</v>
      </c>
      <c r="C5401" t="s">
        <v>7</v>
      </c>
      <c r="D5401" t="s">
        <v>12</v>
      </c>
      <c r="E5401" t="s">
        <v>7218</v>
      </c>
      <c r="F5401" t="s">
        <v>7444</v>
      </c>
    </row>
    <row r="5402" spans="1:6" x14ac:dyDescent="0.25">
      <c r="A5402" t="str">
        <f>"332910549330"</f>
        <v>332910549330</v>
      </c>
      <c r="B5402" t="s">
        <v>7445</v>
      </c>
      <c r="C5402" t="s">
        <v>7</v>
      </c>
      <c r="D5402" t="s">
        <v>33</v>
      </c>
      <c r="E5402" t="s">
        <v>7218</v>
      </c>
    </row>
    <row r="5403" spans="1:6" x14ac:dyDescent="0.25">
      <c r="A5403" t="str">
        <f>"332911617663"</f>
        <v>332911617663</v>
      </c>
      <c r="B5403" t="s">
        <v>7446</v>
      </c>
      <c r="C5403" t="s">
        <v>7</v>
      </c>
      <c r="D5403" t="s">
        <v>463</v>
      </c>
      <c r="E5403" t="s">
        <v>7218</v>
      </c>
    </row>
    <row r="5404" spans="1:6" x14ac:dyDescent="0.25">
      <c r="A5404" t="str">
        <f>"333409822852"</f>
        <v>333409822852</v>
      </c>
      <c r="B5404" t="s">
        <v>7447</v>
      </c>
      <c r="C5404" t="s">
        <v>7</v>
      </c>
      <c r="D5404" t="s">
        <v>12</v>
      </c>
      <c r="E5404" t="s">
        <v>7218</v>
      </c>
    </row>
    <row r="5405" spans="1:6" x14ac:dyDescent="0.25">
      <c r="A5405" t="str">
        <f>"333409927277"</f>
        <v>333409927277</v>
      </c>
      <c r="B5405" t="s">
        <v>7448</v>
      </c>
      <c r="C5405" t="s">
        <v>7</v>
      </c>
      <c r="D5405" t="s">
        <v>14</v>
      </c>
      <c r="E5405" t="s">
        <v>7218</v>
      </c>
    </row>
    <row r="5406" spans="1:6" x14ac:dyDescent="0.25">
      <c r="A5406" t="str">
        <f>"333410983501"</f>
        <v>333410983501</v>
      </c>
      <c r="B5406" t="s">
        <v>7449</v>
      </c>
      <c r="C5406" t="s">
        <v>7</v>
      </c>
      <c r="D5406" t="s">
        <v>14</v>
      </c>
      <c r="E5406" t="s">
        <v>7218</v>
      </c>
    </row>
    <row r="5407" spans="1:6" x14ac:dyDescent="0.25">
      <c r="A5407" t="str">
        <f>"333411031520"</f>
        <v>333411031520</v>
      </c>
      <c r="B5407" t="s">
        <v>7450</v>
      </c>
      <c r="C5407" t="s">
        <v>7</v>
      </c>
      <c r="D5407" t="s">
        <v>14</v>
      </c>
      <c r="E5407" t="s">
        <v>7218</v>
      </c>
    </row>
    <row r="5408" spans="1:6" x14ac:dyDescent="0.25">
      <c r="A5408" t="str">
        <f>"3338006689"</f>
        <v>3338006689</v>
      </c>
      <c r="B5408" t="s">
        <v>7451</v>
      </c>
      <c r="C5408" t="s">
        <v>7</v>
      </c>
      <c r="D5408" t="s">
        <v>14</v>
      </c>
      <c r="E5408" t="s">
        <v>7218</v>
      </c>
      <c r="F5408" t="s">
        <v>7452</v>
      </c>
    </row>
    <row r="5409" spans="1:6" x14ac:dyDescent="0.25">
      <c r="A5409" t="str">
        <f>"5016009618"</f>
        <v>5016009618</v>
      </c>
      <c r="B5409" t="s">
        <v>7453</v>
      </c>
      <c r="C5409" t="s">
        <v>7</v>
      </c>
      <c r="D5409" t="s">
        <v>14</v>
      </c>
      <c r="E5409" t="s">
        <v>7218</v>
      </c>
      <c r="F5409" t="s">
        <v>7454</v>
      </c>
    </row>
    <row r="5410" spans="1:6" x14ac:dyDescent="0.25">
      <c r="A5410" t="str">
        <f>"331000052470"</f>
        <v>331000052470</v>
      </c>
      <c r="B5410" t="s">
        <v>7455</v>
      </c>
      <c r="C5410" t="s">
        <v>7</v>
      </c>
      <c r="D5410" t="s">
        <v>14</v>
      </c>
      <c r="E5410" t="s">
        <v>7218</v>
      </c>
    </row>
    <row r="5411" spans="1:6" x14ac:dyDescent="0.25">
      <c r="A5411" t="str">
        <f>"3321027183"</f>
        <v>3321027183</v>
      </c>
      <c r="B5411" t="s">
        <v>7456</v>
      </c>
      <c r="C5411" t="s">
        <v>7</v>
      </c>
      <c r="D5411" t="s">
        <v>14</v>
      </c>
      <c r="E5411" t="s">
        <v>7218</v>
      </c>
      <c r="F5411" t="s">
        <v>7457</v>
      </c>
    </row>
    <row r="5412" spans="1:6" x14ac:dyDescent="0.25">
      <c r="A5412" t="str">
        <f>"332301916905"</f>
        <v>332301916905</v>
      </c>
      <c r="B5412" t="s">
        <v>7458</v>
      </c>
      <c r="C5412" t="s">
        <v>7</v>
      </c>
      <c r="D5412" t="s">
        <v>14</v>
      </c>
      <c r="E5412" t="s">
        <v>7218</v>
      </c>
    </row>
    <row r="5413" spans="1:6" x14ac:dyDescent="0.25">
      <c r="A5413" t="str">
        <f>"3327142062"</f>
        <v>3327142062</v>
      </c>
      <c r="B5413" t="s">
        <v>7459</v>
      </c>
      <c r="C5413" t="s">
        <v>7</v>
      </c>
      <c r="D5413" t="s">
        <v>33</v>
      </c>
      <c r="E5413" t="s">
        <v>7218</v>
      </c>
      <c r="F5413" t="s">
        <v>7460</v>
      </c>
    </row>
    <row r="5414" spans="1:6" x14ac:dyDescent="0.25">
      <c r="A5414" t="str">
        <f>"3327325549"</f>
        <v>3327325549</v>
      </c>
      <c r="B5414" t="s">
        <v>7461</v>
      </c>
      <c r="C5414" t="s">
        <v>7</v>
      </c>
      <c r="D5414" t="s">
        <v>12</v>
      </c>
      <c r="E5414" t="s">
        <v>7218</v>
      </c>
      <c r="F5414" t="s">
        <v>7462</v>
      </c>
    </row>
    <row r="5415" spans="1:6" x14ac:dyDescent="0.25">
      <c r="A5415" t="str">
        <f>"3328440230"</f>
        <v>3328440230</v>
      </c>
      <c r="B5415" t="s">
        <v>7463</v>
      </c>
      <c r="C5415" t="s">
        <v>7</v>
      </c>
      <c r="D5415" t="s">
        <v>14</v>
      </c>
      <c r="E5415" t="s">
        <v>7218</v>
      </c>
      <c r="F5415" t="s">
        <v>7346</v>
      </c>
    </row>
    <row r="5416" spans="1:6" x14ac:dyDescent="0.25">
      <c r="A5416" t="str">
        <f>"3329010858"</f>
        <v>3329010858</v>
      </c>
      <c r="B5416" t="s">
        <v>7464</v>
      </c>
      <c r="C5416" t="s">
        <v>7</v>
      </c>
      <c r="D5416" t="s">
        <v>12</v>
      </c>
      <c r="E5416" t="s">
        <v>7218</v>
      </c>
      <c r="F5416" t="s">
        <v>7465</v>
      </c>
    </row>
    <row r="5417" spans="1:6" x14ac:dyDescent="0.25">
      <c r="A5417" t="str">
        <f>"332905618429"</f>
        <v>332905618429</v>
      </c>
      <c r="B5417" t="s">
        <v>7466</v>
      </c>
      <c r="C5417" t="s">
        <v>7</v>
      </c>
      <c r="D5417" t="s">
        <v>14</v>
      </c>
      <c r="E5417" t="s">
        <v>7218</v>
      </c>
    </row>
    <row r="5418" spans="1:6" x14ac:dyDescent="0.25">
      <c r="A5418" t="str">
        <f>"3329094600"</f>
        <v>3329094600</v>
      </c>
      <c r="B5418" t="s">
        <v>7467</v>
      </c>
      <c r="C5418" t="s">
        <v>7</v>
      </c>
      <c r="D5418" t="s">
        <v>12</v>
      </c>
      <c r="E5418" t="s">
        <v>7218</v>
      </c>
      <c r="F5418" t="s">
        <v>7468</v>
      </c>
    </row>
    <row r="5419" spans="1:6" x14ac:dyDescent="0.25">
      <c r="A5419" t="str">
        <f>"333802017700"</f>
        <v>333802017700</v>
      </c>
      <c r="B5419" t="s">
        <v>7469</v>
      </c>
      <c r="C5419" t="s">
        <v>7</v>
      </c>
      <c r="D5419" t="s">
        <v>14</v>
      </c>
      <c r="E5419" t="s">
        <v>7218</v>
      </c>
    </row>
    <row r="5420" spans="1:6" x14ac:dyDescent="0.25">
      <c r="A5420" t="str">
        <f>"7602134389"</f>
        <v>7602134389</v>
      </c>
      <c r="B5420" t="s">
        <v>7470</v>
      </c>
      <c r="C5420" t="s">
        <v>7</v>
      </c>
      <c r="D5420" t="s">
        <v>33</v>
      </c>
      <c r="E5420" t="s">
        <v>7218</v>
      </c>
      <c r="F5420" t="s">
        <v>7471</v>
      </c>
    </row>
    <row r="5421" spans="1:6" x14ac:dyDescent="0.25">
      <c r="A5421" t="str">
        <f>"7720677720"</f>
        <v>7720677720</v>
      </c>
      <c r="B5421" t="s">
        <v>7472</v>
      </c>
      <c r="C5421" t="s">
        <v>7</v>
      </c>
      <c r="D5421" t="s">
        <v>14</v>
      </c>
      <c r="E5421" t="s">
        <v>7218</v>
      </c>
      <c r="F5421" t="s">
        <v>7473</v>
      </c>
    </row>
    <row r="5422" spans="1:6" x14ac:dyDescent="0.25">
      <c r="A5422" t="str">
        <f>"340200499172"</f>
        <v>340200499172</v>
      </c>
      <c r="B5422" t="s">
        <v>7474</v>
      </c>
      <c r="C5422" t="s">
        <v>7</v>
      </c>
      <c r="D5422" t="s">
        <v>14</v>
      </c>
      <c r="E5422" t="s">
        <v>7475</v>
      </c>
    </row>
    <row r="5423" spans="1:6" x14ac:dyDescent="0.25">
      <c r="A5423" t="str">
        <f>"340346883811"</f>
        <v>340346883811</v>
      </c>
      <c r="B5423" t="s">
        <v>7476</v>
      </c>
      <c r="C5423" t="s">
        <v>7</v>
      </c>
      <c r="D5423" t="s">
        <v>14</v>
      </c>
      <c r="E5423" t="s">
        <v>7475</v>
      </c>
    </row>
    <row r="5424" spans="1:6" x14ac:dyDescent="0.25">
      <c r="A5424" t="str">
        <f>"340500657937"</f>
        <v>340500657937</v>
      </c>
      <c r="B5424" t="s">
        <v>7477</v>
      </c>
      <c r="C5424" t="s">
        <v>7</v>
      </c>
      <c r="D5424" t="s">
        <v>12</v>
      </c>
      <c r="E5424" t="s">
        <v>7475</v>
      </c>
    </row>
    <row r="5425" spans="1:6" x14ac:dyDescent="0.25">
      <c r="A5425" t="str">
        <f>"340501272880"</f>
        <v>340501272880</v>
      </c>
      <c r="B5425" t="s">
        <v>7478</v>
      </c>
      <c r="C5425" t="s">
        <v>7</v>
      </c>
      <c r="D5425" t="s">
        <v>14</v>
      </c>
      <c r="E5425" t="s">
        <v>7475</v>
      </c>
    </row>
    <row r="5426" spans="1:6" x14ac:dyDescent="0.25">
      <c r="A5426" t="str">
        <f>"340600028107"</f>
        <v>340600028107</v>
      </c>
      <c r="B5426" t="s">
        <v>7479</v>
      </c>
      <c r="C5426" t="s">
        <v>7</v>
      </c>
      <c r="D5426" t="s">
        <v>14</v>
      </c>
      <c r="E5426" t="s">
        <v>7475</v>
      </c>
    </row>
    <row r="5427" spans="1:6" x14ac:dyDescent="0.25">
      <c r="A5427" t="str">
        <f>"3406002639"</f>
        <v>3406002639</v>
      </c>
      <c r="B5427" t="s">
        <v>7480</v>
      </c>
      <c r="C5427" t="s">
        <v>7</v>
      </c>
      <c r="D5427" t="s">
        <v>12</v>
      </c>
      <c r="E5427" t="s">
        <v>7475</v>
      </c>
      <c r="F5427" t="s">
        <v>7481</v>
      </c>
    </row>
    <row r="5428" spans="1:6" x14ac:dyDescent="0.25">
      <c r="A5428" t="str">
        <f>"340700061154"</f>
        <v>340700061154</v>
      </c>
      <c r="B5428" t="s">
        <v>7482</v>
      </c>
      <c r="C5428" t="s">
        <v>7</v>
      </c>
      <c r="D5428" t="s">
        <v>14</v>
      </c>
      <c r="E5428" t="s">
        <v>7475</v>
      </c>
    </row>
    <row r="5429" spans="1:6" x14ac:dyDescent="0.25">
      <c r="A5429" t="str">
        <f>"341000070606"</f>
        <v>341000070606</v>
      </c>
      <c r="B5429" t="s">
        <v>7483</v>
      </c>
      <c r="C5429" t="s">
        <v>7</v>
      </c>
      <c r="D5429" t="s">
        <v>14</v>
      </c>
      <c r="E5429" t="s">
        <v>7475</v>
      </c>
    </row>
    <row r="5430" spans="1:6" x14ac:dyDescent="0.25">
      <c r="A5430" t="str">
        <f>"341200975909"</f>
        <v>341200975909</v>
      </c>
      <c r="B5430" t="s">
        <v>7484</v>
      </c>
      <c r="C5430" t="s">
        <v>7</v>
      </c>
      <c r="D5430" t="s">
        <v>14</v>
      </c>
      <c r="E5430" t="s">
        <v>7475</v>
      </c>
    </row>
    <row r="5431" spans="1:6" x14ac:dyDescent="0.25">
      <c r="A5431" t="str">
        <f>"341303456447"</f>
        <v>341303456447</v>
      </c>
      <c r="B5431" t="s">
        <v>7485</v>
      </c>
      <c r="C5431" t="s">
        <v>7</v>
      </c>
      <c r="D5431" t="s">
        <v>14</v>
      </c>
      <c r="E5431" t="s">
        <v>7475</v>
      </c>
    </row>
    <row r="5432" spans="1:6" x14ac:dyDescent="0.25">
      <c r="A5432" t="str">
        <f>"341609118653"</f>
        <v>341609118653</v>
      </c>
      <c r="B5432" t="s">
        <v>7486</v>
      </c>
      <c r="C5432" t="s">
        <v>7</v>
      </c>
      <c r="D5432" t="s">
        <v>14</v>
      </c>
      <c r="E5432" t="s">
        <v>7475</v>
      </c>
    </row>
    <row r="5433" spans="1:6" x14ac:dyDescent="0.25">
      <c r="A5433" t="str">
        <f>"341700294055"</f>
        <v>341700294055</v>
      </c>
      <c r="B5433" t="s">
        <v>7487</v>
      </c>
      <c r="C5433" t="s">
        <v>7</v>
      </c>
      <c r="D5433" t="s">
        <v>14</v>
      </c>
      <c r="E5433" t="s">
        <v>7475</v>
      </c>
    </row>
    <row r="5434" spans="1:6" x14ac:dyDescent="0.25">
      <c r="A5434" t="str">
        <f>"341900078333"</f>
        <v>341900078333</v>
      </c>
      <c r="B5434" t="s">
        <v>7488</v>
      </c>
      <c r="C5434" t="s">
        <v>7</v>
      </c>
      <c r="D5434" t="s">
        <v>12</v>
      </c>
      <c r="E5434" t="s">
        <v>7475</v>
      </c>
    </row>
    <row r="5435" spans="1:6" x14ac:dyDescent="0.25">
      <c r="A5435" t="str">
        <f>"341901282740"</f>
        <v>341901282740</v>
      </c>
      <c r="B5435" t="s">
        <v>7489</v>
      </c>
      <c r="C5435" t="s">
        <v>7</v>
      </c>
      <c r="D5435" t="s">
        <v>14</v>
      </c>
      <c r="E5435" t="s">
        <v>7475</v>
      </c>
    </row>
    <row r="5436" spans="1:6" x14ac:dyDescent="0.25">
      <c r="A5436" t="str">
        <f>"3420009273"</f>
        <v>3420009273</v>
      </c>
      <c r="B5436" t="s">
        <v>7490</v>
      </c>
      <c r="C5436" t="s">
        <v>7</v>
      </c>
      <c r="D5436" t="s">
        <v>14</v>
      </c>
      <c r="E5436" t="s">
        <v>7475</v>
      </c>
      <c r="F5436" t="s">
        <v>7491</v>
      </c>
    </row>
    <row r="5437" spans="1:6" x14ac:dyDescent="0.25">
      <c r="A5437" t="str">
        <f>"342300099502"</f>
        <v>342300099502</v>
      </c>
      <c r="B5437" t="s">
        <v>7492</v>
      </c>
      <c r="C5437" t="s">
        <v>7</v>
      </c>
      <c r="D5437" t="s">
        <v>14</v>
      </c>
      <c r="E5437" t="s">
        <v>7475</v>
      </c>
    </row>
    <row r="5438" spans="1:6" x14ac:dyDescent="0.25">
      <c r="A5438" t="str">
        <f>"342302593890"</f>
        <v>342302593890</v>
      </c>
      <c r="B5438" t="s">
        <v>7493</v>
      </c>
      <c r="C5438" t="s">
        <v>7</v>
      </c>
      <c r="D5438" t="s">
        <v>14</v>
      </c>
      <c r="E5438" t="s">
        <v>7475</v>
      </c>
    </row>
    <row r="5439" spans="1:6" x14ac:dyDescent="0.25">
      <c r="A5439" t="str">
        <f>"342603389698"</f>
        <v>342603389698</v>
      </c>
      <c r="B5439" t="s">
        <v>7494</v>
      </c>
      <c r="C5439" t="s">
        <v>7</v>
      </c>
      <c r="D5439" t="s">
        <v>14</v>
      </c>
      <c r="E5439" t="s">
        <v>7475</v>
      </c>
    </row>
    <row r="5440" spans="1:6" x14ac:dyDescent="0.25">
      <c r="A5440" t="str">
        <f>"343100008250"</f>
        <v>343100008250</v>
      </c>
      <c r="B5440" t="s">
        <v>7495</v>
      </c>
      <c r="C5440" t="s">
        <v>7</v>
      </c>
      <c r="D5440" t="s">
        <v>14</v>
      </c>
      <c r="E5440" t="s">
        <v>7475</v>
      </c>
    </row>
    <row r="5441" spans="1:6" x14ac:dyDescent="0.25">
      <c r="A5441" t="str">
        <f>"340202204804"</f>
        <v>340202204804</v>
      </c>
      <c r="B5441" t="s">
        <v>7496</v>
      </c>
      <c r="C5441" t="s">
        <v>7</v>
      </c>
      <c r="D5441" t="s">
        <v>14</v>
      </c>
      <c r="E5441" t="s">
        <v>7475</v>
      </c>
    </row>
    <row r="5442" spans="1:6" x14ac:dyDescent="0.25">
      <c r="A5442" t="str">
        <f>"340501064714"</f>
        <v>340501064714</v>
      </c>
      <c r="B5442" t="s">
        <v>7497</v>
      </c>
      <c r="C5442" t="s">
        <v>7</v>
      </c>
      <c r="D5442" t="s">
        <v>14</v>
      </c>
      <c r="E5442" t="s">
        <v>7475</v>
      </c>
    </row>
    <row r="5443" spans="1:6" x14ac:dyDescent="0.25">
      <c r="A5443" t="str">
        <f>"340501302341"</f>
        <v>340501302341</v>
      </c>
      <c r="B5443" t="s">
        <v>7498</v>
      </c>
      <c r="C5443" t="s">
        <v>7</v>
      </c>
      <c r="D5443" t="s">
        <v>14</v>
      </c>
      <c r="E5443" t="s">
        <v>7475</v>
      </c>
    </row>
    <row r="5444" spans="1:6" x14ac:dyDescent="0.25">
      <c r="A5444" t="str">
        <f>"340602560356"</f>
        <v>340602560356</v>
      </c>
      <c r="B5444" t="s">
        <v>7499</v>
      </c>
      <c r="C5444" t="s">
        <v>7</v>
      </c>
      <c r="D5444" t="s">
        <v>14</v>
      </c>
      <c r="E5444" t="s">
        <v>7475</v>
      </c>
    </row>
    <row r="5445" spans="1:6" x14ac:dyDescent="0.25">
      <c r="A5445" t="str">
        <f>"340701889624"</f>
        <v>340701889624</v>
      </c>
      <c r="B5445" t="s">
        <v>7500</v>
      </c>
      <c r="C5445" t="s">
        <v>7</v>
      </c>
      <c r="D5445" t="s">
        <v>14</v>
      </c>
      <c r="E5445" t="s">
        <v>7475</v>
      </c>
    </row>
    <row r="5446" spans="1:6" x14ac:dyDescent="0.25">
      <c r="A5446" t="str">
        <f>"340734718720"</f>
        <v>340734718720</v>
      </c>
      <c r="B5446" t="s">
        <v>7501</v>
      </c>
      <c r="C5446" t="s">
        <v>7</v>
      </c>
      <c r="D5446" t="s">
        <v>14</v>
      </c>
      <c r="E5446" t="s">
        <v>7475</v>
      </c>
    </row>
    <row r="5447" spans="1:6" x14ac:dyDescent="0.25">
      <c r="A5447" t="str">
        <f>"340800175719"</f>
        <v>340800175719</v>
      </c>
      <c r="B5447" t="s">
        <v>7502</v>
      </c>
      <c r="C5447" t="s">
        <v>7</v>
      </c>
      <c r="D5447" t="s">
        <v>14</v>
      </c>
      <c r="E5447" t="s">
        <v>7475</v>
      </c>
    </row>
    <row r="5448" spans="1:6" x14ac:dyDescent="0.25">
      <c r="A5448" t="str">
        <f>"3409006085"</f>
        <v>3409006085</v>
      </c>
      <c r="B5448" t="s">
        <v>7503</v>
      </c>
      <c r="C5448" t="s">
        <v>7</v>
      </c>
      <c r="D5448" t="s">
        <v>14</v>
      </c>
      <c r="E5448" t="s">
        <v>7475</v>
      </c>
      <c r="F5448" t="s">
        <v>7504</v>
      </c>
    </row>
    <row r="5449" spans="1:6" x14ac:dyDescent="0.25">
      <c r="A5449" t="str">
        <f>"340903230880"</f>
        <v>340903230880</v>
      </c>
      <c r="B5449" t="s">
        <v>7505</v>
      </c>
      <c r="C5449" t="s">
        <v>7</v>
      </c>
      <c r="D5449" t="s">
        <v>586</v>
      </c>
      <c r="E5449" t="s">
        <v>7475</v>
      </c>
    </row>
    <row r="5450" spans="1:6" x14ac:dyDescent="0.25">
      <c r="A5450" t="str">
        <f>"341100297390"</f>
        <v>341100297390</v>
      </c>
      <c r="B5450" t="s">
        <v>7506</v>
      </c>
      <c r="C5450" t="s">
        <v>7</v>
      </c>
      <c r="D5450" t="s">
        <v>14</v>
      </c>
      <c r="E5450" t="s">
        <v>7475</v>
      </c>
    </row>
    <row r="5451" spans="1:6" x14ac:dyDescent="0.25">
      <c r="A5451" t="str">
        <f>"341100302836"</f>
        <v>341100302836</v>
      </c>
      <c r="B5451" t="s">
        <v>7507</v>
      </c>
      <c r="C5451" t="s">
        <v>7</v>
      </c>
      <c r="D5451" t="s">
        <v>14</v>
      </c>
      <c r="E5451" t="s">
        <v>7475</v>
      </c>
    </row>
    <row r="5452" spans="1:6" x14ac:dyDescent="0.25">
      <c r="A5452" t="str">
        <f>"341101844380"</f>
        <v>341101844380</v>
      </c>
      <c r="B5452" t="s">
        <v>7508</v>
      </c>
      <c r="C5452" t="s">
        <v>7</v>
      </c>
      <c r="D5452" t="s">
        <v>14</v>
      </c>
      <c r="E5452" t="s">
        <v>7475</v>
      </c>
    </row>
    <row r="5453" spans="1:6" x14ac:dyDescent="0.25">
      <c r="A5453" t="str">
        <f>"341278125463"</f>
        <v>341278125463</v>
      </c>
      <c r="B5453" t="s">
        <v>7509</v>
      </c>
      <c r="C5453" t="s">
        <v>7</v>
      </c>
      <c r="D5453" t="s">
        <v>33</v>
      </c>
      <c r="E5453" t="s">
        <v>7475</v>
      </c>
    </row>
    <row r="5454" spans="1:6" x14ac:dyDescent="0.25">
      <c r="A5454" t="str">
        <f>"341301036775"</f>
        <v>341301036775</v>
      </c>
      <c r="B5454" t="s">
        <v>7510</v>
      </c>
      <c r="C5454" t="s">
        <v>7</v>
      </c>
      <c r="D5454" t="s">
        <v>14</v>
      </c>
      <c r="E5454" t="s">
        <v>7475</v>
      </c>
    </row>
    <row r="5455" spans="1:6" x14ac:dyDescent="0.25">
      <c r="A5455" t="str">
        <f>"341451239728"</f>
        <v>341451239728</v>
      </c>
      <c r="B5455" t="s">
        <v>7511</v>
      </c>
      <c r="C5455" t="s">
        <v>7</v>
      </c>
      <c r="D5455" t="s">
        <v>14</v>
      </c>
      <c r="E5455" t="s">
        <v>7475</v>
      </c>
    </row>
    <row r="5456" spans="1:6" x14ac:dyDescent="0.25">
      <c r="A5456" t="str">
        <f>"341801119162"</f>
        <v>341801119162</v>
      </c>
      <c r="B5456" t="s">
        <v>7512</v>
      </c>
      <c r="C5456" t="s">
        <v>7</v>
      </c>
      <c r="D5456" t="s">
        <v>14</v>
      </c>
      <c r="E5456" t="s">
        <v>7475</v>
      </c>
    </row>
    <row r="5457" spans="1:6" x14ac:dyDescent="0.25">
      <c r="A5457" t="str">
        <f>"341902373937"</f>
        <v>341902373937</v>
      </c>
      <c r="B5457" t="s">
        <v>7513</v>
      </c>
      <c r="C5457" t="s">
        <v>7</v>
      </c>
      <c r="D5457" t="s">
        <v>14</v>
      </c>
      <c r="E5457" t="s">
        <v>7475</v>
      </c>
    </row>
    <row r="5458" spans="1:6" x14ac:dyDescent="0.25">
      <c r="A5458" t="str">
        <f>"342001583698"</f>
        <v>342001583698</v>
      </c>
      <c r="B5458" t="s">
        <v>7514</v>
      </c>
      <c r="C5458" t="s">
        <v>7</v>
      </c>
      <c r="D5458" t="s">
        <v>14</v>
      </c>
      <c r="E5458" t="s">
        <v>7475</v>
      </c>
    </row>
    <row r="5459" spans="1:6" x14ac:dyDescent="0.25">
      <c r="A5459" t="str">
        <f>"342100051782"</f>
        <v>342100051782</v>
      </c>
      <c r="B5459" t="s">
        <v>7515</v>
      </c>
      <c r="C5459" t="s">
        <v>7</v>
      </c>
      <c r="D5459" t="s">
        <v>14</v>
      </c>
      <c r="E5459" t="s">
        <v>7475</v>
      </c>
    </row>
    <row r="5460" spans="1:6" x14ac:dyDescent="0.25">
      <c r="A5460" t="str">
        <f>"342101932504"</f>
        <v>342101932504</v>
      </c>
      <c r="B5460" t="s">
        <v>7516</v>
      </c>
      <c r="C5460" t="s">
        <v>7</v>
      </c>
      <c r="D5460" t="s">
        <v>14</v>
      </c>
      <c r="E5460" t="s">
        <v>7475</v>
      </c>
    </row>
    <row r="5461" spans="1:6" x14ac:dyDescent="0.25">
      <c r="A5461" t="str">
        <f>"342200949178"</f>
        <v>342200949178</v>
      </c>
      <c r="B5461" t="s">
        <v>7517</v>
      </c>
      <c r="C5461" t="s">
        <v>7</v>
      </c>
      <c r="D5461" t="s">
        <v>14</v>
      </c>
      <c r="E5461" t="s">
        <v>7475</v>
      </c>
    </row>
    <row r="5462" spans="1:6" x14ac:dyDescent="0.25">
      <c r="A5462" t="str">
        <f>"342304244020"</f>
        <v>342304244020</v>
      </c>
      <c r="B5462" t="s">
        <v>7518</v>
      </c>
      <c r="C5462" t="s">
        <v>7</v>
      </c>
      <c r="D5462" t="s">
        <v>14</v>
      </c>
      <c r="E5462" t="s">
        <v>7475</v>
      </c>
    </row>
    <row r="5463" spans="1:6" x14ac:dyDescent="0.25">
      <c r="A5463" t="str">
        <f>"342400029604"</f>
        <v>342400029604</v>
      </c>
      <c r="B5463" t="s">
        <v>7519</v>
      </c>
      <c r="C5463" t="s">
        <v>7</v>
      </c>
      <c r="D5463" t="s">
        <v>14</v>
      </c>
      <c r="E5463" t="s">
        <v>7475</v>
      </c>
    </row>
    <row r="5464" spans="1:6" x14ac:dyDescent="0.25">
      <c r="A5464" t="str">
        <f>"3426009752"</f>
        <v>3426009752</v>
      </c>
      <c r="B5464" t="s">
        <v>7520</v>
      </c>
      <c r="C5464" t="s">
        <v>7</v>
      </c>
      <c r="D5464" t="s">
        <v>6745</v>
      </c>
      <c r="E5464" t="s">
        <v>7475</v>
      </c>
      <c r="F5464" t="s">
        <v>7521</v>
      </c>
    </row>
    <row r="5465" spans="1:6" x14ac:dyDescent="0.25">
      <c r="A5465" t="str">
        <f>"342800915011"</f>
        <v>342800915011</v>
      </c>
      <c r="B5465" t="s">
        <v>7522</v>
      </c>
      <c r="C5465" t="s">
        <v>7</v>
      </c>
      <c r="D5465" t="s">
        <v>14</v>
      </c>
      <c r="E5465" t="s">
        <v>7475</v>
      </c>
    </row>
    <row r="5466" spans="1:6" x14ac:dyDescent="0.25">
      <c r="A5466" t="str">
        <f>"343002624518"</f>
        <v>343002624518</v>
      </c>
      <c r="B5466" t="s">
        <v>7523</v>
      </c>
      <c r="C5466" t="s">
        <v>7</v>
      </c>
      <c r="D5466" t="s">
        <v>14</v>
      </c>
      <c r="E5466" t="s">
        <v>7475</v>
      </c>
    </row>
    <row r="5467" spans="1:6" x14ac:dyDescent="0.25">
      <c r="A5467" t="str">
        <f>"343002651310"</f>
        <v>343002651310</v>
      </c>
      <c r="B5467" t="s">
        <v>7524</v>
      </c>
      <c r="C5467" t="s">
        <v>7</v>
      </c>
      <c r="D5467" t="s">
        <v>14</v>
      </c>
      <c r="E5467" t="s">
        <v>7475</v>
      </c>
    </row>
    <row r="5468" spans="1:6" x14ac:dyDescent="0.25">
      <c r="A5468" t="str">
        <f>"343002709426"</f>
        <v>343002709426</v>
      </c>
      <c r="B5468" t="s">
        <v>7525</v>
      </c>
      <c r="C5468" t="s">
        <v>7</v>
      </c>
      <c r="D5468" t="s">
        <v>14</v>
      </c>
      <c r="E5468" t="s">
        <v>7475</v>
      </c>
    </row>
    <row r="5469" spans="1:6" x14ac:dyDescent="0.25">
      <c r="A5469" t="str">
        <f>"343002812536"</f>
        <v>343002812536</v>
      </c>
      <c r="B5469" t="s">
        <v>7526</v>
      </c>
      <c r="C5469" t="s">
        <v>7</v>
      </c>
      <c r="D5469" t="s">
        <v>14</v>
      </c>
      <c r="E5469" t="s">
        <v>7475</v>
      </c>
    </row>
    <row r="5470" spans="1:6" x14ac:dyDescent="0.25">
      <c r="A5470" t="str">
        <f>"343500506605"</f>
        <v>343500506605</v>
      </c>
      <c r="B5470" t="s">
        <v>7527</v>
      </c>
      <c r="C5470" t="s">
        <v>7</v>
      </c>
      <c r="D5470" t="s">
        <v>14</v>
      </c>
      <c r="E5470" t="s">
        <v>7475</v>
      </c>
    </row>
    <row r="5471" spans="1:6" x14ac:dyDescent="0.25">
      <c r="A5471" t="str">
        <f>"3435031200"</f>
        <v>3435031200</v>
      </c>
      <c r="B5471" t="s">
        <v>7528</v>
      </c>
      <c r="C5471" t="s">
        <v>7</v>
      </c>
      <c r="D5471" t="s">
        <v>33</v>
      </c>
      <c r="E5471" t="s">
        <v>7475</v>
      </c>
      <c r="F5471" t="s">
        <v>7529</v>
      </c>
    </row>
    <row r="5472" spans="1:6" x14ac:dyDescent="0.25">
      <c r="A5472" t="str">
        <f>"340200041833"</f>
        <v>340200041833</v>
      </c>
      <c r="B5472" t="s">
        <v>7530</v>
      </c>
      <c r="C5472" t="s">
        <v>7</v>
      </c>
      <c r="D5472" t="s">
        <v>14</v>
      </c>
      <c r="E5472" t="s">
        <v>7475</v>
      </c>
    </row>
    <row r="5473" spans="1:6" x14ac:dyDescent="0.25">
      <c r="A5473" t="str">
        <f>"3402010484"</f>
        <v>3402010484</v>
      </c>
      <c r="B5473" t="s">
        <v>7531</v>
      </c>
      <c r="C5473" t="s">
        <v>7</v>
      </c>
      <c r="D5473" t="s">
        <v>14</v>
      </c>
      <c r="E5473" t="s">
        <v>7475</v>
      </c>
      <c r="F5473" t="s">
        <v>7532</v>
      </c>
    </row>
    <row r="5474" spans="1:6" x14ac:dyDescent="0.25">
      <c r="A5474" t="str">
        <f>"340302240757"</f>
        <v>340302240757</v>
      </c>
      <c r="B5474" t="s">
        <v>7533</v>
      </c>
      <c r="C5474" t="s">
        <v>7</v>
      </c>
      <c r="D5474" t="s">
        <v>12</v>
      </c>
      <c r="E5474" t="s">
        <v>7475</v>
      </c>
    </row>
    <row r="5475" spans="1:6" x14ac:dyDescent="0.25">
      <c r="A5475" t="str">
        <f>"340378550300"</f>
        <v>340378550300</v>
      </c>
      <c r="B5475" t="s">
        <v>7534</v>
      </c>
      <c r="C5475" t="s">
        <v>7</v>
      </c>
      <c r="D5475" t="s">
        <v>14</v>
      </c>
      <c r="E5475" t="s">
        <v>7475</v>
      </c>
    </row>
    <row r="5476" spans="1:6" x14ac:dyDescent="0.25">
      <c r="A5476" t="str">
        <f>"340401674900"</f>
        <v>340401674900</v>
      </c>
      <c r="B5476" t="s">
        <v>7535</v>
      </c>
      <c r="C5476" t="s">
        <v>7</v>
      </c>
      <c r="D5476" t="s">
        <v>14</v>
      </c>
      <c r="E5476" t="s">
        <v>7475</v>
      </c>
    </row>
    <row r="5477" spans="1:6" x14ac:dyDescent="0.25">
      <c r="A5477" t="str">
        <f>"340503387799"</f>
        <v>340503387799</v>
      </c>
      <c r="B5477" t="s">
        <v>7536</v>
      </c>
      <c r="C5477" t="s">
        <v>7</v>
      </c>
      <c r="D5477" t="s">
        <v>14</v>
      </c>
      <c r="E5477" t="s">
        <v>7475</v>
      </c>
    </row>
    <row r="5478" spans="1:6" x14ac:dyDescent="0.25">
      <c r="A5478" t="str">
        <f>"340602223400"</f>
        <v>340602223400</v>
      </c>
      <c r="B5478" t="s">
        <v>7537</v>
      </c>
      <c r="C5478" t="s">
        <v>7</v>
      </c>
      <c r="D5478" t="s">
        <v>14</v>
      </c>
      <c r="E5478" t="s">
        <v>7475</v>
      </c>
    </row>
    <row r="5479" spans="1:6" x14ac:dyDescent="0.25">
      <c r="A5479" t="str">
        <f>"340700218292"</f>
        <v>340700218292</v>
      </c>
      <c r="B5479" t="s">
        <v>7538</v>
      </c>
      <c r="C5479" t="s">
        <v>7</v>
      </c>
      <c r="D5479" t="s">
        <v>14</v>
      </c>
      <c r="E5479" t="s">
        <v>7475</v>
      </c>
    </row>
    <row r="5480" spans="1:6" x14ac:dyDescent="0.25">
      <c r="A5480" t="str">
        <f>"340960573933"</f>
        <v>340960573933</v>
      </c>
      <c r="B5480" t="s">
        <v>7539</v>
      </c>
      <c r="C5480" t="s">
        <v>7</v>
      </c>
      <c r="D5480" t="s">
        <v>12</v>
      </c>
      <c r="E5480" t="s">
        <v>7475</v>
      </c>
    </row>
    <row r="5481" spans="1:6" x14ac:dyDescent="0.25">
      <c r="A5481" t="str">
        <f>"341000115889"</f>
        <v>341000115889</v>
      </c>
      <c r="B5481" t="s">
        <v>7540</v>
      </c>
      <c r="C5481" t="s">
        <v>7</v>
      </c>
      <c r="D5481" t="s">
        <v>14</v>
      </c>
      <c r="E5481" t="s">
        <v>7475</v>
      </c>
    </row>
    <row r="5482" spans="1:6" x14ac:dyDescent="0.25">
      <c r="A5482" t="str">
        <f>"341000153500"</f>
        <v>341000153500</v>
      </c>
      <c r="B5482" t="s">
        <v>7541</v>
      </c>
      <c r="C5482" t="s">
        <v>7</v>
      </c>
      <c r="D5482" t="s">
        <v>14</v>
      </c>
      <c r="E5482" t="s">
        <v>7475</v>
      </c>
    </row>
    <row r="5483" spans="1:6" x14ac:dyDescent="0.25">
      <c r="A5483" t="str">
        <f>"341300149889"</f>
        <v>341300149889</v>
      </c>
      <c r="B5483" t="s">
        <v>7542</v>
      </c>
      <c r="C5483" t="s">
        <v>7</v>
      </c>
      <c r="D5483" t="s">
        <v>14</v>
      </c>
      <c r="E5483" t="s">
        <v>7475</v>
      </c>
    </row>
    <row r="5484" spans="1:6" x14ac:dyDescent="0.25">
      <c r="A5484" t="str">
        <f>"341451186515"</f>
        <v>341451186515</v>
      </c>
      <c r="B5484" t="s">
        <v>7543</v>
      </c>
      <c r="C5484" t="s">
        <v>7</v>
      </c>
      <c r="D5484" t="s">
        <v>14</v>
      </c>
      <c r="E5484" t="s">
        <v>7475</v>
      </c>
    </row>
    <row r="5485" spans="1:6" x14ac:dyDescent="0.25">
      <c r="A5485" t="str">
        <f>"341502769500"</f>
        <v>341502769500</v>
      </c>
      <c r="B5485" t="s">
        <v>7544</v>
      </c>
      <c r="C5485" t="s">
        <v>7</v>
      </c>
      <c r="D5485" t="s">
        <v>14</v>
      </c>
      <c r="E5485" t="s">
        <v>7475</v>
      </c>
    </row>
    <row r="5486" spans="1:6" x14ac:dyDescent="0.25">
      <c r="A5486" t="str">
        <f>"341800025546"</f>
        <v>341800025546</v>
      </c>
      <c r="B5486" t="s">
        <v>7545</v>
      </c>
      <c r="C5486" t="s">
        <v>7</v>
      </c>
      <c r="D5486" t="s">
        <v>14</v>
      </c>
      <c r="E5486" t="s">
        <v>7475</v>
      </c>
    </row>
    <row r="5487" spans="1:6" x14ac:dyDescent="0.25">
      <c r="A5487" t="str">
        <f>"341800088458"</f>
        <v>341800088458</v>
      </c>
      <c r="B5487" t="s">
        <v>7546</v>
      </c>
      <c r="C5487" t="s">
        <v>7</v>
      </c>
      <c r="D5487" t="s">
        <v>14</v>
      </c>
      <c r="E5487" t="s">
        <v>7475</v>
      </c>
    </row>
    <row r="5488" spans="1:6" x14ac:dyDescent="0.25">
      <c r="A5488" t="str">
        <f>"341900211151"</f>
        <v>341900211151</v>
      </c>
      <c r="B5488" t="s">
        <v>7547</v>
      </c>
      <c r="C5488" t="s">
        <v>7</v>
      </c>
      <c r="D5488" t="s">
        <v>14</v>
      </c>
      <c r="E5488" t="s">
        <v>7475</v>
      </c>
    </row>
    <row r="5489" spans="1:6" x14ac:dyDescent="0.25">
      <c r="A5489" t="str">
        <f>"342201828747"</f>
        <v>342201828747</v>
      </c>
      <c r="B5489" t="s">
        <v>7548</v>
      </c>
      <c r="C5489" t="s">
        <v>7</v>
      </c>
      <c r="D5489" t="s">
        <v>14</v>
      </c>
      <c r="E5489" t="s">
        <v>7475</v>
      </c>
    </row>
    <row r="5490" spans="1:6" x14ac:dyDescent="0.25">
      <c r="A5490" t="str">
        <f>"342700226297"</f>
        <v>342700226297</v>
      </c>
      <c r="B5490" t="s">
        <v>7549</v>
      </c>
      <c r="C5490" t="s">
        <v>7</v>
      </c>
      <c r="D5490" t="s">
        <v>14</v>
      </c>
      <c r="E5490" t="s">
        <v>7475</v>
      </c>
    </row>
    <row r="5491" spans="1:6" x14ac:dyDescent="0.25">
      <c r="A5491" t="str">
        <f>"342700794885"</f>
        <v>342700794885</v>
      </c>
      <c r="B5491" t="s">
        <v>7550</v>
      </c>
      <c r="C5491" t="s">
        <v>7</v>
      </c>
      <c r="D5491" t="s">
        <v>12</v>
      </c>
      <c r="E5491" t="s">
        <v>7475</v>
      </c>
    </row>
    <row r="5492" spans="1:6" x14ac:dyDescent="0.25">
      <c r="A5492" t="str">
        <f>"342899232967"</f>
        <v>342899232967</v>
      </c>
      <c r="B5492" t="s">
        <v>7551</v>
      </c>
      <c r="C5492" t="s">
        <v>7</v>
      </c>
      <c r="D5492" t="s">
        <v>14</v>
      </c>
      <c r="E5492" t="s">
        <v>7475</v>
      </c>
    </row>
    <row r="5493" spans="1:6" x14ac:dyDescent="0.25">
      <c r="A5493" t="str">
        <f>"343302049308"</f>
        <v>343302049308</v>
      </c>
      <c r="B5493" t="s">
        <v>7552</v>
      </c>
      <c r="C5493" t="s">
        <v>7</v>
      </c>
      <c r="D5493" t="s">
        <v>14</v>
      </c>
      <c r="E5493" t="s">
        <v>7475</v>
      </c>
    </row>
    <row r="5494" spans="1:6" x14ac:dyDescent="0.25">
      <c r="A5494" t="str">
        <f>"343500656287"</f>
        <v>343500656287</v>
      </c>
      <c r="B5494" t="s">
        <v>7553</v>
      </c>
      <c r="C5494" t="s">
        <v>7</v>
      </c>
      <c r="D5494" t="s">
        <v>14</v>
      </c>
      <c r="E5494" t="s">
        <v>7475</v>
      </c>
    </row>
    <row r="5495" spans="1:6" x14ac:dyDescent="0.25">
      <c r="A5495" t="str">
        <f>"343501598905"</f>
        <v>343501598905</v>
      </c>
      <c r="B5495" t="s">
        <v>7554</v>
      </c>
      <c r="C5495" t="s">
        <v>7</v>
      </c>
      <c r="D5495" t="s">
        <v>14</v>
      </c>
      <c r="E5495" t="s">
        <v>7475</v>
      </c>
    </row>
    <row r="5496" spans="1:6" x14ac:dyDescent="0.25">
      <c r="A5496" t="str">
        <f>"3435029674"</f>
        <v>3435029674</v>
      </c>
      <c r="B5496" t="s">
        <v>7555</v>
      </c>
      <c r="C5496" t="s">
        <v>7</v>
      </c>
      <c r="D5496" t="s">
        <v>14</v>
      </c>
      <c r="E5496" t="s">
        <v>7475</v>
      </c>
      <c r="F5496" t="s">
        <v>7556</v>
      </c>
    </row>
    <row r="5497" spans="1:6" x14ac:dyDescent="0.25">
      <c r="A5497" t="str">
        <f>"3435110357"</f>
        <v>3435110357</v>
      </c>
      <c r="B5497" t="s">
        <v>7557</v>
      </c>
      <c r="C5497" t="s">
        <v>7</v>
      </c>
      <c r="D5497" t="s">
        <v>14</v>
      </c>
      <c r="E5497" t="s">
        <v>7475</v>
      </c>
      <c r="F5497" t="s">
        <v>7558</v>
      </c>
    </row>
    <row r="5498" spans="1:6" x14ac:dyDescent="0.25">
      <c r="A5498" t="str">
        <f>"343512587285"</f>
        <v>343512587285</v>
      </c>
      <c r="B5498" t="s">
        <v>7559</v>
      </c>
      <c r="C5498" t="s">
        <v>7</v>
      </c>
      <c r="D5498" t="s">
        <v>14</v>
      </c>
      <c r="E5498" t="s">
        <v>7475</v>
      </c>
    </row>
    <row r="5499" spans="1:6" x14ac:dyDescent="0.25">
      <c r="A5499" t="str">
        <f>"3435142704"</f>
        <v>3435142704</v>
      </c>
      <c r="B5499" t="s">
        <v>7560</v>
      </c>
      <c r="C5499" t="s">
        <v>7</v>
      </c>
      <c r="D5499" t="s">
        <v>14</v>
      </c>
      <c r="E5499" t="s">
        <v>7475</v>
      </c>
      <c r="F5499" t="s">
        <v>7561</v>
      </c>
    </row>
    <row r="5500" spans="1:6" x14ac:dyDescent="0.25">
      <c r="A5500" t="str">
        <f>"3435143867"</f>
        <v>3435143867</v>
      </c>
      <c r="B5500" t="s">
        <v>7562</v>
      </c>
      <c r="C5500" t="s">
        <v>7</v>
      </c>
      <c r="D5500" t="s">
        <v>12</v>
      </c>
      <c r="E5500" t="s">
        <v>7475</v>
      </c>
      <c r="F5500" t="s">
        <v>7563</v>
      </c>
    </row>
    <row r="5501" spans="1:6" x14ac:dyDescent="0.25">
      <c r="A5501" t="str">
        <f>"343515994786"</f>
        <v>343515994786</v>
      </c>
      <c r="B5501" t="s">
        <v>7564</v>
      </c>
      <c r="C5501" t="s">
        <v>7</v>
      </c>
      <c r="D5501" t="s">
        <v>14</v>
      </c>
      <c r="E5501" t="s">
        <v>7475</v>
      </c>
    </row>
    <row r="5502" spans="1:6" x14ac:dyDescent="0.25">
      <c r="A5502" t="str">
        <f>"343518320680"</f>
        <v>343518320680</v>
      </c>
      <c r="B5502" t="s">
        <v>7565</v>
      </c>
      <c r="C5502" t="s">
        <v>7</v>
      </c>
      <c r="D5502" t="s">
        <v>14</v>
      </c>
      <c r="E5502" t="s">
        <v>7475</v>
      </c>
    </row>
    <row r="5503" spans="1:6" x14ac:dyDescent="0.25">
      <c r="A5503" t="str">
        <f>"343520175704"</f>
        <v>343520175704</v>
      </c>
      <c r="B5503" t="s">
        <v>7566</v>
      </c>
      <c r="C5503" t="s">
        <v>7</v>
      </c>
      <c r="D5503" t="s">
        <v>14</v>
      </c>
      <c r="E5503" t="s">
        <v>7475</v>
      </c>
    </row>
    <row r="5504" spans="1:6" x14ac:dyDescent="0.25">
      <c r="A5504" t="str">
        <f>"3435304296"</f>
        <v>3435304296</v>
      </c>
      <c r="B5504" t="s">
        <v>7567</v>
      </c>
      <c r="C5504" t="s">
        <v>7</v>
      </c>
      <c r="D5504" t="s">
        <v>463</v>
      </c>
      <c r="E5504" t="s">
        <v>7475</v>
      </c>
      <c r="F5504" t="s">
        <v>7568</v>
      </c>
    </row>
    <row r="5505" spans="1:6" x14ac:dyDescent="0.25">
      <c r="A5505" t="str">
        <f>"3435313156"</f>
        <v>3435313156</v>
      </c>
      <c r="B5505" t="s">
        <v>7569</v>
      </c>
      <c r="C5505" t="s">
        <v>7</v>
      </c>
      <c r="D5505" t="s">
        <v>12</v>
      </c>
      <c r="E5505" t="s">
        <v>7475</v>
      </c>
      <c r="F5505" t="s">
        <v>7570</v>
      </c>
    </row>
    <row r="5506" spans="1:6" x14ac:dyDescent="0.25">
      <c r="A5506" t="str">
        <f>"343533585803"</f>
        <v>343533585803</v>
      </c>
      <c r="B5506" t="s">
        <v>7571</v>
      </c>
      <c r="C5506" t="s">
        <v>7</v>
      </c>
      <c r="D5506" t="s">
        <v>14</v>
      </c>
      <c r="E5506" t="s">
        <v>7475</v>
      </c>
    </row>
    <row r="5507" spans="1:6" x14ac:dyDescent="0.25">
      <c r="A5507" t="str">
        <f>"343538104221"</f>
        <v>343538104221</v>
      </c>
      <c r="B5507" t="s">
        <v>7572</v>
      </c>
      <c r="C5507" t="s">
        <v>7</v>
      </c>
      <c r="D5507" t="s">
        <v>14</v>
      </c>
      <c r="E5507" t="s">
        <v>7475</v>
      </c>
    </row>
    <row r="5508" spans="1:6" x14ac:dyDescent="0.25">
      <c r="A5508" t="str">
        <f>"343604413352"</f>
        <v>343604413352</v>
      </c>
      <c r="B5508" t="s">
        <v>7573</v>
      </c>
      <c r="C5508" t="s">
        <v>7</v>
      </c>
      <c r="D5508" t="s">
        <v>14</v>
      </c>
      <c r="E5508" t="s">
        <v>7475</v>
      </c>
    </row>
    <row r="5509" spans="1:6" x14ac:dyDescent="0.25">
      <c r="A5509" t="str">
        <f>"343700993113"</f>
        <v>343700993113</v>
      </c>
      <c r="B5509" t="s">
        <v>7574</v>
      </c>
      <c r="C5509" t="s">
        <v>7</v>
      </c>
      <c r="D5509" t="s">
        <v>14</v>
      </c>
      <c r="E5509" t="s">
        <v>7475</v>
      </c>
    </row>
    <row r="5510" spans="1:6" x14ac:dyDescent="0.25">
      <c r="A5510" t="str">
        <f>"343800201347"</f>
        <v>343800201347</v>
      </c>
      <c r="B5510" t="s">
        <v>7575</v>
      </c>
      <c r="C5510" t="s">
        <v>7</v>
      </c>
      <c r="D5510" t="s">
        <v>12</v>
      </c>
      <c r="E5510" t="s">
        <v>7475</v>
      </c>
    </row>
    <row r="5511" spans="1:6" x14ac:dyDescent="0.25">
      <c r="A5511" t="str">
        <f>"343901349734"</f>
        <v>343901349734</v>
      </c>
      <c r="B5511" t="s">
        <v>7576</v>
      </c>
      <c r="C5511" t="s">
        <v>7</v>
      </c>
      <c r="D5511" t="s">
        <v>14</v>
      </c>
      <c r="E5511" t="s">
        <v>7475</v>
      </c>
    </row>
    <row r="5512" spans="1:6" x14ac:dyDescent="0.25">
      <c r="A5512" t="str">
        <f>"344102602950"</f>
        <v>344102602950</v>
      </c>
      <c r="B5512" t="s">
        <v>7577</v>
      </c>
      <c r="C5512" t="s">
        <v>7</v>
      </c>
      <c r="D5512" t="s">
        <v>14</v>
      </c>
      <c r="E5512" t="s">
        <v>7475</v>
      </c>
    </row>
    <row r="5513" spans="1:6" x14ac:dyDescent="0.25">
      <c r="A5513" t="str">
        <f>"344109440160"</f>
        <v>344109440160</v>
      </c>
      <c r="B5513" t="s">
        <v>7578</v>
      </c>
      <c r="C5513" t="s">
        <v>7</v>
      </c>
      <c r="D5513" t="s">
        <v>14</v>
      </c>
      <c r="E5513" t="s">
        <v>7475</v>
      </c>
    </row>
    <row r="5514" spans="1:6" x14ac:dyDescent="0.25">
      <c r="A5514" t="str">
        <f>"344110427974"</f>
        <v>344110427974</v>
      </c>
      <c r="B5514" t="s">
        <v>7579</v>
      </c>
      <c r="C5514" t="s">
        <v>7</v>
      </c>
      <c r="D5514" t="s">
        <v>12</v>
      </c>
      <c r="E5514" t="s">
        <v>7475</v>
      </c>
    </row>
    <row r="5515" spans="1:6" x14ac:dyDescent="0.25">
      <c r="A5515" t="str">
        <f>"344111291412"</f>
        <v>344111291412</v>
      </c>
      <c r="B5515" t="s">
        <v>7580</v>
      </c>
      <c r="C5515" t="s">
        <v>7</v>
      </c>
      <c r="D5515" t="s">
        <v>12</v>
      </c>
      <c r="E5515" t="s">
        <v>7475</v>
      </c>
    </row>
    <row r="5516" spans="1:6" x14ac:dyDescent="0.25">
      <c r="A5516" t="str">
        <f>"3443002891"</f>
        <v>3443002891</v>
      </c>
      <c r="B5516" t="s">
        <v>7581</v>
      </c>
      <c r="C5516" t="s">
        <v>7</v>
      </c>
      <c r="D5516" t="s">
        <v>14</v>
      </c>
      <c r="E5516" t="s">
        <v>7475</v>
      </c>
      <c r="F5516" t="s">
        <v>7582</v>
      </c>
    </row>
    <row r="5517" spans="1:6" x14ac:dyDescent="0.25">
      <c r="A5517" t="str">
        <f>"344303080013"</f>
        <v>344303080013</v>
      </c>
      <c r="B5517" t="s">
        <v>7583</v>
      </c>
      <c r="C5517" t="s">
        <v>7</v>
      </c>
      <c r="D5517" t="s">
        <v>14</v>
      </c>
      <c r="E5517" t="s">
        <v>7475</v>
      </c>
    </row>
    <row r="5518" spans="1:6" x14ac:dyDescent="0.25">
      <c r="A5518" t="str">
        <f>"3443050768"</f>
        <v>3443050768</v>
      </c>
      <c r="B5518" t="s">
        <v>7584</v>
      </c>
      <c r="C5518" t="s">
        <v>7</v>
      </c>
      <c r="D5518" t="s">
        <v>33</v>
      </c>
      <c r="E5518" t="s">
        <v>7475</v>
      </c>
      <c r="F5518" t="s">
        <v>7585</v>
      </c>
    </row>
    <row r="5519" spans="1:6" x14ac:dyDescent="0.25">
      <c r="A5519" t="str">
        <f>"344305626717"</f>
        <v>344305626717</v>
      </c>
      <c r="B5519" t="s">
        <v>7586</v>
      </c>
      <c r="C5519" t="s">
        <v>7</v>
      </c>
      <c r="D5519" t="s">
        <v>12</v>
      </c>
      <c r="E5519" t="s">
        <v>7475</v>
      </c>
    </row>
    <row r="5520" spans="1:6" x14ac:dyDescent="0.25">
      <c r="A5520" t="str">
        <f>"344305730490"</f>
        <v>344305730490</v>
      </c>
      <c r="B5520" t="s">
        <v>7587</v>
      </c>
      <c r="C5520" t="s">
        <v>7</v>
      </c>
      <c r="D5520" t="s">
        <v>14</v>
      </c>
      <c r="E5520" t="s">
        <v>7475</v>
      </c>
    </row>
    <row r="5521" spans="1:6" x14ac:dyDescent="0.25">
      <c r="A5521" t="str">
        <f>"3443064792"</f>
        <v>3443064792</v>
      </c>
      <c r="B5521" t="s">
        <v>7588</v>
      </c>
      <c r="C5521" t="s">
        <v>7</v>
      </c>
      <c r="D5521" t="s">
        <v>12</v>
      </c>
      <c r="E5521" t="s">
        <v>7475</v>
      </c>
      <c r="F5521" t="s">
        <v>7589</v>
      </c>
    </row>
    <row r="5522" spans="1:6" x14ac:dyDescent="0.25">
      <c r="A5522" t="str">
        <f>"3443091789"</f>
        <v>3443091789</v>
      </c>
      <c r="B5522" t="s">
        <v>7590</v>
      </c>
      <c r="C5522" t="s">
        <v>7</v>
      </c>
      <c r="D5522" t="s">
        <v>12</v>
      </c>
      <c r="E5522" t="s">
        <v>7475</v>
      </c>
      <c r="F5522" t="s">
        <v>7591</v>
      </c>
    </row>
    <row r="5523" spans="1:6" x14ac:dyDescent="0.25">
      <c r="A5523" t="str">
        <f>"3443113810"</f>
        <v>3443113810</v>
      </c>
      <c r="B5523" t="s">
        <v>7592</v>
      </c>
      <c r="C5523" t="s">
        <v>7</v>
      </c>
      <c r="D5523" t="s">
        <v>12</v>
      </c>
      <c r="E5523" t="s">
        <v>7475</v>
      </c>
      <c r="F5523" t="s">
        <v>7593</v>
      </c>
    </row>
    <row r="5524" spans="1:6" x14ac:dyDescent="0.25">
      <c r="A5524" t="str">
        <f>"3443115091"</f>
        <v>3443115091</v>
      </c>
      <c r="B5524" t="s">
        <v>7594</v>
      </c>
      <c r="C5524" t="s">
        <v>7</v>
      </c>
      <c r="D5524" t="s">
        <v>12</v>
      </c>
      <c r="E5524" t="s">
        <v>7475</v>
      </c>
      <c r="F5524" t="s">
        <v>7593</v>
      </c>
    </row>
    <row r="5525" spans="1:6" x14ac:dyDescent="0.25">
      <c r="A5525" t="str">
        <f>"3443115253"</f>
        <v>3443115253</v>
      </c>
      <c r="B5525" t="s">
        <v>7595</v>
      </c>
      <c r="C5525" t="s">
        <v>7</v>
      </c>
      <c r="D5525" t="s">
        <v>33</v>
      </c>
      <c r="E5525" t="s">
        <v>7475</v>
      </c>
      <c r="F5525" t="s">
        <v>7596</v>
      </c>
    </row>
    <row r="5526" spans="1:6" x14ac:dyDescent="0.25">
      <c r="A5526" t="str">
        <f>"3443135877"</f>
        <v>3443135877</v>
      </c>
      <c r="B5526" t="s">
        <v>7597</v>
      </c>
      <c r="C5526" t="s">
        <v>7</v>
      </c>
      <c r="D5526" t="s">
        <v>12</v>
      </c>
      <c r="E5526" t="s">
        <v>7475</v>
      </c>
      <c r="F5526" t="s">
        <v>7598</v>
      </c>
    </row>
    <row r="5527" spans="1:6" x14ac:dyDescent="0.25">
      <c r="A5527" t="str">
        <f>"3443137377"</f>
        <v>3443137377</v>
      </c>
      <c r="B5527" t="s">
        <v>7599</v>
      </c>
      <c r="C5527" t="s">
        <v>7</v>
      </c>
      <c r="D5527" t="s">
        <v>460</v>
      </c>
      <c r="E5527" t="s">
        <v>7475</v>
      </c>
      <c r="F5527" t="s">
        <v>7600</v>
      </c>
    </row>
    <row r="5528" spans="1:6" x14ac:dyDescent="0.25">
      <c r="A5528" t="str">
        <f>"344313902248"</f>
        <v>344313902248</v>
      </c>
      <c r="B5528" t="s">
        <v>7601</v>
      </c>
      <c r="C5528" t="s">
        <v>7</v>
      </c>
      <c r="D5528" t="s">
        <v>33</v>
      </c>
      <c r="E5528" t="s">
        <v>7475</v>
      </c>
    </row>
    <row r="5529" spans="1:6" x14ac:dyDescent="0.25">
      <c r="A5529" t="str">
        <f>"3443141133"</f>
        <v>3443141133</v>
      </c>
      <c r="B5529" t="s">
        <v>7602</v>
      </c>
      <c r="C5529" t="s">
        <v>7</v>
      </c>
      <c r="D5529" t="s">
        <v>33</v>
      </c>
      <c r="E5529" t="s">
        <v>7475</v>
      </c>
      <c r="F5529" t="s">
        <v>7603</v>
      </c>
    </row>
    <row r="5530" spans="1:6" x14ac:dyDescent="0.25">
      <c r="A5530" t="str">
        <f>"3443146188"</f>
        <v>3443146188</v>
      </c>
      <c r="B5530" t="s">
        <v>475</v>
      </c>
      <c r="C5530" t="s">
        <v>7</v>
      </c>
      <c r="D5530" t="s">
        <v>460</v>
      </c>
      <c r="E5530" t="s">
        <v>7475</v>
      </c>
      <c r="F5530" t="s">
        <v>7604</v>
      </c>
    </row>
    <row r="5531" spans="1:6" x14ac:dyDescent="0.25">
      <c r="A5531" t="str">
        <f>"3443148403"</f>
        <v>3443148403</v>
      </c>
      <c r="B5531" t="s">
        <v>7605</v>
      </c>
      <c r="C5531" t="s">
        <v>7</v>
      </c>
      <c r="D5531" t="s">
        <v>12</v>
      </c>
      <c r="E5531" t="s">
        <v>7475</v>
      </c>
      <c r="F5531" t="s">
        <v>7606</v>
      </c>
    </row>
    <row r="5532" spans="1:6" x14ac:dyDescent="0.25">
      <c r="A5532" t="str">
        <f>"3443150949"</f>
        <v>3443150949</v>
      </c>
      <c r="B5532" t="s">
        <v>7607</v>
      </c>
      <c r="C5532" t="s">
        <v>7</v>
      </c>
      <c r="D5532" t="s">
        <v>33</v>
      </c>
      <c r="E5532" t="s">
        <v>7475</v>
      </c>
      <c r="F5532" t="s">
        <v>7608</v>
      </c>
    </row>
    <row r="5533" spans="1:6" x14ac:dyDescent="0.25">
      <c r="A5533" t="str">
        <f>"344345393917"</f>
        <v>344345393917</v>
      </c>
      <c r="B5533" t="s">
        <v>7609</v>
      </c>
      <c r="C5533" t="s">
        <v>7</v>
      </c>
      <c r="D5533" t="s">
        <v>14</v>
      </c>
      <c r="E5533" t="s">
        <v>7475</v>
      </c>
    </row>
    <row r="5534" spans="1:6" x14ac:dyDescent="0.25">
      <c r="A5534" t="str">
        <f>"3443920362"</f>
        <v>3443920362</v>
      </c>
      <c r="B5534" t="s">
        <v>7610</v>
      </c>
      <c r="C5534" t="s">
        <v>7</v>
      </c>
      <c r="D5534" t="s">
        <v>12</v>
      </c>
      <c r="E5534" t="s">
        <v>7475</v>
      </c>
      <c r="F5534" t="s">
        <v>7611</v>
      </c>
    </row>
    <row r="5535" spans="1:6" x14ac:dyDescent="0.25">
      <c r="A5535" t="str">
        <f>"3443933058"</f>
        <v>3443933058</v>
      </c>
      <c r="B5535" t="s">
        <v>7612</v>
      </c>
      <c r="C5535" t="s">
        <v>7</v>
      </c>
      <c r="D5535" t="s">
        <v>12</v>
      </c>
      <c r="E5535" t="s">
        <v>7475</v>
      </c>
      <c r="F5535" t="s">
        <v>7613</v>
      </c>
    </row>
    <row r="5536" spans="1:6" x14ac:dyDescent="0.25">
      <c r="A5536" t="str">
        <f>"3444073045"</f>
        <v>3444073045</v>
      </c>
      <c r="B5536" t="s">
        <v>7614</v>
      </c>
      <c r="C5536" t="s">
        <v>7</v>
      </c>
      <c r="D5536" t="s">
        <v>12</v>
      </c>
      <c r="E5536" t="s">
        <v>7475</v>
      </c>
      <c r="F5536" t="s">
        <v>7593</v>
      </c>
    </row>
    <row r="5537" spans="1:6" x14ac:dyDescent="0.25">
      <c r="A5537" t="str">
        <f>"3444096194"</f>
        <v>3444096194</v>
      </c>
      <c r="B5537" t="s">
        <v>7615</v>
      </c>
      <c r="C5537" t="s">
        <v>7</v>
      </c>
      <c r="D5537" t="s">
        <v>12</v>
      </c>
      <c r="E5537" t="s">
        <v>7475</v>
      </c>
      <c r="F5537" t="s">
        <v>7616</v>
      </c>
    </row>
    <row r="5538" spans="1:6" x14ac:dyDescent="0.25">
      <c r="A5538" t="str">
        <f>"3444112135"</f>
        <v>3444112135</v>
      </c>
      <c r="B5538" t="s">
        <v>7617</v>
      </c>
      <c r="C5538" t="s">
        <v>7</v>
      </c>
      <c r="D5538" t="s">
        <v>14</v>
      </c>
      <c r="E5538" t="s">
        <v>7475</v>
      </c>
      <c r="F5538" t="s">
        <v>7618</v>
      </c>
    </row>
    <row r="5539" spans="1:6" x14ac:dyDescent="0.25">
      <c r="A5539" t="str">
        <f>"3444190373"</f>
        <v>3444190373</v>
      </c>
      <c r="B5539" t="s">
        <v>3877</v>
      </c>
      <c r="C5539" t="s">
        <v>7</v>
      </c>
      <c r="D5539" t="s">
        <v>14</v>
      </c>
      <c r="E5539" t="s">
        <v>7475</v>
      </c>
      <c r="F5539" t="s">
        <v>7619</v>
      </c>
    </row>
    <row r="5540" spans="1:6" x14ac:dyDescent="0.25">
      <c r="A5540" t="str">
        <f>"3444216254"</f>
        <v>3444216254</v>
      </c>
      <c r="B5540" t="s">
        <v>7620</v>
      </c>
      <c r="C5540" t="s">
        <v>7</v>
      </c>
      <c r="D5540" t="s">
        <v>12</v>
      </c>
      <c r="E5540" t="s">
        <v>7475</v>
      </c>
      <c r="F5540" t="s">
        <v>7621</v>
      </c>
    </row>
    <row r="5541" spans="1:6" x14ac:dyDescent="0.25">
      <c r="A5541" t="str">
        <f>"3444276912"</f>
        <v>3444276912</v>
      </c>
      <c r="B5541" t="s">
        <v>7622</v>
      </c>
      <c r="C5541" t="s">
        <v>7</v>
      </c>
      <c r="D5541" t="s">
        <v>33</v>
      </c>
      <c r="E5541" t="s">
        <v>7475</v>
      </c>
      <c r="F5541" t="s">
        <v>7623</v>
      </c>
    </row>
    <row r="5542" spans="1:6" x14ac:dyDescent="0.25">
      <c r="A5542" t="str">
        <f>"344500442760"</f>
        <v>344500442760</v>
      </c>
      <c r="B5542" t="s">
        <v>7624</v>
      </c>
      <c r="C5542" t="s">
        <v>7</v>
      </c>
      <c r="D5542" t="s">
        <v>14</v>
      </c>
      <c r="E5542" t="s">
        <v>7475</v>
      </c>
    </row>
    <row r="5543" spans="1:6" x14ac:dyDescent="0.25">
      <c r="A5543" t="str">
        <f>"3445061081"</f>
        <v>3445061081</v>
      </c>
      <c r="B5543" t="s">
        <v>2155</v>
      </c>
      <c r="C5543" t="s">
        <v>7</v>
      </c>
      <c r="D5543" t="s">
        <v>12</v>
      </c>
      <c r="E5543" t="s">
        <v>7475</v>
      </c>
      <c r="F5543" t="s">
        <v>7625</v>
      </c>
    </row>
    <row r="5544" spans="1:6" x14ac:dyDescent="0.25">
      <c r="A5544" t="str">
        <f>"344598550783"</f>
        <v>344598550783</v>
      </c>
      <c r="B5544" t="s">
        <v>7626</v>
      </c>
      <c r="C5544" t="s">
        <v>7</v>
      </c>
      <c r="D5544" t="s">
        <v>14</v>
      </c>
      <c r="E5544" t="s">
        <v>7475</v>
      </c>
    </row>
    <row r="5545" spans="1:6" x14ac:dyDescent="0.25">
      <c r="A5545" t="str">
        <f>"3446019540"</f>
        <v>3446019540</v>
      </c>
      <c r="B5545" t="s">
        <v>7627</v>
      </c>
      <c r="C5545" t="s">
        <v>7</v>
      </c>
      <c r="D5545" t="s">
        <v>14</v>
      </c>
      <c r="E5545" t="s">
        <v>7475</v>
      </c>
      <c r="F5545" t="s">
        <v>7628</v>
      </c>
    </row>
    <row r="5546" spans="1:6" x14ac:dyDescent="0.25">
      <c r="A5546" t="str">
        <f>"3446020673"</f>
        <v>3446020673</v>
      </c>
      <c r="B5546" t="s">
        <v>4600</v>
      </c>
      <c r="C5546" t="s">
        <v>7</v>
      </c>
      <c r="D5546" t="s">
        <v>14</v>
      </c>
      <c r="E5546" t="s">
        <v>7475</v>
      </c>
      <c r="F5546" t="s">
        <v>7629</v>
      </c>
    </row>
    <row r="5547" spans="1:6" x14ac:dyDescent="0.25">
      <c r="A5547" t="str">
        <f>"344646190050"</f>
        <v>344646190050</v>
      </c>
      <c r="B5547" t="s">
        <v>7630</v>
      </c>
      <c r="C5547" t="s">
        <v>7</v>
      </c>
      <c r="D5547" t="s">
        <v>14</v>
      </c>
      <c r="E5547" t="s">
        <v>7475</v>
      </c>
    </row>
    <row r="5548" spans="1:6" x14ac:dyDescent="0.25">
      <c r="A5548" t="str">
        <f>"344800132688"</f>
        <v>344800132688</v>
      </c>
      <c r="B5548" t="s">
        <v>7631</v>
      </c>
      <c r="C5548" t="s">
        <v>7</v>
      </c>
      <c r="D5548" t="s">
        <v>14</v>
      </c>
      <c r="E5548" t="s">
        <v>7475</v>
      </c>
    </row>
    <row r="5549" spans="1:6" x14ac:dyDescent="0.25">
      <c r="A5549" t="str">
        <f>"344800498428"</f>
        <v>344800498428</v>
      </c>
      <c r="B5549" t="s">
        <v>7632</v>
      </c>
      <c r="C5549" t="s">
        <v>7</v>
      </c>
      <c r="D5549" t="s">
        <v>14</v>
      </c>
      <c r="E5549" t="s">
        <v>7475</v>
      </c>
    </row>
    <row r="5550" spans="1:6" x14ac:dyDescent="0.25">
      <c r="A5550" t="str">
        <f>"344800544265"</f>
        <v>344800544265</v>
      </c>
      <c r="B5550" t="s">
        <v>7633</v>
      </c>
      <c r="C5550" t="s">
        <v>7</v>
      </c>
      <c r="D5550" t="s">
        <v>12</v>
      </c>
      <c r="E5550" t="s">
        <v>7475</v>
      </c>
    </row>
    <row r="5551" spans="1:6" x14ac:dyDescent="0.25">
      <c r="A5551" t="str">
        <f>"344800927500"</f>
        <v>344800927500</v>
      </c>
      <c r="B5551" t="s">
        <v>7634</v>
      </c>
      <c r="C5551" t="s">
        <v>7</v>
      </c>
      <c r="D5551" t="s">
        <v>14</v>
      </c>
      <c r="E5551" t="s">
        <v>7475</v>
      </c>
    </row>
    <row r="5552" spans="1:6" x14ac:dyDescent="0.25">
      <c r="A5552" t="str">
        <f>"3448021721"</f>
        <v>3448021721</v>
      </c>
      <c r="B5552" t="s">
        <v>7635</v>
      </c>
      <c r="C5552" t="s">
        <v>7</v>
      </c>
      <c r="D5552" t="s">
        <v>146</v>
      </c>
      <c r="E5552" t="s">
        <v>7475</v>
      </c>
      <c r="F5552" t="s">
        <v>7636</v>
      </c>
    </row>
    <row r="5553" spans="1:6" x14ac:dyDescent="0.25">
      <c r="A5553" t="str">
        <f>"3448038595"</f>
        <v>3448038595</v>
      </c>
      <c r="B5553" t="s">
        <v>7637</v>
      </c>
      <c r="C5553" t="s">
        <v>7</v>
      </c>
      <c r="D5553" t="s">
        <v>33</v>
      </c>
      <c r="E5553" t="s">
        <v>7475</v>
      </c>
      <c r="F5553" t="s">
        <v>7638</v>
      </c>
    </row>
    <row r="5554" spans="1:6" x14ac:dyDescent="0.25">
      <c r="A5554" t="str">
        <f>"344813463408"</f>
        <v>344813463408</v>
      </c>
      <c r="B5554" t="s">
        <v>7639</v>
      </c>
      <c r="C5554" t="s">
        <v>7</v>
      </c>
      <c r="D5554" t="s">
        <v>14</v>
      </c>
      <c r="E5554" t="s">
        <v>7475</v>
      </c>
    </row>
    <row r="5555" spans="1:6" x14ac:dyDescent="0.25">
      <c r="A5555" t="str">
        <f>"344818730015"</f>
        <v>344818730015</v>
      </c>
      <c r="B5555" t="s">
        <v>7640</v>
      </c>
      <c r="C5555" t="s">
        <v>7</v>
      </c>
      <c r="D5555" t="s">
        <v>14</v>
      </c>
      <c r="E5555" t="s">
        <v>7475</v>
      </c>
    </row>
    <row r="5556" spans="1:6" x14ac:dyDescent="0.25">
      <c r="A5556" t="str">
        <f>"345502334144"</f>
        <v>345502334144</v>
      </c>
      <c r="B5556" t="s">
        <v>7641</v>
      </c>
      <c r="C5556" t="s">
        <v>7</v>
      </c>
      <c r="D5556" t="s">
        <v>14</v>
      </c>
      <c r="E5556" t="s">
        <v>7475</v>
      </c>
    </row>
    <row r="5557" spans="1:6" x14ac:dyDescent="0.25">
      <c r="A5557" t="str">
        <f>"3455053675"</f>
        <v>3455053675</v>
      </c>
      <c r="B5557" t="s">
        <v>7642</v>
      </c>
      <c r="C5557" t="s">
        <v>7</v>
      </c>
      <c r="D5557" t="s">
        <v>33</v>
      </c>
      <c r="E5557" t="s">
        <v>7475</v>
      </c>
      <c r="F5557" t="s">
        <v>7643</v>
      </c>
    </row>
    <row r="5558" spans="1:6" x14ac:dyDescent="0.25">
      <c r="A5558" t="str">
        <f>"345801478680"</f>
        <v>345801478680</v>
      </c>
      <c r="B5558" t="s">
        <v>7644</v>
      </c>
      <c r="C5558" t="s">
        <v>7</v>
      </c>
      <c r="D5558" t="s">
        <v>14</v>
      </c>
      <c r="E5558" t="s">
        <v>7475</v>
      </c>
    </row>
    <row r="5559" spans="1:6" x14ac:dyDescent="0.25">
      <c r="A5559" t="str">
        <f>"3459011620"</f>
        <v>3459011620</v>
      </c>
      <c r="B5559" t="s">
        <v>7645</v>
      </c>
      <c r="C5559" t="s">
        <v>7</v>
      </c>
      <c r="D5559" t="s">
        <v>33</v>
      </c>
      <c r="E5559" t="s">
        <v>7475</v>
      </c>
      <c r="F5559" t="s">
        <v>7646</v>
      </c>
    </row>
    <row r="5560" spans="1:6" x14ac:dyDescent="0.25">
      <c r="A5560" t="str">
        <f>"3459065939"</f>
        <v>3459065939</v>
      </c>
      <c r="B5560" t="s">
        <v>7647</v>
      </c>
      <c r="C5560" t="s">
        <v>7</v>
      </c>
      <c r="D5560" t="s">
        <v>14</v>
      </c>
      <c r="E5560" t="s">
        <v>7475</v>
      </c>
      <c r="F5560" t="s">
        <v>7648</v>
      </c>
    </row>
    <row r="5561" spans="1:6" x14ac:dyDescent="0.25">
      <c r="A5561" t="str">
        <f>"3459073200"</f>
        <v>3459073200</v>
      </c>
      <c r="B5561" t="s">
        <v>4863</v>
      </c>
      <c r="C5561" t="s">
        <v>7</v>
      </c>
      <c r="D5561" t="s">
        <v>12</v>
      </c>
      <c r="E5561" t="s">
        <v>7475</v>
      </c>
      <c r="F5561" t="s">
        <v>7649</v>
      </c>
    </row>
    <row r="5562" spans="1:6" x14ac:dyDescent="0.25">
      <c r="A5562" t="str">
        <f>"3435117592"</f>
        <v>3435117592</v>
      </c>
      <c r="B5562" t="s">
        <v>7650</v>
      </c>
      <c r="C5562" t="s">
        <v>7</v>
      </c>
      <c r="D5562" t="s">
        <v>33</v>
      </c>
      <c r="E5562" t="s">
        <v>7475</v>
      </c>
      <c r="F5562" t="s">
        <v>7651</v>
      </c>
    </row>
    <row r="5563" spans="1:6" x14ac:dyDescent="0.25">
      <c r="A5563" t="str">
        <f>"3435133918"</f>
        <v>3435133918</v>
      </c>
      <c r="B5563" t="s">
        <v>7652</v>
      </c>
      <c r="C5563" t="s">
        <v>7</v>
      </c>
      <c r="D5563" t="s">
        <v>33</v>
      </c>
      <c r="E5563" t="s">
        <v>7475</v>
      </c>
      <c r="F5563" t="s">
        <v>7653</v>
      </c>
    </row>
    <row r="5564" spans="1:6" x14ac:dyDescent="0.25">
      <c r="A5564" t="str">
        <f>"343516549869"</f>
        <v>343516549869</v>
      </c>
      <c r="B5564" t="s">
        <v>7654</v>
      </c>
      <c r="C5564" t="s">
        <v>7</v>
      </c>
      <c r="D5564" t="s">
        <v>14</v>
      </c>
      <c r="E5564" t="s">
        <v>7475</v>
      </c>
    </row>
    <row r="5565" spans="1:6" x14ac:dyDescent="0.25">
      <c r="A5565" t="str">
        <f>"343517569561"</f>
        <v>343517569561</v>
      </c>
      <c r="B5565" t="s">
        <v>4389</v>
      </c>
      <c r="C5565" t="s">
        <v>7</v>
      </c>
      <c r="D5565" t="s">
        <v>14</v>
      </c>
      <c r="E5565" t="s">
        <v>7475</v>
      </c>
    </row>
    <row r="5566" spans="1:6" x14ac:dyDescent="0.25">
      <c r="A5566" t="str">
        <f>"343519145783"</f>
        <v>343519145783</v>
      </c>
      <c r="B5566" t="s">
        <v>7655</v>
      </c>
      <c r="C5566" t="s">
        <v>7</v>
      </c>
      <c r="D5566" t="s">
        <v>12</v>
      </c>
      <c r="E5566" t="s">
        <v>7475</v>
      </c>
    </row>
    <row r="5567" spans="1:6" x14ac:dyDescent="0.25">
      <c r="A5567" t="str">
        <f>"343525377704"</f>
        <v>343525377704</v>
      </c>
      <c r="B5567" t="s">
        <v>7656</v>
      </c>
      <c r="C5567" t="s">
        <v>7</v>
      </c>
      <c r="D5567" t="s">
        <v>12</v>
      </c>
      <c r="E5567" t="s">
        <v>7475</v>
      </c>
    </row>
    <row r="5568" spans="1:6" x14ac:dyDescent="0.25">
      <c r="A5568" t="str">
        <f>"3435315450"</f>
        <v>3435315450</v>
      </c>
      <c r="B5568" t="s">
        <v>7657</v>
      </c>
      <c r="C5568" t="s">
        <v>7</v>
      </c>
      <c r="D5568" t="s">
        <v>33</v>
      </c>
      <c r="E5568" t="s">
        <v>7475</v>
      </c>
      <c r="F5568" t="s">
        <v>7658</v>
      </c>
    </row>
    <row r="5569" spans="1:6" x14ac:dyDescent="0.25">
      <c r="A5569" t="str">
        <f>"343600038534"</f>
        <v>343600038534</v>
      </c>
      <c r="B5569" t="s">
        <v>7659</v>
      </c>
      <c r="C5569" t="s">
        <v>7</v>
      </c>
      <c r="D5569" t="s">
        <v>14</v>
      </c>
      <c r="E5569" t="s">
        <v>7475</v>
      </c>
    </row>
    <row r="5570" spans="1:6" x14ac:dyDescent="0.25">
      <c r="A5570" t="str">
        <f>"343608207819"</f>
        <v>343608207819</v>
      </c>
      <c r="B5570" t="s">
        <v>7660</v>
      </c>
      <c r="C5570" t="s">
        <v>7</v>
      </c>
      <c r="D5570" t="s">
        <v>14</v>
      </c>
      <c r="E5570" t="s">
        <v>7475</v>
      </c>
    </row>
    <row r="5571" spans="1:6" x14ac:dyDescent="0.25">
      <c r="A5571" t="str">
        <f>"3437007059"</f>
        <v>3437007059</v>
      </c>
      <c r="B5571" t="s">
        <v>7661</v>
      </c>
      <c r="C5571" t="s">
        <v>7</v>
      </c>
      <c r="D5571" t="s">
        <v>12</v>
      </c>
      <c r="E5571" t="s">
        <v>7475</v>
      </c>
      <c r="F5571" t="s">
        <v>7662</v>
      </c>
    </row>
    <row r="5572" spans="1:6" x14ac:dyDescent="0.25">
      <c r="A5572" t="str">
        <f>"343704479607"</f>
        <v>343704479607</v>
      </c>
      <c r="B5572" t="s">
        <v>7663</v>
      </c>
      <c r="C5572" t="s">
        <v>7</v>
      </c>
      <c r="D5572" t="s">
        <v>12</v>
      </c>
      <c r="E5572" t="s">
        <v>7475</v>
      </c>
    </row>
    <row r="5573" spans="1:6" x14ac:dyDescent="0.25">
      <c r="A5573" t="str">
        <f>"343901131488"</f>
        <v>343901131488</v>
      </c>
      <c r="B5573" t="s">
        <v>7664</v>
      </c>
      <c r="C5573" t="s">
        <v>7</v>
      </c>
      <c r="D5573" t="s">
        <v>14</v>
      </c>
      <c r="E5573" t="s">
        <v>7475</v>
      </c>
    </row>
    <row r="5574" spans="1:6" x14ac:dyDescent="0.25">
      <c r="A5574" t="str">
        <f>"344102644510"</f>
        <v>344102644510</v>
      </c>
      <c r="B5574" t="s">
        <v>7665</v>
      </c>
      <c r="C5574" t="s">
        <v>7</v>
      </c>
      <c r="D5574" t="s">
        <v>14</v>
      </c>
      <c r="E5574" t="s">
        <v>7475</v>
      </c>
    </row>
    <row r="5575" spans="1:6" x14ac:dyDescent="0.25">
      <c r="A5575" t="str">
        <f>"3441029760"</f>
        <v>3441029760</v>
      </c>
      <c r="B5575" t="s">
        <v>7666</v>
      </c>
      <c r="C5575" t="s">
        <v>7</v>
      </c>
      <c r="D5575" t="s">
        <v>98</v>
      </c>
      <c r="E5575" t="s">
        <v>7475</v>
      </c>
      <c r="F5575" t="s">
        <v>7667</v>
      </c>
    </row>
    <row r="5576" spans="1:6" x14ac:dyDescent="0.25">
      <c r="A5576" t="str">
        <f>"3442085327"</f>
        <v>3442085327</v>
      </c>
      <c r="B5576" t="s">
        <v>7668</v>
      </c>
      <c r="C5576" t="s">
        <v>7</v>
      </c>
      <c r="D5576" t="s">
        <v>14</v>
      </c>
      <c r="E5576" t="s">
        <v>7475</v>
      </c>
      <c r="F5576" t="s">
        <v>7669</v>
      </c>
    </row>
    <row r="5577" spans="1:6" x14ac:dyDescent="0.25">
      <c r="A5577" t="str">
        <f>"344208840521"</f>
        <v>344208840521</v>
      </c>
      <c r="B5577" t="s">
        <v>7670</v>
      </c>
      <c r="C5577" t="s">
        <v>7</v>
      </c>
      <c r="D5577" t="s">
        <v>14</v>
      </c>
      <c r="E5577" t="s">
        <v>7475</v>
      </c>
    </row>
    <row r="5578" spans="1:6" x14ac:dyDescent="0.25">
      <c r="A5578" t="str">
        <f>"344210067669"</f>
        <v>344210067669</v>
      </c>
      <c r="B5578" t="s">
        <v>7671</v>
      </c>
      <c r="C5578" t="s">
        <v>7</v>
      </c>
      <c r="D5578" t="s">
        <v>14</v>
      </c>
      <c r="E5578" t="s">
        <v>7475</v>
      </c>
    </row>
    <row r="5579" spans="1:6" x14ac:dyDescent="0.25">
      <c r="A5579" t="str">
        <f>"344211062631"</f>
        <v>344211062631</v>
      </c>
      <c r="B5579" t="s">
        <v>7672</v>
      </c>
      <c r="C5579" t="s">
        <v>7</v>
      </c>
      <c r="D5579" t="s">
        <v>14</v>
      </c>
      <c r="E5579" t="s">
        <v>7475</v>
      </c>
    </row>
    <row r="5580" spans="1:6" x14ac:dyDescent="0.25">
      <c r="A5580" t="str">
        <f>"3443050800"</f>
        <v>3443050800</v>
      </c>
      <c r="B5580" t="s">
        <v>7673</v>
      </c>
      <c r="C5580" t="s">
        <v>7</v>
      </c>
      <c r="D5580" t="s">
        <v>33</v>
      </c>
      <c r="E5580" t="s">
        <v>7475</v>
      </c>
      <c r="F5580" t="s">
        <v>7674</v>
      </c>
    </row>
    <row r="5581" spans="1:6" x14ac:dyDescent="0.25">
      <c r="A5581" t="str">
        <f>"3443081893"</f>
        <v>3443081893</v>
      </c>
      <c r="B5581" t="s">
        <v>7675</v>
      </c>
      <c r="C5581" t="s">
        <v>7</v>
      </c>
      <c r="D5581" t="s">
        <v>12</v>
      </c>
      <c r="E5581" t="s">
        <v>7475</v>
      </c>
      <c r="F5581" t="s">
        <v>7676</v>
      </c>
    </row>
    <row r="5582" spans="1:6" x14ac:dyDescent="0.25">
      <c r="A5582" t="str">
        <f>"3443082086"</f>
        <v>3443082086</v>
      </c>
      <c r="B5582" t="s">
        <v>7677</v>
      </c>
      <c r="C5582" t="s">
        <v>7</v>
      </c>
      <c r="D5582" t="s">
        <v>12</v>
      </c>
      <c r="E5582" t="s">
        <v>7475</v>
      </c>
      <c r="F5582" t="s">
        <v>7678</v>
      </c>
    </row>
    <row r="5583" spans="1:6" x14ac:dyDescent="0.25">
      <c r="A5583" t="str">
        <f>"344308981741"</f>
        <v>344308981741</v>
      </c>
      <c r="B5583" t="s">
        <v>7679</v>
      </c>
      <c r="C5583" t="s">
        <v>7</v>
      </c>
      <c r="D5583" t="s">
        <v>12</v>
      </c>
      <c r="E5583" t="s">
        <v>7475</v>
      </c>
    </row>
    <row r="5584" spans="1:6" x14ac:dyDescent="0.25">
      <c r="A5584" t="str">
        <f>"3443093539"</f>
        <v>3443093539</v>
      </c>
      <c r="B5584" t="s">
        <v>7680</v>
      </c>
      <c r="C5584" t="s">
        <v>7</v>
      </c>
      <c r="D5584" t="s">
        <v>33</v>
      </c>
      <c r="E5584" t="s">
        <v>7475</v>
      </c>
      <c r="F5584" t="s">
        <v>7681</v>
      </c>
    </row>
    <row r="5585" spans="1:6" x14ac:dyDescent="0.25">
      <c r="A5585" t="str">
        <f>"3443118127"</f>
        <v>3443118127</v>
      </c>
      <c r="B5585" t="s">
        <v>7682</v>
      </c>
      <c r="C5585" t="s">
        <v>7</v>
      </c>
      <c r="D5585" t="s">
        <v>12</v>
      </c>
      <c r="E5585" t="s">
        <v>7475</v>
      </c>
      <c r="F5585" t="s">
        <v>7589</v>
      </c>
    </row>
    <row r="5586" spans="1:6" x14ac:dyDescent="0.25">
      <c r="A5586" t="str">
        <f>"3443128118"</f>
        <v>3443128118</v>
      </c>
      <c r="B5586" t="s">
        <v>7683</v>
      </c>
      <c r="C5586" t="s">
        <v>7</v>
      </c>
      <c r="D5586" t="s">
        <v>33</v>
      </c>
      <c r="E5586" t="s">
        <v>7475</v>
      </c>
      <c r="F5586" t="s">
        <v>7684</v>
      </c>
    </row>
    <row r="5587" spans="1:6" x14ac:dyDescent="0.25">
      <c r="A5587" t="str">
        <f>"344312925620"</f>
        <v>344312925620</v>
      </c>
      <c r="B5587" t="s">
        <v>7685</v>
      </c>
      <c r="C5587" t="s">
        <v>7</v>
      </c>
      <c r="D5587" t="s">
        <v>14</v>
      </c>
      <c r="E5587" t="s">
        <v>7475</v>
      </c>
    </row>
    <row r="5588" spans="1:6" x14ac:dyDescent="0.25">
      <c r="A5588" t="str">
        <f>"3443150900"</f>
        <v>3443150900</v>
      </c>
      <c r="B5588" t="s">
        <v>7686</v>
      </c>
      <c r="C5588" t="s">
        <v>7</v>
      </c>
      <c r="D5588" t="s">
        <v>12</v>
      </c>
      <c r="E5588" t="s">
        <v>7475</v>
      </c>
      <c r="F5588" t="s">
        <v>7687</v>
      </c>
    </row>
    <row r="5589" spans="1:6" x14ac:dyDescent="0.25">
      <c r="A5589" t="str">
        <f>"3443154541"</f>
        <v>3443154541</v>
      </c>
      <c r="B5589" t="s">
        <v>7688</v>
      </c>
      <c r="C5589" t="s">
        <v>7</v>
      </c>
      <c r="D5589" t="s">
        <v>33</v>
      </c>
      <c r="E5589" t="s">
        <v>7475</v>
      </c>
      <c r="F5589" t="s">
        <v>7689</v>
      </c>
    </row>
    <row r="5590" spans="1:6" x14ac:dyDescent="0.25">
      <c r="A5590" t="str">
        <f>"344345785382"</f>
        <v>344345785382</v>
      </c>
      <c r="B5590" t="s">
        <v>7690</v>
      </c>
      <c r="C5590" t="s">
        <v>7</v>
      </c>
      <c r="D5590" t="s">
        <v>14</v>
      </c>
      <c r="E5590" t="s">
        <v>7475</v>
      </c>
    </row>
    <row r="5591" spans="1:6" x14ac:dyDescent="0.25">
      <c r="A5591" t="str">
        <f>"344345861516"</f>
        <v>344345861516</v>
      </c>
      <c r="B5591" t="s">
        <v>7691</v>
      </c>
      <c r="C5591" t="s">
        <v>7</v>
      </c>
      <c r="D5591" t="s">
        <v>14</v>
      </c>
      <c r="E5591" t="s">
        <v>7475</v>
      </c>
    </row>
    <row r="5592" spans="1:6" x14ac:dyDescent="0.25">
      <c r="A5592" t="str">
        <f>"344346574377"</f>
        <v>344346574377</v>
      </c>
      <c r="B5592" t="s">
        <v>7692</v>
      </c>
      <c r="C5592" t="s">
        <v>7</v>
      </c>
      <c r="D5592" t="s">
        <v>14</v>
      </c>
      <c r="E5592" t="s">
        <v>7475</v>
      </c>
    </row>
    <row r="5593" spans="1:6" x14ac:dyDescent="0.25">
      <c r="A5593" t="str">
        <f>"3443921870"</f>
        <v>3443921870</v>
      </c>
      <c r="B5593" t="s">
        <v>7693</v>
      </c>
      <c r="C5593" t="s">
        <v>7</v>
      </c>
      <c r="D5593" t="s">
        <v>12</v>
      </c>
      <c r="E5593" t="s">
        <v>7475</v>
      </c>
      <c r="F5593" t="s">
        <v>7694</v>
      </c>
    </row>
    <row r="5594" spans="1:6" x14ac:dyDescent="0.25">
      <c r="A5594" t="str">
        <f>"3443924600"</f>
        <v>3443924600</v>
      </c>
      <c r="B5594" t="s">
        <v>7695</v>
      </c>
      <c r="C5594" t="s">
        <v>7</v>
      </c>
      <c r="D5594" t="s">
        <v>14</v>
      </c>
      <c r="E5594" t="s">
        <v>7475</v>
      </c>
      <c r="F5594" t="s">
        <v>7696</v>
      </c>
    </row>
    <row r="5595" spans="1:6" x14ac:dyDescent="0.25">
      <c r="A5595" t="str">
        <f>"3443925272"</f>
        <v>3443925272</v>
      </c>
      <c r="B5595" t="s">
        <v>7697</v>
      </c>
      <c r="C5595" t="s">
        <v>7</v>
      </c>
      <c r="D5595" t="s">
        <v>33</v>
      </c>
      <c r="E5595" t="s">
        <v>7475</v>
      </c>
      <c r="F5595" t="s">
        <v>7698</v>
      </c>
    </row>
    <row r="5596" spans="1:6" x14ac:dyDescent="0.25">
      <c r="A5596" t="str">
        <f>"3443929157"</f>
        <v>3443929157</v>
      </c>
      <c r="B5596" t="s">
        <v>7699</v>
      </c>
      <c r="C5596" t="s">
        <v>7</v>
      </c>
      <c r="D5596" t="s">
        <v>33</v>
      </c>
      <c r="E5596" t="s">
        <v>7475</v>
      </c>
      <c r="F5596" t="s">
        <v>7700</v>
      </c>
    </row>
    <row r="5597" spans="1:6" x14ac:dyDescent="0.25">
      <c r="A5597" t="str">
        <f>"3444109340"</f>
        <v>3444109340</v>
      </c>
      <c r="B5597" t="s">
        <v>7701</v>
      </c>
      <c r="C5597" t="s">
        <v>7</v>
      </c>
      <c r="D5597" t="s">
        <v>33</v>
      </c>
      <c r="E5597" t="s">
        <v>7475</v>
      </c>
      <c r="F5597" t="s">
        <v>7702</v>
      </c>
    </row>
    <row r="5598" spans="1:6" x14ac:dyDescent="0.25">
      <c r="A5598" t="str">
        <f>"3444257878"</f>
        <v>3444257878</v>
      </c>
      <c r="B5598" t="s">
        <v>7703</v>
      </c>
      <c r="C5598" t="s">
        <v>7</v>
      </c>
      <c r="D5598" t="s">
        <v>33</v>
      </c>
      <c r="E5598" t="s">
        <v>7475</v>
      </c>
      <c r="F5598" t="s">
        <v>7704</v>
      </c>
    </row>
    <row r="5599" spans="1:6" x14ac:dyDescent="0.25">
      <c r="A5599" t="str">
        <f>"344501724799"</f>
        <v>344501724799</v>
      </c>
      <c r="B5599" t="s">
        <v>7705</v>
      </c>
      <c r="C5599" t="s">
        <v>7</v>
      </c>
      <c r="D5599" t="s">
        <v>14</v>
      </c>
      <c r="E5599" t="s">
        <v>7475</v>
      </c>
    </row>
    <row r="5600" spans="1:6" x14ac:dyDescent="0.25">
      <c r="A5600" t="str">
        <f>"3445117986"</f>
        <v>3445117986</v>
      </c>
      <c r="B5600" t="s">
        <v>7706</v>
      </c>
      <c r="C5600" t="s">
        <v>7</v>
      </c>
      <c r="D5600" t="s">
        <v>1430</v>
      </c>
      <c r="E5600" t="s">
        <v>7475</v>
      </c>
      <c r="F5600" t="s">
        <v>7707</v>
      </c>
    </row>
    <row r="5601" spans="1:6" x14ac:dyDescent="0.25">
      <c r="A5601" t="str">
        <f>"3446015000"</f>
        <v>3446015000</v>
      </c>
      <c r="B5601" t="s">
        <v>7708</v>
      </c>
      <c r="C5601" t="s">
        <v>7</v>
      </c>
      <c r="D5601" t="s">
        <v>12</v>
      </c>
      <c r="E5601" t="s">
        <v>7475</v>
      </c>
      <c r="F5601" t="s">
        <v>7709</v>
      </c>
    </row>
    <row r="5602" spans="1:6" x14ac:dyDescent="0.25">
      <c r="A5602" t="str">
        <f>"3446016606"</f>
        <v>3446016606</v>
      </c>
      <c r="B5602" t="s">
        <v>7710</v>
      </c>
      <c r="C5602" t="s">
        <v>7</v>
      </c>
      <c r="D5602" t="s">
        <v>12</v>
      </c>
      <c r="E5602" t="s">
        <v>7475</v>
      </c>
      <c r="F5602" t="s">
        <v>7711</v>
      </c>
    </row>
    <row r="5603" spans="1:6" x14ac:dyDescent="0.25">
      <c r="A5603" t="str">
        <f>"344601736653"</f>
        <v>344601736653</v>
      </c>
      <c r="B5603" t="s">
        <v>7712</v>
      </c>
      <c r="C5603" t="s">
        <v>7</v>
      </c>
      <c r="D5603" t="s">
        <v>12</v>
      </c>
      <c r="E5603" t="s">
        <v>7475</v>
      </c>
    </row>
    <row r="5604" spans="1:6" x14ac:dyDescent="0.25">
      <c r="A5604" t="str">
        <f>"344646410718"</f>
        <v>344646410718</v>
      </c>
      <c r="B5604" t="s">
        <v>7713</v>
      </c>
      <c r="C5604" t="s">
        <v>7</v>
      </c>
      <c r="D5604" t="s">
        <v>14</v>
      </c>
      <c r="E5604" t="s">
        <v>7475</v>
      </c>
    </row>
    <row r="5605" spans="1:6" x14ac:dyDescent="0.25">
      <c r="A5605" t="str">
        <f>"344693553174"</f>
        <v>344693553174</v>
      </c>
      <c r="B5605" t="s">
        <v>7714</v>
      </c>
      <c r="C5605" t="s">
        <v>7</v>
      </c>
      <c r="D5605" t="s">
        <v>14</v>
      </c>
      <c r="E5605" t="s">
        <v>7475</v>
      </c>
    </row>
    <row r="5606" spans="1:6" x14ac:dyDescent="0.25">
      <c r="A5606" t="str">
        <f>"344701339508"</f>
        <v>344701339508</v>
      </c>
      <c r="B5606" t="s">
        <v>7715</v>
      </c>
      <c r="C5606" t="s">
        <v>7</v>
      </c>
      <c r="D5606" t="s">
        <v>14</v>
      </c>
      <c r="E5606" t="s">
        <v>7475</v>
      </c>
    </row>
    <row r="5607" spans="1:6" x14ac:dyDescent="0.25">
      <c r="A5607" t="str">
        <f>"344706644939"</f>
        <v>344706644939</v>
      </c>
      <c r="B5607" t="s">
        <v>7716</v>
      </c>
      <c r="C5607" t="s">
        <v>7</v>
      </c>
      <c r="D5607" t="s">
        <v>14</v>
      </c>
      <c r="E5607" t="s">
        <v>7475</v>
      </c>
    </row>
    <row r="5608" spans="1:6" x14ac:dyDescent="0.25">
      <c r="A5608" t="str">
        <f>"344707310449"</f>
        <v>344707310449</v>
      </c>
      <c r="B5608" t="s">
        <v>7717</v>
      </c>
      <c r="C5608" t="s">
        <v>7</v>
      </c>
      <c r="D5608" t="s">
        <v>14</v>
      </c>
      <c r="E5608" t="s">
        <v>7475</v>
      </c>
    </row>
    <row r="5609" spans="1:6" x14ac:dyDescent="0.25">
      <c r="A5609" t="str">
        <f>"344800112145"</f>
        <v>344800112145</v>
      </c>
      <c r="B5609" t="s">
        <v>7718</v>
      </c>
      <c r="C5609" t="s">
        <v>7</v>
      </c>
      <c r="D5609" t="s">
        <v>14</v>
      </c>
      <c r="E5609" t="s">
        <v>7475</v>
      </c>
    </row>
    <row r="5610" spans="1:6" x14ac:dyDescent="0.25">
      <c r="A5610" t="str">
        <f>"3448049540"</f>
        <v>3448049540</v>
      </c>
      <c r="B5610" t="s">
        <v>7719</v>
      </c>
      <c r="C5610" t="s">
        <v>7</v>
      </c>
      <c r="D5610" t="s">
        <v>146</v>
      </c>
      <c r="E5610" t="s">
        <v>7475</v>
      </c>
      <c r="F5610" t="s">
        <v>7720</v>
      </c>
    </row>
    <row r="5611" spans="1:6" x14ac:dyDescent="0.25">
      <c r="A5611" t="str">
        <f>"344816588300"</f>
        <v>344816588300</v>
      </c>
      <c r="B5611" t="s">
        <v>7721</v>
      </c>
      <c r="C5611" t="s">
        <v>7</v>
      </c>
      <c r="D5611" t="s">
        <v>14</v>
      </c>
      <c r="E5611" t="s">
        <v>7475</v>
      </c>
    </row>
    <row r="5612" spans="1:6" x14ac:dyDescent="0.25">
      <c r="A5612" t="str">
        <f>"345503011812"</f>
        <v>345503011812</v>
      </c>
      <c r="B5612" t="s">
        <v>7722</v>
      </c>
      <c r="C5612" t="s">
        <v>7</v>
      </c>
      <c r="D5612" t="s">
        <v>14</v>
      </c>
      <c r="E5612" t="s">
        <v>7475</v>
      </c>
    </row>
    <row r="5613" spans="1:6" x14ac:dyDescent="0.25">
      <c r="A5613" t="str">
        <f>"345601738525"</f>
        <v>345601738525</v>
      </c>
      <c r="B5613" t="s">
        <v>7723</v>
      </c>
      <c r="C5613" t="s">
        <v>7</v>
      </c>
      <c r="D5613" t="s">
        <v>14</v>
      </c>
      <c r="E5613" t="s">
        <v>7475</v>
      </c>
    </row>
    <row r="5614" spans="1:6" x14ac:dyDescent="0.25">
      <c r="A5614" t="str">
        <f>"3459003481"</f>
        <v>3459003481</v>
      </c>
      <c r="B5614" t="s">
        <v>7724</v>
      </c>
      <c r="C5614" t="s">
        <v>7</v>
      </c>
      <c r="D5614" t="s">
        <v>33</v>
      </c>
      <c r="E5614" t="s">
        <v>7475</v>
      </c>
      <c r="F5614" t="s">
        <v>7725</v>
      </c>
    </row>
    <row r="5615" spans="1:6" x14ac:dyDescent="0.25">
      <c r="A5615" t="str">
        <f>"3459069852"</f>
        <v>3459069852</v>
      </c>
      <c r="B5615" t="s">
        <v>7726</v>
      </c>
      <c r="C5615" t="s">
        <v>7</v>
      </c>
      <c r="D5615" t="s">
        <v>12</v>
      </c>
      <c r="E5615" t="s">
        <v>7475</v>
      </c>
      <c r="F5615" t="s">
        <v>7727</v>
      </c>
    </row>
    <row r="5616" spans="1:6" x14ac:dyDescent="0.25">
      <c r="A5616" t="str">
        <f>"3459070992"</f>
        <v>3459070992</v>
      </c>
      <c r="B5616" t="s">
        <v>7728</v>
      </c>
      <c r="C5616" t="s">
        <v>7</v>
      </c>
      <c r="D5616" t="s">
        <v>12</v>
      </c>
      <c r="E5616" t="s">
        <v>7475</v>
      </c>
      <c r="F5616" t="s">
        <v>7729</v>
      </c>
    </row>
    <row r="5617" spans="1:6" x14ac:dyDescent="0.25">
      <c r="A5617" t="str">
        <f>"3459078455"</f>
        <v>3459078455</v>
      </c>
      <c r="B5617" t="s">
        <v>7730</v>
      </c>
      <c r="C5617" t="s">
        <v>7</v>
      </c>
      <c r="D5617" t="s">
        <v>33</v>
      </c>
      <c r="E5617" t="s">
        <v>7475</v>
      </c>
      <c r="F5617" t="s">
        <v>7731</v>
      </c>
    </row>
    <row r="5618" spans="1:6" x14ac:dyDescent="0.25">
      <c r="A5618" t="str">
        <f>"343101041267"</f>
        <v>343101041267</v>
      </c>
      <c r="B5618" t="s">
        <v>7732</v>
      </c>
      <c r="C5618" t="s">
        <v>7</v>
      </c>
      <c r="D5618" t="s">
        <v>14</v>
      </c>
      <c r="E5618" t="s">
        <v>7475</v>
      </c>
    </row>
    <row r="5619" spans="1:6" x14ac:dyDescent="0.25">
      <c r="A5619" t="str">
        <f>"343102225852"</f>
        <v>343102225852</v>
      </c>
      <c r="B5619" t="s">
        <v>7733</v>
      </c>
      <c r="C5619" t="s">
        <v>7</v>
      </c>
      <c r="D5619" t="s">
        <v>14</v>
      </c>
      <c r="E5619" t="s">
        <v>7475</v>
      </c>
    </row>
    <row r="5620" spans="1:6" x14ac:dyDescent="0.25">
      <c r="A5620" t="str">
        <f>"343500271713"</f>
        <v>343500271713</v>
      </c>
      <c r="B5620" t="s">
        <v>7734</v>
      </c>
      <c r="C5620" t="s">
        <v>7</v>
      </c>
      <c r="D5620" t="s">
        <v>14</v>
      </c>
      <c r="E5620" t="s">
        <v>7475</v>
      </c>
    </row>
    <row r="5621" spans="1:6" x14ac:dyDescent="0.25">
      <c r="A5621" t="str">
        <f>"343502375563"</f>
        <v>343502375563</v>
      </c>
      <c r="B5621" t="s">
        <v>7735</v>
      </c>
      <c r="C5621" t="s">
        <v>7</v>
      </c>
      <c r="D5621" t="s">
        <v>14</v>
      </c>
      <c r="E5621" t="s">
        <v>7475</v>
      </c>
    </row>
    <row r="5622" spans="1:6" x14ac:dyDescent="0.25">
      <c r="A5622" t="str">
        <f>"343502788666"</f>
        <v>343502788666</v>
      </c>
      <c r="B5622" t="s">
        <v>7736</v>
      </c>
      <c r="C5622" t="s">
        <v>7</v>
      </c>
      <c r="D5622" t="s">
        <v>14</v>
      </c>
      <c r="E5622" t="s">
        <v>7475</v>
      </c>
    </row>
    <row r="5623" spans="1:6" x14ac:dyDescent="0.25">
      <c r="A5623" t="str">
        <f>"3435054871"</f>
        <v>3435054871</v>
      </c>
      <c r="B5623" t="s">
        <v>7737</v>
      </c>
      <c r="C5623" t="s">
        <v>7</v>
      </c>
      <c r="D5623" t="s">
        <v>14</v>
      </c>
      <c r="E5623" t="s">
        <v>7475</v>
      </c>
      <c r="F5623" t="s">
        <v>7738</v>
      </c>
    </row>
    <row r="5624" spans="1:6" x14ac:dyDescent="0.25">
      <c r="A5624" t="str">
        <f>"343509030769"</f>
        <v>343509030769</v>
      </c>
      <c r="B5624" t="s">
        <v>7739</v>
      </c>
      <c r="C5624" t="s">
        <v>7</v>
      </c>
      <c r="D5624" t="s">
        <v>14</v>
      </c>
      <c r="E5624" t="s">
        <v>7475</v>
      </c>
    </row>
    <row r="5625" spans="1:6" x14ac:dyDescent="0.25">
      <c r="A5625" t="str">
        <f>"3435099167"</f>
        <v>3435099167</v>
      </c>
      <c r="B5625" t="s">
        <v>7740</v>
      </c>
      <c r="C5625" t="s">
        <v>7</v>
      </c>
      <c r="D5625" t="s">
        <v>8</v>
      </c>
      <c r="E5625" t="s">
        <v>7475</v>
      </c>
      <c r="F5625" t="s">
        <v>7741</v>
      </c>
    </row>
    <row r="5626" spans="1:6" x14ac:dyDescent="0.25">
      <c r="A5626" t="str">
        <f>"343519775217"</f>
        <v>343519775217</v>
      </c>
      <c r="B5626" t="s">
        <v>7742</v>
      </c>
      <c r="C5626" t="s">
        <v>7</v>
      </c>
      <c r="D5626" t="s">
        <v>12</v>
      </c>
      <c r="E5626" t="s">
        <v>7475</v>
      </c>
    </row>
    <row r="5627" spans="1:6" x14ac:dyDescent="0.25">
      <c r="A5627" t="str">
        <f>"343531800406"</f>
        <v>343531800406</v>
      </c>
      <c r="B5627" t="s">
        <v>7743</v>
      </c>
      <c r="C5627" t="s">
        <v>7</v>
      </c>
      <c r="D5627" t="s">
        <v>14</v>
      </c>
      <c r="E5627" t="s">
        <v>7475</v>
      </c>
    </row>
    <row r="5628" spans="1:6" x14ac:dyDescent="0.25">
      <c r="A5628" t="str">
        <f>"343578006333"</f>
        <v>343578006333</v>
      </c>
      <c r="B5628" t="s">
        <v>7744</v>
      </c>
      <c r="C5628" t="s">
        <v>7</v>
      </c>
      <c r="D5628" t="s">
        <v>14</v>
      </c>
      <c r="E5628" t="s">
        <v>7475</v>
      </c>
    </row>
    <row r="5629" spans="1:6" x14ac:dyDescent="0.25">
      <c r="A5629" t="str">
        <f>"343600081392"</f>
        <v>343600081392</v>
      </c>
      <c r="B5629" t="s">
        <v>7745</v>
      </c>
      <c r="C5629" t="s">
        <v>7</v>
      </c>
      <c r="D5629" t="s">
        <v>12</v>
      </c>
      <c r="E5629" t="s">
        <v>7475</v>
      </c>
    </row>
    <row r="5630" spans="1:6" x14ac:dyDescent="0.25">
      <c r="A5630" t="str">
        <f>"343601574513"</f>
        <v>343601574513</v>
      </c>
      <c r="B5630" t="s">
        <v>7746</v>
      </c>
      <c r="C5630" t="s">
        <v>7</v>
      </c>
      <c r="D5630" t="s">
        <v>14</v>
      </c>
      <c r="E5630" t="s">
        <v>7475</v>
      </c>
    </row>
    <row r="5631" spans="1:6" x14ac:dyDescent="0.25">
      <c r="A5631" t="str">
        <f>"3436115206"</f>
        <v>3436115206</v>
      </c>
      <c r="B5631" t="s">
        <v>7747</v>
      </c>
      <c r="C5631" t="s">
        <v>7</v>
      </c>
      <c r="D5631" t="s">
        <v>12</v>
      </c>
      <c r="E5631" t="s">
        <v>7475</v>
      </c>
      <c r="F5631" t="s">
        <v>7748</v>
      </c>
    </row>
    <row r="5632" spans="1:6" x14ac:dyDescent="0.25">
      <c r="A5632" t="str">
        <f>"3437015067"</f>
        <v>3437015067</v>
      </c>
      <c r="B5632" t="s">
        <v>7749</v>
      </c>
      <c r="C5632" t="s">
        <v>7</v>
      </c>
      <c r="D5632" t="s">
        <v>1430</v>
      </c>
      <c r="E5632" t="s">
        <v>7475</v>
      </c>
      <c r="F5632" t="s">
        <v>7750</v>
      </c>
    </row>
    <row r="5633" spans="1:6" x14ac:dyDescent="0.25">
      <c r="A5633" t="str">
        <f>"343900067494"</f>
        <v>343900067494</v>
      </c>
      <c r="B5633" t="s">
        <v>7751</v>
      </c>
      <c r="C5633" t="s">
        <v>7</v>
      </c>
      <c r="D5633" t="s">
        <v>14</v>
      </c>
      <c r="E5633" t="s">
        <v>7475</v>
      </c>
    </row>
    <row r="5634" spans="1:6" x14ac:dyDescent="0.25">
      <c r="A5634" t="str">
        <f>"343901152801"</f>
        <v>343901152801</v>
      </c>
      <c r="B5634" t="s">
        <v>7752</v>
      </c>
      <c r="C5634" t="s">
        <v>7</v>
      </c>
      <c r="D5634" t="s">
        <v>14</v>
      </c>
      <c r="E5634" t="s">
        <v>7475</v>
      </c>
    </row>
    <row r="5635" spans="1:6" x14ac:dyDescent="0.25">
      <c r="A5635" t="str">
        <f>"343901302006"</f>
        <v>343901302006</v>
      </c>
      <c r="B5635" t="s">
        <v>7753</v>
      </c>
      <c r="C5635" t="s">
        <v>7</v>
      </c>
      <c r="D5635" t="s">
        <v>14</v>
      </c>
      <c r="E5635" t="s">
        <v>7475</v>
      </c>
    </row>
    <row r="5636" spans="1:6" x14ac:dyDescent="0.25">
      <c r="A5636" t="str">
        <f>"343902935185"</f>
        <v>343902935185</v>
      </c>
      <c r="B5636" t="s">
        <v>7754</v>
      </c>
      <c r="C5636" t="s">
        <v>7</v>
      </c>
      <c r="D5636" t="s">
        <v>12</v>
      </c>
      <c r="E5636" t="s">
        <v>7475</v>
      </c>
    </row>
    <row r="5637" spans="1:6" x14ac:dyDescent="0.25">
      <c r="A5637" t="str">
        <f>"344100398805"</f>
        <v>344100398805</v>
      </c>
      <c r="B5637" t="s">
        <v>7755</v>
      </c>
      <c r="C5637" t="s">
        <v>7</v>
      </c>
      <c r="D5637" t="s">
        <v>12</v>
      </c>
      <c r="E5637" t="s">
        <v>7475</v>
      </c>
    </row>
    <row r="5638" spans="1:6" x14ac:dyDescent="0.25">
      <c r="A5638" t="str">
        <f>"3441036334"</f>
        <v>3441036334</v>
      </c>
      <c r="B5638" t="s">
        <v>7756</v>
      </c>
      <c r="C5638" t="s">
        <v>7</v>
      </c>
      <c r="D5638" t="s">
        <v>12</v>
      </c>
      <c r="E5638" t="s">
        <v>7475</v>
      </c>
      <c r="F5638" t="s">
        <v>7757</v>
      </c>
    </row>
    <row r="5639" spans="1:6" x14ac:dyDescent="0.25">
      <c r="A5639" t="str">
        <f>"344206881850"</f>
        <v>344206881850</v>
      </c>
      <c r="B5639" t="s">
        <v>7758</v>
      </c>
      <c r="C5639" t="s">
        <v>7</v>
      </c>
      <c r="D5639" t="s">
        <v>14</v>
      </c>
      <c r="E5639" t="s">
        <v>7475</v>
      </c>
    </row>
    <row r="5640" spans="1:6" x14ac:dyDescent="0.25">
      <c r="A5640" t="str">
        <f>"3442091507"</f>
        <v>3442091507</v>
      </c>
      <c r="B5640" t="s">
        <v>7759</v>
      </c>
      <c r="C5640" t="s">
        <v>7</v>
      </c>
      <c r="D5640" t="s">
        <v>14</v>
      </c>
      <c r="E5640" t="s">
        <v>7475</v>
      </c>
      <c r="F5640" t="s">
        <v>7760</v>
      </c>
    </row>
    <row r="5641" spans="1:6" x14ac:dyDescent="0.25">
      <c r="A5641" t="str">
        <f>"344222319198"</f>
        <v>344222319198</v>
      </c>
      <c r="B5641" t="s">
        <v>7761</v>
      </c>
      <c r="C5641" t="s">
        <v>7</v>
      </c>
      <c r="D5641" t="s">
        <v>14</v>
      </c>
      <c r="E5641" t="s">
        <v>7475</v>
      </c>
    </row>
    <row r="5642" spans="1:6" x14ac:dyDescent="0.25">
      <c r="A5642" t="str">
        <f>"3443071542"</f>
        <v>3443071542</v>
      </c>
      <c r="B5642" t="s">
        <v>7762</v>
      </c>
      <c r="C5642" t="s">
        <v>7</v>
      </c>
      <c r="D5642" t="s">
        <v>12</v>
      </c>
      <c r="E5642" t="s">
        <v>7475</v>
      </c>
      <c r="F5642" t="s">
        <v>7676</v>
      </c>
    </row>
    <row r="5643" spans="1:6" x14ac:dyDescent="0.25">
      <c r="A5643" t="str">
        <f>"3443072747"</f>
        <v>3443072747</v>
      </c>
      <c r="B5643" t="s">
        <v>7763</v>
      </c>
      <c r="C5643" t="s">
        <v>7</v>
      </c>
      <c r="D5643" t="s">
        <v>14</v>
      </c>
      <c r="E5643" t="s">
        <v>7475</v>
      </c>
      <c r="F5643" t="s">
        <v>7764</v>
      </c>
    </row>
    <row r="5644" spans="1:6" x14ac:dyDescent="0.25">
      <c r="A5644" t="str">
        <f>"3443074769"</f>
        <v>3443074769</v>
      </c>
      <c r="B5644" t="s">
        <v>7765</v>
      </c>
      <c r="C5644" t="s">
        <v>7</v>
      </c>
      <c r="D5644" t="s">
        <v>33</v>
      </c>
      <c r="E5644" t="s">
        <v>7475</v>
      </c>
      <c r="F5644" t="s">
        <v>7766</v>
      </c>
    </row>
    <row r="5645" spans="1:6" x14ac:dyDescent="0.25">
      <c r="A5645" t="str">
        <f>"3443089821"</f>
        <v>3443089821</v>
      </c>
      <c r="B5645" t="s">
        <v>7767</v>
      </c>
      <c r="C5645" t="s">
        <v>7</v>
      </c>
      <c r="D5645" t="s">
        <v>12</v>
      </c>
      <c r="E5645" t="s">
        <v>7475</v>
      </c>
      <c r="F5645" t="s">
        <v>7768</v>
      </c>
    </row>
    <row r="5646" spans="1:6" x14ac:dyDescent="0.25">
      <c r="A5646" t="str">
        <f>"3443095180"</f>
        <v>3443095180</v>
      </c>
      <c r="B5646" t="s">
        <v>7769</v>
      </c>
      <c r="C5646" t="s">
        <v>7</v>
      </c>
      <c r="D5646" t="s">
        <v>33</v>
      </c>
      <c r="E5646" t="s">
        <v>7475</v>
      </c>
      <c r="F5646" t="s">
        <v>7770</v>
      </c>
    </row>
    <row r="5647" spans="1:6" x14ac:dyDescent="0.25">
      <c r="A5647" t="str">
        <f>"3443116225"</f>
        <v>3443116225</v>
      </c>
      <c r="B5647" t="s">
        <v>7771</v>
      </c>
      <c r="C5647" t="s">
        <v>7</v>
      </c>
      <c r="D5647" t="s">
        <v>14</v>
      </c>
      <c r="E5647" t="s">
        <v>7475</v>
      </c>
      <c r="F5647" t="s">
        <v>7772</v>
      </c>
    </row>
    <row r="5648" spans="1:6" x14ac:dyDescent="0.25">
      <c r="A5648" t="str">
        <f>"3443129513"</f>
        <v>3443129513</v>
      </c>
      <c r="B5648" t="s">
        <v>7773</v>
      </c>
      <c r="C5648" t="s">
        <v>7</v>
      </c>
      <c r="D5648" t="s">
        <v>14</v>
      </c>
      <c r="E5648" t="s">
        <v>7475</v>
      </c>
      <c r="F5648" t="s">
        <v>7774</v>
      </c>
    </row>
    <row r="5649" spans="1:6" x14ac:dyDescent="0.25">
      <c r="A5649" t="str">
        <f>"3443141895"</f>
        <v>3443141895</v>
      </c>
      <c r="B5649" t="s">
        <v>7775</v>
      </c>
      <c r="C5649" t="s">
        <v>7</v>
      </c>
      <c r="D5649" t="s">
        <v>14</v>
      </c>
      <c r="E5649" t="s">
        <v>7475</v>
      </c>
      <c r="F5649" t="s">
        <v>7776</v>
      </c>
    </row>
    <row r="5650" spans="1:6" x14ac:dyDescent="0.25">
      <c r="A5650" t="str">
        <f>"3443148562"</f>
        <v>3443148562</v>
      </c>
      <c r="B5650" t="s">
        <v>7777</v>
      </c>
      <c r="C5650" t="s">
        <v>7</v>
      </c>
      <c r="D5650" t="s">
        <v>12</v>
      </c>
      <c r="E5650" t="s">
        <v>7475</v>
      </c>
      <c r="F5650" t="s">
        <v>7778</v>
      </c>
    </row>
    <row r="5651" spans="1:6" x14ac:dyDescent="0.25">
      <c r="A5651" t="str">
        <f>"3444205044"</f>
        <v>3444205044</v>
      </c>
      <c r="B5651" t="s">
        <v>7779</v>
      </c>
      <c r="C5651" t="s">
        <v>7</v>
      </c>
      <c r="D5651" t="s">
        <v>12</v>
      </c>
      <c r="E5651" t="s">
        <v>7475</v>
      </c>
      <c r="F5651" t="s">
        <v>7616</v>
      </c>
    </row>
    <row r="5652" spans="1:6" x14ac:dyDescent="0.25">
      <c r="A5652" t="str">
        <f>"3444266103"</f>
        <v>3444266103</v>
      </c>
      <c r="B5652" t="s">
        <v>7780</v>
      </c>
      <c r="C5652" t="s">
        <v>7</v>
      </c>
      <c r="D5652" t="s">
        <v>98</v>
      </c>
      <c r="E5652" t="s">
        <v>7475</v>
      </c>
      <c r="F5652" t="s">
        <v>7781</v>
      </c>
    </row>
    <row r="5653" spans="1:6" x14ac:dyDescent="0.25">
      <c r="A5653" t="str">
        <f>"344500217901"</f>
        <v>344500217901</v>
      </c>
      <c r="B5653" t="s">
        <v>7782</v>
      </c>
      <c r="C5653" t="s">
        <v>7</v>
      </c>
      <c r="D5653" t="s">
        <v>14</v>
      </c>
      <c r="E5653" t="s">
        <v>7475</v>
      </c>
    </row>
    <row r="5654" spans="1:6" x14ac:dyDescent="0.25">
      <c r="A5654" t="str">
        <f>"3445089930"</f>
        <v>3445089930</v>
      </c>
      <c r="B5654" t="s">
        <v>7783</v>
      </c>
      <c r="C5654" t="s">
        <v>7</v>
      </c>
      <c r="D5654" t="s">
        <v>12</v>
      </c>
      <c r="E5654" t="s">
        <v>7475</v>
      </c>
      <c r="F5654" t="s">
        <v>7784</v>
      </c>
    </row>
    <row r="5655" spans="1:6" x14ac:dyDescent="0.25">
      <c r="A5655" t="str">
        <f>"344597154970"</f>
        <v>344597154970</v>
      </c>
      <c r="B5655" t="s">
        <v>7785</v>
      </c>
      <c r="C5655" t="s">
        <v>7</v>
      </c>
      <c r="D5655" t="s">
        <v>14</v>
      </c>
      <c r="E5655" t="s">
        <v>7475</v>
      </c>
    </row>
    <row r="5656" spans="1:6" x14ac:dyDescent="0.25">
      <c r="A5656" t="str">
        <f>"344605972940"</f>
        <v>344605972940</v>
      </c>
      <c r="B5656" t="s">
        <v>7786</v>
      </c>
      <c r="C5656" t="s">
        <v>7</v>
      </c>
      <c r="D5656" t="s">
        <v>14</v>
      </c>
      <c r="E5656" t="s">
        <v>7475</v>
      </c>
    </row>
    <row r="5657" spans="1:6" x14ac:dyDescent="0.25">
      <c r="A5657" t="str">
        <f>"344701957889"</f>
        <v>344701957889</v>
      </c>
      <c r="B5657" t="s">
        <v>7787</v>
      </c>
      <c r="C5657" t="s">
        <v>7</v>
      </c>
      <c r="D5657" t="s">
        <v>14</v>
      </c>
      <c r="E5657" t="s">
        <v>7475</v>
      </c>
    </row>
    <row r="5658" spans="1:6" x14ac:dyDescent="0.25">
      <c r="A5658" t="str">
        <f>"344707170640"</f>
        <v>344707170640</v>
      </c>
      <c r="B5658" t="s">
        <v>7788</v>
      </c>
      <c r="C5658" t="s">
        <v>7</v>
      </c>
      <c r="D5658" t="s">
        <v>14</v>
      </c>
      <c r="E5658" t="s">
        <v>7475</v>
      </c>
    </row>
    <row r="5659" spans="1:6" x14ac:dyDescent="0.25">
      <c r="A5659" t="str">
        <f>"344800132110"</f>
        <v>344800132110</v>
      </c>
      <c r="B5659" t="s">
        <v>7789</v>
      </c>
      <c r="C5659" t="s">
        <v>7</v>
      </c>
      <c r="D5659" t="s">
        <v>12</v>
      </c>
      <c r="E5659" t="s">
        <v>7475</v>
      </c>
    </row>
    <row r="5660" spans="1:6" x14ac:dyDescent="0.25">
      <c r="A5660" t="str">
        <f>"344800424521"</f>
        <v>344800424521</v>
      </c>
      <c r="B5660" t="s">
        <v>7790</v>
      </c>
      <c r="C5660" t="s">
        <v>7</v>
      </c>
      <c r="D5660" t="s">
        <v>14</v>
      </c>
      <c r="E5660" t="s">
        <v>7475</v>
      </c>
    </row>
    <row r="5661" spans="1:6" x14ac:dyDescent="0.25">
      <c r="A5661" t="str">
        <f>"344800444990"</f>
        <v>344800444990</v>
      </c>
      <c r="B5661" t="s">
        <v>7791</v>
      </c>
      <c r="C5661" t="s">
        <v>7</v>
      </c>
      <c r="D5661" t="s">
        <v>14</v>
      </c>
      <c r="E5661" t="s">
        <v>7475</v>
      </c>
    </row>
    <row r="5662" spans="1:6" x14ac:dyDescent="0.25">
      <c r="A5662" t="str">
        <f>"344800832337"</f>
        <v>344800832337</v>
      </c>
      <c r="B5662" t="s">
        <v>7792</v>
      </c>
      <c r="C5662" t="s">
        <v>7</v>
      </c>
      <c r="D5662" t="s">
        <v>14</v>
      </c>
      <c r="E5662" t="s">
        <v>7475</v>
      </c>
    </row>
    <row r="5663" spans="1:6" x14ac:dyDescent="0.25">
      <c r="A5663" t="str">
        <f>"344803580938"</f>
        <v>344803580938</v>
      </c>
      <c r="B5663" t="s">
        <v>7793</v>
      </c>
      <c r="C5663" t="s">
        <v>7</v>
      </c>
      <c r="D5663" t="s">
        <v>14</v>
      </c>
      <c r="E5663" t="s">
        <v>7475</v>
      </c>
    </row>
    <row r="5664" spans="1:6" x14ac:dyDescent="0.25">
      <c r="A5664" t="str">
        <f>"344805739363"</f>
        <v>344805739363</v>
      </c>
      <c r="B5664" t="s">
        <v>7794</v>
      </c>
      <c r="C5664" t="s">
        <v>7</v>
      </c>
      <c r="D5664" t="s">
        <v>12</v>
      </c>
      <c r="E5664" t="s">
        <v>7475</v>
      </c>
    </row>
    <row r="5665" spans="1:6" x14ac:dyDescent="0.25">
      <c r="A5665" t="str">
        <f>"344806593269"</f>
        <v>344806593269</v>
      </c>
      <c r="B5665" t="s">
        <v>7795</v>
      </c>
      <c r="C5665" t="s">
        <v>7</v>
      </c>
      <c r="D5665" t="s">
        <v>14</v>
      </c>
      <c r="E5665" t="s">
        <v>7475</v>
      </c>
    </row>
    <row r="5666" spans="1:6" x14ac:dyDescent="0.25">
      <c r="A5666" t="str">
        <f>"344808148464"</f>
        <v>344808148464</v>
      </c>
      <c r="B5666" t="s">
        <v>7796</v>
      </c>
      <c r="C5666" t="s">
        <v>7</v>
      </c>
      <c r="D5666" t="s">
        <v>14</v>
      </c>
      <c r="E5666" t="s">
        <v>7475</v>
      </c>
    </row>
    <row r="5667" spans="1:6" x14ac:dyDescent="0.25">
      <c r="A5667" t="str">
        <f>"344811848441"</f>
        <v>344811848441</v>
      </c>
      <c r="B5667" t="s">
        <v>7797</v>
      </c>
      <c r="C5667" t="s">
        <v>7</v>
      </c>
      <c r="D5667" t="s">
        <v>14</v>
      </c>
      <c r="E5667" t="s">
        <v>7475</v>
      </c>
    </row>
    <row r="5668" spans="1:6" x14ac:dyDescent="0.25">
      <c r="A5668" t="str">
        <f>"344812085344"</f>
        <v>344812085344</v>
      </c>
      <c r="B5668" t="s">
        <v>7798</v>
      </c>
      <c r="C5668" t="s">
        <v>7</v>
      </c>
      <c r="D5668" t="s">
        <v>14</v>
      </c>
      <c r="E5668" t="s">
        <v>7475</v>
      </c>
    </row>
    <row r="5669" spans="1:6" x14ac:dyDescent="0.25">
      <c r="A5669" t="str">
        <f>"344812547951"</f>
        <v>344812547951</v>
      </c>
      <c r="B5669" t="s">
        <v>7799</v>
      </c>
      <c r="C5669" t="s">
        <v>7</v>
      </c>
      <c r="D5669" t="s">
        <v>14</v>
      </c>
      <c r="E5669" t="s">
        <v>7475</v>
      </c>
    </row>
    <row r="5670" spans="1:6" x14ac:dyDescent="0.25">
      <c r="A5670" t="str">
        <f>"344813909107"</f>
        <v>344813909107</v>
      </c>
      <c r="B5670" t="s">
        <v>7800</v>
      </c>
      <c r="C5670" t="s">
        <v>7</v>
      </c>
      <c r="D5670" t="s">
        <v>14</v>
      </c>
      <c r="E5670" t="s">
        <v>7475</v>
      </c>
    </row>
    <row r="5671" spans="1:6" x14ac:dyDescent="0.25">
      <c r="A5671" t="str">
        <f>"3454000825"</f>
        <v>3454000825</v>
      </c>
      <c r="B5671" t="s">
        <v>7801</v>
      </c>
      <c r="C5671" t="s">
        <v>7</v>
      </c>
      <c r="D5671" t="s">
        <v>14</v>
      </c>
      <c r="E5671" t="s">
        <v>7475</v>
      </c>
      <c r="F5671" t="s">
        <v>7802</v>
      </c>
    </row>
    <row r="5672" spans="1:6" x14ac:dyDescent="0.25">
      <c r="A5672" t="str">
        <f>"345907409895"</f>
        <v>345907409895</v>
      </c>
      <c r="B5672" t="s">
        <v>7803</v>
      </c>
      <c r="C5672" t="s">
        <v>7</v>
      </c>
      <c r="D5672" t="s">
        <v>14</v>
      </c>
      <c r="E5672" t="s">
        <v>7475</v>
      </c>
    </row>
    <row r="5673" spans="1:6" x14ac:dyDescent="0.25">
      <c r="A5673" t="str">
        <f>"3460077696"</f>
        <v>3460077696</v>
      </c>
      <c r="B5673" t="s">
        <v>7804</v>
      </c>
      <c r="C5673" t="s">
        <v>7</v>
      </c>
      <c r="D5673" t="s">
        <v>14</v>
      </c>
      <c r="E5673" t="s">
        <v>7475</v>
      </c>
      <c r="F5673" t="s">
        <v>7805</v>
      </c>
    </row>
    <row r="5674" spans="1:6" x14ac:dyDescent="0.25">
      <c r="A5674" t="str">
        <f>"3460077801"</f>
        <v>3460077801</v>
      </c>
      <c r="B5674" t="s">
        <v>7806</v>
      </c>
      <c r="C5674" t="s">
        <v>7</v>
      </c>
      <c r="D5674" t="s">
        <v>12</v>
      </c>
      <c r="E5674" t="s">
        <v>7475</v>
      </c>
      <c r="F5674" t="s">
        <v>7807</v>
      </c>
    </row>
    <row r="5675" spans="1:6" x14ac:dyDescent="0.25">
      <c r="A5675" t="str">
        <f>"3460081727"</f>
        <v>3460081727</v>
      </c>
      <c r="B5675" t="s">
        <v>7217</v>
      </c>
      <c r="C5675" t="s">
        <v>7</v>
      </c>
      <c r="D5675" t="s">
        <v>8</v>
      </c>
      <c r="E5675" t="s">
        <v>7475</v>
      </c>
      <c r="F5675" t="s">
        <v>7808</v>
      </c>
    </row>
    <row r="5676" spans="1:6" x14ac:dyDescent="0.25">
      <c r="A5676" t="str">
        <f>"3460083749"</f>
        <v>3460083749</v>
      </c>
      <c r="B5676" t="s">
        <v>7809</v>
      </c>
      <c r="C5676" t="s">
        <v>7</v>
      </c>
      <c r="D5676" t="s">
        <v>12</v>
      </c>
      <c r="E5676" t="s">
        <v>7475</v>
      </c>
      <c r="F5676" t="s">
        <v>7810</v>
      </c>
    </row>
    <row r="5677" spans="1:6" x14ac:dyDescent="0.25">
      <c r="A5677" t="str">
        <f>"3460018041"</f>
        <v>3460018041</v>
      </c>
      <c r="B5677" t="s">
        <v>7811</v>
      </c>
      <c r="C5677" t="s">
        <v>7</v>
      </c>
      <c r="D5677" t="s">
        <v>98</v>
      </c>
      <c r="E5677" t="s">
        <v>7475</v>
      </c>
      <c r="F5677" t="s">
        <v>7812</v>
      </c>
    </row>
    <row r="5678" spans="1:6" x14ac:dyDescent="0.25">
      <c r="A5678" t="str">
        <f>"3460072730"</f>
        <v>3460072730</v>
      </c>
      <c r="B5678" t="s">
        <v>7813</v>
      </c>
      <c r="C5678" t="s">
        <v>7</v>
      </c>
      <c r="D5678" t="s">
        <v>14</v>
      </c>
      <c r="E5678" t="s">
        <v>7475</v>
      </c>
      <c r="F5678" t="s">
        <v>7814</v>
      </c>
    </row>
    <row r="5679" spans="1:6" x14ac:dyDescent="0.25">
      <c r="A5679" t="str">
        <f>"3460085778"</f>
        <v>3460085778</v>
      </c>
      <c r="B5679" t="s">
        <v>7815</v>
      </c>
      <c r="C5679" t="s">
        <v>7</v>
      </c>
      <c r="D5679" t="s">
        <v>14</v>
      </c>
      <c r="E5679" t="s">
        <v>7475</v>
      </c>
      <c r="F5679" t="s">
        <v>7816</v>
      </c>
    </row>
    <row r="5680" spans="1:6" x14ac:dyDescent="0.25">
      <c r="A5680" t="str">
        <f>"3461009160"</f>
        <v>3461009160</v>
      </c>
      <c r="B5680" t="s">
        <v>7817</v>
      </c>
      <c r="C5680" t="s">
        <v>7</v>
      </c>
      <c r="D5680" t="s">
        <v>33</v>
      </c>
      <c r="E5680" t="s">
        <v>7475</v>
      </c>
      <c r="F5680" t="s">
        <v>7818</v>
      </c>
    </row>
    <row r="5681" spans="1:6" x14ac:dyDescent="0.25">
      <c r="A5681" t="str">
        <f>"5405042569"</f>
        <v>5405042569</v>
      </c>
      <c r="B5681" t="s">
        <v>7819</v>
      </c>
      <c r="C5681" t="s">
        <v>7</v>
      </c>
      <c r="D5681" t="s">
        <v>12</v>
      </c>
      <c r="E5681" t="s">
        <v>7475</v>
      </c>
      <c r="F5681" t="s">
        <v>7820</v>
      </c>
    </row>
    <row r="5682" spans="1:6" x14ac:dyDescent="0.25">
      <c r="A5682" t="str">
        <f>"3460059947"</f>
        <v>3460059947</v>
      </c>
      <c r="B5682" t="s">
        <v>7821</v>
      </c>
      <c r="C5682" t="s">
        <v>7</v>
      </c>
      <c r="D5682" t="s">
        <v>12</v>
      </c>
      <c r="E5682" t="s">
        <v>7475</v>
      </c>
      <c r="F5682" t="s">
        <v>7822</v>
      </c>
    </row>
    <row r="5683" spans="1:6" x14ac:dyDescent="0.25">
      <c r="A5683" t="str">
        <f>"3460067521"</f>
        <v>3460067521</v>
      </c>
      <c r="B5683" t="s">
        <v>7823</v>
      </c>
      <c r="C5683" t="s">
        <v>7</v>
      </c>
      <c r="D5683" t="s">
        <v>14</v>
      </c>
      <c r="E5683" t="s">
        <v>7475</v>
      </c>
      <c r="F5683" t="s">
        <v>7824</v>
      </c>
    </row>
    <row r="5684" spans="1:6" x14ac:dyDescent="0.25">
      <c r="A5684" t="str">
        <f>"3460079333"</f>
        <v>3460079333</v>
      </c>
      <c r="B5684" t="s">
        <v>7825</v>
      </c>
      <c r="C5684" t="s">
        <v>7</v>
      </c>
      <c r="D5684" t="s">
        <v>33</v>
      </c>
      <c r="E5684" t="s">
        <v>7475</v>
      </c>
      <c r="F5684" t="s">
        <v>7826</v>
      </c>
    </row>
    <row r="5685" spans="1:6" x14ac:dyDescent="0.25">
      <c r="A5685" t="str">
        <f>"3461060670"</f>
        <v>3461060670</v>
      </c>
      <c r="B5685" t="s">
        <v>7827</v>
      </c>
      <c r="C5685" t="s">
        <v>7</v>
      </c>
      <c r="D5685" t="s">
        <v>12</v>
      </c>
      <c r="E5685" t="s">
        <v>7475</v>
      </c>
      <c r="F5685" t="s">
        <v>7828</v>
      </c>
    </row>
    <row r="5686" spans="1:6" x14ac:dyDescent="0.25">
      <c r="A5686" t="str">
        <f>"644017504799"</f>
        <v>644017504799</v>
      </c>
      <c r="B5686" t="s">
        <v>7829</v>
      </c>
      <c r="C5686" t="s">
        <v>7</v>
      </c>
      <c r="D5686" t="s">
        <v>14</v>
      </c>
      <c r="E5686" t="s">
        <v>7475</v>
      </c>
    </row>
    <row r="5687" spans="1:6" x14ac:dyDescent="0.25">
      <c r="A5687" t="str">
        <f>"3009015712"</f>
        <v>3009015712</v>
      </c>
      <c r="B5687" t="s">
        <v>7830</v>
      </c>
      <c r="C5687" t="s">
        <v>7</v>
      </c>
      <c r="D5687" t="s">
        <v>12</v>
      </c>
      <c r="E5687" t="s">
        <v>7475</v>
      </c>
      <c r="F5687" t="s">
        <v>7831</v>
      </c>
    </row>
    <row r="5688" spans="1:6" x14ac:dyDescent="0.25">
      <c r="A5688" t="str">
        <f>"340501722272"</f>
        <v>340501722272</v>
      </c>
      <c r="B5688" t="s">
        <v>7832</v>
      </c>
      <c r="C5688" t="s">
        <v>7</v>
      </c>
      <c r="D5688" t="s">
        <v>14</v>
      </c>
      <c r="E5688" t="s">
        <v>7475</v>
      </c>
    </row>
    <row r="5689" spans="1:6" x14ac:dyDescent="0.25">
      <c r="A5689" t="str">
        <f>"232015724477"</f>
        <v>232015724477</v>
      </c>
      <c r="B5689" t="s">
        <v>7833</v>
      </c>
      <c r="C5689" t="s">
        <v>7</v>
      </c>
      <c r="D5689" t="s">
        <v>14</v>
      </c>
      <c r="E5689" t="s">
        <v>7475</v>
      </c>
    </row>
    <row r="5690" spans="1:6" x14ac:dyDescent="0.25">
      <c r="A5690" t="str">
        <f>"341900063256"</f>
        <v>341900063256</v>
      </c>
      <c r="B5690" t="s">
        <v>7834</v>
      </c>
      <c r="C5690" t="s">
        <v>7</v>
      </c>
      <c r="D5690" t="s">
        <v>12</v>
      </c>
      <c r="E5690" t="s">
        <v>7475</v>
      </c>
    </row>
    <row r="5691" spans="1:6" x14ac:dyDescent="0.25">
      <c r="A5691" t="str">
        <f>"343603035901"</f>
        <v>343603035901</v>
      </c>
      <c r="B5691" t="s">
        <v>7835</v>
      </c>
      <c r="C5691" t="s">
        <v>7</v>
      </c>
      <c r="D5691" t="s">
        <v>14</v>
      </c>
      <c r="E5691" t="s">
        <v>7475</v>
      </c>
    </row>
    <row r="5692" spans="1:6" x14ac:dyDescent="0.25">
      <c r="A5692" t="str">
        <f>"343901202971"</f>
        <v>343901202971</v>
      </c>
      <c r="B5692" t="s">
        <v>7836</v>
      </c>
      <c r="C5692" t="s">
        <v>7</v>
      </c>
      <c r="D5692" t="s">
        <v>14</v>
      </c>
      <c r="E5692" t="s">
        <v>7475</v>
      </c>
    </row>
    <row r="5693" spans="1:6" x14ac:dyDescent="0.25">
      <c r="A5693" t="str">
        <f>"344210023380"</f>
        <v>344210023380</v>
      </c>
      <c r="B5693" t="s">
        <v>7837</v>
      </c>
      <c r="C5693" t="s">
        <v>7</v>
      </c>
      <c r="D5693" t="s">
        <v>33</v>
      </c>
      <c r="E5693" t="s">
        <v>7475</v>
      </c>
    </row>
    <row r="5694" spans="1:6" x14ac:dyDescent="0.25">
      <c r="A5694" t="str">
        <f>"3442118318"</f>
        <v>3442118318</v>
      </c>
      <c r="B5694" t="s">
        <v>7838</v>
      </c>
      <c r="C5694" t="s">
        <v>7</v>
      </c>
      <c r="D5694" t="s">
        <v>14</v>
      </c>
      <c r="E5694" t="s">
        <v>7475</v>
      </c>
      <c r="F5694" t="s">
        <v>7839</v>
      </c>
    </row>
    <row r="5695" spans="1:6" x14ac:dyDescent="0.25">
      <c r="A5695" t="str">
        <f>"344221904125"</f>
        <v>344221904125</v>
      </c>
      <c r="B5695" t="s">
        <v>7840</v>
      </c>
      <c r="C5695" t="s">
        <v>7</v>
      </c>
      <c r="D5695" t="s">
        <v>33</v>
      </c>
      <c r="E5695" t="s">
        <v>7475</v>
      </c>
    </row>
    <row r="5696" spans="1:6" x14ac:dyDescent="0.25">
      <c r="A5696" t="str">
        <f>"3443090440"</f>
        <v>3443090440</v>
      </c>
      <c r="B5696" t="s">
        <v>7841</v>
      </c>
      <c r="C5696" t="s">
        <v>7</v>
      </c>
      <c r="D5696" t="s">
        <v>12</v>
      </c>
      <c r="E5696" t="s">
        <v>7475</v>
      </c>
      <c r="F5696" t="s">
        <v>7842</v>
      </c>
    </row>
    <row r="5697" spans="1:6" x14ac:dyDescent="0.25">
      <c r="A5697" t="str">
        <f>"344309277175"</f>
        <v>344309277175</v>
      </c>
      <c r="B5697" t="s">
        <v>7843</v>
      </c>
      <c r="C5697" t="s">
        <v>7</v>
      </c>
      <c r="D5697" t="s">
        <v>12</v>
      </c>
      <c r="E5697" t="s">
        <v>7475</v>
      </c>
    </row>
    <row r="5698" spans="1:6" x14ac:dyDescent="0.25">
      <c r="A5698" t="str">
        <f>"3443150515"</f>
        <v>3443150515</v>
      </c>
      <c r="B5698" t="s">
        <v>7844</v>
      </c>
      <c r="C5698" t="s">
        <v>7</v>
      </c>
      <c r="D5698" t="s">
        <v>14</v>
      </c>
      <c r="E5698" t="s">
        <v>7475</v>
      </c>
      <c r="F5698" t="s">
        <v>7845</v>
      </c>
    </row>
    <row r="5699" spans="1:6" x14ac:dyDescent="0.25">
      <c r="A5699" t="str">
        <f>"3443920940"</f>
        <v>3443920940</v>
      </c>
      <c r="B5699" t="s">
        <v>7846</v>
      </c>
      <c r="C5699" t="s">
        <v>7</v>
      </c>
      <c r="D5699" t="s">
        <v>33</v>
      </c>
      <c r="E5699" t="s">
        <v>7475</v>
      </c>
      <c r="F5699" t="s">
        <v>7698</v>
      </c>
    </row>
    <row r="5700" spans="1:6" x14ac:dyDescent="0.25">
      <c r="A5700" t="str">
        <f>"344552999833"</f>
        <v>344552999833</v>
      </c>
      <c r="B5700" t="s">
        <v>7847</v>
      </c>
      <c r="C5700" t="s">
        <v>7</v>
      </c>
      <c r="D5700" t="s">
        <v>14</v>
      </c>
      <c r="E5700" t="s">
        <v>7475</v>
      </c>
    </row>
    <row r="5701" spans="1:6" x14ac:dyDescent="0.25">
      <c r="A5701" t="str">
        <f>"3446024195"</f>
        <v>3446024195</v>
      </c>
      <c r="B5701" t="s">
        <v>7848</v>
      </c>
      <c r="C5701" t="s">
        <v>7</v>
      </c>
      <c r="D5701" t="s">
        <v>33</v>
      </c>
      <c r="E5701" t="s">
        <v>7475</v>
      </c>
      <c r="F5701" t="s">
        <v>7849</v>
      </c>
    </row>
    <row r="5702" spans="1:6" x14ac:dyDescent="0.25">
      <c r="A5702" t="str">
        <f>"344691680748"</f>
        <v>344691680748</v>
      </c>
      <c r="B5702" t="s">
        <v>7850</v>
      </c>
      <c r="C5702" t="s">
        <v>7</v>
      </c>
      <c r="D5702" t="s">
        <v>12</v>
      </c>
      <c r="E5702" t="s">
        <v>7475</v>
      </c>
    </row>
    <row r="5703" spans="1:6" x14ac:dyDescent="0.25">
      <c r="A5703" t="str">
        <f>"3457010236"</f>
        <v>3457010236</v>
      </c>
      <c r="B5703" t="s">
        <v>4523</v>
      </c>
      <c r="C5703" t="s">
        <v>7</v>
      </c>
      <c r="D5703" t="s">
        <v>14</v>
      </c>
      <c r="E5703" t="s">
        <v>7475</v>
      </c>
      <c r="F5703" t="s">
        <v>7851</v>
      </c>
    </row>
    <row r="5704" spans="1:6" x14ac:dyDescent="0.25">
      <c r="A5704" t="str">
        <f>"3009016561"</f>
        <v>3009016561</v>
      </c>
      <c r="B5704" t="s">
        <v>479</v>
      </c>
      <c r="C5704" t="s">
        <v>7</v>
      </c>
      <c r="D5704" t="s">
        <v>14</v>
      </c>
      <c r="E5704" t="s">
        <v>7475</v>
      </c>
      <c r="F5704" t="s">
        <v>7831</v>
      </c>
    </row>
    <row r="5705" spans="1:6" x14ac:dyDescent="0.25">
      <c r="A5705" t="str">
        <f>"301045792155"</f>
        <v>301045792155</v>
      </c>
      <c r="B5705" t="s">
        <v>7852</v>
      </c>
      <c r="C5705" t="s">
        <v>7</v>
      </c>
      <c r="D5705" t="s">
        <v>14</v>
      </c>
      <c r="E5705" t="s">
        <v>7475</v>
      </c>
    </row>
    <row r="5706" spans="1:6" x14ac:dyDescent="0.25">
      <c r="A5706" t="str">
        <f>"9731055241"</f>
        <v>9731055241</v>
      </c>
      <c r="B5706" t="s">
        <v>4749</v>
      </c>
      <c r="C5706" t="s">
        <v>7</v>
      </c>
      <c r="D5706" t="s">
        <v>12</v>
      </c>
      <c r="E5706" t="s">
        <v>7475</v>
      </c>
      <c r="F5706" t="s">
        <v>7853</v>
      </c>
    </row>
    <row r="5707" spans="1:6" x14ac:dyDescent="0.25">
      <c r="A5707" t="str">
        <f>"3500011528"</f>
        <v>3500011528</v>
      </c>
      <c r="B5707" t="s">
        <v>7854</v>
      </c>
      <c r="C5707" t="s">
        <v>7</v>
      </c>
      <c r="D5707" t="s">
        <v>33</v>
      </c>
      <c r="E5707" t="s">
        <v>7855</v>
      </c>
      <c r="F5707" t="s">
        <v>7856</v>
      </c>
    </row>
    <row r="5708" spans="1:6" x14ac:dyDescent="0.25">
      <c r="A5708" t="str">
        <f>"350101620096"</f>
        <v>350101620096</v>
      </c>
      <c r="B5708" t="s">
        <v>7857</v>
      </c>
      <c r="C5708" t="s">
        <v>7</v>
      </c>
      <c r="D5708" t="s">
        <v>14</v>
      </c>
      <c r="E5708" t="s">
        <v>7855</v>
      </c>
    </row>
    <row r="5709" spans="1:6" x14ac:dyDescent="0.25">
      <c r="A5709" t="str">
        <f>"350600148560"</f>
        <v>350600148560</v>
      </c>
      <c r="B5709" t="s">
        <v>7858</v>
      </c>
      <c r="C5709" t="s">
        <v>7</v>
      </c>
      <c r="D5709" t="s">
        <v>14</v>
      </c>
      <c r="E5709" t="s">
        <v>7855</v>
      </c>
    </row>
    <row r="5710" spans="1:6" x14ac:dyDescent="0.25">
      <c r="A5710" t="str">
        <f>"350600240685"</f>
        <v>350600240685</v>
      </c>
      <c r="B5710" t="s">
        <v>7859</v>
      </c>
      <c r="C5710" t="s">
        <v>7</v>
      </c>
      <c r="D5710" t="s">
        <v>14</v>
      </c>
      <c r="E5710" t="s">
        <v>7855</v>
      </c>
    </row>
    <row r="5711" spans="1:6" x14ac:dyDescent="0.25">
      <c r="A5711" t="str">
        <f>"350900658191"</f>
        <v>350900658191</v>
      </c>
      <c r="B5711" t="s">
        <v>7860</v>
      </c>
      <c r="C5711" t="s">
        <v>7</v>
      </c>
      <c r="D5711" t="s">
        <v>14</v>
      </c>
      <c r="E5711" t="s">
        <v>7855</v>
      </c>
    </row>
    <row r="5712" spans="1:6" x14ac:dyDescent="0.25">
      <c r="A5712" t="str">
        <f>"3509008329"</f>
        <v>3509008329</v>
      </c>
      <c r="B5712" t="s">
        <v>7861</v>
      </c>
      <c r="C5712" t="s">
        <v>7</v>
      </c>
      <c r="D5712" t="s">
        <v>14</v>
      </c>
      <c r="E5712" t="s">
        <v>7855</v>
      </c>
      <c r="F5712" t="s">
        <v>7862</v>
      </c>
    </row>
    <row r="5713" spans="1:6" x14ac:dyDescent="0.25">
      <c r="A5713" t="str">
        <f>"351124132690"</f>
        <v>351124132690</v>
      </c>
      <c r="B5713" t="s">
        <v>7863</v>
      </c>
      <c r="C5713" t="s">
        <v>7</v>
      </c>
      <c r="D5713" t="s">
        <v>14</v>
      </c>
      <c r="E5713" t="s">
        <v>7855</v>
      </c>
    </row>
    <row r="5714" spans="1:6" x14ac:dyDescent="0.25">
      <c r="A5714" t="str">
        <f>"351200180793"</f>
        <v>351200180793</v>
      </c>
      <c r="B5714" t="s">
        <v>7864</v>
      </c>
      <c r="C5714" t="s">
        <v>7</v>
      </c>
      <c r="D5714" t="s">
        <v>14</v>
      </c>
      <c r="E5714" t="s">
        <v>7855</v>
      </c>
    </row>
    <row r="5715" spans="1:6" x14ac:dyDescent="0.25">
      <c r="A5715" t="str">
        <f>"3514008532"</f>
        <v>3514008532</v>
      </c>
      <c r="B5715" t="s">
        <v>7865</v>
      </c>
      <c r="C5715" t="s">
        <v>7</v>
      </c>
      <c r="D5715" t="s">
        <v>12</v>
      </c>
      <c r="E5715" t="s">
        <v>7855</v>
      </c>
      <c r="F5715" t="s">
        <v>7866</v>
      </c>
    </row>
    <row r="5716" spans="1:6" x14ac:dyDescent="0.25">
      <c r="A5716" t="str">
        <f>"351700905536"</f>
        <v>351700905536</v>
      </c>
      <c r="B5716" t="s">
        <v>7867</v>
      </c>
      <c r="C5716" t="s">
        <v>7</v>
      </c>
      <c r="D5716" t="s">
        <v>14</v>
      </c>
      <c r="E5716" t="s">
        <v>7855</v>
      </c>
    </row>
    <row r="5717" spans="1:6" x14ac:dyDescent="0.25">
      <c r="A5717" t="str">
        <f>"351701025446"</f>
        <v>351701025446</v>
      </c>
      <c r="B5717" t="s">
        <v>7868</v>
      </c>
      <c r="C5717" t="s">
        <v>7</v>
      </c>
      <c r="D5717" t="s">
        <v>14</v>
      </c>
      <c r="E5717" t="s">
        <v>7855</v>
      </c>
    </row>
    <row r="5718" spans="1:6" x14ac:dyDescent="0.25">
      <c r="A5718" t="str">
        <f>"351800044584"</f>
        <v>351800044584</v>
      </c>
      <c r="B5718" t="s">
        <v>7869</v>
      </c>
      <c r="C5718" t="s">
        <v>7</v>
      </c>
      <c r="D5718" t="s">
        <v>14</v>
      </c>
      <c r="E5718" t="s">
        <v>7855</v>
      </c>
    </row>
    <row r="5719" spans="1:6" x14ac:dyDescent="0.25">
      <c r="A5719" t="str">
        <f>"351900006141"</f>
        <v>351900006141</v>
      </c>
      <c r="B5719" t="s">
        <v>7870</v>
      </c>
      <c r="C5719" t="s">
        <v>7</v>
      </c>
      <c r="D5719" t="s">
        <v>14</v>
      </c>
      <c r="E5719" t="s">
        <v>7855</v>
      </c>
    </row>
    <row r="5720" spans="1:6" x14ac:dyDescent="0.25">
      <c r="A5720" t="str">
        <f>"352000224653"</f>
        <v>352000224653</v>
      </c>
      <c r="B5720" t="s">
        <v>7871</v>
      </c>
      <c r="C5720" t="s">
        <v>7</v>
      </c>
      <c r="D5720" t="s">
        <v>14</v>
      </c>
      <c r="E5720" t="s">
        <v>7855</v>
      </c>
    </row>
    <row r="5721" spans="1:6" x14ac:dyDescent="0.25">
      <c r="A5721" t="str">
        <f>"352001304855"</f>
        <v>352001304855</v>
      </c>
      <c r="B5721" t="s">
        <v>7872</v>
      </c>
      <c r="C5721" t="s">
        <v>7</v>
      </c>
      <c r="D5721" t="s">
        <v>14</v>
      </c>
      <c r="E5721" t="s">
        <v>7855</v>
      </c>
    </row>
    <row r="5722" spans="1:6" x14ac:dyDescent="0.25">
      <c r="A5722" t="str">
        <f>"352403390283"</f>
        <v>352403390283</v>
      </c>
      <c r="B5722" t="s">
        <v>7873</v>
      </c>
      <c r="C5722" t="s">
        <v>7</v>
      </c>
      <c r="D5722" t="s">
        <v>14</v>
      </c>
      <c r="E5722" t="s">
        <v>7855</v>
      </c>
    </row>
    <row r="5723" spans="1:6" x14ac:dyDescent="0.25">
      <c r="A5723" t="str">
        <f>"352403508961"</f>
        <v>352403508961</v>
      </c>
      <c r="B5723" t="s">
        <v>7874</v>
      </c>
      <c r="C5723" t="s">
        <v>7</v>
      </c>
      <c r="D5723" t="s">
        <v>14</v>
      </c>
      <c r="E5723" t="s">
        <v>7855</v>
      </c>
    </row>
    <row r="5724" spans="1:6" x14ac:dyDescent="0.25">
      <c r="A5724" t="str">
        <f>"352500263450"</f>
        <v>352500263450</v>
      </c>
      <c r="B5724" t="s">
        <v>7875</v>
      </c>
      <c r="C5724" t="s">
        <v>7</v>
      </c>
      <c r="D5724" t="s">
        <v>14</v>
      </c>
      <c r="E5724" t="s">
        <v>7855</v>
      </c>
    </row>
    <row r="5725" spans="1:6" x14ac:dyDescent="0.25">
      <c r="A5725" t="str">
        <f>"352500507579"</f>
        <v>352500507579</v>
      </c>
      <c r="B5725" t="s">
        <v>7876</v>
      </c>
      <c r="C5725" t="s">
        <v>7</v>
      </c>
      <c r="D5725" t="s">
        <v>14</v>
      </c>
      <c r="E5725" t="s">
        <v>7855</v>
      </c>
    </row>
    <row r="5726" spans="1:6" x14ac:dyDescent="0.25">
      <c r="A5726" t="str">
        <f>"352500867927"</f>
        <v>352500867927</v>
      </c>
      <c r="B5726" t="s">
        <v>7877</v>
      </c>
      <c r="C5726" t="s">
        <v>7</v>
      </c>
      <c r="D5726" t="s">
        <v>14</v>
      </c>
      <c r="E5726" t="s">
        <v>7855</v>
      </c>
    </row>
    <row r="5727" spans="1:6" x14ac:dyDescent="0.25">
      <c r="A5727" t="str">
        <f>"352502961650"</f>
        <v>352502961650</v>
      </c>
      <c r="B5727" t="s">
        <v>7878</v>
      </c>
      <c r="C5727" t="s">
        <v>7</v>
      </c>
      <c r="D5727" t="s">
        <v>12</v>
      </c>
      <c r="E5727" t="s">
        <v>7855</v>
      </c>
    </row>
    <row r="5728" spans="1:6" x14ac:dyDescent="0.25">
      <c r="A5728" t="str">
        <f>"352510671360"</f>
        <v>352510671360</v>
      </c>
      <c r="B5728" t="s">
        <v>7879</v>
      </c>
      <c r="C5728" t="s">
        <v>7</v>
      </c>
      <c r="D5728" t="s">
        <v>14</v>
      </c>
      <c r="E5728" t="s">
        <v>7855</v>
      </c>
    </row>
    <row r="5729" spans="1:6" x14ac:dyDescent="0.25">
      <c r="A5729" t="str">
        <f>"3525118128"</f>
        <v>3525118128</v>
      </c>
      <c r="B5729" t="s">
        <v>7880</v>
      </c>
      <c r="C5729" t="s">
        <v>7</v>
      </c>
      <c r="D5729" t="s">
        <v>12</v>
      </c>
      <c r="E5729" t="s">
        <v>7855</v>
      </c>
      <c r="F5729" t="s">
        <v>7881</v>
      </c>
    </row>
    <row r="5730" spans="1:6" x14ac:dyDescent="0.25">
      <c r="A5730" t="str">
        <f>"3525152577"</f>
        <v>3525152577</v>
      </c>
      <c r="B5730" t="s">
        <v>7882</v>
      </c>
      <c r="C5730" t="s">
        <v>7</v>
      </c>
      <c r="D5730" t="s">
        <v>12</v>
      </c>
      <c r="E5730" t="s">
        <v>7855</v>
      </c>
      <c r="F5730" t="s">
        <v>7883</v>
      </c>
    </row>
    <row r="5731" spans="1:6" x14ac:dyDescent="0.25">
      <c r="A5731" t="str">
        <f>"352516970006"</f>
        <v>352516970006</v>
      </c>
      <c r="B5731" t="s">
        <v>7884</v>
      </c>
      <c r="C5731" t="s">
        <v>7</v>
      </c>
      <c r="D5731" t="s">
        <v>12</v>
      </c>
      <c r="E5731" t="s">
        <v>7855</v>
      </c>
    </row>
    <row r="5732" spans="1:6" x14ac:dyDescent="0.25">
      <c r="A5732" t="str">
        <f>"3525182148"</f>
        <v>3525182148</v>
      </c>
      <c r="B5732" t="s">
        <v>7885</v>
      </c>
      <c r="C5732" t="s">
        <v>7</v>
      </c>
      <c r="D5732" t="s">
        <v>14</v>
      </c>
      <c r="E5732" t="s">
        <v>7855</v>
      </c>
      <c r="F5732" t="s">
        <v>7886</v>
      </c>
    </row>
    <row r="5733" spans="1:6" x14ac:dyDescent="0.25">
      <c r="A5733" t="str">
        <f>"352519888350"</f>
        <v>352519888350</v>
      </c>
      <c r="B5733" t="s">
        <v>7887</v>
      </c>
      <c r="C5733" t="s">
        <v>7</v>
      </c>
      <c r="D5733" t="s">
        <v>12</v>
      </c>
      <c r="E5733" t="s">
        <v>7855</v>
      </c>
    </row>
    <row r="5734" spans="1:6" x14ac:dyDescent="0.25">
      <c r="A5734" t="str">
        <f>"3525206529"</f>
        <v>3525206529</v>
      </c>
      <c r="B5734" t="s">
        <v>7888</v>
      </c>
      <c r="C5734" t="s">
        <v>7</v>
      </c>
      <c r="D5734" t="s">
        <v>12</v>
      </c>
      <c r="E5734" t="s">
        <v>7855</v>
      </c>
      <c r="F5734" t="s">
        <v>7889</v>
      </c>
    </row>
    <row r="5735" spans="1:6" x14ac:dyDescent="0.25">
      <c r="A5735" t="str">
        <f>"3525242534"</f>
        <v>3525242534</v>
      </c>
      <c r="B5735" t="s">
        <v>7890</v>
      </c>
      <c r="C5735" t="s">
        <v>7</v>
      </c>
      <c r="D5735" t="s">
        <v>12</v>
      </c>
      <c r="E5735" t="s">
        <v>7855</v>
      </c>
      <c r="F5735" t="s">
        <v>7891</v>
      </c>
    </row>
    <row r="5736" spans="1:6" x14ac:dyDescent="0.25">
      <c r="A5736" t="str">
        <f>"3525253575"</f>
        <v>3525253575</v>
      </c>
      <c r="B5736" t="s">
        <v>7892</v>
      </c>
      <c r="C5736" t="s">
        <v>7</v>
      </c>
      <c r="D5736" t="s">
        <v>12</v>
      </c>
      <c r="E5736" t="s">
        <v>7855</v>
      </c>
      <c r="F5736" t="s">
        <v>7893</v>
      </c>
    </row>
    <row r="5737" spans="1:6" x14ac:dyDescent="0.25">
      <c r="A5737" t="str">
        <f>"352528061326"</f>
        <v>352528061326</v>
      </c>
      <c r="B5737" t="s">
        <v>7894</v>
      </c>
      <c r="C5737" t="s">
        <v>7</v>
      </c>
      <c r="D5737" t="s">
        <v>14</v>
      </c>
      <c r="E5737" t="s">
        <v>7855</v>
      </c>
    </row>
    <row r="5738" spans="1:6" x14ac:dyDescent="0.25">
      <c r="A5738" t="str">
        <f>"352528917550"</f>
        <v>352528917550</v>
      </c>
      <c r="B5738" t="s">
        <v>7895</v>
      </c>
      <c r="C5738" t="s">
        <v>7</v>
      </c>
      <c r="D5738" t="s">
        <v>14</v>
      </c>
      <c r="E5738" t="s">
        <v>7855</v>
      </c>
    </row>
    <row r="5739" spans="1:6" x14ac:dyDescent="0.25">
      <c r="A5739" t="str">
        <f>"3525290601"</f>
        <v>3525290601</v>
      </c>
      <c r="B5739" t="s">
        <v>7896</v>
      </c>
      <c r="C5739" t="s">
        <v>7</v>
      </c>
      <c r="D5739" t="s">
        <v>12</v>
      </c>
      <c r="E5739" t="s">
        <v>7855</v>
      </c>
      <c r="F5739" t="s">
        <v>7897</v>
      </c>
    </row>
    <row r="5740" spans="1:6" x14ac:dyDescent="0.25">
      <c r="A5740" t="str">
        <f>"3525318159"</f>
        <v>3525318159</v>
      </c>
      <c r="B5740" t="s">
        <v>7898</v>
      </c>
      <c r="C5740" t="s">
        <v>7</v>
      </c>
      <c r="D5740" t="s">
        <v>33</v>
      </c>
      <c r="E5740" t="s">
        <v>7855</v>
      </c>
      <c r="F5740" t="s">
        <v>7899</v>
      </c>
    </row>
    <row r="5741" spans="1:6" x14ac:dyDescent="0.25">
      <c r="A5741" t="str">
        <f>"3525320084"</f>
        <v>3525320084</v>
      </c>
      <c r="B5741" t="s">
        <v>7900</v>
      </c>
      <c r="C5741" t="s">
        <v>7</v>
      </c>
      <c r="D5741" t="s">
        <v>33</v>
      </c>
      <c r="E5741" t="s">
        <v>7855</v>
      </c>
      <c r="F5741" t="s">
        <v>7901</v>
      </c>
    </row>
    <row r="5742" spans="1:6" x14ac:dyDescent="0.25">
      <c r="A5742" t="str">
        <f>"352533012155"</f>
        <v>352533012155</v>
      </c>
      <c r="B5742" t="s">
        <v>7902</v>
      </c>
      <c r="C5742" t="s">
        <v>7</v>
      </c>
      <c r="D5742" t="s">
        <v>14</v>
      </c>
      <c r="E5742" t="s">
        <v>7855</v>
      </c>
    </row>
    <row r="5743" spans="1:6" x14ac:dyDescent="0.25">
      <c r="A5743" t="str">
        <f>"352535873495"</f>
        <v>352535873495</v>
      </c>
      <c r="B5743" t="s">
        <v>7903</v>
      </c>
      <c r="C5743" t="s">
        <v>7</v>
      </c>
      <c r="D5743" t="s">
        <v>14</v>
      </c>
      <c r="E5743" t="s">
        <v>7855</v>
      </c>
    </row>
    <row r="5744" spans="1:6" x14ac:dyDescent="0.25">
      <c r="A5744" t="str">
        <f>"3525375358"</f>
        <v>3525375358</v>
      </c>
      <c r="B5744" t="s">
        <v>7904</v>
      </c>
      <c r="C5744" t="s">
        <v>7</v>
      </c>
      <c r="D5744" t="s">
        <v>14</v>
      </c>
      <c r="E5744" t="s">
        <v>7855</v>
      </c>
      <c r="F5744" t="s">
        <v>7905</v>
      </c>
    </row>
    <row r="5745" spans="1:6" x14ac:dyDescent="0.25">
      <c r="A5745" t="str">
        <f>"3525382789"</f>
        <v>3525382789</v>
      </c>
      <c r="B5745" t="s">
        <v>7906</v>
      </c>
      <c r="C5745" t="s">
        <v>7</v>
      </c>
      <c r="D5745" t="s">
        <v>14</v>
      </c>
      <c r="E5745" t="s">
        <v>7855</v>
      </c>
      <c r="F5745" t="s">
        <v>7907</v>
      </c>
    </row>
    <row r="5746" spans="1:6" x14ac:dyDescent="0.25">
      <c r="A5746" t="str">
        <f>"3525475352"</f>
        <v>3525475352</v>
      </c>
      <c r="B5746" t="s">
        <v>7908</v>
      </c>
      <c r="C5746" t="s">
        <v>7</v>
      </c>
      <c r="D5746" t="s">
        <v>33</v>
      </c>
      <c r="E5746" t="s">
        <v>7855</v>
      </c>
      <c r="F5746" t="s">
        <v>7909</v>
      </c>
    </row>
    <row r="5747" spans="1:6" x14ac:dyDescent="0.25">
      <c r="A5747" t="str">
        <f>"352700277562"</f>
        <v>352700277562</v>
      </c>
      <c r="B5747" t="s">
        <v>7910</v>
      </c>
      <c r="C5747" t="s">
        <v>7</v>
      </c>
      <c r="D5747" t="s">
        <v>14</v>
      </c>
      <c r="E5747" t="s">
        <v>7855</v>
      </c>
    </row>
    <row r="5748" spans="1:6" x14ac:dyDescent="0.25">
      <c r="A5748" t="str">
        <f>"352701670550"</f>
        <v>352701670550</v>
      </c>
      <c r="B5748" t="s">
        <v>7911</v>
      </c>
      <c r="C5748" t="s">
        <v>7</v>
      </c>
      <c r="D5748" t="s">
        <v>14</v>
      </c>
      <c r="E5748" t="s">
        <v>7855</v>
      </c>
    </row>
    <row r="5749" spans="1:6" x14ac:dyDescent="0.25">
      <c r="A5749" t="str">
        <f>"3527022365"</f>
        <v>3527022365</v>
      </c>
      <c r="B5749" t="s">
        <v>7912</v>
      </c>
      <c r="C5749" t="s">
        <v>7</v>
      </c>
      <c r="D5749" t="s">
        <v>33</v>
      </c>
      <c r="E5749" t="s">
        <v>7855</v>
      </c>
      <c r="F5749" t="s">
        <v>7913</v>
      </c>
    </row>
    <row r="5750" spans="1:6" x14ac:dyDescent="0.25">
      <c r="A5750" t="str">
        <f>"352805742827"</f>
        <v>352805742827</v>
      </c>
      <c r="B5750" t="s">
        <v>7914</v>
      </c>
      <c r="C5750" t="s">
        <v>7</v>
      </c>
      <c r="D5750" t="s">
        <v>12</v>
      </c>
      <c r="E5750" t="s">
        <v>7855</v>
      </c>
    </row>
    <row r="5751" spans="1:6" x14ac:dyDescent="0.25">
      <c r="A5751" t="str">
        <f>"352810274370"</f>
        <v>352810274370</v>
      </c>
      <c r="B5751" t="s">
        <v>7915</v>
      </c>
      <c r="C5751" t="s">
        <v>7</v>
      </c>
      <c r="D5751" t="s">
        <v>12</v>
      </c>
      <c r="E5751" t="s">
        <v>7855</v>
      </c>
    </row>
    <row r="5752" spans="1:6" x14ac:dyDescent="0.25">
      <c r="A5752" t="str">
        <f>"352811309957"</f>
        <v>352811309957</v>
      </c>
      <c r="B5752" t="s">
        <v>7916</v>
      </c>
      <c r="C5752" t="s">
        <v>7</v>
      </c>
      <c r="D5752" t="s">
        <v>14</v>
      </c>
      <c r="E5752" t="s">
        <v>7855</v>
      </c>
    </row>
    <row r="5753" spans="1:6" x14ac:dyDescent="0.25">
      <c r="A5753" t="str">
        <f>"352812147265"</f>
        <v>352812147265</v>
      </c>
      <c r="B5753" t="s">
        <v>7917</v>
      </c>
      <c r="C5753" t="s">
        <v>7</v>
      </c>
      <c r="D5753" t="s">
        <v>14</v>
      </c>
      <c r="E5753" t="s">
        <v>7855</v>
      </c>
    </row>
    <row r="5754" spans="1:6" x14ac:dyDescent="0.25">
      <c r="A5754" t="str">
        <f>"3528165743"</f>
        <v>3528165743</v>
      </c>
      <c r="B5754" t="s">
        <v>7918</v>
      </c>
      <c r="C5754" t="s">
        <v>7</v>
      </c>
      <c r="D5754" t="s">
        <v>460</v>
      </c>
      <c r="E5754" t="s">
        <v>7855</v>
      </c>
      <c r="F5754" t="s">
        <v>7919</v>
      </c>
    </row>
    <row r="5755" spans="1:6" x14ac:dyDescent="0.25">
      <c r="A5755" t="str">
        <f>"3528238455"</f>
        <v>3528238455</v>
      </c>
      <c r="B5755" t="s">
        <v>7920</v>
      </c>
      <c r="C5755" t="s">
        <v>7</v>
      </c>
      <c r="D5755" t="s">
        <v>14</v>
      </c>
      <c r="E5755" t="s">
        <v>7855</v>
      </c>
      <c r="F5755" t="s">
        <v>7921</v>
      </c>
    </row>
    <row r="5756" spans="1:6" x14ac:dyDescent="0.25">
      <c r="A5756" t="str">
        <f>"352827231304"</f>
        <v>352827231304</v>
      </c>
      <c r="B5756" t="s">
        <v>7922</v>
      </c>
      <c r="C5756" t="s">
        <v>7</v>
      </c>
      <c r="D5756" t="s">
        <v>14</v>
      </c>
      <c r="E5756" t="s">
        <v>7855</v>
      </c>
    </row>
    <row r="5757" spans="1:6" x14ac:dyDescent="0.25">
      <c r="A5757" t="str">
        <f>"352829221118"</f>
        <v>352829221118</v>
      </c>
      <c r="B5757" t="s">
        <v>7923</v>
      </c>
      <c r="C5757" t="s">
        <v>7</v>
      </c>
      <c r="D5757" t="s">
        <v>14</v>
      </c>
      <c r="E5757" t="s">
        <v>7855</v>
      </c>
    </row>
    <row r="5758" spans="1:6" x14ac:dyDescent="0.25">
      <c r="A5758" t="str">
        <f>"3528296993"</f>
        <v>3528296993</v>
      </c>
      <c r="B5758" t="s">
        <v>7924</v>
      </c>
      <c r="C5758" t="s">
        <v>7</v>
      </c>
      <c r="D5758" t="s">
        <v>33</v>
      </c>
      <c r="E5758" t="s">
        <v>7855</v>
      </c>
      <c r="F5758" t="s">
        <v>7925</v>
      </c>
    </row>
    <row r="5759" spans="1:6" x14ac:dyDescent="0.25">
      <c r="A5759" t="str">
        <f>"352830305161"</f>
        <v>352830305161</v>
      </c>
      <c r="B5759" t="s">
        <v>7926</v>
      </c>
      <c r="C5759" t="s">
        <v>7</v>
      </c>
      <c r="D5759" t="s">
        <v>14</v>
      </c>
      <c r="E5759" t="s">
        <v>7855</v>
      </c>
    </row>
    <row r="5760" spans="1:6" x14ac:dyDescent="0.25">
      <c r="A5760" t="str">
        <f>"352830394387"</f>
        <v>352830394387</v>
      </c>
      <c r="B5760" t="s">
        <v>7927</v>
      </c>
      <c r="C5760" t="s">
        <v>7</v>
      </c>
      <c r="D5760" t="s">
        <v>14</v>
      </c>
      <c r="E5760" t="s">
        <v>7855</v>
      </c>
    </row>
    <row r="5761" spans="1:6" x14ac:dyDescent="0.25">
      <c r="A5761" t="str">
        <f>"3528339485"</f>
        <v>3528339485</v>
      </c>
      <c r="B5761" t="s">
        <v>7928</v>
      </c>
      <c r="C5761" t="s">
        <v>7</v>
      </c>
      <c r="D5761" t="s">
        <v>12</v>
      </c>
      <c r="E5761" t="s">
        <v>7855</v>
      </c>
      <c r="F5761" t="s">
        <v>7929</v>
      </c>
    </row>
    <row r="5762" spans="1:6" x14ac:dyDescent="0.25">
      <c r="A5762" t="str">
        <f>"3528345263"</f>
        <v>3528345263</v>
      </c>
      <c r="B5762" t="s">
        <v>7930</v>
      </c>
      <c r="C5762" t="s">
        <v>7</v>
      </c>
      <c r="D5762" t="s">
        <v>12</v>
      </c>
      <c r="E5762" t="s">
        <v>7855</v>
      </c>
      <c r="F5762" t="s">
        <v>7931</v>
      </c>
    </row>
    <row r="5763" spans="1:6" x14ac:dyDescent="0.25">
      <c r="A5763" t="str">
        <f>"3500007271"</f>
        <v>3500007271</v>
      </c>
      <c r="B5763" t="s">
        <v>7932</v>
      </c>
      <c r="C5763" t="s">
        <v>7</v>
      </c>
      <c r="D5763" t="s">
        <v>12</v>
      </c>
      <c r="E5763" t="s">
        <v>7855</v>
      </c>
      <c r="F5763" t="s">
        <v>7933</v>
      </c>
    </row>
    <row r="5764" spans="1:6" x14ac:dyDescent="0.25">
      <c r="A5764" t="str">
        <f>"3504025987"</f>
        <v>3504025987</v>
      </c>
      <c r="B5764" t="s">
        <v>7934</v>
      </c>
      <c r="C5764" t="s">
        <v>7</v>
      </c>
      <c r="D5764" t="s">
        <v>14</v>
      </c>
      <c r="E5764" t="s">
        <v>7855</v>
      </c>
      <c r="F5764" t="s">
        <v>7935</v>
      </c>
    </row>
    <row r="5765" spans="1:6" x14ac:dyDescent="0.25">
      <c r="A5765" t="str">
        <f>"350500038940"</f>
        <v>350500038940</v>
      </c>
      <c r="B5765" t="s">
        <v>7936</v>
      </c>
      <c r="C5765" t="s">
        <v>7</v>
      </c>
      <c r="D5765" t="s">
        <v>14</v>
      </c>
      <c r="E5765" t="s">
        <v>7855</v>
      </c>
    </row>
    <row r="5766" spans="1:6" x14ac:dyDescent="0.25">
      <c r="A5766" t="str">
        <f>"350700151750"</f>
        <v>350700151750</v>
      </c>
      <c r="B5766" t="s">
        <v>7937</v>
      </c>
      <c r="C5766" t="s">
        <v>7</v>
      </c>
      <c r="D5766" t="s">
        <v>33</v>
      </c>
      <c r="E5766" t="s">
        <v>7855</v>
      </c>
    </row>
    <row r="5767" spans="1:6" x14ac:dyDescent="0.25">
      <c r="A5767" t="str">
        <f>"350903034603"</f>
        <v>350903034603</v>
      </c>
      <c r="B5767" t="s">
        <v>7938</v>
      </c>
      <c r="C5767" t="s">
        <v>7</v>
      </c>
      <c r="D5767" t="s">
        <v>14</v>
      </c>
      <c r="E5767" t="s">
        <v>7855</v>
      </c>
    </row>
    <row r="5768" spans="1:6" x14ac:dyDescent="0.25">
      <c r="A5768" t="str">
        <f>"351100322116"</f>
        <v>351100322116</v>
      </c>
      <c r="B5768" t="s">
        <v>7939</v>
      </c>
      <c r="C5768" t="s">
        <v>7</v>
      </c>
      <c r="D5768" t="s">
        <v>14</v>
      </c>
      <c r="E5768" t="s">
        <v>7855</v>
      </c>
    </row>
    <row r="5769" spans="1:6" x14ac:dyDescent="0.25">
      <c r="A5769" t="str">
        <f>"351400001755"</f>
        <v>351400001755</v>
      </c>
      <c r="B5769" t="s">
        <v>7940</v>
      </c>
      <c r="C5769" t="s">
        <v>7</v>
      </c>
      <c r="D5769" t="s">
        <v>12</v>
      </c>
      <c r="E5769" t="s">
        <v>7855</v>
      </c>
    </row>
    <row r="5770" spans="1:6" x14ac:dyDescent="0.25">
      <c r="A5770" t="str">
        <f>"351400861334"</f>
        <v>351400861334</v>
      </c>
      <c r="B5770" t="s">
        <v>7941</v>
      </c>
      <c r="C5770" t="s">
        <v>7</v>
      </c>
      <c r="D5770" t="s">
        <v>14</v>
      </c>
      <c r="E5770" t="s">
        <v>7855</v>
      </c>
    </row>
    <row r="5771" spans="1:6" x14ac:dyDescent="0.25">
      <c r="A5771" t="str">
        <f>"352200603708"</f>
        <v>352200603708</v>
      </c>
      <c r="B5771" t="s">
        <v>7942</v>
      </c>
      <c r="C5771" t="s">
        <v>7</v>
      </c>
      <c r="D5771" t="s">
        <v>14</v>
      </c>
      <c r="E5771" t="s">
        <v>7855</v>
      </c>
    </row>
    <row r="5772" spans="1:6" x14ac:dyDescent="0.25">
      <c r="A5772" t="str">
        <f>"352201389013"</f>
        <v>352201389013</v>
      </c>
      <c r="B5772" t="s">
        <v>7943</v>
      </c>
      <c r="C5772" t="s">
        <v>7</v>
      </c>
      <c r="D5772" t="s">
        <v>14</v>
      </c>
      <c r="E5772" t="s">
        <v>7855</v>
      </c>
    </row>
    <row r="5773" spans="1:6" x14ac:dyDescent="0.25">
      <c r="A5773" t="str">
        <f>"352302524660"</f>
        <v>352302524660</v>
      </c>
      <c r="B5773" t="s">
        <v>7944</v>
      </c>
      <c r="C5773" t="s">
        <v>7</v>
      </c>
      <c r="D5773" t="s">
        <v>14</v>
      </c>
      <c r="E5773" t="s">
        <v>7855</v>
      </c>
    </row>
    <row r="5774" spans="1:6" x14ac:dyDescent="0.25">
      <c r="A5774" t="str">
        <f>"352500019902"</f>
        <v>352500019902</v>
      </c>
      <c r="B5774" t="s">
        <v>7945</v>
      </c>
      <c r="C5774" t="s">
        <v>7</v>
      </c>
      <c r="D5774" t="s">
        <v>12</v>
      </c>
      <c r="E5774" t="s">
        <v>7855</v>
      </c>
    </row>
    <row r="5775" spans="1:6" x14ac:dyDescent="0.25">
      <c r="A5775" t="str">
        <f>"352500188026"</f>
        <v>352500188026</v>
      </c>
      <c r="B5775" t="s">
        <v>7946</v>
      </c>
      <c r="C5775" t="s">
        <v>7</v>
      </c>
      <c r="D5775" t="s">
        <v>14</v>
      </c>
      <c r="E5775" t="s">
        <v>7855</v>
      </c>
    </row>
    <row r="5776" spans="1:6" x14ac:dyDescent="0.25">
      <c r="A5776" t="str">
        <f>"3525065282"</f>
        <v>3525065282</v>
      </c>
      <c r="B5776" t="s">
        <v>7947</v>
      </c>
      <c r="C5776" t="s">
        <v>7</v>
      </c>
      <c r="D5776" t="s">
        <v>12</v>
      </c>
      <c r="E5776" t="s">
        <v>7855</v>
      </c>
      <c r="F5776" t="s">
        <v>7948</v>
      </c>
    </row>
    <row r="5777" spans="1:6" x14ac:dyDescent="0.25">
      <c r="A5777" t="str">
        <f>"3525093314"</f>
        <v>3525093314</v>
      </c>
      <c r="B5777" t="s">
        <v>7949</v>
      </c>
      <c r="C5777" t="s">
        <v>7</v>
      </c>
      <c r="D5777" t="s">
        <v>33</v>
      </c>
      <c r="E5777" t="s">
        <v>7855</v>
      </c>
      <c r="F5777" t="s">
        <v>7950</v>
      </c>
    </row>
    <row r="5778" spans="1:6" x14ac:dyDescent="0.25">
      <c r="A5778" t="str">
        <f>"3525134257"</f>
        <v>3525134257</v>
      </c>
      <c r="B5778" t="s">
        <v>7951</v>
      </c>
      <c r="C5778" t="s">
        <v>7</v>
      </c>
      <c r="D5778" t="s">
        <v>14</v>
      </c>
      <c r="E5778" t="s">
        <v>7855</v>
      </c>
      <c r="F5778" t="s">
        <v>7952</v>
      </c>
    </row>
    <row r="5779" spans="1:6" x14ac:dyDescent="0.25">
      <c r="A5779" t="str">
        <f>"352514363768"</f>
        <v>352514363768</v>
      </c>
      <c r="B5779" t="s">
        <v>7953</v>
      </c>
      <c r="C5779" t="s">
        <v>7</v>
      </c>
      <c r="D5779" t="s">
        <v>12</v>
      </c>
      <c r="E5779" t="s">
        <v>7855</v>
      </c>
    </row>
    <row r="5780" spans="1:6" x14ac:dyDescent="0.25">
      <c r="A5780" t="str">
        <f>"3525161684"</f>
        <v>3525161684</v>
      </c>
      <c r="B5780" t="s">
        <v>7954</v>
      </c>
      <c r="C5780" t="s">
        <v>7</v>
      </c>
      <c r="D5780" t="s">
        <v>12</v>
      </c>
      <c r="E5780" t="s">
        <v>7855</v>
      </c>
      <c r="F5780" t="s">
        <v>7955</v>
      </c>
    </row>
    <row r="5781" spans="1:6" x14ac:dyDescent="0.25">
      <c r="A5781" t="str">
        <f>"352521196123"</f>
        <v>352521196123</v>
      </c>
      <c r="B5781" t="s">
        <v>7956</v>
      </c>
      <c r="C5781" t="s">
        <v>7</v>
      </c>
      <c r="D5781" t="s">
        <v>12</v>
      </c>
      <c r="E5781" t="s">
        <v>7855</v>
      </c>
    </row>
    <row r="5782" spans="1:6" x14ac:dyDescent="0.25">
      <c r="A5782" t="str">
        <f>"352530576555"</f>
        <v>352530576555</v>
      </c>
      <c r="B5782" t="s">
        <v>7957</v>
      </c>
      <c r="C5782" t="s">
        <v>7</v>
      </c>
      <c r="D5782" t="s">
        <v>12</v>
      </c>
      <c r="E5782" t="s">
        <v>7855</v>
      </c>
    </row>
    <row r="5783" spans="1:6" x14ac:dyDescent="0.25">
      <c r="A5783" t="str">
        <f>"352531143427"</f>
        <v>352531143427</v>
      </c>
      <c r="B5783" t="s">
        <v>7958</v>
      </c>
      <c r="C5783" t="s">
        <v>7</v>
      </c>
      <c r="D5783" t="s">
        <v>14</v>
      </c>
      <c r="E5783" t="s">
        <v>7855</v>
      </c>
    </row>
    <row r="5784" spans="1:6" x14ac:dyDescent="0.25">
      <c r="A5784" t="str">
        <f>"352534570434"</f>
        <v>352534570434</v>
      </c>
      <c r="B5784" t="s">
        <v>7959</v>
      </c>
      <c r="C5784" t="s">
        <v>7</v>
      </c>
      <c r="D5784" t="s">
        <v>14</v>
      </c>
      <c r="E5784" t="s">
        <v>7855</v>
      </c>
    </row>
    <row r="5785" spans="1:6" x14ac:dyDescent="0.25">
      <c r="A5785" t="str">
        <f>"3525350152"</f>
        <v>3525350152</v>
      </c>
      <c r="B5785" t="s">
        <v>7960</v>
      </c>
      <c r="C5785" t="s">
        <v>7</v>
      </c>
      <c r="D5785" t="s">
        <v>12</v>
      </c>
      <c r="E5785" t="s">
        <v>7855</v>
      </c>
      <c r="F5785" t="s">
        <v>7961</v>
      </c>
    </row>
    <row r="5786" spans="1:6" x14ac:dyDescent="0.25">
      <c r="A5786" t="str">
        <f>"3525352791"</f>
        <v>3525352791</v>
      </c>
      <c r="B5786" t="s">
        <v>7962</v>
      </c>
      <c r="C5786" t="s">
        <v>7</v>
      </c>
      <c r="D5786" t="s">
        <v>12</v>
      </c>
      <c r="E5786" t="s">
        <v>7855</v>
      </c>
      <c r="F5786" t="s">
        <v>7963</v>
      </c>
    </row>
    <row r="5787" spans="1:6" x14ac:dyDescent="0.25">
      <c r="A5787" t="str">
        <f>"3525383528"</f>
        <v>3525383528</v>
      </c>
      <c r="B5787" t="s">
        <v>7964</v>
      </c>
      <c r="C5787" t="s">
        <v>7</v>
      </c>
      <c r="D5787" t="s">
        <v>33</v>
      </c>
      <c r="E5787" t="s">
        <v>7855</v>
      </c>
      <c r="F5787" t="s">
        <v>7965</v>
      </c>
    </row>
    <row r="5788" spans="1:6" x14ac:dyDescent="0.25">
      <c r="A5788" t="str">
        <f>"352540121282"</f>
        <v>352540121282</v>
      </c>
      <c r="B5788" t="s">
        <v>7966</v>
      </c>
      <c r="C5788" t="s">
        <v>7</v>
      </c>
      <c r="D5788" t="s">
        <v>14</v>
      </c>
      <c r="E5788" t="s">
        <v>7855</v>
      </c>
    </row>
    <row r="5789" spans="1:6" x14ac:dyDescent="0.25">
      <c r="A5789" t="str">
        <f>"3525406736"</f>
        <v>3525406736</v>
      </c>
      <c r="B5789" t="s">
        <v>7967</v>
      </c>
      <c r="C5789" t="s">
        <v>7</v>
      </c>
      <c r="D5789" t="s">
        <v>674</v>
      </c>
      <c r="E5789" t="s">
        <v>7855</v>
      </c>
      <c r="F5789" t="s">
        <v>7968</v>
      </c>
    </row>
    <row r="5790" spans="1:6" x14ac:dyDescent="0.25">
      <c r="A5790" t="str">
        <f>"3525407673"</f>
        <v>3525407673</v>
      </c>
      <c r="B5790" t="s">
        <v>7969</v>
      </c>
      <c r="C5790" t="s">
        <v>7</v>
      </c>
      <c r="D5790" t="s">
        <v>14</v>
      </c>
      <c r="E5790" t="s">
        <v>7855</v>
      </c>
      <c r="F5790" t="s">
        <v>7970</v>
      </c>
    </row>
    <row r="5791" spans="1:6" x14ac:dyDescent="0.25">
      <c r="A5791" t="str">
        <f>"3525418964"</f>
        <v>3525418964</v>
      </c>
      <c r="B5791" t="s">
        <v>7971</v>
      </c>
      <c r="C5791" t="s">
        <v>7</v>
      </c>
      <c r="D5791" t="s">
        <v>14</v>
      </c>
      <c r="E5791" t="s">
        <v>7855</v>
      </c>
      <c r="F5791" t="s">
        <v>7972</v>
      </c>
    </row>
    <row r="5792" spans="1:6" x14ac:dyDescent="0.25">
      <c r="A5792" t="str">
        <f>"3525423210"</f>
        <v>3525423210</v>
      </c>
      <c r="B5792" t="s">
        <v>450</v>
      </c>
      <c r="C5792" t="s">
        <v>7</v>
      </c>
      <c r="D5792" t="s">
        <v>33</v>
      </c>
      <c r="E5792" t="s">
        <v>7855</v>
      </c>
      <c r="F5792" t="s">
        <v>7973</v>
      </c>
    </row>
    <row r="5793" spans="1:6" x14ac:dyDescent="0.25">
      <c r="A5793" t="str">
        <f>"3525434719"</f>
        <v>3525434719</v>
      </c>
      <c r="B5793" t="s">
        <v>7974</v>
      </c>
      <c r="C5793" t="s">
        <v>7</v>
      </c>
      <c r="D5793" t="s">
        <v>33</v>
      </c>
      <c r="E5793" t="s">
        <v>7855</v>
      </c>
      <c r="F5793" t="s">
        <v>7975</v>
      </c>
    </row>
    <row r="5794" spans="1:6" x14ac:dyDescent="0.25">
      <c r="A5794" t="str">
        <f>"3525444523"</f>
        <v>3525444523</v>
      </c>
      <c r="B5794" t="s">
        <v>7976</v>
      </c>
      <c r="C5794" t="s">
        <v>7</v>
      </c>
      <c r="D5794" t="s">
        <v>12</v>
      </c>
      <c r="E5794" t="s">
        <v>7855</v>
      </c>
      <c r="F5794" t="s">
        <v>7977</v>
      </c>
    </row>
    <row r="5795" spans="1:6" x14ac:dyDescent="0.25">
      <c r="A5795" t="str">
        <f>"3525444629"</f>
        <v>3525444629</v>
      </c>
      <c r="B5795" t="s">
        <v>7978</v>
      </c>
      <c r="C5795" t="s">
        <v>7</v>
      </c>
      <c r="D5795" t="s">
        <v>12</v>
      </c>
      <c r="E5795" t="s">
        <v>7855</v>
      </c>
      <c r="F5795" t="s">
        <v>7979</v>
      </c>
    </row>
    <row r="5796" spans="1:6" x14ac:dyDescent="0.25">
      <c r="A5796" t="str">
        <f>"3525469366"</f>
        <v>3525469366</v>
      </c>
      <c r="B5796" t="s">
        <v>2176</v>
      </c>
      <c r="C5796" t="s">
        <v>7</v>
      </c>
      <c r="D5796" t="s">
        <v>12</v>
      </c>
      <c r="E5796" t="s">
        <v>7855</v>
      </c>
      <c r="F5796" t="s">
        <v>7980</v>
      </c>
    </row>
    <row r="5797" spans="1:6" x14ac:dyDescent="0.25">
      <c r="A5797" t="str">
        <f>"3525486322"</f>
        <v>3525486322</v>
      </c>
      <c r="B5797" t="s">
        <v>7981</v>
      </c>
      <c r="C5797" t="s">
        <v>7</v>
      </c>
      <c r="D5797" t="s">
        <v>33</v>
      </c>
      <c r="E5797" t="s">
        <v>7855</v>
      </c>
      <c r="F5797" t="s">
        <v>7982</v>
      </c>
    </row>
    <row r="5798" spans="1:6" x14ac:dyDescent="0.25">
      <c r="A5798" t="str">
        <f>"352703750307"</f>
        <v>352703750307</v>
      </c>
      <c r="B5798" t="s">
        <v>7983</v>
      </c>
      <c r="C5798" t="s">
        <v>7</v>
      </c>
      <c r="D5798" t="s">
        <v>14</v>
      </c>
      <c r="E5798" t="s">
        <v>7855</v>
      </c>
    </row>
    <row r="5799" spans="1:6" x14ac:dyDescent="0.25">
      <c r="A5799" t="str">
        <f>"352800018770"</f>
        <v>352800018770</v>
      </c>
      <c r="B5799" t="s">
        <v>7984</v>
      </c>
      <c r="C5799" t="s">
        <v>7</v>
      </c>
      <c r="D5799" t="s">
        <v>14</v>
      </c>
      <c r="E5799" t="s">
        <v>7855</v>
      </c>
    </row>
    <row r="5800" spans="1:6" x14ac:dyDescent="0.25">
      <c r="A5800" t="str">
        <f>"352800264165"</f>
        <v>352800264165</v>
      </c>
      <c r="B5800" t="s">
        <v>7985</v>
      </c>
      <c r="C5800" t="s">
        <v>7</v>
      </c>
      <c r="D5800" t="s">
        <v>12</v>
      </c>
      <c r="E5800" t="s">
        <v>7855</v>
      </c>
    </row>
    <row r="5801" spans="1:6" x14ac:dyDescent="0.25">
      <c r="A5801" t="str">
        <f>"352800372957"</f>
        <v>352800372957</v>
      </c>
      <c r="B5801" t="s">
        <v>7986</v>
      </c>
      <c r="C5801" t="s">
        <v>7</v>
      </c>
      <c r="D5801" t="s">
        <v>14</v>
      </c>
      <c r="E5801" t="s">
        <v>7855</v>
      </c>
    </row>
    <row r="5802" spans="1:6" x14ac:dyDescent="0.25">
      <c r="A5802" t="str">
        <f>"352800754459"</f>
        <v>352800754459</v>
      </c>
      <c r="B5802" t="s">
        <v>7987</v>
      </c>
      <c r="C5802" t="s">
        <v>7</v>
      </c>
      <c r="D5802" t="s">
        <v>14</v>
      </c>
      <c r="E5802" t="s">
        <v>7855</v>
      </c>
    </row>
    <row r="5803" spans="1:6" x14ac:dyDescent="0.25">
      <c r="A5803" t="str">
        <f>"352805424422"</f>
        <v>352805424422</v>
      </c>
      <c r="B5803" t="s">
        <v>7988</v>
      </c>
      <c r="C5803" t="s">
        <v>7</v>
      </c>
      <c r="D5803" t="s">
        <v>14</v>
      </c>
      <c r="E5803" t="s">
        <v>7855</v>
      </c>
    </row>
    <row r="5804" spans="1:6" x14ac:dyDescent="0.25">
      <c r="A5804" t="str">
        <f>"3528080289"</f>
        <v>3528080289</v>
      </c>
      <c r="B5804" t="s">
        <v>7989</v>
      </c>
      <c r="C5804" t="s">
        <v>7</v>
      </c>
      <c r="D5804" t="s">
        <v>14</v>
      </c>
      <c r="E5804" t="s">
        <v>7855</v>
      </c>
      <c r="F5804" t="s">
        <v>7990</v>
      </c>
    </row>
    <row r="5805" spans="1:6" x14ac:dyDescent="0.25">
      <c r="A5805" t="str">
        <f>"3528086594"</f>
        <v>3528086594</v>
      </c>
      <c r="B5805" t="s">
        <v>7991</v>
      </c>
      <c r="C5805" t="s">
        <v>7</v>
      </c>
      <c r="D5805" t="s">
        <v>12</v>
      </c>
      <c r="E5805" t="s">
        <v>7855</v>
      </c>
      <c r="F5805" t="s">
        <v>7992</v>
      </c>
    </row>
    <row r="5806" spans="1:6" x14ac:dyDescent="0.25">
      <c r="A5806" t="str">
        <f>"352811678295"</f>
        <v>352811678295</v>
      </c>
      <c r="B5806" t="s">
        <v>7993</v>
      </c>
      <c r="C5806" t="s">
        <v>7</v>
      </c>
      <c r="D5806" t="s">
        <v>12</v>
      </c>
      <c r="E5806" t="s">
        <v>7855</v>
      </c>
    </row>
    <row r="5807" spans="1:6" x14ac:dyDescent="0.25">
      <c r="A5807" t="str">
        <f>"3528174561"</f>
        <v>3528174561</v>
      </c>
      <c r="B5807" t="s">
        <v>7994</v>
      </c>
      <c r="C5807" t="s">
        <v>7</v>
      </c>
      <c r="D5807" t="s">
        <v>674</v>
      </c>
      <c r="E5807" t="s">
        <v>7855</v>
      </c>
      <c r="F5807" t="s">
        <v>7995</v>
      </c>
    </row>
    <row r="5808" spans="1:6" x14ac:dyDescent="0.25">
      <c r="A5808" t="str">
        <f>"3528185570"</f>
        <v>3528185570</v>
      </c>
      <c r="B5808" t="s">
        <v>7996</v>
      </c>
      <c r="C5808" t="s">
        <v>7</v>
      </c>
      <c r="D5808" t="s">
        <v>33</v>
      </c>
      <c r="E5808" t="s">
        <v>7855</v>
      </c>
      <c r="F5808" t="s">
        <v>7997</v>
      </c>
    </row>
    <row r="5809" spans="1:6" x14ac:dyDescent="0.25">
      <c r="A5809" t="str">
        <f>"3528214380"</f>
        <v>3528214380</v>
      </c>
      <c r="B5809" t="s">
        <v>2595</v>
      </c>
      <c r="C5809" t="s">
        <v>7</v>
      </c>
      <c r="D5809" t="s">
        <v>33</v>
      </c>
      <c r="E5809" t="s">
        <v>7855</v>
      </c>
      <c r="F5809" t="s">
        <v>7998</v>
      </c>
    </row>
    <row r="5810" spans="1:6" x14ac:dyDescent="0.25">
      <c r="A5810" t="str">
        <f>"352828019100"</f>
        <v>352828019100</v>
      </c>
      <c r="B5810" t="s">
        <v>7999</v>
      </c>
      <c r="C5810" t="s">
        <v>7</v>
      </c>
      <c r="D5810" t="s">
        <v>14</v>
      </c>
      <c r="E5810" t="s">
        <v>7855</v>
      </c>
    </row>
    <row r="5811" spans="1:6" x14ac:dyDescent="0.25">
      <c r="A5811" t="str">
        <f>"352828621804"</f>
        <v>352828621804</v>
      </c>
      <c r="B5811" t="s">
        <v>8000</v>
      </c>
      <c r="C5811" t="s">
        <v>7</v>
      </c>
      <c r="D5811" t="s">
        <v>14</v>
      </c>
      <c r="E5811" t="s">
        <v>7855</v>
      </c>
    </row>
    <row r="5812" spans="1:6" x14ac:dyDescent="0.25">
      <c r="A5812" t="str">
        <f>"3528287501"</f>
        <v>3528287501</v>
      </c>
      <c r="B5812" t="s">
        <v>4633</v>
      </c>
      <c r="C5812" t="s">
        <v>7</v>
      </c>
      <c r="D5812" t="s">
        <v>33</v>
      </c>
      <c r="E5812" t="s">
        <v>7855</v>
      </c>
      <c r="F5812" t="s">
        <v>8001</v>
      </c>
    </row>
    <row r="5813" spans="1:6" x14ac:dyDescent="0.25">
      <c r="A5813" t="str">
        <f>"3528308695"</f>
        <v>3528308695</v>
      </c>
      <c r="B5813" t="s">
        <v>8002</v>
      </c>
      <c r="C5813" t="s">
        <v>7</v>
      </c>
      <c r="D5813" t="s">
        <v>12</v>
      </c>
      <c r="E5813" t="s">
        <v>7855</v>
      </c>
      <c r="F5813" t="s">
        <v>8003</v>
      </c>
    </row>
    <row r="5814" spans="1:6" x14ac:dyDescent="0.25">
      <c r="A5814" t="str">
        <f>"3528315533"</f>
        <v>3528315533</v>
      </c>
      <c r="B5814" t="s">
        <v>8004</v>
      </c>
      <c r="C5814" t="s">
        <v>7</v>
      </c>
      <c r="D5814" t="s">
        <v>12</v>
      </c>
      <c r="E5814" t="s">
        <v>7855</v>
      </c>
      <c r="F5814" t="s">
        <v>8005</v>
      </c>
    </row>
    <row r="5815" spans="1:6" x14ac:dyDescent="0.25">
      <c r="A5815" t="str">
        <f>"352833837206"</f>
        <v>352833837206</v>
      </c>
      <c r="B5815" t="s">
        <v>8006</v>
      </c>
      <c r="C5815" t="s">
        <v>7</v>
      </c>
      <c r="D5815" t="s">
        <v>12</v>
      </c>
      <c r="E5815" t="s">
        <v>7855</v>
      </c>
    </row>
    <row r="5816" spans="1:6" x14ac:dyDescent="0.25">
      <c r="A5816" t="str">
        <f>"353001546800"</f>
        <v>353001546800</v>
      </c>
      <c r="B5816" t="s">
        <v>8007</v>
      </c>
      <c r="C5816" t="s">
        <v>7</v>
      </c>
      <c r="D5816" t="s">
        <v>14</v>
      </c>
      <c r="E5816" t="s">
        <v>7855</v>
      </c>
    </row>
    <row r="5817" spans="1:6" x14ac:dyDescent="0.25">
      <c r="A5817" t="str">
        <f>"3500008959"</f>
        <v>3500008959</v>
      </c>
      <c r="B5817" t="s">
        <v>8008</v>
      </c>
      <c r="C5817" t="s">
        <v>7</v>
      </c>
      <c r="D5817" t="s">
        <v>12</v>
      </c>
      <c r="E5817" t="s">
        <v>7855</v>
      </c>
      <c r="F5817" t="s">
        <v>8009</v>
      </c>
    </row>
    <row r="5818" spans="1:6" x14ac:dyDescent="0.25">
      <c r="A5818" t="str">
        <f>"350700116603"</f>
        <v>350700116603</v>
      </c>
      <c r="B5818" t="s">
        <v>8010</v>
      </c>
      <c r="C5818" t="s">
        <v>7</v>
      </c>
      <c r="D5818" t="s">
        <v>14</v>
      </c>
      <c r="E5818" t="s">
        <v>7855</v>
      </c>
    </row>
    <row r="5819" spans="1:6" x14ac:dyDescent="0.25">
      <c r="A5819" t="str">
        <f>"350800059620"</f>
        <v>350800059620</v>
      </c>
      <c r="B5819" t="s">
        <v>8011</v>
      </c>
      <c r="C5819" t="s">
        <v>7</v>
      </c>
      <c r="D5819" t="s">
        <v>14</v>
      </c>
      <c r="E5819" t="s">
        <v>7855</v>
      </c>
    </row>
    <row r="5820" spans="1:6" x14ac:dyDescent="0.25">
      <c r="A5820" t="str">
        <f>"350800517119"</f>
        <v>350800517119</v>
      </c>
      <c r="B5820" t="s">
        <v>8012</v>
      </c>
      <c r="C5820" t="s">
        <v>7</v>
      </c>
      <c r="D5820" t="s">
        <v>14</v>
      </c>
      <c r="E5820" t="s">
        <v>7855</v>
      </c>
    </row>
    <row r="5821" spans="1:6" x14ac:dyDescent="0.25">
      <c r="A5821" t="str">
        <f>"351000590457"</f>
        <v>351000590457</v>
      </c>
      <c r="B5821" t="s">
        <v>8013</v>
      </c>
      <c r="C5821" t="s">
        <v>7</v>
      </c>
      <c r="D5821" t="s">
        <v>14</v>
      </c>
      <c r="E5821" t="s">
        <v>7855</v>
      </c>
    </row>
    <row r="5822" spans="1:6" x14ac:dyDescent="0.25">
      <c r="A5822" t="str">
        <f>"351000808336"</f>
        <v>351000808336</v>
      </c>
      <c r="B5822" t="s">
        <v>8014</v>
      </c>
      <c r="C5822" t="s">
        <v>7</v>
      </c>
      <c r="D5822" t="s">
        <v>12</v>
      </c>
      <c r="E5822" t="s">
        <v>7855</v>
      </c>
    </row>
    <row r="5823" spans="1:6" x14ac:dyDescent="0.25">
      <c r="A5823" t="str">
        <f>"351200885024"</f>
        <v>351200885024</v>
      </c>
      <c r="B5823" t="s">
        <v>8015</v>
      </c>
      <c r="C5823" t="s">
        <v>7</v>
      </c>
      <c r="D5823" t="s">
        <v>14</v>
      </c>
      <c r="E5823" t="s">
        <v>7855</v>
      </c>
    </row>
    <row r="5824" spans="1:6" x14ac:dyDescent="0.25">
      <c r="A5824" t="str">
        <f>"351201026515"</f>
        <v>351201026515</v>
      </c>
      <c r="B5824" t="s">
        <v>8016</v>
      </c>
      <c r="C5824" t="s">
        <v>7</v>
      </c>
      <c r="D5824" t="s">
        <v>14</v>
      </c>
      <c r="E5824" t="s">
        <v>7855</v>
      </c>
    </row>
    <row r="5825" spans="1:6" x14ac:dyDescent="0.25">
      <c r="A5825" t="str">
        <f>"351400811816"</f>
        <v>351400811816</v>
      </c>
      <c r="B5825" t="s">
        <v>8017</v>
      </c>
      <c r="C5825" t="s">
        <v>7</v>
      </c>
      <c r="D5825" t="s">
        <v>14</v>
      </c>
      <c r="E5825" t="s">
        <v>7855</v>
      </c>
    </row>
    <row r="5826" spans="1:6" x14ac:dyDescent="0.25">
      <c r="A5826" t="str">
        <f>"352001325005"</f>
        <v>352001325005</v>
      </c>
      <c r="B5826" t="s">
        <v>8018</v>
      </c>
      <c r="C5826" t="s">
        <v>7</v>
      </c>
      <c r="D5826" t="s">
        <v>14</v>
      </c>
      <c r="E5826" t="s">
        <v>7855</v>
      </c>
    </row>
    <row r="5827" spans="1:6" x14ac:dyDescent="0.25">
      <c r="A5827" t="str">
        <f>"3521007018"</f>
        <v>3521007018</v>
      </c>
      <c r="B5827" t="s">
        <v>8019</v>
      </c>
      <c r="C5827" t="s">
        <v>7</v>
      </c>
      <c r="D5827" t="s">
        <v>14</v>
      </c>
      <c r="E5827" t="s">
        <v>7855</v>
      </c>
      <c r="F5827" t="s">
        <v>8020</v>
      </c>
    </row>
    <row r="5828" spans="1:6" x14ac:dyDescent="0.25">
      <c r="A5828" t="str">
        <f>"352301183802"</f>
        <v>352301183802</v>
      </c>
      <c r="B5828" t="s">
        <v>8021</v>
      </c>
      <c r="C5828" t="s">
        <v>7</v>
      </c>
      <c r="D5828" t="s">
        <v>14</v>
      </c>
      <c r="E5828" t="s">
        <v>7855</v>
      </c>
    </row>
    <row r="5829" spans="1:6" x14ac:dyDescent="0.25">
      <c r="A5829" t="str">
        <f>"352302008602"</f>
        <v>352302008602</v>
      </c>
      <c r="B5829" t="s">
        <v>8022</v>
      </c>
      <c r="C5829" t="s">
        <v>7</v>
      </c>
      <c r="D5829" t="s">
        <v>14</v>
      </c>
      <c r="E5829" t="s">
        <v>7855</v>
      </c>
    </row>
    <row r="5830" spans="1:6" x14ac:dyDescent="0.25">
      <c r="A5830" t="str">
        <f>"352303673930"</f>
        <v>352303673930</v>
      </c>
      <c r="B5830" t="s">
        <v>8023</v>
      </c>
      <c r="C5830" t="s">
        <v>7</v>
      </c>
      <c r="D5830" t="s">
        <v>14</v>
      </c>
      <c r="E5830" t="s">
        <v>7855</v>
      </c>
    </row>
    <row r="5831" spans="1:6" x14ac:dyDescent="0.25">
      <c r="A5831" t="str">
        <f>"352500101378"</f>
        <v>352500101378</v>
      </c>
      <c r="B5831" t="s">
        <v>8024</v>
      </c>
      <c r="C5831" t="s">
        <v>7</v>
      </c>
      <c r="D5831" t="s">
        <v>14</v>
      </c>
      <c r="E5831" t="s">
        <v>7855</v>
      </c>
    </row>
    <row r="5832" spans="1:6" x14ac:dyDescent="0.25">
      <c r="A5832" t="str">
        <f>"3525158434"</f>
        <v>3525158434</v>
      </c>
      <c r="B5832" t="s">
        <v>8025</v>
      </c>
      <c r="C5832" t="s">
        <v>7</v>
      </c>
      <c r="D5832" t="s">
        <v>12</v>
      </c>
      <c r="E5832" t="s">
        <v>7855</v>
      </c>
      <c r="F5832" t="s">
        <v>8026</v>
      </c>
    </row>
    <row r="5833" spans="1:6" x14ac:dyDescent="0.25">
      <c r="A5833" t="str">
        <f>"3525187442"</f>
        <v>3525187442</v>
      </c>
      <c r="B5833" t="s">
        <v>6782</v>
      </c>
      <c r="C5833" t="s">
        <v>7</v>
      </c>
      <c r="D5833" t="s">
        <v>14</v>
      </c>
      <c r="E5833" t="s">
        <v>7855</v>
      </c>
      <c r="F5833" t="s">
        <v>8027</v>
      </c>
    </row>
    <row r="5834" spans="1:6" x14ac:dyDescent="0.25">
      <c r="A5834" t="str">
        <f>"3525196623"</f>
        <v>3525196623</v>
      </c>
      <c r="B5834" t="s">
        <v>479</v>
      </c>
      <c r="C5834" t="s">
        <v>7</v>
      </c>
      <c r="D5834" t="s">
        <v>33</v>
      </c>
      <c r="E5834" t="s">
        <v>7855</v>
      </c>
      <c r="F5834" t="s">
        <v>8028</v>
      </c>
    </row>
    <row r="5835" spans="1:6" x14ac:dyDescent="0.25">
      <c r="A5835" t="str">
        <f>"352525670827"</f>
        <v>352525670827</v>
      </c>
      <c r="B5835" t="s">
        <v>8029</v>
      </c>
      <c r="C5835" t="s">
        <v>7</v>
      </c>
      <c r="D5835" t="s">
        <v>12</v>
      </c>
      <c r="E5835" t="s">
        <v>7855</v>
      </c>
    </row>
    <row r="5836" spans="1:6" x14ac:dyDescent="0.25">
      <c r="A5836" t="str">
        <f>"352525880292"</f>
        <v>352525880292</v>
      </c>
      <c r="B5836" t="s">
        <v>8030</v>
      </c>
      <c r="C5836" t="s">
        <v>7</v>
      </c>
      <c r="D5836" t="s">
        <v>14</v>
      </c>
      <c r="E5836" t="s">
        <v>7855</v>
      </c>
    </row>
    <row r="5837" spans="1:6" x14ac:dyDescent="0.25">
      <c r="A5837" t="str">
        <f>"3525267384"</f>
        <v>3525267384</v>
      </c>
      <c r="B5837" t="s">
        <v>8031</v>
      </c>
      <c r="C5837" t="s">
        <v>7</v>
      </c>
      <c r="D5837" t="s">
        <v>33</v>
      </c>
      <c r="E5837" t="s">
        <v>7855</v>
      </c>
      <c r="F5837" t="s">
        <v>8032</v>
      </c>
    </row>
    <row r="5838" spans="1:6" x14ac:dyDescent="0.25">
      <c r="A5838" t="str">
        <f>"352527979787"</f>
        <v>352527979787</v>
      </c>
      <c r="B5838" t="s">
        <v>8033</v>
      </c>
      <c r="C5838" t="s">
        <v>7</v>
      </c>
      <c r="D5838" t="s">
        <v>12</v>
      </c>
      <c r="E5838" t="s">
        <v>7855</v>
      </c>
    </row>
    <row r="5839" spans="1:6" x14ac:dyDescent="0.25">
      <c r="A5839" t="str">
        <f>"352530330054"</f>
        <v>352530330054</v>
      </c>
      <c r="B5839" t="s">
        <v>8034</v>
      </c>
      <c r="C5839" t="s">
        <v>7</v>
      </c>
      <c r="D5839" t="s">
        <v>14</v>
      </c>
      <c r="E5839" t="s">
        <v>7855</v>
      </c>
    </row>
    <row r="5840" spans="1:6" x14ac:dyDescent="0.25">
      <c r="A5840" t="str">
        <f>"3525334672"</f>
        <v>3525334672</v>
      </c>
      <c r="B5840" t="s">
        <v>8035</v>
      </c>
      <c r="C5840" t="s">
        <v>7</v>
      </c>
      <c r="D5840" t="s">
        <v>33</v>
      </c>
      <c r="E5840" t="s">
        <v>7855</v>
      </c>
      <c r="F5840" t="s">
        <v>8036</v>
      </c>
    </row>
    <row r="5841" spans="1:6" x14ac:dyDescent="0.25">
      <c r="A5841" t="str">
        <f>"352536794302"</f>
        <v>352536794302</v>
      </c>
      <c r="B5841" t="s">
        <v>8037</v>
      </c>
      <c r="C5841" t="s">
        <v>7</v>
      </c>
      <c r="D5841" t="s">
        <v>14</v>
      </c>
      <c r="E5841" t="s">
        <v>7855</v>
      </c>
    </row>
    <row r="5842" spans="1:6" x14ac:dyDescent="0.25">
      <c r="A5842" t="str">
        <f>"3525376190"</f>
        <v>3525376190</v>
      </c>
      <c r="B5842" t="s">
        <v>8038</v>
      </c>
      <c r="C5842" t="s">
        <v>7</v>
      </c>
      <c r="D5842" t="s">
        <v>14</v>
      </c>
      <c r="E5842" t="s">
        <v>7855</v>
      </c>
      <c r="F5842" t="s">
        <v>8039</v>
      </c>
    </row>
    <row r="5843" spans="1:6" x14ac:dyDescent="0.25">
      <c r="A5843" t="str">
        <f>"3525395918"</f>
        <v>3525395918</v>
      </c>
      <c r="B5843" t="s">
        <v>8040</v>
      </c>
      <c r="C5843" t="s">
        <v>7</v>
      </c>
      <c r="D5843" t="s">
        <v>14</v>
      </c>
      <c r="E5843" t="s">
        <v>7855</v>
      </c>
      <c r="F5843" t="s">
        <v>8041</v>
      </c>
    </row>
    <row r="5844" spans="1:6" x14ac:dyDescent="0.25">
      <c r="A5844" t="str">
        <f>"3525404070"</f>
        <v>3525404070</v>
      </c>
      <c r="B5844" t="s">
        <v>8042</v>
      </c>
      <c r="C5844" t="s">
        <v>7</v>
      </c>
      <c r="D5844" t="s">
        <v>12</v>
      </c>
      <c r="E5844" t="s">
        <v>7855</v>
      </c>
      <c r="F5844" t="s">
        <v>8043</v>
      </c>
    </row>
    <row r="5845" spans="1:6" x14ac:dyDescent="0.25">
      <c r="A5845" t="str">
        <f>"3525408187"</f>
        <v>3525408187</v>
      </c>
      <c r="B5845" t="s">
        <v>6548</v>
      </c>
      <c r="C5845" t="s">
        <v>7</v>
      </c>
      <c r="D5845" t="s">
        <v>14</v>
      </c>
      <c r="E5845" t="s">
        <v>7855</v>
      </c>
      <c r="F5845" t="s">
        <v>8044</v>
      </c>
    </row>
    <row r="5846" spans="1:6" x14ac:dyDescent="0.25">
      <c r="A5846" t="str">
        <f>"3525420875"</f>
        <v>3525420875</v>
      </c>
      <c r="B5846" t="s">
        <v>8045</v>
      </c>
      <c r="C5846" t="s">
        <v>7</v>
      </c>
      <c r="D5846" t="s">
        <v>12</v>
      </c>
      <c r="E5846" t="s">
        <v>7855</v>
      </c>
      <c r="F5846" t="s">
        <v>8046</v>
      </c>
    </row>
    <row r="5847" spans="1:6" x14ac:dyDescent="0.25">
      <c r="A5847" t="str">
        <f>"3525450990"</f>
        <v>3525450990</v>
      </c>
      <c r="B5847" t="s">
        <v>8047</v>
      </c>
      <c r="C5847" t="s">
        <v>7</v>
      </c>
      <c r="D5847" t="s">
        <v>14</v>
      </c>
      <c r="E5847" t="s">
        <v>7855</v>
      </c>
      <c r="F5847" t="s">
        <v>8048</v>
      </c>
    </row>
    <row r="5848" spans="1:6" x14ac:dyDescent="0.25">
      <c r="A5848" t="str">
        <f>"3525464015"</f>
        <v>3525464015</v>
      </c>
      <c r="B5848" t="s">
        <v>8049</v>
      </c>
      <c r="C5848" t="s">
        <v>7</v>
      </c>
      <c r="D5848" t="s">
        <v>14</v>
      </c>
      <c r="E5848" t="s">
        <v>7855</v>
      </c>
      <c r="F5848" t="s">
        <v>8050</v>
      </c>
    </row>
    <row r="5849" spans="1:6" x14ac:dyDescent="0.25">
      <c r="A5849" t="str">
        <f>"352603611109"</f>
        <v>352603611109</v>
      </c>
      <c r="B5849" t="s">
        <v>8051</v>
      </c>
      <c r="C5849" t="s">
        <v>7</v>
      </c>
      <c r="D5849" t="s">
        <v>12</v>
      </c>
      <c r="E5849" t="s">
        <v>7855</v>
      </c>
    </row>
    <row r="5850" spans="1:6" x14ac:dyDescent="0.25">
      <c r="A5850" t="str">
        <f>"352604752906"</f>
        <v>352604752906</v>
      </c>
      <c r="B5850" t="s">
        <v>8052</v>
      </c>
      <c r="C5850" t="s">
        <v>7</v>
      </c>
      <c r="D5850" t="s">
        <v>14</v>
      </c>
      <c r="E5850" t="s">
        <v>7855</v>
      </c>
    </row>
    <row r="5851" spans="1:6" x14ac:dyDescent="0.25">
      <c r="A5851" t="str">
        <f>"3528018643"</f>
        <v>3528018643</v>
      </c>
      <c r="B5851" t="s">
        <v>8053</v>
      </c>
      <c r="C5851" t="s">
        <v>7</v>
      </c>
      <c r="D5851" t="s">
        <v>12</v>
      </c>
      <c r="E5851" t="s">
        <v>7855</v>
      </c>
      <c r="F5851" t="s">
        <v>7992</v>
      </c>
    </row>
    <row r="5852" spans="1:6" x14ac:dyDescent="0.25">
      <c r="A5852" t="str">
        <f>"3528074310"</f>
        <v>3528074310</v>
      </c>
      <c r="B5852" t="s">
        <v>8054</v>
      </c>
      <c r="C5852" t="s">
        <v>7</v>
      </c>
      <c r="D5852" t="s">
        <v>14</v>
      </c>
      <c r="E5852" t="s">
        <v>7855</v>
      </c>
      <c r="F5852" t="s">
        <v>8055</v>
      </c>
    </row>
    <row r="5853" spans="1:6" x14ac:dyDescent="0.25">
      <c r="A5853" t="str">
        <f>"3528134209"</f>
        <v>3528134209</v>
      </c>
      <c r="B5853" t="s">
        <v>8056</v>
      </c>
      <c r="C5853" t="s">
        <v>7</v>
      </c>
      <c r="D5853" t="s">
        <v>33</v>
      </c>
      <c r="E5853" t="s">
        <v>7855</v>
      </c>
      <c r="F5853" t="s">
        <v>8057</v>
      </c>
    </row>
    <row r="5854" spans="1:6" x14ac:dyDescent="0.25">
      <c r="A5854" t="str">
        <f>"3528141855"</f>
        <v>3528141855</v>
      </c>
      <c r="B5854" t="s">
        <v>8058</v>
      </c>
      <c r="C5854" t="s">
        <v>7</v>
      </c>
      <c r="D5854" t="s">
        <v>14</v>
      </c>
      <c r="E5854" t="s">
        <v>7855</v>
      </c>
      <c r="F5854" t="s">
        <v>8059</v>
      </c>
    </row>
    <row r="5855" spans="1:6" x14ac:dyDescent="0.25">
      <c r="A5855" t="str">
        <f>"352817104353"</f>
        <v>352817104353</v>
      </c>
      <c r="B5855" t="s">
        <v>8060</v>
      </c>
      <c r="C5855" t="s">
        <v>7</v>
      </c>
      <c r="D5855" t="s">
        <v>14</v>
      </c>
      <c r="E5855" t="s">
        <v>7855</v>
      </c>
    </row>
    <row r="5856" spans="1:6" x14ac:dyDescent="0.25">
      <c r="A5856" t="str">
        <f>"3528179337"</f>
        <v>3528179337</v>
      </c>
      <c r="B5856" t="s">
        <v>8061</v>
      </c>
      <c r="C5856" t="s">
        <v>7</v>
      </c>
      <c r="D5856" t="s">
        <v>12</v>
      </c>
      <c r="E5856" t="s">
        <v>7855</v>
      </c>
      <c r="F5856" t="s">
        <v>8062</v>
      </c>
    </row>
    <row r="5857" spans="1:6" x14ac:dyDescent="0.25">
      <c r="A5857" t="str">
        <f>"3528204199"</f>
        <v>3528204199</v>
      </c>
      <c r="B5857" t="s">
        <v>8063</v>
      </c>
      <c r="C5857" t="s">
        <v>7</v>
      </c>
      <c r="D5857" t="s">
        <v>33</v>
      </c>
      <c r="E5857" t="s">
        <v>7855</v>
      </c>
      <c r="F5857" t="s">
        <v>8064</v>
      </c>
    </row>
    <row r="5858" spans="1:6" x14ac:dyDescent="0.25">
      <c r="A5858" t="str">
        <f>"352820771734"</f>
        <v>352820771734</v>
      </c>
      <c r="B5858" t="s">
        <v>8065</v>
      </c>
      <c r="C5858" t="s">
        <v>7</v>
      </c>
      <c r="D5858" t="s">
        <v>12</v>
      </c>
      <c r="E5858" t="s">
        <v>7855</v>
      </c>
    </row>
    <row r="5859" spans="1:6" x14ac:dyDescent="0.25">
      <c r="A5859" t="str">
        <f>"352826742754"</f>
        <v>352826742754</v>
      </c>
      <c r="B5859" t="s">
        <v>8066</v>
      </c>
      <c r="C5859" t="s">
        <v>7</v>
      </c>
      <c r="D5859" t="s">
        <v>12</v>
      </c>
      <c r="E5859" t="s">
        <v>7855</v>
      </c>
    </row>
    <row r="5860" spans="1:6" x14ac:dyDescent="0.25">
      <c r="A5860" t="str">
        <f>"3528270716"</f>
        <v>3528270716</v>
      </c>
      <c r="B5860" t="s">
        <v>8067</v>
      </c>
      <c r="C5860" t="s">
        <v>7</v>
      </c>
      <c r="D5860" t="s">
        <v>33</v>
      </c>
      <c r="E5860" t="s">
        <v>7855</v>
      </c>
      <c r="F5860" t="s">
        <v>8068</v>
      </c>
    </row>
    <row r="5861" spans="1:6" x14ac:dyDescent="0.25">
      <c r="A5861" t="str">
        <f>"3528279187"</f>
        <v>3528279187</v>
      </c>
      <c r="B5861" t="s">
        <v>8069</v>
      </c>
      <c r="C5861" t="s">
        <v>7</v>
      </c>
      <c r="D5861" t="s">
        <v>12</v>
      </c>
      <c r="E5861" t="s">
        <v>7855</v>
      </c>
      <c r="F5861" t="s">
        <v>8070</v>
      </c>
    </row>
    <row r="5862" spans="1:6" x14ac:dyDescent="0.25">
      <c r="A5862" t="str">
        <f>"352829202732"</f>
        <v>352829202732</v>
      </c>
      <c r="B5862" t="s">
        <v>8071</v>
      </c>
      <c r="C5862" t="s">
        <v>7</v>
      </c>
      <c r="D5862" t="s">
        <v>14</v>
      </c>
      <c r="E5862" t="s">
        <v>7855</v>
      </c>
    </row>
    <row r="5863" spans="1:6" x14ac:dyDescent="0.25">
      <c r="A5863" t="str">
        <f>"352830387943"</f>
        <v>352830387943</v>
      </c>
      <c r="B5863" t="s">
        <v>8072</v>
      </c>
      <c r="C5863" t="s">
        <v>7</v>
      </c>
      <c r="D5863" t="s">
        <v>12</v>
      </c>
      <c r="E5863" t="s">
        <v>7855</v>
      </c>
    </row>
    <row r="5864" spans="1:6" x14ac:dyDescent="0.25">
      <c r="A5864" t="str">
        <f>"3528345552"</f>
        <v>3528345552</v>
      </c>
      <c r="B5864" t="s">
        <v>8073</v>
      </c>
      <c r="C5864" t="s">
        <v>7</v>
      </c>
      <c r="D5864" t="s">
        <v>12</v>
      </c>
      <c r="E5864" t="s">
        <v>7855</v>
      </c>
      <c r="F5864" t="s">
        <v>7931</v>
      </c>
    </row>
    <row r="5865" spans="1:6" x14ac:dyDescent="0.25">
      <c r="A5865" t="str">
        <f>"353003531189"</f>
        <v>353003531189</v>
      </c>
      <c r="B5865" t="s">
        <v>8074</v>
      </c>
      <c r="C5865" t="s">
        <v>7</v>
      </c>
      <c r="D5865" t="s">
        <v>14</v>
      </c>
      <c r="E5865" t="s">
        <v>7855</v>
      </c>
    </row>
    <row r="5866" spans="1:6" x14ac:dyDescent="0.25">
      <c r="A5866" t="str">
        <f>"4708008371"</f>
        <v>4708008371</v>
      </c>
      <c r="B5866" t="s">
        <v>8075</v>
      </c>
      <c r="C5866" t="s">
        <v>7</v>
      </c>
      <c r="D5866" t="s">
        <v>12</v>
      </c>
      <c r="E5866" t="s">
        <v>7855</v>
      </c>
      <c r="F5866" t="s">
        <v>8076</v>
      </c>
    </row>
    <row r="5867" spans="1:6" x14ac:dyDescent="0.25">
      <c r="A5867" t="str">
        <f>"4715031903"</f>
        <v>4715031903</v>
      </c>
      <c r="B5867" t="s">
        <v>2022</v>
      </c>
      <c r="C5867" t="s">
        <v>7</v>
      </c>
      <c r="D5867" t="s">
        <v>12</v>
      </c>
      <c r="E5867" t="s">
        <v>7855</v>
      </c>
      <c r="F5867" t="s">
        <v>8077</v>
      </c>
    </row>
    <row r="5868" spans="1:6" x14ac:dyDescent="0.25">
      <c r="A5868" t="str">
        <f>"780159659703"</f>
        <v>780159659703</v>
      </c>
      <c r="B5868" t="s">
        <v>8078</v>
      </c>
      <c r="C5868" t="s">
        <v>7</v>
      </c>
      <c r="D5868" t="s">
        <v>14</v>
      </c>
      <c r="E5868" t="s">
        <v>7855</v>
      </c>
    </row>
    <row r="5869" spans="1:6" x14ac:dyDescent="0.25">
      <c r="A5869" t="str">
        <f>"291202018936"</f>
        <v>291202018936</v>
      </c>
      <c r="B5869" t="s">
        <v>8079</v>
      </c>
      <c r="C5869" t="s">
        <v>7</v>
      </c>
      <c r="D5869" t="s">
        <v>14</v>
      </c>
      <c r="E5869" t="s">
        <v>7855</v>
      </c>
    </row>
    <row r="5870" spans="1:6" x14ac:dyDescent="0.25">
      <c r="A5870" t="str">
        <f>"3500011616"</f>
        <v>3500011616</v>
      </c>
      <c r="B5870" t="s">
        <v>8080</v>
      </c>
      <c r="C5870" t="s">
        <v>7</v>
      </c>
      <c r="D5870" t="s">
        <v>12</v>
      </c>
      <c r="E5870" t="s">
        <v>7855</v>
      </c>
      <c r="F5870" t="s">
        <v>8081</v>
      </c>
    </row>
    <row r="5871" spans="1:6" x14ac:dyDescent="0.25">
      <c r="A5871" t="str">
        <f>"350800174856"</f>
        <v>350800174856</v>
      </c>
      <c r="B5871" t="s">
        <v>8082</v>
      </c>
      <c r="C5871" t="s">
        <v>7</v>
      </c>
      <c r="D5871" t="s">
        <v>14</v>
      </c>
      <c r="E5871" t="s">
        <v>7855</v>
      </c>
    </row>
    <row r="5872" spans="1:6" x14ac:dyDescent="0.25">
      <c r="A5872" t="str">
        <f>"3523019788"</f>
        <v>3523019788</v>
      </c>
      <c r="B5872" t="s">
        <v>8083</v>
      </c>
      <c r="C5872" t="s">
        <v>7</v>
      </c>
      <c r="D5872" t="s">
        <v>33</v>
      </c>
      <c r="E5872" t="s">
        <v>7855</v>
      </c>
      <c r="F5872" t="s">
        <v>8084</v>
      </c>
    </row>
    <row r="5873" spans="1:6" x14ac:dyDescent="0.25">
      <c r="A5873" t="str">
        <f>"3523024410"</f>
        <v>3523024410</v>
      </c>
      <c r="B5873" t="s">
        <v>8085</v>
      </c>
      <c r="C5873" t="s">
        <v>7</v>
      </c>
      <c r="D5873" t="s">
        <v>33</v>
      </c>
      <c r="E5873" t="s">
        <v>7855</v>
      </c>
      <c r="F5873" t="s">
        <v>8086</v>
      </c>
    </row>
    <row r="5874" spans="1:6" x14ac:dyDescent="0.25">
      <c r="A5874" t="str">
        <f>"352500084411"</f>
        <v>352500084411</v>
      </c>
      <c r="B5874" t="s">
        <v>8087</v>
      </c>
      <c r="C5874" t="s">
        <v>7</v>
      </c>
      <c r="D5874" t="s">
        <v>14</v>
      </c>
      <c r="E5874" t="s">
        <v>7855</v>
      </c>
    </row>
    <row r="5875" spans="1:6" x14ac:dyDescent="0.25">
      <c r="A5875" t="str">
        <f>"352505180655"</f>
        <v>352505180655</v>
      </c>
      <c r="B5875" t="s">
        <v>8088</v>
      </c>
      <c r="C5875" t="s">
        <v>7</v>
      </c>
      <c r="D5875" t="s">
        <v>14</v>
      </c>
      <c r="E5875" t="s">
        <v>7855</v>
      </c>
    </row>
    <row r="5876" spans="1:6" x14ac:dyDescent="0.25">
      <c r="A5876" t="str">
        <f>"3525095505"</f>
        <v>3525095505</v>
      </c>
      <c r="B5876" t="s">
        <v>8089</v>
      </c>
      <c r="C5876" t="s">
        <v>7</v>
      </c>
      <c r="D5876" t="s">
        <v>12</v>
      </c>
      <c r="E5876" t="s">
        <v>7855</v>
      </c>
      <c r="F5876" t="s">
        <v>8090</v>
      </c>
    </row>
    <row r="5877" spans="1:6" x14ac:dyDescent="0.25">
      <c r="A5877" t="str">
        <f>"3525205290"</f>
        <v>3525205290</v>
      </c>
      <c r="B5877" t="s">
        <v>8091</v>
      </c>
      <c r="C5877" t="s">
        <v>7</v>
      </c>
      <c r="D5877" t="s">
        <v>14</v>
      </c>
      <c r="E5877" t="s">
        <v>7855</v>
      </c>
      <c r="F5877" t="s">
        <v>7952</v>
      </c>
    </row>
    <row r="5878" spans="1:6" x14ac:dyDescent="0.25">
      <c r="A5878" t="str">
        <f>"3525275794"</f>
        <v>3525275794</v>
      </c>
      <c r="B5878" t="s">
        <v>8092</v>
      </c>
      <c r="C5878" t="s">
        <v>7</v>
      </c>
      <c r="D5878" t="s">
        <v>12</v>
      </c>
      <c r="E5878" t="s">
        <v>7855</v>
      </c>
      <c r="F5878" t="s">
        <v>7889</v>
      </c>
    </row>
    <row r="5879" spans="1:6" x14ac:dyDescent="0.25">
      <c r="A5879" t="str">
        <f>"3525292920"</f>
        <v>3525292920</v>
      </c>
      <c r="B5879" t="s">
        <v>8093</v>
      </c>
      <c r="C5879" t="s">
        <v>7</v>
      </c>
      <c r="D5879" t="s">
        <v>12</v>
      </c>
      <c r="E5879" t="s">
        <v>7855</v>
      </c>
      <c r="F5879" t="s">
        <v>8094</v>
      </c>
    </row>
    <row r="5880" spans="1:6" x14ac:dyDescent="0.25">
      <c r="A5880" t="str">
        <f>"3525345441"</f>
        <v>3525345441</v>
      </c>
      <c r="B5880" t="s">
        <v>8095</v>
      </c>
      <c r="C5880" t="s">
        <v>7</v>
      </c>
      <c r="D5880" t="s">
        <v>14</v>
      </c>
      <c r="E5880" t="s">
        <v>7855</v>
      </c>
      <c r="F5880" t="s">
        <v>8096</v>
      </c>
    </row>
    <row r="5881" spans="1:6" x14ac:dyDescent="0.25">
      <c r="A5881" t="str">
        <f>"352604472306"</f>
        <v>352604472306</v>
      </c>
      <c r="B5881" t="s">
        <v>8097</v>
      </c>
      <c r="C5881" t="s">
        <v>7</v>
      </c>
      <c r="D5881" t="s">
        <v>14</v>
      </c>
      <c r="E5881" t="s">
        <v>7855</v>
      </c>
    </row>
    <row r="5882" spans="1:6" x14ac:dyDescent="0.25">
      <c r="A5882" t="str">
        <f>"3527022284"</f>
        <v>3527022284</v>
      </c>
      <c r="B5882" t="s">
        <v>8098</v>
      </c>
      <c r="C5882" t="s">
        <v>7</v>
      </c>
      <c r="D5882" t="s">
        <v>33</v>
      </c>
      <c r="E5882" t="s">
        <v>7855</v>
      </c>
      <c r="F5882" t="s">
        <v>7913</v>
      </c>
    </row>
    <row r="5883" spans="1:6" x14ac:dyDescent="0.25">
      <c r="A5883" t="str">
        <f>"352808005412"</f>
        <v>352808005412</v>
      </c>
      <c r="B5883" t="s">
        <v>8099</v>
      </c>
      <c r="C5883" t="s">
        <v>7</v>
      </c>
      <c r="D5883" t="s">
        <v>33</v>
      </c>
      <c r="E5883" t="s">
        <v>7855</v>
      </c>
    </row>
    <row r="5884" spans="1:6" x14ac:dyDescent="0.25">
      <c r="A5884" t="str">
        <f>"352823917999"</f>
        <v>352823917999</v>
      </c>
      <c r="B5884" t="s">
        <v>8100</v>
      </c>
      <c r="C5884" t="s">
        <v>7</v>
      </c>
      <c r="D5884" t="s">
        <v>12</v>
      </c>
      <c r="E5884" t="s">
        <v>7855</v>
      </c>
    </row>
    <row r="5885" spans="1:6" x14ac:dyDescent="0.25">
      <c r="A5885" t="str">
        <f>"353003638534"</f>
        <v>353003638534</v>
      </c>
      <c r="B5885" t="s">
        <v>8101</v>
      </c>
      <c r="C5885" t="s">
        <v>7</v>
      </c>
      <c r="D5885" t="s">
        <v>14</v>
      </c>
      <c r="E5885" t="s">
        <v>7855</v>
      </c>
    </row>
    <row r="5886" spans="1:6" x14ac:dyDescent="0.25">
      <c r="A5886" t="str">
        <f>"290700905110"</f>
        <v>290700905110</v>
      </c>
      <c r="B5886" t="s">
        <v>8102</v>
      </c>
      <c r="C5886" t="s">
        <v>7</v>
      </c>
      <c r="D5886" t="s">
        <v>14</v>
      </c>
      <c r="E5886" t="s">
        <v>7855</v>
      </c>
    </row>
    <row r="5887" spans="1:6" x14ac:dyDescent="0.25">
      <c r="A5887" t="str">
        <f>"7603073869"</f>
        <v>7603073869</v>
      </c>
      <c r="B5887" t="s">
        <v>8103</v>
      </c>
      <c r="C5887" t="s">
        <v>7</v>
      </c>
      <c r="D5887" t="s">
        <v>98</v>
      </c>
      <c r="E5887" t="s">
        <v>7855</v>
      </c>
      <c r="F5887" t="s">
        <v>8104</v>
      </c>
    </row>
    <row r="5888" spans="1:6" x14ac:dyDescent="0.25">
      <c r="A5888" t="str">
        <f>"614908546972"</f>
        <v>614908546972</v>
      </c>
      <c r="B5888" t="s">
        <v>8105</v>
      </c>
      <c r="C5888" t="s">
        <v>7</v>
      </c>
      <c r="D5888" t="s">
        <v>14</v>
      </c>
      <c r="E5888" t="s">
        <v>8106</v>
      </c>
    </row>
    <row r="5889" spans="1:6" x14ac:dyDescent="0.25">
      <c r="A5889" t="str">
        <f>"352509536398"</f>
        <v>352509536398</v>
      </c>
      <c r="B5889" t="s">
        <v>8107</v>
      </c>
      <c r="C5889" t="s">
        <v>7</v>
      </c>
      <c r="D5889" t="s">
        <v>14</v>
      </c>
      <c r="E5889" t="s">
        <v>8106</v>
      </c>
    </row>
    <row r="5890" spans="1:6" x14ac:dyDescent="0.25">
      <c r="A5890" t="str">
        <f>"3601010104"</f>
        <v>3601010104</v>
      </c>
      <c r="B5890" t="s">
        <v>8108</v>
      </c>
      <c r="C5890" t="s">
        <v>7</v>
      </c>
      <c r="D5890" t="s">
        <v>14</v>
      </c>
      <c r="E5890" t="s">
        <v>8106</v>
      </c>
      <c r="F5890" t="s">
        <v>8109</v>
      </c>
    </row>
    <row r="5891" spans="1:6" x14ac:dyDescent="0.25">
      <c r="A5891" t="str">
        <f>"360105579543"</f>
        <v>360105579543</v>
      </c>
      <c r="B5891" t="s">
        <v>8110</v>
      </c>
      <c r="C5891" t="s">
        <v>7</v>
      </c>
      <c r="D5891" t="s">
        <v>14</v>
      </c>
      <c r="E5891" t="s">
        <v>8106</v>
      </c>
    </row>
    <row r="5892" spans="1:6" x14ac:dyDescent="0.25">
      <c r="A5892" t="str">
        <f>"360106054852"</f>
        <v>360106054852</v>
      </c>
      <c r="B5892" t="s">
        <v>8111</v>
      </c>
      <c r="C5892" t="s">
        <v>7</v>
      </c>
      <c r="D5892" t="s">
        <v>14</v>
      </c>
      <c r="E5892" t="s">
        <v>8106</v>
      </c>
    </row>
    <row r="5893" spans="1:6" x14ac:dyDescent="0.25">
      <c r="A5893" t="str">
        <f>"3602012947"</f>
        <v>3602012947</v>
      </c>
      <c r="B5893" t="s">
        <v>8112</v>
      </c>
      <c r="C5893" t="s">
        <v>7</v>
      </c>
      <c r="D5893" t="s">
        <v>14</v>
      </c>
      <c r="E5893" t="s">
        <v>8106</v>
      </c>
      <c r="F5893" t="s">
        <v>8113</v>
      </c>
    </row>
    <row r="5894" spans="1:6" x14ac:dyDescent="0.25">
      <c r="A5894" t="str">
        <f>"360400616591"</f>
        <v>360400616591</v>
      </c>
      <c r="B5894" t="s">
        <v>8114</v>
      </c>
      <c r="C5894" t="s">
        <v>7</v>
      </c>
      <c r="D5894" t="s">
        <v>14</v>
      </c>
      <c r="E5894" t="s">
        <v>8106</v>
      </c>
    </row>
    <row r="5895" spans="1:6" x14ac:dyDescent="0.25">
      <c r="A5895" t="str">
        <f>"360401625831"</f>
        <v>360401625831</v>
      </c>
      <c r="B5895" t="s">
        <v>8115</v>
      </c>
      <c r="C5895" t="s">
        <v>7</v>
      </c>
      <c r="D5895" t="s">
        <v>33</v>
      </c>
      <c r="E5895" t="s">
        <v>8106</v>
      </c>
    </row>
    <row r="5896" spans="1:6" x14ac:dyDescent="0.25">
      <c r="A5896" t="str">
        <f>"3604018581"</f>
        <v>3604018581</v>
      </c>
      <c r="B5896" t="s">
        <v>8116</v>
      </c>
      <c r="C5896" t="s">
        <v>7</v>
      </c>
      <c r="D5896" t="s">
        <v>14</v>
      </c>
      <c r="E5896" t="s">
        <v>8106</v>
      </c>
      <c r="F5896" t="s">
        <v>8117</v>
      </c>
    </row>
    <row r="5897" spans="1:6" x14ac:dyDescent="0.25">
      <c r="A5897" t="str">
        <f>"3604021312"</f>
        <v>3604021312</v>
      </c>
      <c r="B5897" t="s">
        <v>327</v>
      </c>
      <c r="C5897" t="s">
        <v>7</v>
      </c>
      <c r="D5897" t="s">
        <v>12</v>
      </c>
      <c r="E5897" t="s">
        <v>8106</v>
      </c>
      <c r="F5897" t="s">
        <v>8118</v>
      </c>
    </row>
    <row r="5898" spans="1:6" x14ac:dyDescent="0.25">
      <c r="A5898" t="str">
        <f>"3525250944"</f>
        <v>3525250944</v>
      </c>
      <c r="B5898" t="s">
        <v>8119</v>
      </c>
      <c r="C5898" t="s">
        <v>7</v>
      </c>
      <c r="D5898" t="s">
        <v>14</v>
      </c>
      <c r="E5898" t="s">
        <v>8106</v>
      </c>
      <c r="F5898" t="s">
        <v>8120</v>
      </c>
    </row>
    <row r="5899" spans="1:6" x14ac:dyDescent="0.25">
      <c r="A5899" t="str">
        <f>"360100206234"</f>
        <v>360100206234</v>
      </c>
      <c r="B5899" t="s">
        <v>8121</v>
      </c>
      <c r="C5899" t="s">
        <v>7</v>
      </c>
      <c r="D5899" t="s">
        <v>14</v>
      </c>
      <c r="E5899" t="s">
        <v>8106</v>
      </c>
    </row>
    <row r="5900" spans="1:6" x14ac:dyDescent="0.25">
      <c r="A5900" t="str">
        <f>"360102884764"</f>
        <v>360102884764</v>
      </c>
      <c r="B5900" t="s">
        <v>8122</v>
      </c>
      <c r="C5900" t="s">
        <v>7</v>
      </c>
      <c r="D5900" t="s">
        <v>14</v>
      </c>
      <c r="E5900" t="s">
        <v>8106</v>
      </c>
    </row>
    <row r="5901" spans="1:6" x14ac:dyDescent="0.25">
      <c r="A5901" t="str">
        <f>"360302549019"</f>
        <v>360302549019</v>
      </c>
      <c r="B5901" t="s">
        <v>8123</v>
      </c>
      <c r="C5901" t="s">
        <v>7</v>
      </c>
      <c r="D5901" t="s">
        <v>14</v>
      </c>
      <c r="E5901" t="s">
        <v>8106</v>
      </c>
    </row>
    <row r="5902" spans="1:6" x14ac:dyDescent="0.25">
      <c r="A5902" t="str">
        <f>"360302672661"</f>
        <v>360302672661</v>
      </c>
      <c r="B5902" t="s">
        <v>8124</v>
      </c>
      <c r="C5902" t="s">
        <v>7</v>
      </c>
      <c r="D5902" t="s">
        <v>14</v>
      </c>
      <c r="E5902" t="s">
        <v>8106</v>
      </c>
    </row>
    <row r="5903" spans="1:6" x14ac:dyDescent="0.25">
      <c r="A5903" t="str">
        <f>"3604000506"</f>
        <v>3604000506</v>
      </c>
      <c r="B5903" t="s">
        <v>7763</v>
      </c>
      <c r="C5903" t="s">
        <v>7</v>
      </c>
      <c r="D5903" t="s">
        <v>12</v>
      </c>
      <c r="E5903" t="s">
        <v>8106</v>
      </c>
      <c r="F5903" t="s">
        <v>8125</v>
      </c>
    </row>
    <row r="5904" spans="1:6" x14ac:dyDescent="0.25">
      <c r="A5904" t="str">
        <f>"360400244495"</f>
        <v>360400244495</v>
      </c>
      <c r="B5904" t="s">
        <v>8126</v>
      </c>
      <c r="C5904" t="s">
        <v>7</v>
      </c>
      <c r="D5904" t="s">
        <v>14</v>
      </c>
      <c r="E5904" t="s">
        <v>8106</v>
      </c>
    </row>
    <row r="5905" spans="1:6" x14ac:dyDescent="0.25">
      <c r="A5905" t="str">
        <f>"360400251781"</f>
        <v>360400251781</v>
      </c>
      <c r="B5905" t="s">
        <v>8127</v>
      </c>
      <c r="C5905" t="s">
        <v>7</v>
      </c>
      <c r="D5905" t="s">
        <v>14</v>
      </c>
      <c r="E5905" t="s">
        <v>8106</v>
      </c>
    </row>
    <row r="5906" spans="1:6" x14ac:dyDescent="0.25">
      <c r="A5906" t="str">
        <f>"360400360678"</f>
        <v>360400360678</v>
      </c>
      <c r="B5906" t="s">
        <v>8128</v>
      </c>
      <c r="C5906" t="s">
        <v>7</v>
      </c>
      <c r="D5906" t="s">
        <v>14</v>
      </c>
      <c r="E5906" t="s">
        <v>8106</v>
      </c>
    </row>
    <row r="5907" spans="1:6" x14ac:dyDescent="0.25">
      <c r="A5907" t="str">
        <f>"360400448153"</f>
        <v>360400448153</v>
      </c>
      <c r="B5907" t="s">
        <v>8129</v>
      </c>
      <c r="C5907" t="s">
        <v>7</v>
      </c>
      <c r="D5907" t="s">
        <v>98</v>
      </c>
      <c r="E5907" t="s">
        <v>8106</v>
      </c>
    </row>
    <row r="5908" spans="1:6" x14ac:dyDescent="0.25">
      <c r="A5908" t="str">
        <f>"360408073442"</f>
        <v>360408073442</v>
      </c>
      <c r="B5908" t="s">
        <v>8130</v>
      </c>
      <c r="C5908" t="s">
        <v>7</v>
      </c>
      <c r="D5908" t="s">
        <v>33</v>
      </c>
      <c r="E5908" t="s">
        <v>8106</v>
      </c>
    </row>
    <row r="5909" spans="1:6" x14ac:dyDescent="0.25">
      <c r="A5909" t="str">
        <f>"3604083333"</f>
        <v>3604083333</v>
      </c>
      <c r="B5909" t="s">
        <v>8131</v>
      </c>
      <c r="C5909" t="s">
        <v>7</v>
      </c>
      <c r="D5909" t="s">
        <v>33</v>
      </c>
      <c r="E5909" t="s">
        <v>8106</v>
      </c>
      <c r="F5909" t="s">
        <v>8132</v>
      </c>
    </row>
    <row r="5910" spans="1:6" x14ac:dyDescent="0.25">
      <c r="A5910" t="str">
        <f>"3604085725"</f>
        <v>3604085725</v>
      </c>
      <c r="B5910" t="s">
        <v>8133</v>
      </c>
      <c r="C5910" t="s">
        <v>7</v>
      </c>
      <c r="D5910" t="s">
        <v>33</v>
      </c>
      <c r="E5910" t="s">
        <v>8106</v>
      </c>
      <c r="F5910" t="s">
        <v>8134</v>
      </c>
    </row>
    <row r="5911" spans="1:6" x14ac:dyDescent="0.25">
      <c r="A5911" t="str">
        <f>"3606001745"</f>
        <v>3606001745</v>
      </c>
      <c r="B5911" t="s">
        <v>8135</v>
      </c>
      <c r="C5911" t="s">
        <v>7</v>
      </c>
      <c r="D5911" t="s">
        <v>12</v>
      </c>
      <c r="E5911" t="s">
        <v>8106</v>
      </c>
      <c r="F5911" t="s">
        <v>8136</v>
      </c>
    </row>
    <row r="5912" spans="1:6" x14ac:dyDescent="0.25">
      <c r="A5912" t="str">
        <f>"360103652974"</f>
        <v>360103652974</v>
      </c>
      <c r="B5912" t="s">
        <v>8137</v>
      </c>
      <c r="C5912" t="s">
        <v>7</v>
      </c>
      <c r="D5912" t="s">
        <v>14</v>
      </c>
      <c r="E5912" t="s">
        <v>8106</v>
      </c>
    </row>
    <row r="5913" spans="1:6" x14ac:dyDescent="0.25">
      <c r="A5913" t="str">
        <f>"2222811620"</f>
        <v>2222811620</v>
      </c>
      <c r="B5913" t="s">
        <v>8138</v>
      </c>
      <c r="C5913" t="s">
        <v>7</v>
      </c>
      <c r="D5913" t="s">
        <v>674</v>
      </c>
      <c r="E5913" t="s">
        <v>8106</v>
      </c>
      <c r="F5913" t="s">
        <v>8139</v>
      </c>
    </row>
    <row r="5914" spans="1:6" x14ac:dyDescent="0.25">
      <c r="A5914" t="str">
        <f>"360504042493"</f>
        <v>360504042493</v>
      </c>
      <c r="B5914" t="s">
        <v>8140</v>
      </c>
      <c r="C5914" t="s">
        <v>7</v>
      </c>
      <c r="D5914" t="s">
        <v>14</v>
      </c>
      <c r="E5914" t="s">
        <v>8106</v>
      </c>
    </row>
    <row r="5915" spans="1:6" x14ac:dyDescent="0.25">
      <c r="A5915" t="str">
        <f>"360600033029"</f>
        <v>360600033029</v>
      </c>
      <c r="B5915" t="s">
        <v>8141</v>
      </c>
      <c r="C5915" t="s">
        <v>7</v>
      </c>
      <c r="D5915" t="s">
        <v>14</v>
      </c>
      <c r="E5915" t="s">
        <v>8106</v>
      </c>
    </row>
    <row r="5916" spans="1:6" x14ac:dyDescent="0.25">
      <c r="A5916" t="str">
        <f>"360600930318"</f>
        <v>360600930318</v>
      </c>
      <c r="B5916" t="s">
        <v>8142</v>
      </c>
      <c r="C5916" t="s">
        <v>7</v>
      </c>
      <c r="D5916" t="s">
        <v>14</v>
      </c>
      <c r="E5916" t="s">
        <v>8106</v>
      </c>
    </row>
    <row r="5917" spans="1:6" x14ac:dyDescent="0.25">
      <c r="A5917" t="str">
        <f>"361002272135"</f>
        <v>361002272135</v>
      </c>
      <c r="B5917" t="s">
        <v>8143</v>
      </c>
      <c r="C5917" t="s">
        <v>7</v>
      </c>
      <c r="D5917" t="s">
        <v>14</v>
      </c>
      <c r="E5917" t="s">
        <v>8106</v>
      </c>
    </row>
    <row r="5918" spans="1:6" x14ac:dyDescent="0.25">
      <c r="A5918" t="str">
        <f>"361100394660"</f>
        <v>361100394660</v>
      </c>
      <c r="B5918" t="s">
        <v>8144</v>
      </c>
      <c r="C5918" t="s">
        <v>7</v>
      </c>
      <c r="D5918" t="s">
        <v>14</v>
      </c>
      <c r="E5918" t="s">
        <v>8106</v>
      </c>
    </row>
    <row r="5919" spans="1:6" x14ac:dyDescent="0.25">
      <c r="A5919" t="str">
        <f>"361401257869"</f>
        <v>361401257869</v>
      </c>
      <c r="B5919" t="s">
        <v>8145</v>
      </c>
      <c r="C5919" t="s">
        <v>7</v>
      </c>
      <c r="D5919" t="s">
        <v>14</v>
      </c>
      <c r="E5919" t="s">
        <v>8106</v>
      </c>
    </row>
    <row r="5920" spans="1:6" x14ac:dyDescent="0.25">
      <c r="A5920" t="str">
        <f>"361403515917"</f>
        <v>361403515917</v>
      </c>
      <c r="B5920" t="s">
        <v>8146</v>
      </c>
      <c r="C5920" t="s">
        <v>7</v>
      </c>
      <c r="D5920" t="s">
        <v>14</v>
      </c>
      <c r="E5920" t="s">
        <v>8106</v>
      </c>
    </row>
    <row r="5921" spans="1:6" x14ac:dyDescent="0.25">
      <c r="A5921" t="str">
        <f>"3616013901"</f>
        <v>3616013901</v>
      </c>
      <c r="B5921" t="s">
        <v>8147</v>
      </c>
      <c r="C5921" t="s">
        <v>7</v>
      </c>
      <c r="D5921" t="s">
        <v>12</v>
      </c>
      <c r="E5921" t="s">
        <v>8106</v>
      </c>
      <c r="F5921" t="s">
        <v>8148</v>
      </c>
    </row>
    <row r="5922" spans="1:6" x14ac:dyDescent="0.25">
      <c r="A5922" t="str">
        <f>"361702667202"</f>
        <v>361702667202</v>
      </c>
      <c r="B5922" t="s">
        <v>8149</v>
      </c>
      <c r="C5922" t="s">
        <v>7</v>
      </c>
      <c r="D5922" t="s">
        <v>14</v>
      </c>
      <c r="E5922" t="s">
        <v>8106</v>
      </c>
    </row>
    <row r="5923" spans="1:6" x14ac:dyDescent="0.25">
      <c r="A5923" t="str">
        <f>"361704245904"</f>
        <v>361704245904</v>
      </c>
      <c r="B5923" t="s">
        <v>8150</v>
      </c>
      <c r="C5923" t="s">
        <v>7</v>
      </c>
      <c r="D5923" t="s">
        <v>14</v>
      </c>
      <c r="E5923" t="s">
        <v>8106</v>
      </c>
    </row>
    <row r="5924" spans="1:6" x14ac:dyDescent="0.25">
      <c r="A5924" t="str">
        <f>"361800029350"</f>
        <v>361800029350</v>
      </c>
      <c r="B5924" t="s">
        <v>8151</v>
      </c>
      <c r="C5924" t="s">
        <v>7</v>
      </c>
      <c r="D5924" t="s">
        <v>14</v>
      </c>
      <c r="E5924" t="s">
        <v>8106</v>
      </c>
    </row>
    <row r="5925" spans="1:6" x14ac:dyDescent="0.25">
      <c r="A5925" t="str">
        <f>"361916334747"</f>
        <v>361916334747</v>
      </c>
      <c r="B5925" t="s">
        <v>8152</v>
      </c>
      <c r="C5925" t="s">
        <v>7</v>
      </c>
      <c r="D5925" t="s">
        <v>14</v>
      </c>
      <c r="E5925" t="s">
        <v>8106</v>
      </c>
    </row>
    <row r="5926" spans="1:6" x14ac:dyDescent="0.25">
      <c r="A5926" t="str">
        <f>"362000067799"</f>
        <v>362000067799</v>
      </c>
      <c r="B5926" t="s">
        <v>8153</v>
      </c>
      <c r="C5926" t="s">
        <v>7</v>
      </c>
      <c r="D5926" t="s">
        <v>14</v>
      </c>
      <c r="E5926" t="s">
        <v>8106</v>
      </c>
    </row>
    <row r="5927" spans="1:6" x14ac:dyDescent="0.25">
      <c r="A5927" t="str">
        <f>"362004233567"</f>
        <v>362004233567</v>
      </c>
      <c r="B5927" t="s">
        <v>8154</v>
      </c>
      <c r="C5927" t="s">
        <v>7</v>
      </c>
      <c r="D5927" t="s">
        <v>14</v>
      </c>
      <c r="E5927" t="s">
        <v>8106</v>
      </c>
    </row>
    <row r="5928" spans="1:6" x14ac:dyDescent="0.25">
      <c r="A5928" t="str">
        <f>"362102391233"</f>
        <v>362102391233</v>
      </c>
      <c r="B5928" t="s">
        <v>8155</v>
      </c>
      <c r="C5928" t="s">
        <v>7</v>
      </c>
      <c r="D5928" t="s">
        <v>14</v>
      </c>
      <c r="E5928" t="s">
        <v>8106</v>
      </c>
    </row>
    <row r="5929" spans="1:6" x14ac:dyDescent="0.25">
      <c r="A5929" t="str">
        <f>"362300985694"</f>
        <v>362300985694</v>
      </c>
      <c r="B5929" t="s">
        <v>8156</v>
      </c>
      <c r="C5929" t="s">
        <v>7</v>
      </c>
      <c r="D5929" t="s">
        <v>14</v>
      </c>
      <c r="E5929" t="s">
        <v>8106</v>
      </c>
    </row>
    <row r="5930" spans="1:6" x14ac:dyDescent="0.25">
      <c r="A5930" t="str">
        <f>"3627026490"</f>
        <v>3627026490</v>
      </c>
      <c r="B5930" t="s">
        <v>8157</v>
      </c>
      <c r="C5930" t="s">
        <v>7</v>
      </c>
      <c r="D5930" t="s">
        <v>14</v>
      </c>
      <c r="E5930" t="s">
        <v>8106</v>
      </c>
      <c r="F5930" t="s">
        <v>8158</v>
      </c>
    </row>
    <row r="5931" spans="1:6" x14ac:dyDescent="0.25">
      <c r="A5931" t="str">
        <f>"3627032818"</f>
        <v>3627032818</v>
      </c>
      <c r="B5931" t="s">
        <v>8159</v>
      </c>
      <c r="C5931" t="s">
        <v>7</v>
      </c>
      <c r="D5931" t="s">
        <v>33</v>
      </c>
      <c r="E5931" t="s">
        <v>8106</v>
      </c>
      <c r="F5931" t="s">
        <v>8160</v>
      </c>
    </row>
    <row r="5932" spans="1:6" x14ac:dyDescent="0.25">
      <c r="A5932" t="str">
        <f>"362705916297"</f>
        <v>362705916297</v>
      </c>
      <c r="B5932" t="s">
        <v>8161</v>
      </c>
      <c r="C5932" t="s">
        <v>7</v>
      </c>
      <c r="D5932" t="s">
        <v>14</v>
      </c>
      <c r="E5932" t="s">
        <v>8106</v>
      </c>
    </row>
    <row r="5933" spans="1:6" x14ac:dyDescent="0.25">
      <c r="A5933" t="str">
        <f>"362708056628"</f>
        <v>362708056628</v>
      </c>
      <c r="B5933" t="s">
        <v>8162</v>
      </c>
      <c r="C5933" t="s">
        <v>7</v>
      </c>
      <c r="D5933" t="s">
        <v>14</v>
      </c>
      <c r="E5933" t="s">
        <v>8106</v>
      </c>
    </row>
    <row r="5934" spans="1:6" x14ac:dyDescent="0.25">
      <c r="A5934" t="str">
        <f>"362708116732"</f>
        <v>362708116732</v>
      </c>
      <c r="B5934" t="s">
        <v>8163</v>
      </c>
      <c r="C5934" t="s">
        <v>7</v>
      </c>
      <c r="D5934" t="s">
        <v>33</v>
      </c>
      <c r="E5934" t="s">
        <v>8106</v>
      </c>
    </row>
    <row r="5935" spans="1:6" x14ac:dyDescent="0.25">
      <c r="A5935" t="str">
        <f>"3628020389"</f>
        <v>3628020389</v>
      </c>
      <c r="B5935" t="s">
        <v>8164</v>
      </c>
      <c r="C5935" t="s">
        <v>7</v>
      </c>
      <c r="D5935" t="s">
        <v>33</v>
      </c>
      <c r="E5935" t="s">
        <v>8106</v>
      </c>
      <c r="F5935" t="s">
        <v>8165</v>
      </c>
    </row>
    <row r="5936" spans="1:6" x14ac:dyDescent="0.25">
      <c r="A5936" t="str">
        <f>"362900540697"</f>
        <v>362900540697</v>
      </c>
      <c r="B5936" t="s">
        <v>8166</v>
      </c>
      <c r="C5936" t="s">
        <v>7</v>
      </c>
      <c r="D5936" t="s">
        <v>14</v>
      </c>
      <c r="E5936" t="s">
        <v>8106</v>
      </c>
    </row>
    <row r="5937" spans="1:6" x14ac:dyDescent="0.25">
      <c r="A5937" t="str">
        <f>"365200549266"</f>
        <v>365200549266</v>
      </c>
      <c r="B5937" t="s">
        <v>8167</v>
      </c>
      <c r="C5937" t="s">
        <v>7</v>
      </c>
      <c r="D5937" t="s">
        <v>14</v>
      </c>
      <c r="E5937" t="s">
        <v>8106</v>
      </c>
    </row>
    <row r="5938" spans="1:6" x14ac:dyDescent="0.25">
      <c r="A5938" t="str">
        <f>"365200676680"</f>
        <v>365200676680</v>
      </c>
      <c r="B5938" t="s">
        <v>8168</v>
      </c>
      <c r="C5938" t="s">
        <v>7</v>
      </c>
      <c r="D5938" t="s">
        <v>14</v>
      </c>
      <c r="E5938" t="s">
        <v>8106</v>
      </c>
    </row>
    <row r="5939" spans="1:6" x14ac:dyDescent="0.25">
      <c r="A5939" t="str">
        <f>"3652905167"</f>
        <v>3652905167</v>
      </c>
      <c r="B5939" t="s">
        <v>8169</v>
      </c>
      <c r="C5939" t="s">
        <v>7</v>
      </c>
      <c r="D5939" t="s">
        <v>12</v>
      </c>
      <c r="E5939" t="s">
        <v>8106</v>
      </c>
      <c r="F5939" t="s">
        <v>8170</v>
      </c>
    </row>
    <row r="5940" spans="1:6" x14ac:dyDescent="0.25">
      <c r="A5940" t="str">
        <f>"3661036629"</f>
        <v>3661036629</v>
      </c>
      <c r="B5940" t="s">
        <v>8171</v>
      </c>
      <c r="C5940" t="s">
        <v>7</v>
      </c>
      <c r="D5940" t="s">
        <v>12</v>
      </c>
      <c r="E5940" t="s">
        <v>8106</v>
      </c>
      <c r="F5940" t="s">
        <v>8172</v>
      </c>
    </row>
    <row r="5941" spans="1:6" x14ac:dyDescent="0.25">
      <c r="A5941" t="str">
        <f>"3661077551"</f>
        <v>3661077551</v>
      </c>
      <c r="B5941" t="s">
        <v>8173</v>
      </c>
      <c r="C5941" t="s">
        <v>7</v>
      </c>
      <c r="D5941" t="s">
        <v>674</v>
      </c>
      <c r="E5941" t="s">
        <v>8106</v>
      </c>
      <c r="F5941" t="s">
        <v>8174</v>
      </c>
    </row>
    <row r="5942" spans="1:6" x14ac:dyDescent="0.25">
      <c r="A5942" t="str">
        <f>"366109186417"</f>
        <v>366109186417</v>
      </c>
      <c r="B5942" t="s">
        <v>8175</v>
      </c>
      <c r="C5942" t="s">
        <v>7</v>
      </c>
      <c r="D5942" t="s">
        <v>12</v>
      </c>
      <c r="E5942" t="s">
        <v>8106</v>
      </c>
    </row>
    <row r="5943" spans="1:6" x14ac:dyDescent="0.25">
      <c r="A5943" t="str">
        <f>"366200101116"</f>
        <v>366200101116</v>
      </c>
      <c r="B5943" t="s">
        <v>8176</v>
      </c>
      <c r="C5943" t="s">
        <v>7</v>
      </c>
      <c r="D5943" t="s">
        <v>33</v>
      </c>
      <c r="E5943" t="s">
        <v>8106</v>
      </c>
    </row>
    <row r="5944" spans="1:6" x14ac:dyDescent="0.25">
      <c r="A5944" t="str">
        <f>"366202759687"</f>
        <v>366202759687</v>
      </c>
      <c r="B5944" t="s">
        <v>8177</v>
      </c>
      <c r="C5944" t="s">
        <v>7</v>
      </c>
      <c r="D5944" t="s">
        <v>14</v>
      </c>
      <c r="E5944" t="s">
        <v>8106</v>
      </c>
    </row>
    <row r="5945" spans="1:6" x14ac:dyDescent="0.25">
      <c r="A5945" t="str">
        <f>"366203621201"</f>
        <v>366203621201</v>
      </c>
      <c r="B5945" t="s">
        <v>8178</v>
      </c>
      <c r="C5945" t="s">
        <v>7</v>
      </c>
      <c r="D5945" t="s">
        <v>14</v>
      </c>
      <c r="E5945" t="s">
        <v>8106</v>
      </c>
    </row>
    <row r="5946" spans="1:6" x14ac:dyDescent="0.25">
      <c r="A5946" t="str">
        <f>"366204872649"</f>
        <v>366204872649</v>
      </c>
      <c r="B5946" t="s">
        <v>8179</v>
      </c>
      <c r="C5946" t="s">
        <v>7</v>
      </c>
      <c r="D5946" t="s">
        <v>14</v>
      </c>
      <c r="E5946" t="s">
        <v>8106</v>
      </c>
    </row>
    <row r="5947" spans="1:6" x14ac:dyDescent="0.25">
      <c r="A5947" t="str">
        <f>"366205638465"</f>
        <v>366205638465</v>
      </c>
      <c r="B5947" t="s">
        <v>8180</v>
      </c>
      <c r="C5947" t="s">
        <v>7</v>
      </c>
      <c r="D5947" t="s">
        <v>14</v>
      </c>
      <c r="E5947" t="s">
        <v>8106</v>
      </c>
    </row>
    <row r="5948" spans="1:6" x14ac:dyDescent="0.25">
      <c r="A5948" t="str">
        <f>"3662073415"</f>
        <v>3662073415</v>
      </c>
      <c r="B5948" t="s">
        <v>8181</v>
      </c>
      <c r="C5948" t="s">
        <v>7</v>
      </c>
      <c r="D5948" t="s">
        <v>33</v>
      </c>
      <c r="E5948" t="s">
        <v>8106</v>
      </c>
      <c r="F5948" t="s">
        <v>8182</v>
      </c>
    </row>
    <row r="5949" spans="1:6" x14ac:dyDescent="0.25">
      <c r="A5949" t="str">
        <f>"3662113844"</f>
        <v>3662113844</v>
      </c>
      <c r="B5949" t="s">
        <v>8183</v>
      </c>
      <c r="C5949" t="s">
        <v>7</v>
      </c>
      <c r="D5949" t="s">
        <v>33</v>
      </c>
      <c r="E5949" t="s">
        <v>8106</v>
      </c>
      <c r="F5949" t="s">
        <v>8184</v>
      </c>
    </row>
    <row r="5950" spans="1:6" x14ac:dyDescent="0.25">
      <c r="A5950" t="str">
        <f>"3662114767"</f>
        <v>3662114767</v>
      </c>
      <c r="B5950" t="s">
        <v>8185</v>
      </c>
      <c r="C5950" t="s">
        <v>7</v>
      </c>
      <c r="D5950" t="s">
        <v>674</v>
      </c>
      <c r="E5950" t="s">
        <v>8106</v>
      </c>
      <c r="F5950" t="s">
        <v>8186</v>
      </c>
    </row>
    <row r="5951" spans="1:6" x14ac:dyDescent="0.25">
      <c r="A5951" t="str">
        <f>"3662136834"</f>
        <v>3662136834</v>
      </c>
      <c r="B5951" t="s">
        <v>8187</v>
      </c>
      <c r="C5951" t="s">
        <v>7</v>
      </c>
      <c r="D5951" t="s">
        <v>14</v>
      </c>
      <c r="E5951" t="s">
        <v>8106</v>
      </c>
      <c r="F5951" t="s">
        <v>8188</v>
      </c>
    </row>
    <row r="5952" spans="1:6" x14ac:dyDescent="0.25">
      <c r="A5952" t="str">
        <f>"3662140164"</f>
        <v>3662140164</v>
      </c>
      <c r="B5952" t="s">
        <v>8189</v>
      </c>
      <c r="C5952" t="s">
        <v>7</v>
      </c>
      <c r="D5952" t="s">
        <v>12</v>
      </c>
      <c r="E5952" t="s">
        <v>8106</v>
      </c>
      <c r="F5952" t="s">
        <v>8190</v>
      </c>
    </row>
    <row r="5953" spans="1:6" x14ac:dyDescent="0.25">
      <c r="A5953" t="str">
        <f>"366216248058"</f>
        <v>366216248058</v>
      </c>
      <c r="B5953" t="s">
        <v>8191</v>
      </c>
      <c r="C5953" t="s">
        <v>7</v>
      </c>
      <c r="D5953" t="s">
        <v>14</v>
      </c>
      <c r="E5953" t="s">
        <v>8106</v>
      </c>
    </row>
    <row r="5954" spans="1:6" x14ac:dyDescent="0.25">
      <c r="A5954" t="str">
        <f>"3662177541"</f>
        <v>3662177541</v>
      </c>
      <c r="B5954" t="s">
        <v>8192</v>
      </c>
      <c r="C5954" t="s">
        <v>7</v>
      </c>
      <c r="D5954" t="s">
        <v>14</v>
      </c>
      <c r="E5954" t="s">
        <v>8106</v>
      </c>
      <c r="F5954" t="s">
        <v>8193</v>
      </c>
    </row>
    <row r="5955" spans="1:6" x14ac:dyDescent="0.25">
      <c r="A5955" t="str">
        <f>"3662181932"</f>
        <v>3662181932</v>
      </c>
      <c r="B5955" t="s">
        <v>8194</v>
      </c>
      <c r="C5955" t="s">
        <v>7</v>
      </c>
      <c r="D5955" t="s">
        <v>8</v>
      </c>
      <c r="E5955" t="s">
        <v>8106</v>
      </c>
      <c r="F5955" t="s">
        <v>8195</v>
      </c>
    </row>
    <row r="5956" spans="1:6" x14ac:dyDescent="0.25">
      <c r="A5956" t="str">
        <f>"366218233427"</f>
        <v>366218233427</v>
      </c>
      <c r="B5956" t="s">
        <v>8196</v>
      </c>
      <c r="C5956" t="s">
        <v>7</v>
      </c>
      <c r="D5956" t="s">
        <v>14</v>
      </c>
      <c r="E5956" t="s">
        <v>8106</v>
      </c>
    </row>
    <row r="5957" spans="1:6" x14ac:dyDescent="0.25">
      <c r="A5957" t="str">
        <f>"3662187130"</f>
        <v>3662187130</v>
      </c>
      <c r="B5957" t="s">
        <v>8197</v>
      </c>
      <c r="C5957" t="s">
        <v>7</v>
      </c>
      <c r="D5957" t="s">
        <v>33</v>
      </c>
      <c r="E5957" t="s">
        <v>8106</v>
      </c>
      <c r="F5957" t="s">
        <v>8198</v>
      </c>
    </row>
    <row r="5958" spans="1:6" x14ac:dyDescent="0.25">
      <c r="A5958" t="str">
        <f>"3662199979"</f>
        <v>3662199979</v>
      </c>
      <c r="B5958" t="s">
        <v>8199</v>
      </c>
      <c r="C5958" t="s">
        <v>7</v>
      </c>
      <c r="D5958" t="s">
        <v>12</v>
      </c>
      <c r="E5958" t="s">
        <v>8106</v>
      </c>
      <c r="F5958" t="s">
        <v>8200</v>
      </c>
    </row>
    <row r="5959" spans="1:6" x14ac:dyDescent="0.25">
      <c r="A5959" t="str">
        <f>"3662210534"</f>
        <v>3662210534</v>
      </c>
      <c r="B5959" t="s">
        <v>8201</v>
      </c>
      <c r="C5959" t="s">
        <v>7</v>
      </c>
      <c r="D5959" t="s">
        <v>12</v>
      </c>
      <c r="E5959" t="s">
        <v>8106</v>
      </c>
      <c r="F5959" t="s">
        <v>8202</v>
      </c>
    </row>
    <row r="5960" spans="1:6" x14ac:dyDescent="0.25">
      <c r="A5960" t="str">
        <f>"3662212468"</f>
        <v>3662212468</v>
      </c>
      <c r="B5960" t="s">
        <v>4966</v>
      </c>
      <c r="C5960" t="s">
        <v>7</v>
      </c>
      <c r="D5960" t="s">
        <v>12</v>
      </c>
      <c r="E5960" t="s">
        <v>8106</v>
      </c>
      <c r="F5960" t="s">
        <v>8203</v>
      </c>
    </row>
    <row r="5961" spans="1:6" x14ac:dyDescent="0.25">
      <c r="A5961" t="str">
        <f>"366221454289"</f>
        <v>366221454289</v>
      </c>
      <c r="B5961" t="s">
        <v>8204</v>
      </c>
      <c r="C5961" t="s">
        <v>7</v>
      </c>
      <c r="D5961" t="s">
        <v>14</v>
      </c>
      <c r="E5961" t="s">
        <v>8106</v>
      </c>
    </row>
    <row r="5962" spans="1:6" x14ac:dyDescent="0.25">
      <c r="A5962" t="str">
        <f>"3662219897"</f>
        <v>3662219897</v>
      </c>
      <c r="B5962" t="s">
        <v>8205</v>
      </c>
      <c r="C5962" t="s">
        <v>7</v>
      </c>
      <c r="D5962" t="s">
        <v>674</v>
      </c>
      <c r="E5962" t="s">
        <v>8106</v>
      </c>
      <c r="F5962" t="s">
        <v>8206</v>
      </c>
    </row>
    <row r="5963" spans="1:6" x14ac:dyDescent="0.25">
      <c r="A5963" t="str">
        <f>"053403547361"</f>
        <v>053403547361</v>
      </c>
      <c r="B5963" t="s">
        <v>8207</v>
      </c>
      <c r="C5963" t="s">
        <v>7</v>
      </c>
      <c r="D5963" t="s">
        <v>14</v>
      </c>
      <c r="E5963" t="s">
        <v>8106</v>
      </c>
    </row>
    <row r="5964" spans="1:6" x14ac:dyDescent="0.25">
      <c r="A5964" t="str">
        <f>"3614010750"</f>
        <v>3614010750</v>
      </c>
      <c r="B5964" t="s">
        <v>8208</v>
      </c>
      <c r="C5964" t="s">
        <v>7</v>
      </c>
      <c r="D5964" t="s">
        <v>14</v>
      </c>
      <c r="E5964" t="s">
        <v>8106</v>
      </c>
      <c r="F5964" t="s">
        <v>8209</v>
      </c>
    </row>
    <row r="5965" spans="1:6" x14ac:dyDescent="0.25">
      <c r="A5965" t="str">
        <f>"3616023473"</f>
        <v>3616023473</v>
      </c>
      <c r="B5965" t="s">
        <v>8210</v>
      </c>
      <c r="C5965" t="s">
        <v>7</v>
      </c>
      <c r="D5965" t="s">
        <v>12</v>
      </c>
      <c r="E5965" t="s">
        <v>8106</v>
      </c>
      <c r="F5965" t="s">
        <v>8211</v>
      </c>
    </row>
    <row r="5966" spans="1:6" x14ac:dyDescent="0.25">
      <c r="A5966" t="str">
        <f>"3616026192"</f>
        <v>3616026192</v>
      </c>
      <c r="B5966" t="s">
        <v>8212</v>
      </c>
      <c r="C5966" t="s">
        <v>7</v>
      </c>
      <c r="D5966" t="s">
        <v>12</v>
      </c>
      <c r="E5966" t="s">
        <v>8106</v>
      </c>
      <c r="F5966" t="s">
        <v>8213</v>
      </c>
    </row>
    <row r="5967" spans="1:6" x14ac:dyDescent="0.25">
      <c r="A5967" t="str">
        <f>"3616026940"</f>
        <v>3616026940</v>
      </c>
      <c r="B5967" t="s">
        <v>8214</v>
      </c>
      <c r="C5967" t="s">
        <v>7</v>
      </c>
      <c r="D5967" t="s">
        <v>12</v>
      </c>
      <c r="E5967" t="s">
        <v>8106</v>
      </c>
      <c r="F5967" t="s">
        <v>8215</v>
      </c>
    </row>
    <row r="5968" spans="1:6" x14ac:dyDescent="0.25">
      <c r="A5968" t="str">
        <f>"361605128967"</f>
        <v>361605128967</v>
      </c>
      <c r="B5968" t="s">
        <v>8216</v>
      </c>
      <c r="C5968" t="s">
        <v>7</v>
      </c>
      <c r="D5968" t="s">
        <v>14</v>
      </c>
      <c r="E5968" t="s">
        <v>8106</v>
      </c>
    </row>
    <row r="5969" spans="1:6" x14ac:dyDescent="0.25">
      <c r="A5969" t="str">
        <f>"361915341452"</f>
        <v>361915341452</v>
      </c>
      <c r="B5969" t="s">
        <v>8217</v>
      </c>
      <c r="C5969" t="s">
        <v>7</v>
      </c>
      <c r="D5969" t="s">
        <v>14</v>
      </c>
      <c r="E5969" t="s">
        <v>8106</v>
      </c>
    </row>
    <row r="5970" spans="1:6" x14ac:dyDescent="0.25">
      <c r="A5970" t="str">
        <f>"3620000278"</f>
        <v>3620000278</v>
      </c>
      <c r="B5970" t="s">
        <v>8218</v>
      </c>
      <c r="C5970" t="s">
        <v>7</v>
      </c>
      <c r="D5970" t="s">
        <v>12</v>
      </c>
      <c r="E5970" t="s">
        <v>8106</v>
      </c>
      <c r="F5970" t="s">
        <v>8219</v>
      </c>
    </row>
    <row r="5971" spans="1:6" x14ac:dyDescent="0.25">
      <c r="A5971" t="str">
        <f>"362402461749"</f>
        <v>362402461749</v>
      </c>
      <c r="B5971" t="s">
        <v>8220</v>
      </c>
      <c r="C5971" t="s">
        <v>7</v>
      </c>
      <c r="D5971" t="s">
        <v>14</v>
      </c>
      <c r="E5971" t="s">
        <v>8106</v>
      </c>
    </row>
    <row r="5972" spans="1:6" x14ac:dyDescent="0.25">
      <c r="A5972" t="str">
        <f>"362701013520"</f>
        <v>362701013520</v>
      </c>
      <c r="B5972" t="s">
        <v>8221</v>
      </c>
      <c r="C5972" t="s">
        <v>7</v>
      </c>
      <c r="D5972" t="s">
        <v>14</v>
      </c>
      <c r="E5972" t="s">
        <v>8106</v>
      </c>
    </row>
    <row r="5973" spans="1:6" x14ac:dyDescent="0.25">
      <c r="A5973" t="str">
        <f>"362706620510"</f>
        <v>362706620510</v>
      </c>
      <c r="B5973" t="s">
        <v>8222</v>
      </c>
      <c r="C5973" t="s">
        <v>7</v>
      </c>
      <c r="D5973" t="s">
        <v>12</v>
      </c>
      <c r="E5973" t="s">
        <v>8106</v>
      </c>
    </row>
    <row r="5974" spans="1:6" x14ac:dyDescent="0.25">
      <c r="A5974" t="str">
        <f>"362710108915"</f>
        <v>362710108915</v>
      </c>
      <c r="B5974" t="s">
        <v>8223</v>
      </c>
      <c r="C5974" t="s">
        <v>7</v>
      </c>
      <c r="D5974" t="s">
        <v>33</v>
      </c>
      <c r="E5974" t="s">
        <v>8106</v>
      </c>
    </row>
    <row r="5975" spans="1:6" x14ac:dyDescent="0.25">
      <c r="A5975" t="str">
        <f>"362804923200"</f>
        <v>362804923200</v>
      </c>
      <c r="B5975" t="s">
        <v>8224</v>
      </c>
      <c r="C5975" t="s">
        <v>7</v>
      </c>
      <c r="D5975" t="s">
        <v>14</v>
      </c>
      <c r="E5975" t="s">
        <v>8106</v>
      </c>
    </row>
    <row r="5976" spans="1:6" x14ac:dyDescent="0.25">
      <c r="A5976" t="str">
        <f>"362805009101"</f>
        <v>362805009101</v>
      </c>
      <c r="B5976" t="s">
        <v>8225</v>
      </c>
      <c r="C5976" t="s">
        <v>7</v>
      </c>
      <c r="D5976" t="s">
        <v>14</v>
      </c>
      <c r="E5976" t="s">
        <v>8106</v>
      </c>
    </row>
    <row r="5977" spans="1:6" x14ac:dyDescent="0.25">
      <c r="A5977" t="str">
        <f>"362809902845"</f>
        <v>362809902845</v>
      </c>
      <c r="B5977" t="s">
        <v>8226</v>
      </c>
      <c r="C5977" t="s">
        <v>7</v>
      </c>
      <c r="D5977" t="s">
        <v>14</v>
      </c>
      <c r="E5977" t="s">
        <v>8106</v>
      </c>
    </row>
    <row r="5978" spans="1:6" x14ac:dyDescent="0.25">
      <c r="A5978" t="str">
        <f>"363100000253"</f>
        <v>363100000253</v>
      </c>
      <c r="B5978" t="s">
        <v>8227</v>
      </c>
      <c r="C5978" t="s">
        <v>7</v>
      </c>
      <c r="D5978" t="s">
        <v>14</v>
      </c>
      <c r="E5978" t="s">
        <v>8106</v>
      </c>
    </row>
    <row r="5979" spans="1:6" x14ac:dyDescent="0.25">
      <c r="A5979" t="str">
        <f>"365232511297"</f>
        <v>365232511297</v>
      </c>
      <c r="B5979" t="s">
        <v>8228</v>
      </c>
      <c r="C5979" t="s">
        <v>7</v>
      </c>
      <c r="D5979" t="s">
        <v>14</v>
      </c>
      <c r="E5979" t="s">
        <v>8106</v>
      </c>
    </row>
    <row r="5980" spans="1:6" x14ac:dyDescent="0.25">
      <c r="A5980" t="str">
        <f>"3661066937"</f>
        <v>3661066937</v>
      </c>
      <c r="B5980" t="s">
        <v>893</v>
      </c>
      <c r="C5980" t="s">
        <v>7</v>
      </c>
      <c r="D5980" t="s">
        <v>33</v>
      </c>
      <c r="E5980" t="s">
        <v>8106</v>
      </c>
      <c r="F5980" t="s">
        <v>8229</v>
      </c>
    </row>
    <row r="5981" spans="1:6" x14ac:dyDescent="0.25">
      <c r="A5981" t="str">
        <f>"3661070517"</f>
        <v>3661070517</v>
      </c>
      <c r="B5981" t="s">
        <v>3073</v>
      </c>
      <c r="C5981" t="s">
        <v>7</v>
      </c>
      <c r="D5981" t="s">
        <v>33</v>
      </c>
      <c r="E5981" t="s">
        <v>8106</v>
      </c>
      <c r="F5981" t="s">
        <v>8230</v>
      </c>
    </row>
    <row r="5982" spans="1:6" x14ac:dyDescent="0.25">
      <c r="A5982" t="str">
        <f>"3661086524"</f>
        <v>3661086524</v>
      </c>
      <c r="B5982" t="s">
        <v>8231</v>
      </c>
      <c r="C5982" t="s">
        <v>7</v>
      </c>
      <c r="D5982" t="s">
        <v>33</v>
      </c>
      <c r="E5982" t="s">
        <v>8106</v>
      </c>
      <c r="F5982" t="s">
        <v>8232</v>
      </c>
    </row>
    <row r="5983" spans="1:6" x14ac:dyDescent="0.25">
      <c r="A5983" t="str">
        <f>"366116269625"</f>
        <v>366116269625</v>
      </c>
      <c r="B5983" t="s">
        <v>8233</v>
      </c>
      <c r="C5983" t="s">
        <v>7</v>
      </c>
      <c r="D5983" t="s">
        <v>586</v>
      </c>
      <c r="E5983" t="s">
        <v>8106</v>
      </c>
    </row>
    <row r="5984" spans="1:6" x14ac:dyDescent="0.25">
      <c r="A5984" t="str">
        <f>"3661179465"</f>
        <v>3661179465</v>
      </c>
      <c r="B5984" t="s">
        <v>8234</v>
      </c>
      <c r="C5984" t="s">
        <v>7</v>
      </c>
      <c r="D5984" t="s">
        <v>33</v>
      </c>
      <c r="E5984" t="s">
        <v>8106</v>
      </c>
      <c r="F5984" t="s">
        <v>8235</v>
      </c>
    </row>
    <row r="5985" spans="1:6" x14ac:dyDescent="0.25">
      <c r="A5985" t="str">
        <f>"366200641175"</f>
        <v>366200641175</v>
      </c>
      <c r="B5985" t="s">
        <v>8236</v>
      </c>
      <c r="C5985" t="s">
        <v>7</v>
      </c>
      <c r="D5985" t="s">
        <v>12</v>
      </c>
      <c r="E5985" t="s">
        <v>8106</v>
      </c>
    </row>
    <row r="5986" spans="1:6" x14ac:dyDescent="0.25">
      <c r="A5986" t="str">
        <f>"366205928478"</f>
        <v>366205928478</v>
      </c>
      <c r="B5986" t="s">
        <v>8237</v>
      </c>
      <c r="C5986" t="s">
        <v>7</v>
      </c>
      <c r="D5986" t="s">
        <v>14</v>
      </c>
      <c r="E5986" t="s">
        <v>8106</v>
      </c>
    </row>
    <row r="5987" spans="1:6" x14ac:dyDescent="0.25">
      <c r="A5987" t="str">
        <f>"366215467709"</f>
        <v>366215467709</v>
      </c>
      <c r="B5987" t="s">
        <v>8238</v>
      </c>
      <c r="C5987" t="s">
        <v>7</v>
      </c>
      <c r="D5987" t="s">
        <v>33</v>
      </c>
      <c r="E5987" t="s">
        <v>8106</v>
      </c>
    </row>
    <row r="5988" spans="1:6" x14ac:dyDescent="0.25">
      <c r="A5988" t="str">
        <f>"3662157390"</f>
        <v>3662157390</v>
      </c>
      <c r="B5988" t="s">
        <v>8239</v>
      </c>
      <c r="C5988" t="s">
        <v>7</v>
      </c>
      <c r="D5988" t="s">
        <v>33</v>
      </c>
      <c r="E5988" t="s">
        <v>8106</v>
      </c>
      <c r="F5988" t="s">
        <v>8240</v>
      </c>
    </row>
    <row r="5989" spans="1:6" x14ac:dyDescent="0.25">
      <c r="A5989" t="str">
        <f>"366219702738"</f>
        <v>366219702738</v>
      </c>
      <c r="B5989" t="s">
        <v>8241</v>
      </c>
      <c r="C5989" t="s">
        <v>7</v>
      </c>
      <c r="D5989" t="s">
        <v>14</v>
      </c>
      <c r="E5989" t="s">
        <v>8106</v>
      </c>
    </row>
    <row r="5990" spans="1:6" x14ac:dyDescent="0.25">
      <c r="A5990" t="str">
        <f>"366221652876"</f>
        <v>366221652876</v>
      </c>
      <c r="B5990" t="s">
        <v>8242</v>
      </c>
      <c r="C5990" t="s">
        <v>7</v>
      </c>
      <c r="D5990" t="s">
        <v>12</v>
      </c>
      <c r="E5990" t="s">
        <v>8106</v>
      </c>
    </row>
    <row r="5991" spans="1:6" x14ac:dyDescent="0.25">
      <c r="A5991" t="str">
        <f>"3662217593"</f>
        <v>3662217593</v>
      </c>
      <c r="B5991" t="s">
        <v>8243</v>
      </c>
      <c r="C5991" t="s">
        <v>7</v>
      </c>
      <c r="D5991" t="s">
        <v>12</v>
      </c>
      <c r="E5991" t="s">
        <v>8106</v>
      </c>
      <c r="F5991" t="s">
        <v>8244</v>
      </c>
    </row>
    <row r="5992" spans="1:6" x14ac:dyDescent="0.25">
      <c r="A5992" t="str">
        <f>"366222033029"</f>
        <v>366222033029</v>
      </c>
      <c r="B5992" t="s">
        <v>8245</v>
      </c>
      <c r="C5992" t="s">
        <v>7</v>
      </c>
      <c r="D5992" t="s">
        <v>14</v>
      </c>
      <c r="E5992" t="s">
        <v>8106</v>
      </c>
    </row>
    <row r="5993" spans="1:6" x14ac:dyDescent="0.25">
      <c r="A5993" t="str">
        <f>"366223053437"</f>
        <v>366223053437</v>
      </c>
      <c r="B5993" t="s">
        <v>8246</v>
      </c>
      <c r="C5993" t="s">
        <v>7</v>
      </c>
      <c r="D5993" t="s">
        <v>33</v>
      </c>
      <c r="E5993" t="s">
        <v>8106</v>
      </c>
    </row>
    <row r="5994" spans="1:6" x14ac:dyDescent="0.25">
      <c r="A5994" t="str">
        <f>"366228067024"</f>
        <v>366228067024</v>
      </c>
      <c r="B5994" t="s">
        <v>8247</v>
      </c>
      <c r="C5994" t="s">
        <v>7</v>
      </c>
      <c r="D5994" t="s">
        <v>14</v>
      </c>
      <c r="E5994" t="s">
        <v>8106</v>
      </c>
    </row>
    <row r="5995" spans="1:6" x14ac:dyDescent="0.25">
      <c r="A5995" t="str">
        <f>"366228147745"</f>
        <v>366228147745</v>
      </c>
      <c r="B5995" t="s">
        <v>8248</v>
      </c>
      <c r="C5995" t="s">
        <v>7</v>
      </c>
      <c r="D5995" t="s">
        <v>14</v>
      </c>
      <c r="E5995" t="s">
        <v>8106</v>
      </c>
    </row>
    <row r="5996" spans="1:6" x14ac:dyDescent="0.25">
      <c r="A5996" t="str">
        <f>"3662290434"</f>
        <v>3662290434</v>
      </c>
      <c r="B5996" t="s">
        <v>8249</v>
      </c>
      <c r="C5996" t="s">
        <v>7</v>
      </c>
      <c r="D5996" t="s">
        <v>12</v>
      </c>
      <c r="E5996" t="s">
        <v>8106</v>
      </c>
      <c r="F5996" t="s">
        <v>8250</v>
      </c>
    </row>
    <row r="5997" spans="1:6" x14ac:dyDescent="0.25">
      <c r="A5997" t="str">
        <f>"3662295087"</f>
        <v>3662295087</v>
      </c>
      <c r="B5997" t="s">
        <v>8251</v>
      </c>
      <c r="C5997" t="s">
        <v>7</v>
      </c>
      <c r="D5997" t="s">
        <v>12</v>
      </c>
      <c r="E5997" t="s">
        <v>8106</v>
      </c>
      <c r="F5997" t="s">
        <v>8252</v>
      </c>
    </row>
    <row r="5998" spans="1:6" x14ac:dyDescent="0.25">
      <c r="A5998" t="str">
        <f>"3662301534"</f>
        <v>3662301534</v>
      </c>
      <c r="B5998" t="s">
        <v>8253</v>
      </c>
      <c r="C5998" t="s">
        <v>7</v>
      </c>
      <c r="D5998" t="s">
        <v>33</v>
      </c>
      <c r="E5998" t="s">
        <v>8106</v>
      </c>
      <c r="F5998" t="s">
        <v>8254</v>
      </c>
    </row>
    <row r="5999" spans="1:6" x14ac:dyDescent="0.25">
      <c r="A5999" t="str">
        <f>"3662308868"</f>
        <v>3662308868</v>
      </c>
      <c r="B5999" t="s">
        <v>709</v>
      </c>
      <c r="C5999" t="s">
        <v>7</v>
      </c>
      <c r="D5999" t="s">
        <v>33</v>
      </c>
      <c r="E5999" t="s">
        <v>8106</v>
      </c>
      <c r="F5999" t="s">
        <v>8255</v>
      </c>
    </row>
    <row r="6000" spans="1:6" x14ac:dyDescent="0.25">
      <c r="A6000" t="str">
        <f>"3662313723"</f>
        <v>3662313723</v>
      </c>
      <c r="B6000" t="s">
        <v>6579</v>
      </c>
      <c r="C6000" t="s">
        <v>7</v>
      </c>
      <c r="D6000" t="s">
        <v>12</v>
      </c>
      <c r="E6000" t="s">
        <v>8106</v>
      </c>
      <c r="F6000" t="s">
        <v>8256</v>
      </c>
    </row>
    <row r="6001" spans="1:6" x14ac:dyDescent="0.25">
      <c r="A6001" t="str">
        <f>"3604016640"</f>
        <v>3604016640</v>
      </c>
      <c r="B6001" t="s">
        <v>8257</v>
      </c>
      <c r="C6001" t="s">
        <v>7</v>
      </c>
      <c r="D6001" t="s">
        <v>14</v>
      </c>
      <c r="E6001" t="s">
        <v>8106</v>
      </c>
      <c r="F6001" t="s">
        <v>8258</v>
      </c>
    </row>
    <row r="6002" spans="1:6" x14ac:dyDescent="0.25">
      <c r="A6002" t="str">
        <f>"360407885642"</f>
        <v>360407885642</v>
      </c>
      <c r="B6002" t="s">
        <v>8259</v>
      </c>
      <c r="C6002" t="s">
        <v>7</v>
      </c>
      <c r="D6002" t="s">
        <v>14</v>
      </c>
      <c r="E6002" t="s">
        <v>8106</v>
      </c>
    </row>
    <row r="6003" spans="1:6" x14ac:dyDescent="0.25">
      <c r="A6003" t="str">
        <f>"3604082481"</f>
        <v>3604082481</v>
      </c>
      <c r="B6003" t="s">
        <v>8260</v>
      </c>
      <c r="C6003" t="s">
        <v>7</v>
      </c>
      <c r="D6003" t="s">
        <v>12</v>
      </c>
      <c r="E6003" t="s">
        <v>8106</v>
      </c>
      <c r="F6003" t="s">
        <v>8261</v>
      </c>
    </row>
    <row r="6004" spans="1:6" x14ac:dyDescent="0.25">
      <c r="A6004" t="str">
        <f>"360409448165"</f>
        <v>360409448165</v>
      </c>
      <c r="B6004" t="s">
        <v>8262</v>
      </c>
      <c r="C6004" t="s">
        <v>7</v>
      </c>
      <c r="D6004" t="s">
        <v>14</v>
      </c>
      <c r="E6004" t="s">
        <v>8106</v>
      </c>
    </row>
    <row r="6005" spans="1:6" x14ac:dyDescent="0.25">
      <c r="A6005" t="str">
        <f>"360501830859"</f>
        <v>360501830859</v>
      </c>
      <c r="B6005" t="s">
        <v>8263</v>
      </c>
      <c r="C6005" t="s">
        <v>7</v>
      </c>
      <c r="D6005" t="s">
        <v>14</v>
      </c>
      <c r="E6005" t="s">
        <v>8106</v>
      </c>
    </row>
    <row r="6006" spans="1:6" x14ac:dyDescent="0.25">
      <c r="A6006" t="str">
        <f>"360505914612"</f>
        <v>360505914612</v>
      </c>
      <c r="B6006" t="s">
        <v>8264</v>
      </c>
      <c r="C6006" t="s">
        <v>7</v>
      </c>
      <c r="D6006" t="s">
        <v>14</v>
      </c>
      <c r="E6006" t="s">
        <v>8106</v>
      </c>
    </row>
    <row r="6007" spans="1:6" x14ac:dyDescent="0.25">
      <c r="A6007" t="str">
        <f>"3606005877"</f>
        <v>3606005877</v>
      </c>
      <c r="B6007" t="s">
        <v>4131</v>
      </c>
      <c r="C6007" t="s">
        <v>7</v>
      </c>
      <c r="D6007" t="s">
        <v>14</v>
      </c>
      <c r="E6007" t="s">
        <v>8106</v>
      </c>
      <c r="F6007" t="s">
        <v>8265</v>
      </c>
    </row>
    <row r="6008" spans="1:6" x14ac:dyDescent="0.25">
      <c r="A6008" t="str">
        <f>"360700040870"</f>
        <v>360700040870</v>
      </c>
      <c r="B6008" t="s">
        <v>8266</v>
      </c>
      <c r="C6008" t="s">
        <v>7</v>
      </c>
      <c r="D6008" t="s">
        <v>12</v>
      </c>
      <c r="E6008" t="s">
        <v>8106</v>
      </c>
    </row>
    <row r="6009" spans="1:6" x14ac:dyDescent="0.25">
      <c r="A6009" t="str">
        <f>"360901175796"</f>
        <v>360901175796</v>
      </c>
      <c r="B6009" t="s">
        <v>8267</v>
      </c>
      <c r="C6009" t="s">
        <v>7</v>
      </c>
      <c r="D6009" t="s">
        <v>14</v>
      </c>
      <c r="E6009" t="s">
        <v>8106</v>
      </c>
    </row>
    <row r="6010" spans="1:6" x14ac:dyDescent="0.25">
      <c r="A6010" t="str">
        <f>"3614004860"</f>
        <v>3614004860</v>
      </c>
      <c r="B6010" t="s">
        <v>8268</v>
      </c>
      <c r="C6010" t="s">
        <v>7</v>
      </c>
      <c r="D6010" t="s">
        <v>8</v>
      </c>
      <c r="E6010" t="s">
        <v>8106</v>
      </c>
      <c r="F6010" t="s">
        <v>8269</v>
      </c>
    </row>
    <row r="6011" spans="1:6" x14ac:dyDescent="0.25">
      <c r="A6011" t="str">
        <f>"3614010768"</f>
        <v>3614010768</v>
      </c>
      <c r="B6011" t="s">
        <v>8270</v>
      </c>
      <c r="C6011" t="s">
        <v>7</v>
      </c>
      <c r="D6011" t="s">
        <v>14</v>
      </c>
      <c r="E6011" t="s">
        <v>8106</v>
      </c>
      <c r="F6011" t="s">
        <v>8271</v>
      </c>
    </row>
    <row r="6012" spans="1:6" x14ac:dyDescent="0.25">
      <c r="A6012" t="str">
        <f>"3616014493"</f>
        <v>3616014493</v>
      </c>
      <c r="B6012" t="s">
        <v>8272</v>
      </c>
      <c r="C6012" t="s">
        <v>7</v>
      </c>
      <c r="D6012" t="s">
        <v>33</v>
      </c>
      <c r="E6012" t="s">
        <v>8106</v>
      </c>
      <c r="F6012" t="s">
        <v>8273</v>
      </c>
    </row>
    <row r="6013" spans="1:6" x14ac:dyDescent="0.25">
      <c r="A6013" t="str">
        <f>"361601688904"</f>
        <v>361601688904</v>
      </c>
      <c r="B6013" t="s">
        <v>8274</v>
      </c>
      <c r="C6013" t="s">
        <v>7</v>
      </c>
      <c r="D6013" t="s">
        <v>14</v>
      </c>
      <c r="E6013" t="s">
        <v>8106</v>
      </c>
    </row>
    <row r="6014" spans="1:6" x14ac:dyDescent="0.25">
      <c r="A6014" t="str">
        <f>"3616024830"</f>
        <v>3616024830</v>
      </c>
      <c r="B6014" t="s">
        <v>8275</v>
      </c>
      <c r="C6014" t="s">
        <v>7</v>
      </c>
      <c r="D6014" t="s">
        <v>33</v>
      </c>
      <c r="E6014" t="s">
        <v>8106</v>
      </c>
      <c r="F6014" t="s">
        <v>8276</v>
      </c>
    </row>
    <row r="6015" spans="1:6" x14ac:dyDescent="0.25">
      <c r="A6015" t="str">
        <f>"3616025174"</f>
        <v>3616025174</v>
      </c>
      <c r="B6015" t="s">
        <v>8277</v>
      </c>
      <c r="C6015" t="s">
        <v>7</v>
      </c>
      <c r="D6015" t="s">
        <v>12</v>
      </c>
      <c r="E6015" t="s">
        <v>8106</v>
      </c>
      <c r="F6015" t="s">
        <v>8278</v>
      </c>
    </row>
    <row r="6016" spans="1:6" x14ac:dyDescent="0.25">
      <c r="A6016" t="str">
        <f>"3616026700"</f>
        <v>3616026700</v>
      </c>
      <c r="B6016" t="s">
        <v>8279</v>
      </c>
      <c r="C6016" t="s">
        <v>7</v>
      </c>
      <c r="D6016" t="s">
        <v>98</v>
      </c>
      <c r="E6016" t="s">
        <v>8106</v>
      </c>
      <c r="F6016" t="s">
        <v>8280</v>
      </c>
    </row>
    <row r="6017" spans="1:6" x14ac:dyDescent="0.25">
      <c r="A6017" t="str">
        <f>"361605835204"</f>
        <v>361605835204</v>
      </c>
      <c r="B6017" t="s">
        <v>8281</v>
      </c>
      <c r="C6017" t="s">
        <v>7</v>
      </c>
      <c r="D6017" t="s">
        <v>12</v>
      </c>
      <c r="E6017" t="s">
        <v>8106</v>
      </c>
    </row>
    <row r="6018" spans="1:6" x14ac:dyDescent="0.25">
      <c r="A6018" t="str">
        <f>"361701505400"</f>
        <v>361701505400</v>
      </c>
      <c r="B6018" t="s">
        <v>8282</v>
      </c>
      <c r="C6018" t="s">
        <v>7</v>
      </c>
      <c r="D6018" t="s">
        <v>14</v>
      </c>
      <c r="E6018" t="s">
        <v>8106</v>
      </c>
    </row>
    <row r="6019" spans="1:6" x14ac:dyDescent="0.25">
      <c r="A6019" t="str">
        <f>"361702783248"</f>
        <v>361702783248</v>
      </c>
      <c r="B6019" t="s">
        <v>8283</v>
      </c>
      <c r="C6019" t="s">
        <v>7</v>
      </c>
      <c r="D6019" t="s">
        <v>12</v>
      </c>
      <c r="E6019" t="s">
        <v>8106</v>
      </c>
    </row>
    <row r="6020" spans="1:6" x14ac:dyDescent="0.25">
      <c r="A6020" t="str">
        <f>"362002719601"</f>
        <v>362002719601</v>
      </c>
      <c r="B6020" t="s">
        <v>8284</v>
      </c>
      <c r="C6020" t="s">
        <v>7</v>
      </c>
      <c r="D6020" t="s">
        <v>14</v>
      </c>
      <c r="E6020" t="s">
        <v>8106</v>
      </c>
    </row>
    <row r="6021" spans="1:6" x14ac:dyDescent="0.25">
      <c r="A6021" t="str">
        <f>"3625016360"</f>
        <v>3625016360</v>
      </c>
      <c r="B6021" t="s">
        <v>8285</v>
      </c>
      <c r="C6021" t="s">
        <v>7</v>
      </c>
      <c r="D6021" t="s">
        <v>98</v>
      </c>
      <c r="E6021" t="s">
        <v>8106</v>
      </c>
      <c r="F6021" t="s">
        <v>8286</v>
      </c>
    </row>
    <row r="6022" spans="1:6" x14ac:dyDescent="0.25">
      <c r="A6022" t="str">
        <f>"362700305350"</f>
        <v>362700305350</v>
      </c>
      <c r="B6022" t="s">
        <v>8287</v>
      </c>
      <c r="C6022" t="s">
        <v>7</v>
      </c>
      <c r="D6022" t="s">
        <v>14</v>
      </c>
      <c r="E6022" t="s">
        <v>8106</v>
      </c>
    </row>
    <row r="6023" spans="1:6" x14ac:dyDescent="0.25">
      <c r="A6023" t="str">
        <f>"3627015756"</f>
        <v>3627015756</v>
      </c>
      <c r="B6023" t="s">
        <v>8288</v>
      </c>
      <c r="C6023" t="s">
        <v>7</v>
      </c>
      <c r="D6023" t="s">
        <v>14</v>
      </c>
      <c r="E6023" t="s">
        <v>8106</v>
      </c>
      <c r="F6023" t="s">
        <v>8289</v>
      </c>
    </row>
    <row r="6024" spans="1:6" x14ac:dyDescent="0.25">
      <c r="A6024" t="str">
        <f>"363100081767"</f>
        <v>363100081767</v>
      </c>
      <c r="B6024" t="s">
        <v>8290</v>
      </c>
      <c r="C6024" t="s">
        <v>7</v>
      </c>
      <c r="D6024" t="s">
        <v>14</v>
      </c>
      <c r="E6024" t="s">
        <v>8106</v>
      </c>
    </row>
    <row r="6025" spans="1:6" x14ac:dyDescent="0.25">
      <c r="A6025" t="str">
        <f>"363200086261"</f>
        <v>363200086261</v>
      </c>
      <c r="B6025" t="s">
        <v>8291</v>
      </c>
      <c r="C6025" t="s">
        <v>7</v>
      </c>
      <c r="D6025" t="s">
        <v>14</v>
      </c>
      <c r="E6025" t="s">
        <v>8106</v>
      </c>
    </row>
    <row r="6026" spans="1:6" x14ac:dyDescent="0.25">
      <c r="A6026" t="str">
        <f>"365103341600"</f>
        <v>365103341600</v>
      </c>
      <c r="B6026" t="s">
        <v>8292</v>
      </c>
      <c r="C6026" t="s">
        <v>7</v>
      </c>
      <c r="D6026" t="s">
        <v>14</v>
      </c>
      <c r="E6026" t="s">
        <v>8106</v>
      </c>
    </row>
    <row r="6027" spans="1:6" x14ac:dyDescent="0.25">
      <c r="A6027" t="str">
        <f>"365200005900"</f>
        <v>365200005900</v>
      </c>
      <c r="B6027" t="s">
        <v>8293</v>
      </c>
      <c r="C6027" t="s">
        <v>7</v>
      </c>
      <c r="D6027" t="s">
        <v>14</v>
      </c>
      <c r="E6027" t="s">
        <v>8106</v>
      </c>
    </row>
    <row r="6028" spans="1:6" x14ac:dyDescent="0.25">
      <c r="A6028" t="str">
        <f>"3652011459"</f>
        <v>3652011459</v>
      </c>
      <c r="B6028" t="s">
        <v>8294</v>
      </c>
      <c r="C6028" t="s">
        <v>7</v>
      </c>
      <c r="D6028" t="s">
        <v>33</v>
      </c>
      <c r="E6028" t="s">
        <v>8106</v>
      </c>
      <c r="F6028" t="s">
        <v>8295</v>
      </c>
    </row>
    <row r="6029" spans="1:6" x14ac:dyDescent="0.25">
      <c r="A6029" t="str">
        <f>"366100453481"</f>
        <v>366100453481</v>
      </c>
      <c r="B6029" t="s">
        <v>8296</v>
      </c>
      <c r="C6029" t="s">
        <v>7</v>
      </c>
      <c r="D6029" t="s">
        <v>12</v>
      </c>
      <c r="E6029" t="s">
        <v>8106</v>
      </c>
    </row>
    <row r="6030" spans="1:6" x14ac:dyDescent="0.25">
      <c r="A6030" t="str">
        <f>"3661006222"</f>
        <v>3661006222</v>
      </c>
      <c r="B6030" t="s">
        <v>8297</v>
      </c>
      <c r="C6030" t="s">
        <v>7</v>
      </c>
      <c r="D6030" t="s">
        <v>14</v>
      </c>
      <c r="E6030" t="s">
        <v>8106</v>
      </c>
      <c r="F6030" t="s">
        <v>8298</v>
      </c>
    </row>
    <row r="6031" spans="1:6" x14ac:dyDescent="0.25">
      <c r="A6031" t="str">
        <f>"3661031892"</f>
        <v>3661031892</v>
      </c>
      <c r="B6031" t="s">
        <v>8299</v>
      </c>
      <c r="C6031" t="s">
        <v>7</v>
      </c>
      <c r="D6031" t="s">
        <v>14</v>
      </c>
      <c r="E6031" t="s">
        <v>8106</v>
      </c>
      <c r="F6031" t="s">
        <v>8300</v>
      </c>
    </row>
    <row r="6032" spans="1:6" x14ac:dyDescent="0.25">
      <c r="A6032" t="str">
        <f>"3661056223"</f>
        <v>3661056223</v>
      </c>
      <c r="B6032" t="s">
        <v>8301</v>
      </c>
      <c r="C6032" t="s">
        <v>7</v>
      </c>
      <c r="D6032" t="s">
        <v>463</v>
      </c>
      <c r="E6032" t="s">
        <v>8106</v>
      </c>
      <c r="F6032" t="s">
        <v>8302</v>
      </c>
    </row>
    <row r="6033" spans="1:6" x14ac:dyDescent="0.25">
      <c r="A6033" t="str">
        <f>"366105992582"</f>
        <v>366105992582</v>
      </c>
      <c r="B6033" t="s">
        <v>8303</v>
      </c>
      <c r="C6033" t="s">
        <v>7</v>
      </c>
      <c r="D6033" t="s">
        <v>33</v>
      </c>
      <c r="E6033" t="s">
        <v>8106</v>
      </c>
    </row>
    <row r="6034" spans="1:6" x14ac:dyDescent="0.25">
      <c r="A6034" t="str">
        <f>"3661063380"</f>
        <v>3661063380</v>
      </c>
      <c r="B6034" t="s">
        <v>8304</v>
      </c>
      <c r="C6034" t="s">
        <v>7</v>
      </c>
      <c r="D6034" t="s">
        <v>12</v>
      </c>
      <c r="E6034" t="s">
        <v>8106</v>
      </c>
      <c r="F6034" t="s">
        <v>8305</v>
      </c>
    </row>
    <row r="6035" spans="1:6" x14ac:dyDescent="0.25">
      <c r="A6035" t="str">
        <f>"3661073772"</f>
        <v>3661073772</v>
      </c>
      <c r="B6035" t="s">
        <v>8306</v>
      </c>
      <c r="C6035" t="s">
        <v>7</v>
      </c>
      <c r="D6035" t="s">
        <v>98</v>
      </c>
      <c r="E6035" t="s">
        <v>8106</v>
      </c>
      <c r="F6035" t="s">
        <v>8307</v>
      </c>
    </row>
    <row r="6036" spans="1:6" x14ac:dyDescent="0.25">
      <c r="A6036" t="str">
        <f>"366200395836"</f>
        <v>366200395836</v>
      </c>
      <c r="B6036" t="s">
        <v>8308</v>
      </c>
      <c r="C6036" t="s">
        <v>7</v>
      </c>
      <c r="D6036" t="s">
        <v>586</v>
      </c>
      <c r="E6036" t="s">
        <v>8106</v>
      </c>
    </row>
    <row r="6037" spans="1:6" x14ac:dyDescent="0.25">
      <c r="A6037" t="str">
        <f>"366201217811"</f>
        <v>366201217811</v>
      </c>
      <c r="B6037" t="s">
        <v>8309</v>
      </c>
      <c r="C6037" t="s">
        <v>7</v>
      </c>
      <c r="D6037" t="s">
        <v>14</v>
      </c>
      <c r="E6037" t="s">
        <v>8106</v>
      </c>
    </row>
    <row r="6038" spans="1:6" x14ac:dyDescent="0.25">
      <c r="A6038" t="str">
        <f>"366201461513"</f>
        <v>366201461513</v>
      </c>
      <c r="B6038" t="s">
        <v>8310</v>
      </c>
      <c r="C6038" t="s">
        <v>7</v>
      </c>
      <c r="D6038" t="s">
        <v>33</v>
      </c>
      <c r="E6038" t="s">
        <v>8106</v>
      </c>
    </row>
    <row r="6039" spans="1:6" x14ac:dyDescent="0.25">
      <c r="A6039" t="str">
        <f>"366205301422"</f>
        <v>366205301422</v>
      </c>
      <c r="B6039" t="s">
        <v>8311</v>
      </c>
      <c r="C6039" t="s">
        <v>7</v>
      </c>
      <c r="D6039" t="s">
        <v>14</v>
      </c>
      <c r="E6039" t="s">
        <v>8106</v>
      </c>
    </row>
    <row r="6040" spans="1:6" x14ac:dyDescent="0.25">
      <c r="A6040" t="str">
        <f>"366209669584"</f>
        <v>366209669584</v>
      </c>
      <c r="B6040" t="s">
        <v>8312</v>
      </c>
      <c r="C6040" t="s">
        <v>7</v>
      </c>
      <c r="D6040" t="s">
        <v>14</v>
      </c>
      <c r="E6040" t="s">
        <v>8106</v>
      </c>
    </row>
    <row r="6041" spans="1:6" x14ac:dyDescent="0.25">
      <c r="A6041" t="str">
        <f>"3662106195"</f>
        <v>3662106195</v>
      </c>
      <c r="B6041" t="s">
        <v>8313</v>
      </c>
      <c r="C6041" t="s">
        <v>7</v>
      </c>
      <c r="D6041" t="s">
        <v>33</v>
      </c>
      <c r="E6041" t="s">
        <v>8106</v>
      </c>
      <c r="F6041" t="s">
        <v>8314</v>
      </c>
    </row>
    <row r="6042" spans="1:6" x14ac:dyDescent="0.25">
      <c r="A6042" t="str">
        <f>"366216069972"</f>
        <v>366216069972</v>
      </c>
      <c r="B6042" t="s">
        <v>8315</v>
      </c>
      <c r="C6042" t="s">
        <v>7</v>
      </c>
      <c r="D6042" t="s">
        <v>98</v>
      </c>
      <c r="E6042" t="s">
        <v>8106</v>
      </c>
    </row>
    <row r="6043" spans="1:6" x14ac:dyDescent="0.25">
      <c r="A6043" t="str">
        <f>"3662177012"</f>
        <v>3662177012</v>
      </c>
      <c r="B6043" t="s">
        <v>8316</v>
      </c>
      <c r="C6043" t="s">
        <v>7</v>
      </c>
      <c r="D6043" t="s">
        <v>33</v>
      </c>
      <c r="E6043" t="s">
        <v>8106</v>
      </c>
      <c r="F6043" t="s">
        <v>8317</v>
      </c>
    </row>
    <row r="6044" spans="1:6" x14ac:dyDescent="0.25">
      <c r="A6044" t="str">
        <f>"3662191539"</f>
        <v>3662191539</v>
      </c>
      <c r="B6044" t="s">
        <v>8318</v>
      </c>
      <c r="C6044" t="s">
        <v>7</v>
      </c>
      <c r="D6044" t="s">
        <v>14</v>
      </c>
      <c r="E6044" t="s">
        <v>8106</v>
      </c>
      <c r="F6044" t="s">
        <v>8319</v>
      </c>
    </row>
    <row r="6045" spans="1:6" x14ac:dyDescent="0.25">
      <c r="A6045" t="str">
        <f>"366219702270"</f>
        <v>366219702270</v>
      </c>
      <c r="B6045" t="s">
        <v>8320</v>
      </c>
      <c r="C6045" t="s">
        <v>7</v>
      </c>
      <c r="D6045" t="s">
        <v>14</v>
      </c>
      <c r="E6045" t="s">
        <v>8106</v>
      </c>
    </row>
    <row r="6046" spans="1:6" x14ac:dyDescent="0.25">
      <c r="A6046" t="str">
        <f>"632501502748"</f>
        <v>632501502748</v>
      </c>
      <c r="B6046" t="s">
        <v>8321</v>
      </c>
      <c r="C6046" t="s">
        <v>7</v>
      </c>
      <c r="D6046" t="s">
        <v>33</v>
      </c>
      <c r="E6046" t="s">
        <v>8106</v>
      </c>
    </row>
    <row r="6047" spans="1:6" x14ac:dyDescent="0.25">
      <c r="A6047" t="str">
        <f>"3662266368"</f>
        <v>3662266368</v>
      </c>
      <c r="B6047" t="s">
        <v>8322</v>
      </c>
      <c r="C6047" t="s">
        <v>7</v>
      </c>
      <c r="D6047" t="s">
        <v>12</v>
      </c>
      <c r="E6047" t="s">
        <v>8106</v>
      </c>
      <c r="F6047" t="s">
        <v>8323</v>
      </c>
    </row>
    <row r="6048" spans="1:6" x14ac:dyDescent="0.25">
      <c r="A6048" t="str">
        <f>"3662272675"</f>
        <v>3662272675</v>
      </c>
      <c r="B6048" t="s">
        <v>8324</v>
      </c>
      <c r="C6048" t="s">
        <v>7</v>
      </c>
      <c r="D6048" t="s">
        <v>12</v>
      </c>
      <c r="E6048" t="s">
        <v>8106</v>
      </c>
      <c r="F6048" t="s">
        <v>8325</v>
      </c>
    </row>
    <row r="6049" spans="1:6" x14ac:dyDescent="0.25">
      <c r="A6049" t="str">
        <f>"3662292216"</f>
        <v>3662292216</v>
      </c>
      <c r="B6049" t="s">
        <v>8326</v>
      </c>
      <c r="C6049" t="s">
        <v>7</v>
      </c>
      <c r="D6049" t="s">
        <v>14</v>
      </c>
      <c r="E6049" t="s">
        <v>8106</v>
      </c>
      <c r="F6049" t="s">
        <v>8327</v>
      </c>
    </row>
    <row r="6050" spans="1:6" x14ac:dyDescent="0.25">
      <c r="A6050" t="str">
        <f>"366230914616"</f>
        <v>366230914616</v>
      </c>
      <c r="B6050" t="s">
        <v>8328</v>
      </c>
      <c r="C6050" t="s">
        <v>7</v>
      </c>
      <c r="D6050" t="s">
        <v>14</v>
      </c>
      <c r="E6050" t="s">
        <v>8106</v>
      </c>
    </row>
    <row r="6051" spans="1:6" x14ac:dyDescent="0.25">
      <c r="A6051" t="str">
        <f>"366300676460"</f>
        <v>366300676460</v>
      </c>
      <c r="B6051" t="s">
        <v>8329</v>
      </c>
      <c r="C6051" t="s">
        <v>7</v>
      </c>
      <c r="D6051" t="s">
        <v>14</v>
      </c>
      <c r="E6051" t="s">
        <v>8106</v>
      </c>
    </row>
    <row r="6052" spans="1:6" x14ac:dyDescent="0.25">
      <c r="A6052" t="str">
        <f>"366301520667"</f>
        <v>366301520667</v>
      </c>
      <c r="B6052" t="s">
        <v>8330</v>
      </c>
      <c r="C6052" t="s">
        <v>7</v>
      </c>
      <c r="D6052" t="s">
        <v>14</v>
      </c>
      <c r="E6052" t="s">
        <v>8106</v>
      </c>
    </row>
    <row r="6053" spans="1:6" x14ac:dyDescent="0.25">
      <c r="A6053" t="str">
        <f>"3663027549"</f>
        <v>3663027549</v>
      </c>
      <c r="B6053" t="s">
        <v>8331</v>
      </c>
      <c r="C6053" t="s">
        <v>7</v>
      </c>
      <c r="D6053" t="s">
        <v>674</v>
      </c>
      <c r="E6053" t="s">
        <v>8106</v>
      </c>
      <c r="F6053" t="s">
        <v>8332</v>
      </c>
    </row>
    <row r="6054" spans="1:6" x14ac:dyDescent="0.25">
      <c r="A6054" t="str">
        <f>"366304559775"</f>
        <v>366304559775</v>
      </c>
      <c r="B6054" t="s">
        <v>8333</v>
      </c>
      <c r="C6054" t="s">
        <v>7</v>
      </c>
      <c r="D6054" t="s">
        <v>14</v>
      </c>
      <c r="E6054" t="s">
        <v>8106</v>
      </c>
    </row>
    <row r="6055" spans="1:6" x14ac:dyDescent="0.25">
      <c r="A6055" t="str">
        <f>"3663048098"</f>
        <v>3663048098</v>
      </c>
      <c r="B6055" t="s">
        <v>8334</v>
      </c>
      <c r="C6055" t="s">
        <v>7</v>
      </c>
      <c r="D6055" t="s">
        <v>12</v>
      </c>
      <c r="E6055" t="s">
        <v>8106</v>
      </c>
      <c r="F6055" t="s">
        <v>8335</v>
      </c>
    </row>
    <row r="6056" spans="1:6" x14ac:dyDescent="0.25">
      <c r="A6056" t="str">
        <f>"3663070255"</f>
        <v>3663070255</v>
      </c>
      <c r="B6056" t="s">
        <v>8336</v>
      </c>
      <c r="C6056" t="s">
        <v>7</v>
      </c>
      <c r="D6056" t="s">
        <v>8</v>
      </c>
      <c r="E6056" t="s">
        <v>8106</v>
      </c>
      <c r="F6056" t="s">
        <v>8337</v>
      </c>
    </row>
    <row r="6057" spans="1:6" x14ac:dyDescent="0.25">
      <c r="A6057" t="str">
        <f>"3663078889"</f>
        <v>3663078889</v>
      </c>
      <c r="B6057" t="s">
        <v>8338</v>
      </c>
      <c r="C6057" t="s">
        <v>7</v>
      </c>
      <c r="D6057" t="s">
        <v>33</v>
      </c>
      <c r="E6057" t="s">
        <v>8106</v>
      </c>
      <c r="F6057" t="s">
        <v>8339</v>
      </c>
    </row>
    <row r="6058" spans="1:6" x14ac:dyDescent="0.25">
      <c r="A6058" t="str">
        <f>"366312383807"</f>
        <v>366312383807</v>
      </c>
      <c r="B6058" t="s">
        <v>8340</v>
      </c>
      <c r="C6058" t="s">
        <v>7</v>
      </c>
      <c r="D6058" t="s">
        <v>14</v>
      </c>
      <c r="E6058" t="s">
        <v>8106</v>
      </c>
    </row>
    <row r="6059" spans="1:6" x14ac:dyDescent="0.25">
      <c r="A6059" t="str">
        <f>"366312562690"</f>
        <v>366312562690</v>
      </c>
      <c r="B6059" t="s">
        <v>8341</v>
      </c>
      <c r="C6059" t="s">
        <v>7</v>
      </c>
      <c r="D6059" t="s">
        <v>12</v>
      </c>
      <c r="E6059" t="s">
        <v>8106</v>
      </c>
    </row>
    <row r="6060" spans="1:6" x14ac:dyDescent="0.25">
      <c r="A6060" t="str">
        <f>"3663137189"</f>
        <v>3663137189</v>
      </c>
      <c r="B6060" t="s">
        <v>8342</v>
      </c>
      <c r="C6060" t="s">
        <v>7</v>
      </c>
      <c r="D6060" t="s">
        <v>33</v>
      </c>
      <c r="E6060" t="s">
        <v>8106</v>
      </c>
      <c r="F6060" t="s">
        <v>8343</v>
      </c>
    </row>
    <row r="6061" spans="1:6" x14ac:dyDescent="0.25">
      <c r="A6061" t="str">
        <f>"366313920074"</f>
        <v>366313920074</v>
      </c>
      <c r="B6061" t="s">
        <v>8344</v>
      </c>
      <c r="C6061" t="s">
        <v>7</v>
      </c>
      <c r="D6061" t="s">
        <v>14</v>
      </c>
      <c r="E6061" t="s">
        <v>8106</v>
      </c>
    </row>
    <row r="6062" spans="1:6" x14ac:dyDescent="0.25">
      <c r="A6062" t="str">
        <f>"3663157837"</f>
        <v>3663157837</v>
      </c>
      <c r="B6062" t="s">
        <v>4131</v>
      </c>
      <c r="C6062" t="s">
        <v>7</v>
      </c>
      <c r="D6062" t="s">
        <v>33</v>
      </c>
      <c r="E6062" t="s">
        <v>8106</v>
      </c>
      <c r="F6062" t="s">
        <v>8345</v>
      </c>
    </row>
    <row r="6063" spans="1:6" x14ac:dyDescent="0.25">
      <c r="A6063" t="str">
        <f>"366321175000"</f>
        <v>366321175000</v>
      </c>
      <c r="B6063" t="s">
        <v>8346</v>
      </c>
      <c r="C6063" t="s">
        <v>7</v>
      </c>
      <c r="D6063" t="s">
        <v>14</v>
      </c>
      <c r="E6063" t="s">
        <v>8106</v>
      </c>
    </row>
    <row r="6064" spans="1:6" x14ac:dyDescent="0.25">
      <c r="A6064" t="str">
        <f>"366322692219"</f>
        <v>366322692219</v>
      </c>
      <c r="B6064" t="s">
        <v>8347</v>
      </c>
      <c r="C6064" t="s">
        <v>7</v>
      </c>
      <c r="D6064" t="s">
        <v>14</v>
      </c>
      <c r="E6064" t="s">
        <v>8106</v>
      </c>
    </row>
    <row r="6065" spans="1:6" x14ac:dyDescent="0.25">
      <c r="A6065" t="str">
        <f>"366400093085"</f>
        <v>366400093085</v>
      </c>
      <c r="B6065" t="s">
        <v>8348</v>
      </c>
      <c r="C6065" t="s">
        <v>7</v>
      </c>
      <c r="D6065" t="s">
        <v>14</v>
      </c>
      <c r="E6065" t="s">
        <v>8106</v>
      </c>
    </row>
    <row r="6066" spans="1:6" x14ac:dyDescent="0.25">
      <c r="A6066" t="str">
        <f>"366401925402"</f>
        <v>366401925402</v>
      </c>
      <c r="B6066" t="s">
        <v>8349</v>
      </c>
      <c r="C6066" t="s">
        <v>7</v>
      </c>
      <c r="D6066" t="s">
        <v>14</v>
      </c>
      <c r="E6066" t="s">
        <v>8106</v>
      </c>
    </row>
    <row r="6067" spans="1:6" x14ac:dyDescent="0.25">
      <c r="A6067" t="str">
        <f>"3664074710"</f>
        <v>3664074710</v>
      </c>
      <c r="B6067" t="s">
        <v>8350</v>
      </c>
      <c r="C6067" t="s">
        <v>7</v>
      </c>
      <c r="D6067" t="s">
        <v>33</v>
      </c>
      <c r="E6067" t="s">
        <v>8106</v>
      </c>
      <c r="F6067" t="s">
        <v>8351</v>
      </c>
    </row>
    <row r="6068" spans="1:6" x14ac:dyDescent="0.25">
      <c r="A6068" t="str">
        <f>"3664083289"</f>
        <v>3664083289</v>
      </c>
      <c r="B6068" t="s">
        <v>8352</v>
      </c>
      <c r="C6068" t="s">
        <v>7</v>
      </c>
      <c r="D6068" t="s">
        <v>14</v>
      </c>
      <c r="E6068" t="s">
        <v>8106</v>
      </c>
      <c r="F6068" t="s">
        <v>8353</v>
      </c>
    </row>
    <row r="6069" spans="1:6" x14ac:dyDescent="0.25">
      <c r="A6069" t="str">
        <f>"366410683911"</f>
        <v>366410683911</v>
      </c>
      <c r="B6069" t="s">
        <v>8354</v>
      </c>
      <c r="C6069" t="s">
        <v>7</v>
      </c>
      <c r="D6069" t="s">
        <v>14</v>
      </c>
      <c r="E6069" t="s">
        <v>8106</v>
      </c>
    </row>
    <row r="6070" spans="1:6" x14ac:dyDescent="0.25">
      <c r="A6070" t="str">
        <f>"3664110616"</f>
        <v>3664110616</v>
      </c>
      <c r="B6070" t="s">
        <v>8355</v>
      </c>
      <c r="C6070" t="s">
        <v>7</v>
      </c>
      <c r="D6070" t="s">
        <v>33</v>
      </c>
      <c r="E6070" t="s">
        <v>8106</v>
      </c>
      <c r="F6070" t="s">
        <v>8356</v>
      </c>
    </row>
    <row r="6071" spans="1:6" x14ac:dyDescent="0.25">
      <c r="A6071" t="str">
        <f>"3664205160"</f>
        <v>3664205160</v>
      </c>
      <c r="B6071" t="s">
        <v>8357</v>
      </c>
      <c r="C6071" t="s">
        <v>7</v>
      </c>
      <c r="D6071" t="s">
        <v>12</v>
      </c>
      <c r="E6071" t="s">
        <v>8106</v>
      </c>
      <c r="F6071" t="s">
        <v>8358</v>
      </c>
    </row>
    <row r="6072" spans="1:6" x14ac:dyDescent="0.25">
      <c r="A6072" t="str">
        <f>"3664251938"</f>
        <v>3664251938</v>
      </c>
      <c r="B6072" t="s">
        <v>8359</v>
      </c>
      <c r="C6072" t="s">
        <v>7</v>
      </c>
      <c r="D6072" t="s">
        <v>14</v>
      </c>
      <c r="E6072" t="s">
        <v>8106</v>
      </c>
      <c r="F6072" t="s">
        <v>8360</v>
      </c>
    </row>
    <row r="6073" spans="1:6" x14ac:dyDescent="0.25">
      <c r="A6073" t="str">
        <f>"366500590588"</f>
        <v>366500590588</v>
      </c>
      <c r="B6073" t="s">
        <v>8361</v>
      </c>
      <c r="C6073" t="s">
        <v>7</v>
      </c>
      <c r="D6073" t="s">
        <v>12</v>
      </c>
      <c r="E6073" t="s">
        <v>8106</v>
      </c>
    </row>
    <row r="6074" spans="1:6" x14ac:dyDescent="0.25">
      <c r="A6074" t="str">
        <f>"3665064257"</f>
        <v>3665064257</v>
      </c>
      <c r="B6074" t="s">
        <v>8362</v>
      </c>
      <c r="C6074" t="s">
        <v>7</v>
      </c>
      <c r="D6074" t="s">
        <v>12</v>
      </c>
      <c r="E6074" t="s">
        <v>8106</v>
      </c>
      <c r="F6074" t="s">
        <v>8363</v>
      </c>
    </row>
    <row r="6075" spans="1:6" x14ac:dyDescent="0.25">
      <c r="A6075" t="str">
        <f>"366510517354"</f>
        <v>366510517354</v>
      </c>
      <c r="B6075" t="s">
        <v>8364</v>
      </c>
      <c r="C6075" t="s">
        <v>7</v>
      </c>
      <c r="D6075" t="s">
        <v>14</v>
      </c>
      <c r="E6075" t="s">
        <v>8106</v>
      </c>
    </row>
    <row r="6076" spans="1:6" x14ac:dyDescent="0.25">
      <c r="A6076" t="str">
        <f>"3665120840"</f>
        <v>3665120840</v>
      </c>
      <c r="B6076" t="s">
        <v>8365</v>
      </c>
      <c r="C6076" t="s">
        <v>7</v>
      </c>
      <c r="D6076" t="s">
        <v>14</v>
      </c>
      <c r="E6076" t="s">
        <v>8106</v>
      </c>
      <c r="F6076" t="s">
        <v>8366</v>
      </c>
    </row>
    <row r="6077" spans="1:6" x14ac:dyDescent="0.25">
      <c r="A6077" t="str">
        <f>"366514532723"</f>
        <v>366514532723</v>
      </c>
      <c r="B6077" t="s">
        <v>8367</v>
      </c>
      <c r="C6077" t="s">
        <v>7</v>
      </c>
      <c r="D6077" t="s">
        <v>14</v>
      </c>
      <c r="E6077" t="s">
        <v>8106</v>
      </c>
    </row>
    <row r="6078" spans="1:6" x14ac:dyDescent="0.25">
      <c r="A6078" t="str">
        <f>"3665149447"</f>
        <v>3665149447</v>
      </c>
      <c r="B6078" t="s">
        <v>8368</v>
      </c>
      <c r="C6078" t="s">
        <v>7</v>
      </c>
      <c r="D6078" t="s">
        <v>33</v>
      </c>
      <c r="E6078" t="s">
        <v>8106</v>
      </c>
      <c r="F6078" t="s">
        <v>8369</v>
      </c>
    </row>
    <row r="6079" spans="1:6" x14ac:dyDescent="0.25">
      <c r="A6079" t="str">
        <f>"3665805138"</f>
        <v>3665805138</v>
      </c>
      <c r="B6079" t="s">
        <v>8370</v>
      </c>
      <c r="C6079" t="s">
        <v>7</v>
      </c>
      <c r="D6079" t="s">
        <v>33</v>
      </c>
      <c r="E6079" t="s">
        <v>8106</v>
      </c>
      <c r="F6079" t="s">
        <v>8371</v>
      </c>
    </row>
    <row r="6080" spans="1:6" x14ac:dyDescent="0.25">
      <c r="A6080" t="str">
        <f>"3665809608"</f>
        <v>3665809608</v>
      </c>
      <c r="B6080" t="s">
        <v>8372</v>
      </c>
      <c r="C6080" t="s">
        <v>7</v>
      </c>
      <c r="D6080" t="s">
        <v>33</v>
      </c>
      <c r="E6080" t="s">
        <v>8106</v>
      </c>
      <c r="F6080" t="s">
        <v>8373</v>
      </c>
    </row>
    <row r="6081" spans="1:6" x14ac:dyDescent="0.25">
      <c r="A6081" t="str">
        <f>"3665811075"</f>
        <v>3665811075</v>
      </c>
      <c r="B6081" t="s">
        <v>8374</v>
      </c>
      <c r="C6081" t="s">
        <v>7</v>
      </c>
      <c r="D6081" t="s">
        <v>12</v>
      </c>
      <c r="E6081" t="s">
        <v>8106</v>
      </c>
      <c r="F6081" t="s">
        <v>8375</v>
      </c>
    </row>
    <row r="6082" spans="1:6" x14ac:dyDescent="0.25">
      <c r="A6082" t="str">
        <f>"3665814799"</f>
        <v>3665814799</v>
      </c>
      <c r="B6082" t="s">
        <v>8376</v>
      </c>
      <c r="C6082" t="s">
        <v>7</v>
      </c>
      <c r="D6082" t="s">
        <v>33</v>
      </c>
      <c r="E6082" t="s">
        <v>8106</v>
      </c>
      <c r="F6082" t="s">
        <v>8377</v>
      </c>
    </row>
    <row r="6083" spans="1:6" x14ac:dyDescent="0.25">
      <c r="A6083" t="str">
        <f>"3665818306"</f>
        <v>3665818306</v>
      </c>
      <c r="B6083" t="s">
        <v>8378</v>
      </c>
      <c r="C6083" t="s">
        <v>7</v>
      </c>
      <c r="D6083" t="s">
        <v>12</v>
      </c>
      <c r="E6083" t="s">
        <v>8106</v>
      </c>
      <c r="F6083" t="s">
        <v>8379</v>
      </c>
    </row>
    <row r="6084" spans="1:6" x14ac:dyDescent="0.25">
      <c r="A6084" t="str">
        <f>"3665819162"</f>
        <v>3665819162</v>
      </c>
      <c r="B6084" t="s">
        <v>8380</v>
      </c>
      <c r="C6084" t="s">
        <v>7</v>
      </c>
      <c r="D6084" t="s">
        <v>12</v>
      </c>
      <c r="E6084" t="s">
        <v>8106</v>
      </c>
      <c r="F6084" t="s">
        <v>8381</v>
      </c>
    </row>
    <row r="6085" spans="1:6" x14ac:dyDescent="0.25">
      <c r="A6085" t="str">
        <f>"3665819170"</f>
        <v>3665819170</v>
      </c>
      <c r="B6085" t="s">
        <v>8382</v>
      </c>
      <c r="C6085" t="s">
        <v>7</v>
      </c>
      <c r="D6085" t="s">
        <v>98</v>
      </c>
      <c r="E6085" t="s">
        <v>8106</v>
      </c>
      <c r="F6085" t="s">
        <v>8383</v>
      </c>
    </row>
    <row r="6086" spans="1:6" x14ac:dyDescent="0.25">
      <c r="A6086" t="str">
        <f>"3665824204"</f>
        <v>3665824204</v>
      </c>
      <c r="B6086" t="s">
        <v>8384</v>
      </c>
      <c r="C6086" t="s">
        <v>7</v>
      </c>
      <c r="D6086" t="s">
        <v>33</v>
      </c>
      <c r="E6086" t="s">
        <v>8106</v>
      </c>
      <c r="F6086" t="s">
        <v>8385</v>
      </c>
    </row>
    <row r="6087" spans="1:6" x14ac:dyDescent="0.25">
      <c r="A6087" t="str">
        <f>"3665831258"</f>
        <v>3665831258</v>
      </c>
      <c r="B6087" t="s">
        <v>8386</v>
      </c>
      <c r="C6087" t="s">
        <v>7</v>
      </c>
      <c r="D6087" t="s">
        <v>33</v>
      </c>
      <c r="E6087" t="s">
        <v>8106</v>
      </c>
      <c r="F6087" t="s">
        <v>8387</v>
      </c>
    </row>
    <row r="6088" spans="1:6" x14ac:dyDescent="0.25">
      <c r="A6088" t="str">
        <f>"366600223782"</f>
        <v>366600223782</v>
      </c>
      <c r="B6088" t="s">
        <v>8388</v>
      </c>
      <c r="C6088" t="s">
        <v>7</v>
      </c>
      <c r="D6088" t="s">
        <v>14</v>
      </c>
      <c r="E6088" t="s">
        <v>8106</v>
      </c>
    </row>
    <row r="6089" spans="1:6" x14ac:dyDescent="0.25">
      <c r="A6089" t="str">
        <f>"366603453304"</f>
        <v>366603453304</v>
      </c>
      <c r="B6089" t="s">
        <v>8389</v>
      </c>
      <c r="C6089" t="s">
        <v>7</v>
      </c>
      <c r="D6089" t="s">
        <v>14</v>
      </c>
      <c r="E6089" t="s">
        <v>8106</v>
      </c>
    </row>
    <row r="6090" spans="1:6" x14ac:dyDescent="0.25">
      <c r="A6090" t="str">
        <f>"3666058432"</f>
        <v>3666058432</v>
      </c>
      <c r="B6090" t="s">
        <v>8390</v>
      </c>
      <c r="C6090" t="s">
        <v>7</v>
      </c>
      <c r="D6090" t="s">
        <v>14</v>
      </c>
      <c r="E6090" t="s">
        <v>8106</v>
      </c>
      <c r="F6090" t="s">
        <v>8391</v>
      </c>
    </row>
    <row r="6091" spans="1:6" x14ac:dyDescent="0.25">
      <c r="A6091" t="str">
        <f>"366605872653"</f>
        <v>366605872653</v>
      </c>
      <c r="B6091" t="s">
        <v>8392</v>
      </c>
      <c r="C6091" t="s">
        <v>7</v>
      </c>
      <c r="D6091" t="s">
        <v>12</v>
      </c>
      <c r="E6091" t="s">
        <v>8106</v>
      </c>
    </row>
    <row r="6092" spans="1:6" x14ac:dyDescent="0.25">
      <c r="A6092" t="str">
        <f>"3666060840"</f>
        <v>3666060840</v>
      </c>
      <c r="B6092" t="s">
        <v>8393</v>
      </c>
      <c r="C6092" t="s">
        <v>7</v>
      </c>
      <c r="D6092" t="s">
        <v>12</v>
      </c>
      <c r="E6092" t="s">
        <v>8106</v>
      </c>
      <c r="F6092" t="s">
        <v>8394</v>
      </c>
    </row>
    <row r="6093" spans="1:6" x14ac:dyDescent="0.25">
      <c r="A6093" t="str">
        <f>"3666080999"</f>
        <v>3666080999</v>
      </c>
      <c r="B6093" t="s">
        <v>8395</v>
      </c>
      <c r="C6093" t="s">
        <v>7</v>
      </c>
      <c r="D6093" t="s">
        <v>33</v>
      </c>
      <c r="E6093" t="s">
        <v>8106</v>
      </c>
      <c r="F6093" t="s">
        <v>8396</v>
      </c>
    </row>
    <row r="6094" spans="1:6" x14ac:dyDescent="0.25">
      <c r="A6094" t="str">
        <f>"3666087539"</f>
        <v>3666087539</v>
      </c>
      <c r="B6094" t="s">
        <v>8397</v>
      </c>
      <c r="C6094" t="s">
        <v>7</v>
      </c>
      <c r="D6094" t="s">
        <v>14</v>
      </c>
      <c r="E6094" t="s">
        <v>8106</v>
      </c>
      <c r="F6094" t="s">
        <v>8398</v>
      </c>
    </row>
    <row r="6095" spans="1:6" x14ac:dyDescent="0.25">
      <c r="A6095" t="str">
        <f>"3666118233"</f>
        <v>3666118233</v>
      </c>
      <c r="B6095" t="s">
        <v>8399</v>
      </c>
      <c r="C6095" t="s">
        <v>7</v>
      </c>
      <c r="D6095" t="s">
        <v>12</v>
      </c>
      <c r="E6095" t="s">
        <v>8106</v>
      </c>
      <c r="F6095" t="s">
        <v>8400</v>
      </c>
    </row>
    <row r="6096" spans="1:6" x14ac:dyDescent="0.25">
      <c r="A6096" t="str">
        <f>"3666128305"</f>
        <v>3666128305</v>
      </c>
      <c r="B6096" t="s">
        <v>8401</v>
      </c>
      <c r="C6096" t="s">
        <v>7</v>
      </c>
      <c r="D6096" t="s">
        <v>14</v>
      </c>
      <c r="E6096" t="s">
        <v>8106</v>
      </c>
      <c r="F6096" t="s">
        <v>8402</v>
      </c>
    </row>
    <row r="6097" spans="1:6" x14ac:dyDescent="0.25">
      <c r="A6097" t="str">
        <f>"3666266954"</f>
        <v>3666266954</v>
      </c>
      <c r="B6097" t="s">
        <v>8403</v>
      </c>
      <c r="C6097" t="s">
        <v>7</v>
      </c>
      <c r="D6097" t="s">
        <v>33</v>
      </c>
      <c r="E6097" t="s">
        <v>8106</v>
      </c>
      <c r="F6097" t="s">
        <v>8404</v>
      </c>
    </row>
    <row r="6098" spans="1:6" x14ac:dyDescent="0.25">
      <c r="A6098" t="str">
        <f>"3666274056"</f>
        <v>3666274056</v>
      </c>
      <c r="B6098" t="s">
        <v>8405</v>
      </c>
      <c r="C6098" t="s">
        <v>7</v>
      </c>
      <c r="D6098" t="s">
        <v>12</v>
      </c>
      <c r="E6098" t="s">
        <v>8106</v>
      </c>
      <c r="F6098" t="s">
        <v>8406</v>
      </c>
    </row>
    <row r="6099" spans="1:6" x14ac:dyDescent="0.25">
      <c r="A6099" t="str">
        <f>"366234289402"</f>
        <v>366234289402</v>
      </c>
      <c r="B6099" t="s">
        <v>8407</v>
      </c>
      <c r="C6099" t="s">
        <v>7</v>
      </c>
      <c r="D6099" t="s">
        <v>14</v>
      </c>
      <c r="E6099" t="s">
        <v>8106</v>
      </c>
    </row>
    <row r="6100" spans="1:6" x14ac:dyDescent="0.25">
      <c r="A6100" t="str">
        <f>"366300371765"</f>
        <v>366300371765</v>
      </c>
      <c r="B6100" t="s">
        <v>8408</v>
      </c>
      <c r="C6100" t="s">
        <v>7</v>
      </c>
      <c r="D6100" t="s">
        <v>14</v>
      </c>
      <c r="E6100" t="s">
        <v>8106</v>
      </c>
    </row>
    <row r="6101" spans="1:6" x14ac:dyDescent="0.25">
      <c r="A6101" t="str">
        <f>"366301949720"</f>
        <v>366301949720</v>
      </c>
      <c r="B6101" t="s">
        <v>8409</v>
      </c>
      <c r="C6101" t="s">
        <v>7</v>
      </c>
      <c r="D6101" t="s">
        <v>14</v>
      </c>
      <c r="E6101" t="s">
        <v>8106</v>
      </c>
    </row>
    <row r="6102" spans="1:6" x14ac:dyDescent="0.25">
      <c r="A6102" t="str">
        <f>"3663035765"</f>
        <v>3663035765</v>
      </c>
      <c r="B6102" t="s">
        <v>8410</v>
      </c>
      <c r="C6102" t="s">
        <v>7</v>
      </c>
      <c r="D6102" t="s">
        <v>98</v>
      </c>
      <c r="E6102" t="s">
        <v>8106</v>
      </c>
      <c r="F6102" t="s">
        <v>8411</v>
      </c>
    </row>
    <row r="6103" spans="1:6" x14ac:dyDescent="0.25">
      <c r="A6103" t="str">
        <f>"366304069160"</f>
        <v>366304069160</v>
      </c>
      <c r="B6103" t="s">
        <v>8412</v>
      </c>
      <c r="C6103" t="s">
        <v>7</v>
      </c>
      <c r="D6103" t="s">
        <v>14</v>
      </c>
      <c r="E6103" t="s">
        <v>8106</v>
      </c>
    </row>
    <row r="6104" spans="1:6" x14ac:dyDescent="0.25">
      <c r="A6104" t="str">
        <f>"366306228049"</f>
        <v>366306228049</v>
      </c>
      <c r="B6104" t="s">
        <v>8413</v>
      </c>
      <c r="C6104" t="s">
        <v>7</v>
      </c>
      <c r="D6104" t="s">
        <v>12</v>
      </c>
      <c r="E6104" t="s">
        <v>8106</v>
      </c>
    </row>
    <row r="6105" spans="1:6" x14ac:dyDescent="0.25">
      <c r="A6105" t="str">
        <f>"3663067453"</f>
        <v>3663067453</v>
      </c>
      <c r="B6105" t="s">
        <v>1957</v>
      </c>
      <c r="C6105" t="s">
        <v>7</v>
      </c>
      <c r="D6105" t="s">
        <v>12</v>
      </c>
      <c r="E6105" t="s">
        <v>8106</v>
      </c>
      <c r="F6105" t="s">
        <v>8414</v>
      </c>
    </row>
    <row r="6106" spans="1:6" x14ac:dyDescent="0.25">
      <c r="A6106" t="str">
        <f>"3663099896"</f>
        <v>3663099896</v>
      </c>
      <c r="B6106" t="s">
        <v>8415</v>
      </c>
      <c r="C6106" t="s">
        <v>7</v>
      </c>
      <c r="D6106" t="s">
        <v>33</v>
      </c>
      <c r="E6106" t="s">
        <v>8106</v>
      </c>
      <c r="F6106" t="s">
        <v>8416</v>
      </c>
    </row>
    <row r="6107" spans="1:6" x14ac:dyDescent="0.25">
      <c r="A6107" t="str">
        <f>"3663100608"</f>
        <v>3663100608</v>
      </c>
      <c r="B6107" t="s">
        <v>8417</v>
      </c>
      <c r="C6107" t="s">
        <v>7</v>
      </c>
      <c r="D6107" t="s">
        <v>12</v>
      </c>
      <c r="E6107" t="s">
        <v>8106</v>
      </c>
      <c r="F6107" t="s">
        <v>8418</v>
      </c>
    </row>
    <row r="6108" spans="1:6" x14ac:dyDescent="0.25">
      <c r="A6108" t="str">
        <f>"366311913321"</f>
        <v>366311913321</v>
      </c>
      <c r="B6108" t="s">
        <v>8419</v>
      </c>
      <c r="C6108" t="s">
        <v>7</v>
      </c>
      <c r="D6108" t="s">
        <v>14</v>
      </c>
      <c r="E6108" t="s">
        <v>8106</v>
      </c>
    </row>
    <row r="6109" spans="1:6" x14ac:dyDescent="0.25">
      <c r="A6109" t="str">
        <f>"366313761258"</f>
        <v>366313761258</v>
      </c>
      <c r="B6109" t="s">
        <v>8420</v>
      </c>
      <c r="C6109" t="s">
        <v>7</v>
      </c>
      <c r="D6109" t="s">
        <v>12</v>
      </c>
      <c r="E6109" t="s">
        <v>8106</v>
      </c>
    </row>
    <row r="6110" spans="1:6" x14ac:dyDescent="0.25">
      <c r="A6110" t="str">
        <f>"3663161495"</f>
        <v>3663161495</v>
      </c>
      <c r="B6110" t="s">
        <v>2266</v>
      </c>
      <c r="C6110" t="s">
        <v>7</v>
      </c>
      <c r="D6110" t="s">
        <v>33</v>
      </c>
      <c r="E6110" t="s">
        <v>8106</v>
      </c>
      <c r="F6110" t="s">
        <v>8421</v>
      </c>
    </row>
    <row r="6111" spans="1:6" x14ac:dyDescent="0.25">
      <c r="A6111" t="str">
        <f>"3663162763"</f>
        <v>3663162763</v>
      </c>
      <c r="B6111" t="s">
        <v>8422</v>
      </c>
      <c r="C6111" t="s">
        <v>7</v>
      </c>
      <c r="D6111" t="s">
        <v>33</v>
      </c>
      <c r="E6111" t="s">
        <v>8106</v>
      </c>
      <c r="F6111" t="s">
        <v>8423</v>
      </c>
    </row>
    <row r="6112" spans="1:6" x14ac:dyDescent="0.25">
      <c r="A6112" t="str">
        <f>"3663173733"</f>
        <v>3663173733</v>
      </c>
      <c r="B6112" t="s">
        <v>8424</v>
      </c>
      <c r="C6112" t="s">
        <v>7</v>
      </c>
      <c r="D6112" t="s">
        <v>12</v>
      </c>
      <c r="E6112" t="s">
        <v>8106</v>
      </c>
      <c r="F6112" t="s">
        <v>8425</v>
      </c>
    </row>
    <row r="6113" spans="1:6" x14ac:dyDescent="0.25">
      <c r="A6113" t="str">
        <f>"3663173902"</f>
        <v>3663173902</v>
      </c>
      <c r="B6113" t="s">
        <v>5565</v>
      </c>
      <c r="C6113" t="s">
        <v>7</v>
      </c>
      <c r="D6113" t="s">
        <v>12</v>
      </c>
      <c r="E6113" t="s">
        <v>8106</v>
      </c>
      <c r="F6113" t="s">
        <v>8426</v>
      </c>
    </row>
    <row r="6114" spans="1:6" x14ac:dyDescent="0.25">
      <c r="A6114" t="str">
        <f>"366400097957"</f>
        <v>366400097957</v>
      </c>
      <c r="B6114" t="s">
        <v>8427</v>
      </c>
      <c r="C6114" t="s">
        <v>7</v>
      </c>
      <c r="D6114" t="s">
        <v>33</v>
      </c>
      <c r="E6114" t="s">
        <v>8106</v>
      </c>
    </row>
    <row r="6115" spans="1:6" x14ac:dyDescent="0.25">
      <c r="A6115" t="str">
        <f>"366401804895"</f>
        <v>366401804895</v>
      </c>
      <c r="B6115" t="s">
        <v>8428</v>
      </c>
      <c r="C6115" t="s">
        <v>7</v>
      </c>
      <c r="D6115" t="s">
        <v>12</v>
      </c>
      <c r="E6115" t="s">
        <v>8106</v>
      </c>
    </row>
    <row r="6116" spans="1:6" x14ac:dyDescent="0.25">
      <c r="A6116" t="str">
        <f>"366401875720"</f>
        <v>366401875720</v>
      </c>
      <c r="B6116" t="s">
        <v>8429</v>
      </c>
      <c r="C6116" t="s">
        <v>7</v>
      </c>
      <c r="D6116" t="s">
        <v>14</v>
      </c>
      <c r="E6116" t="s">
        <v>8106</v>
      </c>
    </row>
    <row r="6117" spans="1:6" x14ac:dyDescent="0.25">
      <c r="A6117" t="str">
        <f>"366404420390"</f>
        <v>366404420390</v>
      </c>
      <c r="B6117" t="s">
        <v>8430</v>
      </c>
      <c r="C6117" t="s">
        <v>7</v>
      </c>
      <c r="D6117" t="s">
        <v>14</v>
      </c>
      <c r="E6117" t="s">
        <v>8106</v>
      </c>
    </row>
    <row r="6118" spans="1:6" x14ac:dyDescent="0.25">
      <c r="A6118" t="str">
        <f>"3664062296"</f>
        <v>3664062296</v>
      </c>
      <c r="B6118" t="s">
        <v>8431</v>
      </c>
      <c r="C6118" t="s">
        <v>7</v>
      </c>
      <c r="D6118" t="s">
        <v>14</v>
      </c>
      <c r="E6118" t="s">
        <v>8106</v>
      </c>
      <c r="F6118" t="s">
        <v>8432</v>
      </c>
    </row>
    <row r="6119" spans="1:6" x14ac:dyDescent="0.25">
      <c r="A6119" t="str">
        <f>"366408271029"</f>
        <v>366408271029</v>
      </c>
      <c r="B6119" t="s">
        <v>8433</v>
      </c>
      <c r="C6119" t="s">
        <v>7</v>
      </c>
      <c r="D6119" t="s">
        <v>14</v>
      </c>
      <c r="E6119" t="s">
        <v>8106</v>
      </c>
    </row>
    <row r="6120" spans="1:6" x14ac:dyDescent="0.25">
      <c r="A6120" t="str">
        <f>"366408682290"</f>
        <v>366408682290</v>
      </c>
      <c r="B6120" t="s">
        <v>8434</v>
      </c>
      <c r="C6120" t="s">
        <v>7</v>
      </c>
      <c r="D6120" t="s">
        <v>14</v>
      </c>
      <c r="E6120" t="s">
        <v>8106</v>
      </c>
    </row>
    <row r="6121" spans="1:6" x14ac:dyDescent="0.25">
      <c r="A6121" t="str">
        <f>"3664097122"</f>
        <v>3664097122</v>
      </c>
      <c r="B6121" t="s">
        <v>8435</v>
      </c>
      <c r="C6121" t="s">
        <v>7</v>
      </c>
      <c r="D6121" t="s">
        <v>33</v>
      </c>
      <c r="E6121" t="s">
        <v>8106</v>
      </c>
      <c r="F6121" t="s">
        <v>8436</v>
      </c>
    </row>
    <row r="6122" spans="1:6" x14ac:dyDescent="0.25">
      <c r="A6122" t="str">
        <f>"3664108085"</f>
        <v>3664108085</v>
      </c>
      <c r="B6122" t="s">
        <v>8437</v>
      </c>
      <c r="C6122" t="s">
        <v>7</v>
      </c>
      <c r="D6122" t="s">
        <v>33</v>
      </c>
      <c r="E6122" t="s">
        <v>8106</v>
      </c>
      <c r="F6122" t="s">
        <v>8438</v>
      </c>
    </row>
    <row r="6123" spans="1:6" x14ac:dyDescent="0.25">
      <c r="A6123" t="str">
        <f>"3664252064"</f>
        <v>3664252064</v>
      </c>
      <c r="B6123" t="s">
        <v>8439</v>
      </c>
      <c r="C6123" t="s">
        <v>7</v>
      </c>
      <c r="D6123" t="s">
        <v>33</v>
      </c>
      <c r="E6123" t="s">
        <v>8106</v>
      </c>
      <c r="F6123" t="s">
        <v>8440</v>
      </c>
    </row>
    <row r="6124" spans="1:6" x14ac:dyDescent="0.25">
      <c r="A6124" t="str">
        <f>"366500512420"</f>
        <v>366500512420</v>
      </c>
      <c r="B6124" t="s">
        <v>8441</v>
      </c>
      <c r="C6124" t="s">
        <v>7</v>
      </c>
      <c r="D6124" t="s">
        <v>33</v>
      </c>
      <c r="E6124" t="s">
        <v>8106</v>
      </c>
    </row>
    <row r="6125" spans="1:6" x14ac:dyDescent="0.25">
      <c r="A6125" t="str">
        <f>"366500774592"</f>
        <v>366500774592</v>
      </c>
      <c r="B6125" t="s">
        <v>8442</v>
      </c>
      <c r="C6125" t="s">
        <v>7</v>
      </c>
      <c r="D6125" t="s">
        <v>33</v>
      </c>
      <c r="E6125" t="s">
        <v>8106</v>
      </c>
    </row>
    <row r="6126" spans="1:6" x14ac:dyDescent="0.25">
      <c r="A6126" t="str">
        <f>"3665037158"</f>
        <v>3665037158</v>
      </c>
      <c r="B6126" t="s">
        <v>8443</v>
      </c>
      <c r="C6126" t="s">
        <v>7</v>
      </c>
      <c r="D6126" t="s">
        <v>14</v>
      </c>
      <c r="E6126" t="s">
        <v>8106</v>
      </c>
      <c r="F6126" t="s">
        <v>8444</v>
      </c>
    </row>
    <row r="6127" spans="1:6" x14ac:dyDescent="0.25">
      <c r="A6127" t="str">
        <f>"3665046970"</f>
        <v>3665046970</v>
      </c>
      <c r="B6127" t="s">
        <v>8445</v>
      </c>
      <c r="C6127" t="s">
        <v>7</v>
      </c>
      <c r="D6127" t="s">
        <v>33</v>
      </c>
      <c r="E6127" t="s">
        <v>8106</v>
      </c>
      <c r="F6127" t="s">
        <v>8446</v>
      </c>
    </row>
    <row r="6128" spans="1:6" x14ac:dyDescent="0.25">
      <c r="A6128" t="str">
        <f>"3665072561"</f>
        <v>3665072561</v>
      </c>
      <c r="B6128" t="s">
        <v>8447</v>
      </c>
      <c r="C6128" t="s">
        <v>7</v>
      </c>
      <c r="D6128" t="s">
        <v>33</v>
      </c>
      <c r="E6128" t="s">
        <v>8106</v>
      </c>
      <c r="F6128" t="s">
        <v>8448</v>
      </c>
    </row>
    <row r="6129" spans="1:6" x14ac:dyDescent="0.25">
      <c r="A6129" t="str">
        <f>"3665093593"</f>
        <v>3665093593</v>
      </c>
      <c r="B6129" t="s">
        <v>8449</v>
      </c>
      <c r="C6129" t="s">
        <v>7</v>
      </c>
      <c r="D6129" t="s">
        <v>14</v>
      </c>
      <c r="E6129" t="s">
        <v>8106</v>
      </c>
      <c r="F6129" t="s">
        <v>8450</v>
      </c>
    </row>
    <row r="6130" spans="1:6" x14ac:dyDescent="0.25">
      <c r="A6130" t="str">
        <f>"366510367050"</f>
        <v>366510367050</v>
      </c>
      <c r="B6130" t="s">
        <v>8451</v>
      </c>
      <c r="C6130" t="s">
        <v>7</v>
      </c>
      <c r="D6130" t="s">
        <v>14</v>
      </c>
      <c r="E6130" t="s">
        <v>8106</v>
      </c>
    </row>
    <row r="6131" spans="1:6" x14ac:dyDescent="0.25">
      <c r="A6131" t="str">
        <f>"366510591703"</f>
        <v>366510591703</v>
      </c>
      <c r="B6131" t="s">
        <v>8452</v>
      </c>
      <c r="C6131" t="s">
        <v>7</v>
      </c>
      <c r="D6131" t="s">
        <v>33</v>
      </c>
      <c r="E6131" t="s">
        <v>8106</v>
      </c>
    </row>
    <row r="6132" spans="1:6" x14ac:dyDescent="0.25">
      <c r="A6132" t="str">
        <f>"366510946339"</f>
        <v>366510946339</v>
      </c>
      <c r="B6132" t="s">
        <v>8453</v>
      </c>
      <c r="C6132" t="s">
        <v>7</v>
      </c>
      <c r="D6132" t="s">
        <v>14</v>
      </c>
      <c r="E6132" t="s">
        <v>8106</v>
      </c>
    </row>
    <row r="6133" spans="1:6" x14ac:dyDescent="0.25">
      <c r="A6133" t="str">
        <f>"366513756103"</f>
        <v>366513756103</v>
      </c>
      <c r="B6133" t="s">
        <v>8454</v>
      </c>
      <c r="C6133" t="s">
        <v>7</v>
      </c>
      <c r="D6133" t="s">
        <v>14</v>
      </c>
      <c r="E6133" t="s">
        <v>8106</v>
      </c>
    </row>
    <row r="6134" spans="1:6" x14ac:dyDescent="0.25">
      <c r="A6134" t="str">
        <f>"366520325348"</f>
        <v>366520325348</v>
      </c>
      <c r="B6134" t="s">
        <v>8455</v>
      </c>
      <c r="C6134" t="s">
        <v>7</v>
      </c>
      <c r="D6134" t="s">
        <v>33</v>
      </c>
      <c r="E6134" t="s">
        <v>8106</v>
      </c>
    </row>
    <row r="6135" spans="1:6" x14ac:dyDescent="0.25">
      <c r="A6135" t="str">
        <f>"366600367199"</f>
        <v>366600367199</v>
      </c>
      <c r="B6135" t="s">
        <v>8456</v>
      </c>
      <c r="C6135" t="s">
        <v>7</v>
      </c>
      <c r="D6135" t="s">
        <v>12</v>
      </c>
      <c r="E6135" t="s">
        <v>8106</v>
      </c>
    </row>
    <row r="6136" spans="1:6" x14ac:dyDescent="0.25">
      <c r="A6136" t="str">
        <f>"366605319216"</f>
        <v>366605319216</v>
      </c>
      <c r="B6136" t="s">
        <v>8457</v>
      </c>
      <c r="C6136" t="s">
        <v>7</v>
      </c>
      <c r="D6136" t="s">
        <v>14</v>
      </c>
      <c r="E6136" t="s">
        <v>8106</v>
      </c>
    </row>
    <row r="6137" spans="1:6" x14ac:dyDescent="0.25">
      <c r="A6137" t="str">
        <f>"366608497143"</f>
        <v>366608497143</v>
      </c>
      <c r="B6137" t="s">
        <v>8458</v>
      </c>
      <c r="C6137" t="s">
        <v>7</v>
      </c>
      <c r="D6137" t="s">
        <v>12</v>
      </c>
      <c r="E6137" t="s">
        <v>8106</v>
      </c>
    </row>
    <row r="6138" spans="1:6" x14ac:dyDescent="0.25">
      <c r="A6138" t="str">
        <f>"3666160073"</f>
        <v>3666160073</v>
      </c>
      <c r="B6138" t="s">
        <v>8459</v>
      </c>
      <c r="C6138" t="s">
        <v>7</v>
      </c>
      <c r="D6138" t="s">
        <v>14</v>
      </c>
      <c r="E6138" t="s">
        <v>8106</v>
      </c>
      <c r="F6138" t="s">
        <v>8460</v>
      </c>
    </row>
    <row r="6139" spans="1:6" x14ac:dyDescent="0.25">
      <c r="A6139" t="str">
        <f>"3666164550"</f>
        <v>3666164550</v>
      </c>
      <c r="B6139" t="s">
        <v>8461</v>
      </c>
      <c r="C6139" t="s">
        <v>7</v>
      </c>
      <c r="D6139" t="s">
        <v>12</v>
      </c>
      <c r="E6139" t="s">
        <v>8106</v>
      </c>
      <c r="F6139" t="s">
        <v>8462</v>
      </c>
    </row>
    <row r="6140" spans="1:6" x14ac:dyDescent="0.25">
      <c r="A6140" t="str">
        <f>"3666208543"</f>
        <v>3666208543</v>
      </c>
      <c r="B6140" t="s">
        <v>8463</v>
      </c>
      <c r="C6140" t="s">
        <v>7</v>
      </c>
      <c r="D6140" t="s">
        <v>33</v>
      </c>
      <c r="E6140" t="s">
        <v>8106</v>
      </c>
      <c r="F6140" t="s">
        <v>8464</v>
      </c>
    </row>
    <row r="6141" spans="1:6" x14ac:dyDescent="0.25">
      <c r="A6141" t="str">
        <f>"3666217731"</f>
        <v>3666217731</v>
      </c>
      <c r="B6141" t="s">
        <v>8465</v>
      </c>
      <c r="C6141" t="s">
        <v>7</v>
      </c>
      <c r="D6141" t="s">
        <v>14</v>
      </c>
      <c r="E6141" t="s">
        <v>8106</v>
      </c>
      <c r="F6141" t="s">
        <v>8466</v>
      </c>
    </row>
    <row r="6142" spans="1:6" x14ac:dyDescent="0.25">
      <c r="A6142" t="str">
        <f>"3666238121"</f>
        <v>3666238121</v>
      </c>
      <c r="B6142" t="s">
        <v>8467</v>
      </c>
      <c r="C6142" t="s">
        <v>7</v>
      </c>
      <c r="D6142" t="s">
        <v>12</v>
      </c>
      <c r="E6142" t="s">
        <v>8106</v>
      </c>
      <c r="F6142" t="s">
        <v>8468</v>
      </c>
    </row>
    <row r="6143" spans="1:6" x14ac:dyDescent="0.25">
      <c r="A6143" t="str">
        <f>"3666244118"</f>
        <v>3666244118</v>
      </c>
      <c r="B6143" t="s">
        <v>8469</v>
      </c>
      <c r="C6143" t="s">
        <v>7</v>
      </c>
      <c r="D6143" t="s">
        <v>1430</v>
      </c>
      <c r="E6143" t="s">
        <v>8106</v>
      </c>
      <c r="F6143" t="s">
        <v>8470</v>
      </c>
    </row>
    <row r="6144" spans="1:6" x14ac:dyDescent="0.25">
      <c r="A6144" t="str">
        <f>"3666274698"</f>
        <v>3666274698</v>
      </c>
      <c r="B6144" t="s">
        <v>8471</v>
      </c>
      <c r="C6144" t="s">
        <v>7</v>
      </c>
      <c r="D6144" t="s">
        <v>674</v>
      </c>
      <c r="E6144" t="s">
        <v>8106</v>
      </c>
      <c r="F6144" t="s">
        <v>8472</v>
      </c>
    </row>
    <row r="6145" spans="1:6" x14ac:dyDescent="0.25">
      <c r="A6145" t="str">
        <f>"482603174806"</f>
        <v>482603174806</v>
      </c>
      <c r="B6145" t="s">
        <v>8473</v>
      </c>
      <c r="C6145" t="s">
        <v>7</v>
      </c>
      <c r="D6145" t="s">
        <v>14</v>
      </c>
      <c r="E6145" t="s">
        <v>8106</v>
      </c>
    </row>
    <row r="6146" spans="1:6" x14ac:dyDescent="0.25">
      <c r="A6146" t="str">
        <f>"482103013896"</f>
        <v>482103013896</v>
      </c>
      <c r="B6146" t="s">
        <v>8474</v>
      </c>
      <c r="C6146" t="s">
        <v>7</v>
      </c>
      <c r="D6146" t="s">
        <v>14</v>
      </c>
      <c r="E6146" t="s">
        <v>8106</v>
      </c>
    </row>
    <row r="6147" spans="1:6" x14ac:dyDescent="0.25">
      <c r="A6147" t="str">
        <f>"482111000040"</f>
        <v>482111000040</v>
      </c>
      <c r="B6147" t="s">
        <v>8475</v>
      </c>
      <c r="C6147" t="s">
        <v>7</v>
      </c>
      <c r="D6147" t="s">
        <v>14</v>
      </c>
      <c r="E6147" t="s">
        <v>8106</v>
      </c>
    </row>
    <row r="6148" spans="1:6" x14ac:dyDescent="0.25">
      <c r="A6148" t="str">
        <f>"4826072038"</f>
        <v>4826072038</v>
      </c>
      <c r="B6148" t="s">
        <v>8476</v>
      </c>
      <c r="C6148" t="s">
        <v>7</v>
      </c>
      <c r="D6148" t="s">
        <v>14</v>
      </c>
      <c r="E6148" t="s">
        <v>8106</v>
      </c>
      <c r="F6148" t="s">
        <v>8477</v>
      </c>
    </row>
    <row r="6149" spans="1:6" x14ac:dyDescent="0.25">
      <c r="A6149" t="str">
        <f>"366220278190"</f>
        <v>366220278190</v>
      </c>
      <c r="B6149" t="s">
        <v>8478</v>
      </c>
      <c r="C6149" t="s">
        <v>7</v>
      </c>
      <c r="D6149" t="s">
        <v>14</v>
      </c>
      <c r="E6149" t="s">
        <v>8106</v>
      </c>
    </row>
    <row r="6150" spans="1:6" x14ac:dyDescent="0.25">
      <c r="A6150" t="str">
        <f>"3662203336"</f>
        <v>3662203336</v>
      </c>
      <c r="B6150" t="s">
        <v>8479</v>
      </c>
      <c r="C6150" t="s">
        <v>7</v>
      </c>
      <c r="D6150" t="s">
        <v>12</v>
      </c>
      <c r="E6150" t="s">
        <v>8106</v>
      </c>
      <c r="F6150" t="s">
        <v>8480</v>
      </c>
    </row>
    <row r="6151" spans="1:6" x14ac:dyDescent="0.25">
      <c r="A6151" t="str">
        <f>"366222162458"</f>
        <v>366222162458</v>
      </c>
      <c r="B6151" t="s">
        <v>8481</v>
      </c>
      <c r="C6151" t="s">
        <v>7</v>
      </c>
      <c r="D6151" t="s">
        <v>14</v>
      </c>
      <c r="E6151" t="s">
        <v>8106</v>
      </c>
    </row>
    <row r="6152" spans="1:6" x14ac:dyDescent="0.25">
      <c r="A6152" t="str">
        <f>"3662261715"</f>
        <v>3662261715</v>
      </c>
      <c r="B6152" t="s">
        <v>8482</v>
      </c>
      <c r="C6152" t="s">
        <v>7</v>
      </c>
      <c r="D6152" t="s">
        <v>33</v>
      </c>
      <c r="E6152" t="s">
        <v>8106</v>
      </c>
      <c r="F6152" t="s">
        <v>8483</v>
      </c>
    </row>
    <row r="6153" spans="1:6" x14ac:dyDescent="0.25">
      <c r="A6153" t="str">
        <f>"3662276006"</f>
        <v>3662276006</v>
      </c>
      <c r="B6153" t="s">
        <v>8484</v>
      </c>
      <c r="C6153" t="s">
        <v>7</v>
      </c>
      <c r="D6153" t="s">
        <v>33</v>
      </c>
      <c r="E6153" t="s">
        <v>8106</v>
      </c>
      <c r="F6153" t="s">
        <v>8485</v>
      </c>
    </row>
    <row r="6154" spans="1:6" x14ac:dyDescent="0.25">
      <c r="A6154" t="str">
        <f>"3662282031"</f>
        <v>3662282031</v>
      </c>
      <c r="B6154" t="s">
        <v>8486</v>
      </c>
      <c r="C6154" t="s">
        <v>7</v>
      </c>
      <c r="D6154" t="s">
        <v>33</v>
      </c>
      <c r="E6154" t="s">
        <v>8106</v>
      </c>
      <c r="F6154" t="s">
        <v>8487</v>
      </c>
    </row>
    <row r="6155" spans="1:6" x14ac:dyDescent="0.25">
      <c r="A6155" t="str">
        <f>"3662286244"</f>
        <v>3662286244</v>
      </c>
      <c r="B6155" t="s">
        <v>8488</v>
      </c>
      <c r="C6155" t="s">
        <v>7</v>
      </c>
      <c r="D6155" t="s">
        <v>33</v>
      </c>
      <c r="E6155" t="s">
        <v>8106</v>
      </c>
      <c r="F6155" t="s">
        <v>8489</v>
      </c>
    </row>
    <row r="6156" spans="1:6" x14ac:dyDescent="0.25">
      <c r="A6156" t="str">
        <f>"3662289277"</f>
        <v>3662289277</v>
      </c>
      <c r="B6156" t="s">
        <v>8490</v>
      </c>
      <c r="C6156" t="s">
        <v>7</v>
      </c>
      <c r="D6156" t="s">
        <v>33</v>
      </c>
      <c r="E6156" t="s">
        <v>8106</v>
      </c>
      <c r="F6156" t="s">
        <v>8491</v>
      </c>
    </row>
    <row r="6157" spans="1:6" x14ac:dyDescent="0.25">
      <c r="A6157" t="str">
        <f>"3662291170"</f>
        <v>3662291170</v>
      </c>
      <c r="B6157" t="s">
        <v>8492</v>
      </c>
      <c r="C6157" t="s">
        <v>7</v>
      </c>
      <c r="D6157" t="s">
        <v>33</v>
      </c>
      <c r="E6157" t="s">
        <v>8106</v>
      </c>
      <c r="F6157" t="s">
        <v>8493</v>
      </c>
    </row>
    <row r="6158" spans="1:6" x14ac:dyDescent="0.25">
      <c r="A6158" t="str">
        <f>"3662304341"</f>
        <v>3662304341</v>
      </c>
      <c r="B6158" t="s">
        <v>8494</v>
      </c>
      <c r="C6158" t="s">
        <v>7</v>
      </c>
      <c r="D6158" t="s">
        <v>146</v>
      </c>
      <c r="E6158" t="s">
        <v>8106</v>
      </c>
      <c r="F6158" t="s">
        <v>8495</v>
      </c>
    </row>
    <row r="6159" spans="1:6" x14ac:dyDescent="0.25">
      <c r="A6159" t="str">
        <f>"3662312053"</f>
        <v>3662312053</v>
      </c>
      <c r="B6159" t="s">
        <v>8496</v>
      </c>
      <c r="C6159" t="s">
        <v>7</v>
      </c>
      <c r="D6159" t="s">
        <v>33</v>
      </c>
      <c r="E6159" t="s">
        <v>8106</v>
      </c>
      <c r="F6159" t="s">
        <v>8497</v>
      </c>
    </row>
    <row r="6160" spans="1:6" x14ac:dyDescent="0.25">
      <c r="A6160" t="str">
        <f>"366234488415"</f>
        <v>366234488415</v>
      </c>
      <c r="B6160" t="s">
        <v>8498</v>
      </c>
      <c r="C6160" t="s">
        <v>7</v>
      </c>
      <c r="D6160" t="s">
        <v>14</v>
      </c>
      <c r="E6160" t="s">
        <v>8106</v>
      </c>
    </row>
    <row r="6161" spans="1:6" x14ac:dyDescent="0.25">
      <c r="A6161" t="str">
        <f>"366300428355"</f>
        <v>366300428355</v>
      </c>
      <c r="B6161" t="s">
        <v>8499</v>
      </c>
      <c r="C6161" t="s">
        <v>7</v>
      </c>
      <c r="D6161" t="s">
        <v>14</v>
      </c>
      <c r="E6161" t="s">
        <v>8106</v>
      </c>
    </row>
    <row r="6162" spans="1:6" x14ac:dyDescent="0.25">
      <c r="A6162" t="str">
        <f>"366303584120"</f>
        <v>366303584120</v>
      </c>
      <c r="B6162" t="s">
        <v>8500</v>
      </c>
      <c r="C6162" t="s">
        <v>7</v>
      </c>
      <c r="D6162" t="s">
        <v>33</v>
      </c>
      <c r="E6162" t="s">
        <v>8106</v>
      </c>
    </row>
    <row r="6163" spans="1:6" x14ac:dyDescent="0.25">
      <c r="A6163" t="str">
        <f>"366305103390"</f>
        <v>366305103390</v>
      </c>
      <c r="B6163" t="s">
        <v>8501</v>
      </c>
      <c r="C6163" t="s">
        <v>7</v>
      </c>
      <c r="D6163" t="s">
        <v>14</v>
      </c>
      <c r="E6163" t="s">
        <v>8106</v>
      </c>
    </row>
    <row r="6164" spans="1:6" x14ac:dyDescent="0.25">
      <c r="A6164" t="str">
        <f>"3663056081"</f>
        <v>3663056081</v>
      </c>
      <c r="B6164" t="s">
        <v>8502</v>
      </c>
      <c r="C6164" t="s">
        <v>7</v>
      </c>
      <c r="D6164" t="s">
        <v>12</v>
      </c>
      <c r="E6164" t="s">
        <v>8106</v>
      </c>
      <c r="F6164" t="s">
        <v>8503</v>
      </c>
    </row>
    <row r="6165" spans="1:6" x14ac:dyDescent="0.25">
      <c r="A6165" t="str">
        <f>"3663072439"</f>
        <v>3663072439</v>
      </c>
      <c r="B6165" t="s">
        <v>6099</v>
      </c>
      <c r="C6165" t="s">
        <v>7</v>
      </c>
      <c r="D6165" t="s">
        <v>12</v>
      </c>
      <c r="E6165" t="s">
        <v>8106</v>
      </c>
      <c r="F6165" t="s">
        <v>8504</v>
      </c>
    </row>
    <row r="6166" spans="1:6" x14ac:dyDescent="0.25">
      <c r="A6166" t="str">
        <f>"3663080341"</f>
        <v>3663080341</v>
      </c>
      <c r="B6166" t="s">
        <v>8505</v>
      </c>
      <c r="C6166" t="s">
        <v>7</v>
      </c>
      <c r="D6166" t="s">
        <v>12</v>
      </c>
      <c r="E6166" t="s">
        <v>8106</v>
      </c>
      <c r="F6166" t="s">
        <v>8506</v>
      </c>
    </row>
    <row r="6167" spans="1:6" x14ac:dyDescent="0.25">
      <c r="A6167" t="str">
        <f>"3663109417"</f>
        <v>3663109417</v>
      </c>
      <c r="B6167" t="s">
        <v>8507</v>
      </c>
      <c r="C6167" t="s">
        <v>7</v>
      </c>
      <c r="D6167" t="s">
        <v>33</v>
      </c>
      <c r="E6167" t="s">
        <v>8106</v>
      </c>
      <c r="F6167" t="s">
        <v>8508</v>
      </c>
    </row>
    <row r="6168" spans="1:6" x14ac:dyDescent="0.25">
      <c r="A6168" t="str">
        <f>"3663122270"</f>
        <v>3663122270</v>
      </c>
      <c r="B6168" t="s">
        <v>8509</v>
      </c>
      <c r="C6168" t="s">
        <v>7</v>
      </c>
      <c r="D6168" t="s">
        <v>33</v>
      </c>
      <c r="E6168" t="s">
        <v>8106</v>
      </c>
      <c r="F6168" t="s">
        <v>8510</v>
      </c>
    </row>
    <row r="6169" spans="1:6" x14ac:dyDescent="0.25">
      <c r="A6169" t="str">
        <f>"3663158125"</f>
        <v>3663158125</v>
      </c>
      <c r="B6169" t="s">
        <v>8511</v>
      </c>
      <c r="C6169" t="s">
        <v>7</v>
      </c>
      <c r="D6169" t="s">
        <v>12</v>
      </c>
      <c r="E6169" t="s">
        <v>8106</v>
      </c>
      <c r="F6169" t="s">
        <v>8512</v>
      </c>
    </row>
    <row r="6170" spans="1:6" x14ac:dyDescent="0.25">
      <c r="A6170" t="str">
        <f>"366316149727"</f>
        <v>366316149727</v>
      </c>
      <c r="B6170" t="s">
        <v>8513</v>
      </c>
      <c r="C6170" t="s">
        <v>7</v>
      </c>
      <c r="D6170" t="s">
        <v>14</v>
      </c>
      <c r="E6170" t="s">
        <v>8106</v>
      </c>
    </row>
    <row r="6171" spans="1:6" x14ac:dyDescent="0.25">
      <c r="A6171" t="str">
        <f>"3663162435"</f>
        <v>3663162435</v>
      </c>
      <c r="B6171" t="s">
        <v>483</v>
      </c>
      <c r="C6171" t="s">
        <v>7</v>
      </c>
      <c r="D6171" t="s">
        <v>14</v>
      </c>
      <c r="E6171" t="s">
        <v>8106</v>
      </c>
      <c r="F6171" t="s">
        <v>8514</v>
      </c>
    </row>
    <row r="6172" spans="1:6" x14ac:dyDescent="0.25">
      <c r="A6172" t="str">
        <f>"3663169906"</f>
        <v>3663169906</v>
      </c>
      <c r="B6172" t="s">
        <v>8515</v>
      </c>
      <c r="C6172" t="s">
        <v>7</v>
      </c>
      <c r="D6172" t="s">
        <v>33</v>
      </c>
      <c r="E6172" t="s">
        <v>8106</v>
      </c>
      <c r="F6172" t="s">
        <v>8516</v>
      </c>
    </row>
    <row r="6173" spans="1:6" x14ac:dyDescent="0.25">
      <c r="A6173" t="str">
        <f>"3663172881"</f>
        <v>3663172881</v>
      </c>
      <c r="B6173" t="s">
        <v>8517</v>
      </c>
      <c r="C6173" t="s">
        <v>7</v>
      </c>
      <c r="D6173" t="s">
        <v>33</v>
      </c>
      <c r="E6173" t="s">
        <v>8106</v>
      </c>
      <c r="F6173" t="s">
        <v>8518</v>
      </c>
    </row>
    <row r="6174" spans="1:6" x14ac:dyDescent="0.25">
      <c r="A6174" t="str">
        <f>"366321759044"</f>
        <v>366321759044</v>
      </c>
      <c r="B6174" t="s">
        <v>8519</v>
      </c>
      <c r="C6174" t="s">
        <v>7</v>
      </c>
      <c r="D6174" t="s">
        <v>14</v>
      </c>
      <c r="E6174" t="s">
        <v>8106</v>
      </c>
    </row>
    <row r="6175" spans="1:6" x14ac:dyDescent="0.25">
      <c r="A6175" t="str">
        <f>"366405035009"</f>
        <v>366405035009</v>
      </c>
      <c r="B6175" t="s">
        <v>8520</v>
      </c>
      <c r="C6175" t="s">
        <v>7</v>
      </c>
      <c r="D6175" t="s">
        <v>12</v>
      </c>
      <c r="E6175" t="s">
        <v>8106</v>
      </c>
    </row>
    <row r="6176" spans="1:6" x14ac:dyDescent="0.25">
      <c r="A6176" t="str">
        <f>"3664067569"</f>
        <v>3664067569</v>
      </c>
      <c r="B6176" t="s">
        <v>8521</v>
      </c>
      <c r="C6176" t="s">
        <v>7</v>
      </c>
      <c r="D6176" t="s">
        <v>33</v>
      </c>
      <c r="E6176" t="s">
        <v>8106</v>
      </c>
      <c r="F6176" t="s">
        <v>8522</v>
      </c>
    </row>
    <row r="6177" spans="1:6" x14ac:dyDescent="0.25">
      <c r="A6177" t="str">
        <f>"366408013204"</f>
        <v>366408013204</v>
      </c>
      <c r="B6177" t="s">
        <v>8523</v>
      </c>
      <c r="C6177" t="s">
        <v>7</v>
      </c>
      <c r="D6177" t="s">
        <v>33</v>
      </c>
      <c r="E6177" t="s">
        <v>8106</v>
      </c>
    </row>
    <row r="6178" spans="1:6" x14ac:dyDescent="0.25">
      <c r="A6178" t="str">
        <f>"366409103820"</f>
        <v>366409103820</v>
      </c>
      <c r="B6178" t="s">
        <v>8524</v>
      </c>
      <c r="C6178" t="s">
        <v>7</v>
      </c>
      <c r="D6178" t="s">
        <v>14</v>
      </c>
      <c r="E6178" t="s">
        <v>8106</v>
      </c>
    </row>
    <row r="6179" spans="1:6" x14ac:dyDescent="0.25">
      <c r="A6179" t="str">
        <f>"3664137209"</f>
        <v>3664137209</v>
      </c>
      <c r="B6179" t="s">
        <v>8525</v>
      </c>
      <c r="C6179" t="s">
        <v>7</v>
      </c>
      <c r="D6179" t="s">
        <v>14</v>
      </c>
      <c r="E6179" t="s">
        <v>8106</v>
      </c>
      <c r="F6179" t="s">
        <v>8526</v>
      </c>
    </row>
    <row r="6180" spans="1:6" x14ac:dyDescent="0.25">
      <c r="A6180" t="str">
        <f>"366501935500"</f>
        <v>366501935500</v>
      </c>
      <c r="B6180" t="s">
        <v>8527</v>
      </c>
      <c r="C6180" t="s">
        <v>7</v>
      </c>
      <c r="D6180" t="s">
        <v>12</v>
      </c>
      <c r="E6180" t="s">
        <v>8106</v>
      </c>
    </row>
    <row r="6181" spans="1:6" x14ac:dyDescent="0.25">
      <c r="A6181" t="str">
        <f>"3665025265"</f>
        <v>3665025265</v>
      </c>
      <c r="B6181" t="s">
        <v>8528</v>
      </c>
      <c r="C6181" t="s">
        <v>7</v>
      </c>
      <c r="D6181" t="s">
        <v>12</v>
      </c>
      <c r="E6181" t="s">
        <v>8106</v>
      </c>
      <c r="F6181" t="s">
        <v>8529</v>
      </c>
    </row>
    <row r="6182" spans="1:6" x14ac:dyDescent="0.25">
      <c r="A6182" t="str">
        <f>"366505023688"</f>
        <v>366505023688</v>
      </c>
      <c r="B6182" t="s">
        <v>8530</v>
      </c>
      <c r="C6182" t="s">
        <v>7</v>
      </c>
      <c r="D6182" t="s">
        <v>33</v>
      </c>
      <c r="E6182" t="s">
        <v>8106</v>
      </c>
    </row>
    <row r="6183" spans="1:6" x14ac:dyDescent="0.25">
      <c r="A6183" t="str">
        <f>"3665056496"</f>
        <v>3665056496</v>
      </c>
      <c r="B6183" t="s">
        <v>8531</v>
      </c>
      <c r="C6183" t="s">
        <v>7</v>
      </c>
      <c r="D6183" t="s">
        <v>14</v>
      </c>
      <c r="E6183" t="s">
        <v>8106</v>
      </c>
      <c r="F6183" t="s">
        <v>8444</v>
      </c>
    </row>
    <row r="6184" spans="1:6" x14ac:dyDescent="0.25">
      <c r="A6184" t="str">
        <f>"3665079542"</f>
        <v>3665079542</v>
      </c>
      <c r="B6184" t="s">
        <v>8532</v>
      </c>
      <c r="C6184" t="s">
        <v>7</v>
      </c>
      <c r="D6184" t="s">
        <v>14</v>
      </c>
      <c r="E6184" t="s">
        <v>8106</v>
      </c>
      <c r="F6184" t="s">
        <v>8533</v>
      </c>
    </row>
    <row r="6185" spans="1:6" x14ac:dyDescent="0.25">
      <c r="A6185" t="str">
        <f>"3665090338"</f>
        <v>3665090338</v>
      </c>
      <c r="B6185" t="s">
        <v>8534</v>
      </c>
      <c r="C6185" t="s">
        <v>7</v>
      </c>
      <c r="D6185" t="s">
        <v>674</v>
      </c>
      <c r="E6185" t="s">
        <v>8106</v>
      </c>
      <c r="F6185" t="s">
        <v>8535</v>
      </c>
    </row>
    <row r="6186" spans="1:6" x14ac:dyDescent="0.25">
      <c r="A6186" t="str">
        <f>"3665100755"</f>
        <v>3665100755</v>
      </c>
      <c r="B6186" t="s">
        <v>8536</v>
      </c>
      <c r="C6186" t="s">
        <v>7</v>
      </c>
      <c r="D6186" t="s">
        <v>33</v>
      </c>
      <c r="E6186" t="s">
        <v>8106</v>
      </c>
      <c r="F6186" t="s">
        <v>8537</v>
      </c>
    </row>
    <row r="6187" spans="1:6" x14ac:dyDescent="0.25">
      <c r="A6187" t="str">
        <f>"3665121258"</f>
        <v>3665121258</v>
      </c>
      <c r="B6187" t="s">
        <v>8538</v>
      </c>
      <c r="C6187" t="s">
        <v>7</v>
      </c>
      <c r="D6187" t="s">
        <v>14</v>
      </c>
      <c r="E6187" t="s">
        <v>8106</v>
      </c>
      <c r="F6187" t="s">
        <v>8539</v>
      </c>
    </row>
    <row r="6188" spans="1:6" x14ac:dyDescent="0.25">
      <c r="A6188" t="str">
        <f>"3665812417"</f>
        <v>3665812417</v>
      </c>
      <c r="B6188" t="s">
        <v>8540</v>
      </c>
      <c r="C6188" t="s">
        <v>7</v>
      </c>
      <c r="D6188" t="s">
        <v>14</v>
      </c>
      <c r="E6188" t="s">
        <v>8106</v>
      </c>
      <c r="F6188" t="s">
        <v>8541</v>
      </c>
    </row>
    <row r="6189" spans="1:6" x14ac:dyDescent="0.25">
      <c r="A6189" t="str">
        <f>"366604139813"</f>
        <v>366604139813</v>
      </c>
      <c r="B6189" t="s">
        <v>8542</v>
      </c>
      <c r="C6189" t="s">
        <v>7</v>
      </c>
      <c r="D6189" t="s">
        <v>14</v>
      </c>
      <c r="E6189" t="s">
        <v>8106</v>
      </c>
    </row>
    <row r="6190" spans="1:6" x14ac:dyDescent="0.25">
      <c r="A6190" t="str">
        <f>"3666049332"</f>
        <v>3666049332</v>
      </c>
      <c r="B6190" t="s">
        <v>8543</v>
      </c>
      <c r="C6190" t="s">
        <v>7</v>
      </c>
      <c r="D6190" t="s">
        <v>14</v>
      </c>
      <c r="E6190" t="s">
        <v>8106</v>
      </c>
      <c r="F6190" t="s">
        <v>8544</v>
      </c>
    </row>
    <row r="6191" spans="1:6" x14ac:dyDescent="0.25">
      <c r="A6191" t="str">
        <f>"3666080389"</f>
        <v>3666080389</v>
      </c>
      <c r="B6191" t="s">
        <v>8545</v>
      </c>
      <c r="C6191" t="s">
        <v>7</v>
      </c>
      <c r="D6191" t="s">
        <v>12</v>
      </c>
      <c r="E6191" t="s">
        <v>8106</v>
      </c>
      <c r="F6191" t="s">
        <v>8546</v>
      </c>
    </row>
    <row r="6192" spans="1:6" x14ac:dyDescent="0.25">
      <c r="A6192" t="str">
        <f>"3666203016"</f>
        <v>3666203016</v>
      </c>
      <c r="B6192" t="s">
        <v>8547</v>
      </c>
      <c r="C6192" t="s">
        <v>7</v>
      </c>
      <c r="D6192" t="s">
        <v>33</v>
      </c>
      <c r="E6192" t="s">
        <v>8106</v>
      </c>
      <c r="F6192" t="s">
        <v>8548</v>
      </c>
    </row>
    <row r="6193" spans="1:6" x14ac:dyDescent="0.25">
      <c r="A6193" t="str">
        <f>"644016368007"</f>
        <v>644016368007</v>
      </c>
      <c r="B6193" t="s">
        <v>8549</v>
      </c>
      <c r="C6193" t="s">
        <v>7</v>
      </c>
      <c r="D6193" t="s">
        <v>14</v>
      </c>
      <c r="E6193" t="s">
        <v>8106</v>
      </c>
    </row>
    <row r="6194" spans="1:6" x14ac:dyDescent="0.25">
      <c r="A6194" t="str">
        <f>"732812016091"</f>
        <v>732812016091</v>
      </c>
      <c r="B6194" t="s">
        <v>8550</v>
      </c>
      <c r="C6194" t="s">
        <v>7</v>
      </c>
      <c r="D6194" t="s">
        <v>12</v>
      </c>
      <c r="E6194" t="s">
        <v>8106</v>
      </c>
    </row>
    <row r="6195" spans="1:6" x14ac:dyDescent="0.25">
      <c r="A6195" t="str">
        <f>"575404638332"</f>
        <v>575404638332</v>
      </c>
      <c r="B6195" t="s">
        <v>8551</v>
      </c>
      <c r="C6195" t="s">
        <v>7</v>
      </c>
      <c r="D6195" t="s">
        <v>12</v>
      </c>
      <c r="E6195" t="s">
        <v>8106</v>
      </c>
    </row>
    <row r="6196" spans="1:6" x14ac:dyDescent="0.25">
      <c r="A6196" t="str">
        <f>"360100999907"</f>
        <v>360100999907</v>
      </c>
      <c r="B6196" t="s">
        <v>8552</v>
      </c>
      <c r="C6196" t="s">
        <v>7</v>
      </c>
      <c r="D6196" t="s">
        <v>14</v>
      </c>
      <c r="E6196" t="s">
        <v>8106</v>
      </c>
    </row>
    <row r="6197" spans="1:6" x14ac:dyDescent="0.25">
      <c r="A6197" t="str">
        <f>"360400200748"</f>
        <v>360400200748</v>
      </c>
      <c r="B6197" t="s">
        <v>8553</v>
      </c>
      <c r="C6197" t="s">
        <v>7</v>
      </c>
      <c r="D6197" t="s">
        <v>12</v>
      </c>
      <c r="E6197" t="s">
        <v>8106</v>
      </c>
    </row>
    <row r="6198" spans="1:6" x14ac:dyDescent="0.25">
      <c r="A6198" t="str">
        <f>"3604020171"</f>
        <v>3604020171</v>
      </c>
      <c r="B6198" t="s">
        <v>7612</v>
      </c>
      <c r="C6198" t="s">
        <v>7</v>
      </c>
      <c r="D6198" t="s">
        <v>12</v>
      </c>
      <c r="E6198" t="s">
        <v>8106</v>
      </c>
      <c r="F6198" t="s">
        <v>8554</v>
      </c>
    </row>
    <row r="6199" spans="1:6" x14ac:dyDescent="0.25">
      <c r="A6199" t="str">
        <f>"360403769236"</f>
        <v>360403769236</v>
      </c>
      <c r="B6199" t="s">
        <v>8555</v>
      </c>
      <c r="C6199" t="s">
        <v>7</v>
      </c>
      <c r="D6199" t="s">
        <v>14</v>
      </c>
      <c r="E6199" t="s">
        <v>8106</v>
      </c>
    </row>
    <row r="6200" spans="1:6" x14ac:dyDescent="0.25">
      <c r="A6200" t="str">
        <f>"361603108115"</f>
        <v>361603108115</v>
      </c>
      <c r="B6200" t="s">
        <v>8556</v>
      </c>
      <c r="C6200" t="s">
        <v>7</v>
      </c>
      <c r="D6200" t="s">
        <v>14</v>
      </c>
      <c r="E6200" t="s">
        <v>8106</v>
      </c>
    </row>
    <row r="6201" spans="1:6" x14ac:dyDescent="0.25">
      <c r="A6201" t="str">
        <f>"361606234510"</f>
        <v>361606234510</v>
      </c>
      <c r="B6201" t="s">
        <v>8557</v>
      </c>
      <c r="C6201" t="s">
        <v>7</v>
      </c>
      <c r="D6201" t="s">
        <v>14</v>
      </c>
      <c r="E6201" t="s">
        <v>8106</v>
      </c>
    </row>
    <row r="6202" spans="1:6" x14ac:dyDescent="0.25">
      <c r="A6202" t="str">
        <f>"361900153488"</f>
        <v>361900153488</v>
      </c>
      <c r="B6202" t="s">
        <v>8558</v>
      </c>
      <c r="C6202" t="s">
        <v>7</v>
      </c>
      <c r="D6202" t="s">
        <v>14</v>
      </c>
      <c r="E6202" t="s">
        <v>8106</v>
      </c>
    </row>
    <row r="6203" spans="1:6" x14ac:dyDescent="0.25">
      <c r="A6203" t="str">
        <f>"362300217357"</f>
        <v>362300217357</v>
      </c>
      <c r="B6203" t="s">
        <v>8559</v>
      </c>
      <c r="C6203" t="s">
        <v>7</v>
      </c>
      <c r="D6203" t="s">
        <v>14</v>
      </c>
      <c r="E6203" t="s">
        <v>8106</v>
      </c>
    </row>
    <row r="6204" spans="1:6" x14ac:dyDescent="0.25">
      <c r="A6204" t="str">
        <f>"3627025634"</f>
        <v>3627025634</v>
      </c>
      <c r="B6204" t="s">
        <v>1159</v>
      </c>
      <c r="C6204" t="s">
        <v>7</v>
      </c>
      <c r="D6204" t="s">
        <v>14</v>
      </c>
      <c r="E6204" t="s">
        <v>8106</v>
      </c>
      <c r="F6204" t="s">
        <v>8560</v>
      </c>
    </row>
    <row r="6205" spans="1:6" x14ac:dyDescent="0.25">
      <c r="A6205" t="str">
        <f>"365200726758"</f>
        <v>365200726758</v>
      </c>
      <c r="B6205" t="s">
        <v>8561</v>
      </c>
      <c r="C6205" t="s">
        <v>7</v>
      </c>
      <c r="D6205" t="s">
        <v>14</v>
      </c>
      <c r="E6205" t="s">
        <v>8106</v>
      </c>
    </row>
    <row r="6206" spans="1:6" x14ac:dyDescent="0.25">
      <c r="A6206" t="str">
        <f>"365202909482"</f>
        <v>365202909482</v>
      </c>
      <c r="B6206" t="s">
        <v>8562</v>
      </c>
      <c r="C6206" t="s">
        <v>7</v>
      </c>
      <c r="D6206" t="s">
        <v>14</v>
      </c>
      <c r="E6206" t="s">
        <v>8106</v>
      </c>
    </row>
    <row r="6207" spans="1:6" x14ac:dyDescent="0.25">
      <c r="A6207" t="str">
        <f>"3661063679"</f>
        <v>3661063679</v>
      </c>
      <c r="B6207" t="s">
        <v>8563</v>
      </c>
      <c r="C6207" t="s">
        <v>7</v>
      </c>
      <c r="D6207" t="s">
        <v>14</v>
      </c>
      <c r="E6207" t="s">
        <v>8106</v>
      </c>
      <c r="F6207" t="s">
        <v>8564</v>
      </c>
    </row>
    <row r="6208" spans="1:6" x14ac:dyDescent="0.25">
      <c r="A6208" t="str">
        <f>"3661087398"</f>
        <v>3661087398</v>
      </c>
      <c r="B6208" t="s">
        <v>8565</v>
      </c>
      <c r="C6208" t="s">
        <v>7</v>
      </c>
      <c r="D6208" t="s">
        <v>33</v>
      </c>
      <c r="E6208" t="s">
        <v>8106</v>
      </c>
      <c r="F6208" t="s">
        <v>8566</v>
      </c>
    </row>
    <row r="6209" spans="1:6" x14ac:dyDescent="0.25">
      <c r="A6209" t="str">
        <f>"3662085523"</f>
        <v>3662085523</v>
      </c>
      <c r="B6209" t="s">
        <v>8567</v>
      </c>
      <c r="C6209" t="s">
        <v>7</v>
      </c>
      <c r="D6209" t="s">
        <v>14</v>
      </c>
      <c r="E6209" t="s">
        <v>8106</v>
      </c>
      <c r="F6209" t="s">
        <v>8568</v>
      </c>
    </row>
    <row r="6210" spans="1:6" x14ac:dyDescent="0.25">
      <c r="A6210" t="str">
        <f>"366220278263"</f>
        <v>366220278263</v>
      </c>
      <c r="B6210" t="s">
        <v>8569</v>
      </c>
      <c r="C6210" t="s">
        <v>7</v>
      </c>
      <c r="D6210" t="s">
        <v>14</v>
      </c>
      <c r="E6210" t="s">
        <v>8106</v>
      </c>
    </row>
    <row r="6211" spans="1:6" x14ac:dyDescent="0.25">
      <c r="A6211" t="str">
        <f>"3662269464"</f>
        <v>3662269464</v>
      </c>
      <c r="B6211" t="s">
        <v>6895</v>
      </c>
      <c r="C6211" t="s">
        <v>7</v>
      </c>
      <c r="D6211" t="s">
        <v>12</v>
      </c>
      <c r="E6211" t="s">
        <v>8106</v>
      </c>
      <c r="F6211" t="s">
        <v>8570</v>
      </c>
    </row>
    <row r="6212" spans="1:6" x14ac:dyDescent="0.25">
      <c r="A6212" t="str">
        <f>"3662284110"</f>
        <v>3662284110</v>
      </c>
      <c r="B6212" t="s">
        <v>8571</v>
      </c>
      <c r="C6212" t="s">
        <v>7</v>
      </c>
      <c r="D6212" t="s">
        <v>14</v>
      </c>
      <c r="E6212" t="s">
        <v>8106</v>
      </c>
      <c r="F6212" t="s">
        <v>8572</v>
      </c>
    </row>
    <row r="6213" spans="1:6" x14ac:dyDescent="0.25">
      <c r="A6213" t="str">
        <f>"3662304510"</f>
        <v>3662304510</v>
      </c>
      <c r="B6213" t="s">
        <v>8573</v>
      </c>
      <c r="C6213" t="s">
        <v>7</v>
      </c>
      <c r="D6213" t="s">
        <v>33</v>
      </c>
      <c r="E6213" t="s">
        <v>8106</v>
      </c>
      <c r="F6213" t="s">
        <v>8574</v>
      </c>
    </row>
    <row r="6214" spans="1:6" x14ac:dyDescent="0.25">
      <c r="A6214" t="str">
        <f>"366412070389"</f>
        <v>366412070389</v>
      </c>
      <c r="B6214" t="s">
        <v>8575</v>
      </c>
      <c r="C6214" t="s">
        <v>7</v>
      </c>
      <c r="D6214" t="s">
        <v>14</v>
      </c>
      <c r="E6214" t="s">
        <v>8106</v>
      </c>
    </row>
    <row r="6215" spans="1:6" x14ac:dyDescent="0.25">
      <c r="A6215" t="str">
        <f>"3665820802"</f>
        <v>3665820802</v>
      </c>
      <c r="B6215" t="s">
        <v>8576</v>
      </c>
      <c r="C6215" t="s">
        <v>7</v>
      </c>
      <c r="D6215" t="s">
        <v>14</v>
      </c>
      <c r="E6215" t="s">
        <v>8106</v>
      </c>
      <c r="F6215" t="s">
        <v>8577</v>
      </c>
    </row>
    <row r="6216" spans="1:6" x14ac:dyDescent="0.25">
      <c r="A6216" t="str">
        <f>"3665822623"</f>
        <v>3665822623</v>
      </c>
      <c r="B6216" t="s">
        <v>8578</v>
      </c>
      <c r="C6216" t="s">
        <v>7</v>
      </c>
      <c r="D6216" t="s">
        <v>146</v>
      </c>
      <c r="E6216" t="s">
        <v>8106</v>
      </c>
      <c r="F6216" t="s">
        <v>8579</v>
      </c>
    </row>
    <row r="6217" spans="1:6" x14ac:dyDescent="0.25">
      <c r="A6217" t="str">
        <f>"3666095515"</f>
        <v>3666095515</v>
      </c>
      <c r="B6217" t="s">
        <v>8580</v>
      </c>
      <c r="C6217" t="s">
        <v>7</v>
      </c>
      <c r="D6217" t="s">
        <v>28</v>
      </c>
      <c r="E6217" t="s">
        <v>8106</v>
      </c>
      <c r="F6217" t="s">
        <v>8581</v>
      </c>
    </row>
    <row r="6218" spans="1:6" x14ac:dyDescent="0.25">
      <c r="A6218" t="str">
        <f>"771561185666"</f>
        <v>771561185666</v>
      </c>
      <c r="B6218" t="s">
        <v>8582</v>
      </c>
      <c r="C6218" t="s">
        <v>7</v>
      </c>
      <c r="D6218" t="s">
        <v>14</v>
      </c>
      <c r="E6218" t="s">
        <v>8106</v>
      </c>
    </row>
    <row r="6219" spans="1:6" x14ac:dyDescent="0.25">
      <c r="A6219" t="str">
        <f>"505397192201"</f>
        <v>505397192201</v>
      </c>
      <c r="B6219" t="s">
        <v>8583</v>
      </c>
      <c r="C6219" t="s">
        <v>7</v>
      </c>
      <c r="D6219" t="s">
        <v>14</v>
      </c>
      <c r="E6219" t="s">
        <v>8106</v>
      </c>
    </row>
    <row r="6220" spans="1:6" x14ac:dyDescent="0.25">
      <c r="A6220" t="str">
        <f>"312835919160"</f>
        <v>312835919160</v>
      </c>
      <c r="B6220" t="s">
        <v>8584</v>
      </c>
      <c r="C6220" t="s">
        <v>7</v>
      </c>
      <c r="D6220" t="s">
        <v>14</v>
      </c>
      <c r="E6220" t="s">
        <v>8106</v>
      </c>
    </row>
    <row r="6221" spans="1:6" x14ac:dyDescent="0.25">
      <c r="A6221" t="str">
        <f>"441503327522"</f>
        <v>441503327522</v>
      </c>
      <c r="B6221" t="s">
        <v>8585</v>
      </c>
      <c r="C6221" t="s">
        <v>7</v>
      </c>
      <c r="D6221" t="s">
        <v>14</v>
      </c>
      <c r="E6221" t="s">
        <v>8586</v>
      </c>
    </row>
    <row r="6222" spans="1:6" x14ac:dyDescent="0.25">
      <c r="A6222" t="str">
        <f>"3700026200"</f>
        <v>3700026200</v>
      </c>
      <c r="B6222" t="s">
        <v>8587</v>
      </c>
      <c r="C6222" t="s">
        <v>7</v>
      </c>
      <c r="D6222" t="s">
        <v>14</v>
      </c>
      <c r="E6222" t="s">
        <v>8586</v>
      </c>
      <c r="F6222" t="s">
        <v>8588</v>
      </c>
    </row>
    <row r="6223" spans="1:6" x14ac:dyDescent="0.25">
      <c r="A6223" t="str">
        <f>"370201024438"</f>
        <v>370201024438</v>
      </c>
      <c r="B6223" t="s">
        <v>8589</v>
      </c>
      <c r="C6223" t="s">
        <v>7</v>
      </c>
      <c r="D6223" t="s">
        <v>12</v>
      </c>
      <c r="E6223" t="s">
        <v>8586</v>
      </c>
    </row>
    <row r="6224" spans="1:6" x14ac:dyDescent="0.25">
      <c r="A6224" t="str">
        <f>"370202282840"</f>
        <v>370202282840</v>
      </c>
      <c r="B6224" t="s">
        <v>8590</v>
      </c>
      <c r="C6224" t="s">
        <v>7</v>
      </c>
      <c r="D6224" t="s">
        <v>14</v>
      </c>
      <c r="E6224" t="s">
        <v>8586</v>
      </c>
    </row>
    <row r="6225" spans="1:6" x14ac:dyDescent="0.25">
      <c r="A6225" t="str">
        <f>"370203287305"</f>
        <v>370203287305</v>
      </c>
      <c r="B6225" t="s">
        <v>8591</v>
      </c>
      <c r="C6225" t="s">
        <v>7</v>
      </c>
      <c r="D6225" t="s">
        <v>14</v>
      </c>
      <c r="E6225" t="s">
        <v>8586</v>
      </c>
    </row>
    <row r="6226" spans="1:6" x14ac:dyDescent="0.25">
      <c r="A6226" t="str">
        <f>"3702038071"</f>
        <v>3702038071</v>
      </c>
      <c r="B6226" t="s">
        <v>8592</v>
      </c>
      <c r="C6226" t="s">
        <v>7</v>
      </c>
      <c r="D6226" t="s">
        <v>14</v>
      </c>
      <c r="E6226" t="s">
        <v>8586</v>
      </c>
      <c r="F6226" t="s">
        <v>8593</v>
      </c>
    </row>
    <row r="6227" spans="1:6" x14ac:dyDescent="0.25">
      <c r="A6227" t="str">
        <f>"370204230774"</f>
        <v>370204230774</v>
      </c>
      <c r="B6227" t="s">
        <v>8594</v>
      </c>
      <c r="C6227" t="s">
        <v>7</v>
      </c>
      <c r="D6227" t="s">
        <v>12</v>
      </c>
      <c r="E6227" t="s">
        <v>8586</v>
      </c>
    </row>
    <row r="6228" spans="1:6" x14ac:dyDescent="0.25">
      <c r="A6228" t="str">
        <f>"3702105987"</f>
        <v>3702105987</v>
      </c>
      <c r="B6228" t="s">
        <v>8595</v>
      </c>
      <c r="C6228" t="s">
        <v>7</v>
      </c>
      <c r="D6228" t="s">
        <v>12</v>
      </c>
      <c r="E6228" t="s">
        <v>8586</v>
      </c>
      <c r="F6228" t="s">
        <v>8596</v>
      </c>
    </row>
    <row r="6229" spans="1:6" x14ac:dyDescent="0.25">
      <c r="A6229" t="str">
        <f>"370217763000"</f>
        <v>370217763000</v>
      </c>
      <c r="B6229" t="s">
        <v>8597</v>
      </c>
      <c r="C6229" t="s">
        <v>7</v>
      </c>
      <c r="D6229" t="s">
        <v>14</v>
      </c>
      <c r="E6229" t="s">
        <v>8586</v>
      </c>
    </row>
    <row r="6230" spans="1:6" x14ac:dyDescent="0.25">
      <c r="A6230" t="str">
        <f>"3702184851"</f>
        <v>3702184851</v>
      </c>
      <c r="B6230" t="s">
        <v>8598</v>
      </c>
      <c r="C6230" t="s">
        <v>7</v>
      </c>
      <c r="D6230" t="s">
        <v>12</v>
      </c>
      <c r="E6230" t="s">
        <v>8586</v>
      </c>
      <c r="F6230" t="s">
        <v>8599</v>
      </c>
    </row>
    <row r="6231" spans="1:6" x14ac:dyDescent="0.25">
      <c r="A6231" t="str">
        <f>"3702188937"</f>
        <v>3702188937</v>
      </c>
      <c r="B6231" t="s">
        <v>8600</v>
      </c>
      <c r="C6231" t="s">
        <v>7</v>
      </c>
      <c r="D6231" t="s">
        <v>33</v>
      </c>
      <c r="E6231" t="s">
        <v>8586</v>
      </c>
      <c r="F6231" t="s">
        <v>8601</v>
      </c>
    </row>
    <row r="6232" spans="1:6" x14ac:dyDescent="0.25">
      <c r="A6232" t="str">
        <f>"3702195081"</f>
        <v>3702195081</v>
      </c>
      <c r="B6232" t="s">
        <v>8602</v>
      </c>
      <c r="C6232" t="s">
        <v>7</v>
      </c>
      <c r="D6232" t="s">
        <v>33</v>
      </c>
      <c r="E6232" t="s">
        <v>8586</v>
      </c>
      <c r="F6232" t="s">
        <v>8603</v>
      </c>
    </row>
    <row r="6233" spans="1:6" x14ac:dyDescent="0.25">
      <c r="A6233" t="str">
        <f>"3702207001"</f>
        <v>3702207001</v>
      </c>
      <c r="B6233" t="s">
        <v>8604</v>
      </c>
      <c r="C6233" t="s">
        <v>7</v>
      </c>
      <c r="D6233" t="s">
        <v>146</v>
      </c>
      <c r="E6233" t="s">
        <v>8586</v>
      </c>
      <c r="F6233" t="s">
        <v>8605</v>
      </c>
    </row>
    <row r="6234" spans="1:6" x14ac:dyDescent="0.25">
      <c r="A6234" t="str">
        <f>"3702213090"</f>
        <v>3702213090</v>
      </c>
      <c r="B6234" t="s">
        <v>8606</v>
      </c>
      <c r="C6234" t="s">
        <v>7</v>
      </c>
      <c r="D6234" t="s">
        <v>12</v>
      </c>
      <c r="E6234" t="s">
        <v>8586</v>
      </c>
      <c r="F6234" t="s">
        <v>8607</v>
      </c>
    </row>
    <row r="6235" spans="1:6" x14ac:dyDescent="0.25">
      <c r="A6235" t="str">
        <f>"3702235947"</f>
        <v>3702235947</v>
      </c>
      <c r="B6235" t="s">
        <v>8608</v>
      </c>
      <c r="C6235" t="s">
        <v>7</v>
      </c>
      <c r="D6235" t="s">
        <v>12</v>
      </c>
      <c r="E6235" t="s">
        <v>8586</v>
      </c>
      <c r="F6235" t="s">
        <v>8609</v>
      </c>
    </row>
    <row r="6236" spans="1:6" x14ac:dyDescent="0.25">
      <c r="A6236" t="str">
        <f>"3702248424"</f>
        <v>3702248424</v>
      </c>
      <c r="B6236" t="s">
        <v>8610</v>
      </c>
      <c r="C6236" t="s">
        <v>7</v>
      </c>
      <c r="D6236" t="s">
        <v>12</v>
      </c>
      <c r="E6236" t="s">
        <v>8586</v>
      </c>
      <c r="F6236" t="s">
        <v>8611</v>
      </c>
    </row>
    <row r="6237" spans="1:6" x14ac:dyDescent="0.25">
      <c r="A6237" t="str">
        <f>"3702254379"</f>
        <v>3702254379</v>
      </c>
      <c r="B6237" t="s">
        <v>8612</v>
      </c>
      <c r="C6237" t="s">
        <v>7</v>
      </c>
      <c r="D6237" t="s">
        <v>14</v>
      </c>
      <c r="E6237" t="s">
        <v>8586</v>
      </c>
      <c r="F6237" t="s">
        <v>8613</v>
      </c>
    </row>
    <row r="6238" spans="1:6" x14ac:dyDescent="0.25">
      <c r="A6238" t="str">
        <f>"3702255950"</f>
        <v>3702255950</v>
      </c>
      <c r="B6238" t="s">
        <v>8614</v>
      </c>
      <c r="C6238" t="s">
        <v>7</v>
      </c>
      <c r="D6238" t="s">
        <v>12</v>
      </c>
      <c r="E6238" t="s">
        <v>8586</v>
      </c>
      <c r="F6238" t="s">
        <v>8615</v>
      </c>
    </row>
    <row r="6239" spans="1:6" x14ac:dyDescent="0.25">
      <c r="A6239" t="str">
        <f>"3702261584"</f>
        <v>3702261584</v>
      </c>
      <c r="B6239" t="s">
        <v>8616</v>
      </c>
      <c r="C6239" t="s">
        <v>7</v>
      </c>
      <c r="D6239" t="s">
        <v>14</v>
      </c>
      <c r="E6239" t="s">
        <v>8586</v>
      </c>
      <c r="F6239" t="s">
        <v>8617</v>
      </c>
    </row>
    <row r="6240" spans="1:6" x14ac:dyDescent="0.25">
      <c r="A6240" t="str">
        <f>"370257721455"</f>
        <v>370257721455</v>
      </c>
      <c r="B6240" t="s">
        <v>8618</v>
      </c>
      <c r="C6240" t="s">
        <v>7</v>
      </c>
      <c r="D6240" t="s">
        <v>14</v>
      </c>
      <c r="E6240" t="s">
        <v>8586</v>
      </c>
    </row>
    <row r="6241" spans="1:6" x14ac:dyDescent="0.25">
      <c r="A6241" t="str">
        <f>"370262618598"</f>
        <v>370262618598</v>
      </c>
      <c r="B6241" t="s">
        <v>8619</v>
      </c>
      <c r="C6241" t="s">
        <v>7</v>
      </c>
      <c r="D6241" t="s">
        <v>14</v>
      </c>
      <c r="E6241" t="s">
        <v>8586</v>
      </c>
    </row>
    <row r="6242" spans="1:6" x14ac:dyDescent="0.25">
      <c r="A6242" t="str">
        <f>"3702626690"</f>
        <v>3702626690</v>
      </c>
      <c r="B6242" t="s">
        <v>8620</v>
      </c>
      <c r="C6242" t="s">
        <v>7</v>
      </c>
      <c r="D6242" t="s">
        <v>12</v>
      </c>
      <c r="E6242" t="s">
        <v>8586</v>
      </c>
      <c r="F6242" t="s">
        <v>8621</v>
      </c>
    </row>
    <row r="6243" spans="1:6" x14ac:dyDescent="0.25">
      <c r="A6243" t="str">
        <f>"3702647612"</f>
        <v>3702647612</v>
      </c>
      <c r="B6243" t="s">
        <v>8622</v>
      </c>
      <c r="C6243" t="s">
        <v>7</v>
      </c>
      <c r="D6243" t="s">
        <v>12</v>
      </c>
      <c r="E6243" t="s">
        <v>8586</v>
      </c>
      <c r="F6243" t="s">
        <v>8623</v>
      </c>
    </row>
    <row r="6244" spans="1:6" x14ac:dyDescent="0.25">
      <c r="A6244" t="str">
        <f>"3702675497"</f>
        <v>3702675497</v>
      </c>
      <c r="B6244" t="s">
        <v>8624</v>
      </c>
      <c r="C6244" t="s">
        <v>7</v>
      </c>
      <c r="D6244" t="s">
        <v>12</v>
      </c>
      <c r="E6244" t="s">
        <v>8586</v>
      </c>
      <c r="F6244" t="s">
        <v>8625</v>
      </c>
    </row>
    <row r="6245" spans="1:6" x14ac:dyDescent="0.25">
      <c r="A6245" t="str">
        <f>"3702700714"</f>
        <v>3702700714</v>
      </c>
      <c r="B6245" t="s">
        <v>8626</v>
      </c>
      <c r="C6245" t="s">
        <v>7</v>
      </c>
      <c r="D6245" t="s">
        <v>12</v>
      </c>
      <c r="E6245" t="s">
        <v>8586</v>
      </c>
      <c r="F6245" t="s">
        <v>8627</v>
      </c>
    </row>
    <row r="6246" spans="1:6" x14ac:dyDescent="0.25">
      <c r="A6246" t="str">
        <f>"370300386527"</f>
        <v>370300386527</v>
      </c>
      <c r="B6246" t="s">
        <v>8628</v>
      </c>
      <c r="C6246" t="s">
        <v>7</v>
      </c>
      <c r="D6246" t="s">
        <v>14</v>
      </c>
      <c r="E6246" t="s">
        <v>8586</v>
      </c>
    </row>
    <row r="6247" spans="1:6" x14ac:dyDescent="0.25">
      <c r="A6247" t="str">
        <f>"3703012439"</f>
        <v>3703012439</v>
      </c>
      <c r="B6247" t="s">
        <v>8629</v>
      </c>
      <c r="C6247" t="s">
        <v>7</v>
      </c>
      <c r="D6247" t="s">
        <v>14</v>
      </c>
      <c r="E6247" t="s">
        <v>8586</v>
      </c>
      <c r="F6247" t="s">
        <v>8630</v>
      </c>
    </row>
    <row r="6248" spans="1:6" x14ac:dyDescent="0.25">
      <c r="A6248" t="str">
        <f>"370301603950"</f>
        <v>370301603950</v>
      </c>
      <c r="B6248" t="s">
        <v>8631</v>
      </c>
      <c r="C6248" t="s">
        <v>7</v>
      </c>
      <c r="D6248" t="s">
        <v>14</v>
      </c>
      <c r="E6248" t="s">
        <v>8586</v>
      </c>
    </row>
    <row r="6249" spans="1:6" x14ac:dyDescent="0.25">
      <c r="A6249" t="str">
        <f>"3703040242"</f>
        <v>3703040242</v>
      </c>
      <c r="B6249" t="s">
        <v>8632</v>
      </c>
      <c r="C6249" t="s">
        <v>7</v>
      </c>
      <c r="D6249" t="s">
        <v>14</v>
      </c>
      <c r="E6249" t="s">
        <v>8586</v>
      </c>
      <c r="F6249" t="s">
        <v>8633</v>
      </c>
    </row>
    <row r="6250" spans="1:6" x14ac:dyDescent="0.25">
      <c r="A6250" t="str">
        <f>"370305232182"</f>
        <v>370305232182</v>
      </c>
      <c r="B6250" t="s">
        <v>8634</v>
      </c>
      <c r="C6250" t="s">
        <v>7</v>
      </c>
      <c r="D6250" t="s">
        <v>14</v>
      </c>
      <c r="E6250" t="s">
        <v>8586</v>
      </c>
    </row>
    <row r="6251" spans="1:6" x14ac:dyDescent="0.25">
      <c r="A6251" t="str">
        <f>"370400055110"</f>
        <v>370400055110</v>
      </c>
      <c r="B6251" t="s">
        <v>8635</v>
      </c>
      <c r="C6251" t="s">
        <v>7</v>
      </c>
      <c r="D6251" t="s">
        <v>14</v>
      </c>
      <c r="E6251" t="s">
        <v>8586</v>
      </c>
    </row>
    <row r="6252" spans="1:6" x14ac:dyDescent="0.25">
      <c r="A6252" t="str">
        <f>"3700021643"</f>
        <v>3700021643</v>
      </c>
      <c r="B6252" t="s">
        <v>8636</v>
      </c>
      <c r="C6252" t="s">
        <v>7</v>
      </c>
      <c r="D6252" t="s">
        <v>14</v>
      </c>
      <c r="E6252" t="s">
        <v>8586</v>
      </c>
      <c r="F6252" t="s">
        <v>8637</v>
      </c>
    </row>
    <row r="6253" spans="1:6" x14ac:dyDescent="0.25">
      <c r="A6253" t="str">
        <f>"370141895597"</f>
        <v>370141895597</v>
      </c>
      <c r="B6253" t="s">
        <v>8638</v>
      </c>
      <c r="C6253" t="s">
        <v>7</v>
      </c>
      <c r="D6253" t="s">
        <v>14</v>
      </c>
      <c r="E6253" t="s">
        <v>8586</v>
      </c>
    </row>
    <row r="6254" spans="1:6" x14ac:dyDescent="0.25">
      <c r="A6254" t="str">
        <f>"370143230421"</f>
        <v>370143230421</v>
      </c>
      <c r="B6254" t="s">
        <v>8639</v>
      </c>
      <c r="C6254" t="s">
        <v>7</v>
      </c>
      <c r="D6254" t="s">
        <v>12</v>
      </c>
      <c r="E6254" t="s">
        <v>8586</v>
      </c>
    </row>
    <row r="6255" spans="1:6" x14ac:dyDescent="0.25">
      <c r="A6255" t="str">
        <f>"370201382176"</f>
        <v>370201382176</v>
      </c>
      <c r="B6255" t="s">
        <v>8640</v>
      </c>
      <c r="C6255" t="s">
        <v>7</v>
      </c>
      <c r="D6255" t="s">
        <v>12</v>
      </c>
      <c r="E6255" t="s">
        <v>8586</v>
      </c>
    </row>
    <row r="6256" spans="1:6" x14ac:dyDescent="0.25">
      <c r="A6256" t="str">
        <f>"370201808048"</f>
        <v>370201808048</v>
      </c>
      <c r="B6256" t="s">
        <v>8641</v>
      </c>
      <c r="C6256" t="s">
        <v>7</v>
      </c>
      <c r="D6256" t="s">
        <v>14</v>
      </c>
      <c r="E6256" t="s">
        <v>8586</v>
      </c>
    </row>
    <row r="6257" spans="1:6" x14ac:dyDescent="0.25">
      <c r="A6257" t="str">
        <f>"370203137652"</f>
        <v>370203137652</v>
      </c>
      <c r="B6257" t="s">
        <v>8642</v>
      </c>
      <c r="C6257" t="s">
        <v>7</v>
      </c>
      <c r="D6257" t="s">
        <v>14</v>
      </c>
      <c r="E6257" t="s">
        <v>8586</v>
      </c>
    </row>
    <row r="6258" spans="1:6" x14ac:dyDescent="0.25">
      <c r="A6258" t="str">
        <f>"370203301824"</f>
        <v>370203301824</v>
      </c>
      <c r="B6258" t="s">
        <v>8643</v>
      </c>
      <c r="C6258" t="s">
        <v>7</v>
      </c>
      <c r="D6258" t="s">
        <v>12</v>
      </c>
      <c r="E6258" t="s">
        <v>8586</v>
      </c>
    </row>
    <row r="6259" spans="1:6" x14ac:dyDescent="0.25">
      <c r="A6259" t="str">
        <f>"3702152793"</f>
        <v>3702152793</v>
      </c>
      <c r="B6259" t="s">
        <v>8644</v>
      </c>
      <c r="C6259" t="s">
        <v>7</v>
      </c>
      <c r="D6259" t="s">
        <v>12</v>
      </c>
      <c r="E6259" t="s">
        <v>8586</v>
      </c>
      <c r="F6259" t="s">
        <v>8645</v>
      </c>
    </row>
    <row r="6260" spans="1:6" x14ac:dyDescent="0.25">
      <c r="A6260" t="str">
        <f>"3702161332"</f>
        <v>3702161332</v>
      </c>
      <c r="B6260" t="s">
        <v>8646</v>
      </c>
      <c r="C6260" t="s">
        <v>7</v>
      </c>
      <c r="D6260" t="s">
        <v>189</v>
      </c>
      <c r="E6260" t="s">
        <v>8586</v>
      </c>
      <c r="F6260" t="s">
        <v>8647</v>
      </c>
    </row>
    <row r="6261" spans="1:6" x14ac:dyDescent="0.25">
      <c r="A6261" t="str">
        <f>"3702220813"</f>
        <v>3702220813</v>
      </c>
      <c r="B6261" t="s">
        <v>8648</v>
      </c>
      <c r="C6261" t="s">
        <v>7</v>
      </c>
      <c r="D6261" t="s">
        <v>12</v>
      </c>
      <c r="E6261" t="s">
        <v>8586</v>
      </c>
      <c r="F6261" t="s">
        <v>8649</v>
      </c>
    </row>
    <row r="6262" spans="1:6" x14ac:dyDescent="0.25">
      <c r="A6262" t="str">
        <f>"3702236267"</f>
        <v>3702236267</v>
      </c>
      <c r="B6262" t="s">
        <v>8650</v>
      </c>
      <c r="C6262" t="s">
        <v>7</v>
      </c>
      <c r="D6262" t="s">
        <v>12</v>
      </c>
      <c r="E6262" t="s">
        <v>8586</v>
      </c>
      <c r="F6262" t="s">
        <v>8651</v>
      </c>
    </row>
    <row r="6263" spans="1:6" x14ac:dyDescent="0.25">
      <c r="A6263" t="str">
        <f>"3702269174"</f>
        <v>3702269174</v>
      </c>
      <c r="B6263" t="s">
        <v>8652</v>
      </c>
      <c r="C6263" t="s">
        <v>7</v>
      </c>
      <c r="D6263" t="s">
        <v>33</v>
      </c>
      <c r="E6263" t="s">
        <v>8586</v>
      </c>
      <c r="F6263" t="s">
        <v>8653</v>
      </c>
    </row>
    <row r="6264" spans="1:6" x14ac:dyDescent="0.25">
      <c r="A6264" t="str">
        <f>"370240775011"</f>
        <v>370240775011</v>
      </c>
      <c r="B6264" t="s">
        <v>8654</v>
      </c>
      <c r="C6264" t="s">
        <v>7</v>
      </c>
      <c r="D6264" t="s">
        <v>14</v>
      </c>
      <c r="E6264" t="s">
        <v>8586</v>
      </c>
    </row>
    <row r="6265" spans="1:6" x14ac:dyDescent="0.25">
      <c r="A6265" t="str">
        <f>"370244651592"</f>
        <v>370244651592</v>
      </c>
      <c r="B6265" t="s">
        <v>8655</v>
      </c>
      <c r="C6265" t="s">
        <v>7</v>
      </c>
      <c r="D6265" t="s">
        <v>12</v>
      </c>
      <c r="E6265" t="s">
        <v>8586</v>
      </c>
    </row>
    <row r="6266" spans="1:6" x14ac:dyDescent="0.25">
      <c r="A6266" t="str">
        <f>"370257964810"</f>
        <v>370257964810</v>
      </c>
      <c r="B6266" t="s">
        <v>8656</v>
      </c>
      <c r="C6266" t="s">
        <v>7</v>
      </c>
      <c r="D6266" t="s">
        <v>12</v>
      </c>
      <c r="E6266" t="s">
        <v>8586</v>
      </c>
    </row>
    <row r="6267" spans="1:6" x14ac:dyDescent="0.25">
      <c r="A6267" t="str">
        <f>"370260557438"</f>
        <v>370260557438</v>
      </c>
      <c r="B6267" t="s">
        <v>8657</v>
      </c>
      <c r="C6267" t="s">
        <v>7</v>
      </c>
      <c r="D6267" t="s">
        <v>33</v>
      </c>
      <c r="E6267" t="s">
        <v>8586</v>
      </c>
    </row>
    <row r="6268" spans="1:6" x14ac:dyDescent="0.25">
      <c r="A6268" t="str">
        <f>"3702650647"</f>
        <v>3702650647</v>
      </c>
      <c r="B6268" t="s">
        <v>1840</v>
      </c>
      <c r="C6268" t="s">
        <v>7</v>
      </c>
      <c r="D6268" t="s">
        <v>12</v>
      </c>
      <c r="E6268" t="s">
        <v>8586</v>
      </c>
      <c r="F6268" t="s">
        <v>8658</v>
      </c>
    </row>
    <row r="6269" spans="1:6" x14ac:dyDescent="0.25">
      <c r="A6269" t="str">
        <f>"3702703465"</f>
        <v>3702703465</v>
      </c>
      <c r="B6269" t="s">
        <v>8659</v>
      </c>
      <c r="C6269" t="s">
        <v>7</v>
      </c>
      <c r="D6269" t="s">
        <v>14</v>
      </c>
      <c r="E6269" t="s">
        <v>8586</v>
      </c>
      <c r="F6269" t="s">
        <v>8645</v>
      </c>
    </row>
    <row r="6270" spans="1:6" x14ac:dyDescent="0.25">
      <c r="A6270" t="str">
        <f>"370307020708"</f>
        <v>370307020708</v>
      </c>
      <c r="B6270" t="s">
        <v>8660</v>
      </c>
      <c r="C6270" t="s">
        <v>7</v>
      </c>
      <c r="D6270" t="s">
        <v>14</v>
      </c>
      <c r="E6270" t="s">
        <v>8586</v>
      </c>
    </row>
    <row r="6271" spans="1:6" x14ac:dyDescent="0.25">
      <c r="A6271" t="str">
        <f>"370378371893"</f>
        <v>370378371893</v>
      </c>
      <c r="B6271" t="s">
        <v>8661</v>
      </c>
      <c r="C6271" t="s">
        <v>7</v>
      </c>
      <c r="D6271" t="s">
        <v>14</v>
      </c>
      <c r="E6271" t="s">
        <v>8586</v>
      </c>
    </row>
    <row r="6272" spans="1:6" x14ac:dyDescent="0.25">
      <c r="A6272" t="str">
        <f>"370413407915"</f>
        <v>370413407915</v>
      </c>
      <c r="B6272" t="s">
        <v>8662</v>
      </c>
      <c r="C6272" t="s">
        <v>7</v>
      </c>
      <c r="D6272" t="s">
        <v>12</v>
      </c>
      <c r="E6272" t="s">
        <v>8586</v>
      </c>
    </row>
    <row r="6273" spans="1:6" x14ac:dyDescent="0.25">
      <c r="A6273" t="str">
        <f>"370413706697"</f>
        <v>370413706697</v>
      </c>
      <c r="B6273" t="s">
        <v>8663</v>
      </c>
      <c r="C6273" t="s">
        <v>7</v>
      </c>
      <c r="D6273" t="s">
        <v>14</v>
      </c>
      <c r="E6273" t="s">
        <v>8586</v>
      </c>
    </row>
    <row r="6274" spans="1:6" x14ac:dyDescent="0.25">
      <c r="A6274" t="str">
        <f>"370503755755"</f>
        <v>370503755755</v>
      </c>
      <c r="B6274" t="s">
        <v>8664</v>
      </c>
      <c r="C6274" t="s">
        <v>7</v>
      </c>
      <c r="D6274" t="s">
        <v>14</v>
      </c>
      <c r="E6274" t="s">
        <v>8586</v>
      </c>
    </row>
    <row r="6275" spans="1:6" x14ac:dyDescent="0.25">
      <c r="A6275" t="str">
        <f>"370504004470"</f>
        <v>370504004470</v>
      </c>
      <c r="B6275" t="s">
        <v>8665</v>
      </c>
      <c r="C6275" t="s">
        <v>7</v>
      </c>
      <c r="D6275" t="s">
        <v>1430</v>
      </c>
      <c r="E6275" t="s">
        <v>8586</v>
      </c>
    </row>
    <row r="6276" spans="1:6" x14ac:dyDescent="0.25">
      <c r="A6276" t="str">
        <f>"370600053409"</f>
        <v>370600053409</v>
      </c>
      <c r="B6276" t="s">
        <v>8666</v>
      </c>
      <c r="C6276" t="s">
        <v>7</v>
      </c>
      <c r="D6276" t="s">
        <v>14</v>
      </c>
      <c r="E6276" t="s">
        <v>8586</v>
      </c>
    </row>
    <row r="6277" spans="1:6" x14ac:dyDescent="0.25">
      <c r="A6277" t="str">
        <f>"3700018344"</f>
        <v>3700018344</v>
      </c>
      <c r="B6277" t="s">
        <v>8667</v>
      </c>
      <c r="C6277" t="s">
        <v>7</v>
      </c>
      <c r="D6277" t="s">
        <v>12</v>
      </c>
      <c r="E6277" t="s">
        <v>8586</v>
      </c>
      <c r="F6277" t="s">
        <v>8668</v>
      </c>
    </row>
    <row r="6278" spans="1:6" x14ac:dyDescent="0.25">
      <c r="A6278" t="str">
        <f>"370100032810"</f>
        <v>370100032810</v>
      </c>
      <c r="B6278" t="s">
        <v>8669</v>
      </c>
      <c r="C6278" t="s">
        <v>7</v>
      </c>
      <c r="D6278" t="s">
        <v>14</v>
      </c>
      <c r="E6278" t="s">
        <v>8586</v>
      </c>
    </row>
    <row r="6279" spans="1:6" x14ac:dyDescent="0.25">
      <c r="A6279" t="str">
        <f>"370200587621"</f>
        <v>370200587621</v>
      </c>
      <c r="B6279" t="s">
        <v>8670</v>
      </c>
      <c r="C6279" t="s">
        <v>7</v>
      </c>
      <c r="D6279" t="s">
        <v>14</v>
      </c>
      <c r="E6279" t="s">
        <v>8586</v>
      </c>
    </row>
    <row r="6280" spans="1:6" x14ac:dyDescent="0.25">
      <c r="A6280" t="str">
        <f>"3702125119"</f>
        <v>3702125119</v>
      </c>
      <c r="B6280" t="s">
        <v>7139</v>
      </c>
      <c r="C6280" t="s">
        <v>7</v>
      </c>
      <c r="D6280" t="s">
        <v>33</v>
      </c>
      <c r="E6280" t="s">
        <v>8586</v>
      </c>
      <c r="F6280" t="s">
        <v>8671</v>
      </c>
    </row>
    <row r="6281" spans="1:6" x14ac:dyDescent="0.25">
      <c r="A6281" t="str">
        <f>"3702150002"</f>
        <v>3702150002</v>
      </c>
      <c r="B6281" t="s">
        <v>8672</v>
      </c>
      <c r="C6281" t="s">
        <v>7</v>
      </c>
      <c r="D6281" t="s">
        <v>12</v>
      </c>
      <c r="E6281" t="s">
        <v>8586</v>
      </c>
      <c r="F6281" t="s">
        <v>8673</v>
      </c>
    </row>
    <row r="6282" spans="1:6" x14ac:dyDescent="0.25">
      <c r="A6282" t="str">
        <f>"3702169684"</f>
        <v>3702169684</v>
      </c>
      <c r="B6282" t="s">
        <v>8674</v>
      </c>
      <c r="C6282" t="s">
        <v>7</v>
      </c>
      <c r="D6282" t="s">
        <v>33</v>
      </c>
      <c r="E6282" t="s">
        <v>8586</v>
      </c>
      <c r="F6282" t="s">
        <v>8675</v>
      </c>
    </row>
    <row r="6283" spans="1:6" x14ac:dyDescent="0.25">
      <c r="A6283" t="str">
        <f>"3702201779"</f>
        <v>3702201779</v>
      </c>
      <c r="B6283" t="s">
        <v>8676</v>
      </c>
      <c r="C6283" t="s">
        <v>7</v>
      </c>
      <c r="D6283" t="s">
        <v>33</v>
      </c>
      <c r="E6283" t="s">
        <v>8586</v>
      </c>
      <c r="F6283" t="s">
        <v>8677</v>
      </c>
    </row>
    <row r="6284" spans="1:6" x14ac:dyDescent="0.25">
      <c r="A6284" t="str">
        <f>"3702206199"</f>
        <v>3702206199</v>
      </c>
      <c r="B6284" t="s">
        <v>8678</v>
      </c>
      <c r="C6284" t="s">
        <v>7</v>
      </c>
      <c r="D6284" t="s">
        <v>14</v>
      </c>
      <c r="E6284" t="s">
        <v>8586</v>
      </c>
      <c r="F6284" t="s">
        <v>8679</v>
      </c>
    </row>
    <row r="6285" spans="1:6" x14ac:dyDescent="0.25">
      <c r="A6285" t="str">
        <f>"3702245367"</f>
        <v>3702245367</v>
      </c>
      <c r="B6285" t="s">
        <v>8680</v>
      </c>
      <c r="C6285" t="s">
        <v>7</v>
      </c>
      <c r="D6285" t="s">
        <v>8</v>
      </c>
      <c r="E6285" t="s">
        <v>8586</v>
      </c>
      <c r="F6285" t="s">
        <v>8605</v>
      </c>
    </row>
    <row r="6286" spans="1:6" x14ac:dyDescent="0.25">
      <c r="A6286" t="str">
        <f>"3702257002"</f>
        <v>3702257002</v>
      </c>
      <c r="B6286" t="s">
        <v>8681</v>
      </c>
      <c r="C6286" t="s">
        <v>7</v>
      </c>
      <c r="D6286" t="s">
        <v>14</v>
      </c>
      <c r="E6286" t="s">
        <v>8586</v>
      </c>
      <c r="F6286" t="s">
        <v>8682</v>
      </c>
    </row>
    <row r="6287" spans="1:6" x14ac:dyDescent="0.25">
      <c r="A6287" t="str">
        <f>"3702266261"</f>
        <v>3702266261</v>
      </c>
      <c r="B6287" t="s">
        <v>8683</v>
      </c>
      <c r="C6287" t="s">
        <v>7</v>
      </c>
      <c r="D6287" t="s">
        <v>12</v>
      </c>
      <c r="E6287" t="s">
        <v>8586</v>
      </c>
      <c r="F6287" t="s">
        <v>8684</v>
      </c>
    </row>
    <row r="6288" spans="1:6" x14ac:dyDescent="0.25">
      <c r="A6288" t="str">
        <f>"3702268614"</f>
        <v>3702268614</v>
      </c>
      <c r="B6288" t="s">
        <v>4141</v>
      </c>
      <c r="C6288" t="s">
        <v>7</v>
      </c>
      <c r="D6288" t="s">
        <v>12</v>
      </c>
      <c r="E6288" t="s">
        <v>8586</v>
      </c>
      <c r="F6288" t="s">
        <v>8685</v>
      </c>
    </row>
    <row r="6289" spans="1:6" x14ac:dyDescent="0.25">
      <c r="A6289" t="str">
        <f>"3702272152"</f>
        <v>3702272152</v>
      </c>
      <c r="B6289" t="s">
        <v>8686</v>
      </c>
      <c r="C6289" t="s">
        <v>7</v>
      </c>
      <c r="D6289" t="s">
        <v>12</v>
      </c>
      <c r="E6289" t="s">
        <v>8586</v>
      </c>
      <c r="F6289" t="s">
        <v>8687</v>
      </c>
    </row>
    <row r="6290" spans="1:6" x14ac:dyDescent="0.25">
      <c r="A6290" t="str">
        <f>"370228687707"</f>
        <v>370228687707</v>
      </c>
      <c r="B6290" t="s">
        <v>8688</v>
      </c>
      <c r="C6290" t="s">
        <v>7</v>
      </c>
      <c r="D6290" t="s">
        <v>12</v>
      </c>
      <c r="E6290" t="s">
        <v>8586</v>
      </c>
    </row>
    <row r="6291" spans="1:6" x14ac:dyDescent="0.25">
      <c r="A6291" t="str">
        <f>"370240635624"</f>
        <v>370240635624</v>
      </c>
      <c r="B6291" t="s">
        <v>8689</v>
      </c>
      <c r="C6291" t="s">
        <v>7</v>
      </c>
      <c r="D6291" t="s">
        <v>14</v>
      </c>
      <c r="E6291" t="s">
        <v>8586</v>
      </c>
    </row>
    <row r="6292" spans="1:6" x14ac:dyDescent="0.25">
      <c r="A6292" t="str">
        <f>"3702517250"</f>
        <v>3702517250</v>
      </c>
      <c r="B6292" t="s">
        <v>8690</v>
      </c>
      <c r="C6292" t="s">
        <v>7</v>
      </c>
      <c r="D6292" t="s">
        <v>12</v>
      </c>
      <c r="E6292" t="s">
        <v>8586</v>
      </c>
      <c r="F6292" t="s">
        <v>8691</v>
      </c>
    </row>
    <row r="6293" spans="1:6" x14ac:dyDescent="0.25">
      <c r="A6293" t="str">
        <f>"3702535612"</f>
        <v>3702535612</v>
      </c>
      <c r="B6293" t="s">
        <v>8676</v>
      </c>
      <c r="C6293" t="s">
        <v>7</v>
      </c>
      <c r="D6293" t="s">
        <v>98</v>
      </c>
      <c r="E6293" t="s">
        <v>8586</v>
      </c>
      <c r="F6293" t="s">
        <v>8692</v>
      </c>
    </row>
    <row r="6294" spans="1:6" x14ac:dyDescent="0.25">
      <c r="A6294" t="str">
        <f>"370254129219"</f>
        <v>370254129219</v>
      </c>
      <c r="B6294" t="s">
        <v>8693</v>
      </c>
      <c r="C6294" t="s">
        <v>7</v>
      </c>
      <c r="D6294" t="s">
        <v>12</v>
      </c>
      <c r="E6294" t="s">
        <v>8586</v>
      </c>
    </row>
    <row r="6295" spans="1:6" x14ac:dyDescent="0.25">
      <c r="A6295" t="str">
        <f>"370257729888"</f>
        <v>370257729888</v>
      </c>
      <c r="B6295" t="s">
        <v>8694</v>
      </c>
      <c r="C6295" t="s">
        <v>7</v>
      </c>
      <c r="D6295" t="s">
        <v>14</v>
      </c>
      <c r="E6295" t="s">
        <v>8586</v>
      </c>
    </row>
    <row r="6296" spans="1:6" x14ac:dyDescent="0.25">
      <c r="A6296" t="str">
        <f>"3702591279"</f>
        <v>3702591279</v>
      </c>
      <c r="B6296" t="s">
        <v>8695</v>
      </c>
      <c r="C6296" t="s">
        <v>7</v>
      </c>
      <c r="D6296" t="s">
        <v>14</v>
      </c>
      <c r="E6296" t="s">
        <v>8586</v>
      </c>
      <c r="F6296" t="s">
        <v>8696</v>
      </c>
    </row>
    <row r="6297" spans="1:6" x14ac:dyDescent="0.25">
      <c r="A6297" t="str">
        <f>"370262634085"</f>
        <v>370262634085</v>
      </c>
      <c r="B6297" t="s">
        <v>8697</v>
      </c>
      <c r="C6297" t="s">
        <v>7</v>
      </c>
      <c r="D6297" t="s">
        <v>14</v>
      </c>
      <c r="E6297" t="s">
        <v>8586</v>
      </c>
    </row>
    <row r="6298" spans="1:6" x14ac:dyDescent="0.25">
      <c r="A6298" t="str">
        <f>"370262896605"</f>
        <v>370262896605</v>
      </c>
      <c r="B6298" t="s">
        <v>8698</v>
      </c>
      <c r="C6298" t="s">
        <v>7</v>
      </c>
      <c r="D6298" t="s">
        <v>14</v>
      </c>
      <c r="E6298" t="s">
        <v>8586</v>
      </c>
    </row>
    <row r="6299" spans="1:6" x14ac:dyDescent="0.25">
      <c r="A6299" t="str">
        <f>"370265679422"</f>
        <v>370265679422</v>
      </c>
      <c r="B6299" t="s">
        <v>8699</v>
      </c>
      <c r="C6299" t="s">
        <v>7</v>
      </c>
      <c r="D6299" t="s">
        <v>14</v>
      </c>
      <c r="E6299" t="s">
        <v>8586</v>
      </c>
    </row>
    <row r="6300" spans="1:6" x14ac:dyDescent="0.25">
      <c r="A6300" t="str">
        <f>"370265722371"</f>
        <v>370265722371</v>
      </c>
      <c r="B6300" t="s">
        <v>8700</v>
      </c>
      <c r="C6300" t="s">
        <v>7</v>
      </c>
      <c r="D6300" t="s">
        <v>12</v>
      </c>
      <c r="E6300" t="s">
        <v>8586</v>
      </c>
    </row>
    <row r="6301" spans="1:6" x14ac:dyDescent="0.25">
      <c r="A6301" t="str">
        <f>"3702713262"</f>
        <v>3702713262</v>
      </c>
      <c r="B6301" t="s">
        <v>8701</v>
      </c>
      <c r="C6301" t="s">
        <v>7</v>
      </c>
      <c r="D6301" t="s">
        <v>189</v>
      </c>
      <c r="E6301" t="s">
        <v>8586</v>
      </c>
      <c r="F6301" t="s">
        <v>8702</v>
      </c>
    </row>
    <row r="6302" spans="1:6" x14ac:dyDescent="0.25">
      <c r="A6302" t="str">
        <f>"3703023487"</f>
        <v>3703023487</v>
      </c>
      <c r="B6302" t="s">
        <v>8703</v>
      </c>
      <c r="C6302" t="s">
        <v>7</v>
      </c>
      <c r="D6302" t="s">
        <v>14</v>
      </c>
      <c r="E6302" t="s">
        <v>8586</v>
      </c>
      <c r="F6302" t="s">
        <v>8704</v>
      </c>
    </row>
    <row r="6303" spans="1:6" x14ac:dyDescent="0.25">
      <c r="A6303" t="str">
        <f>"370412728553"</f>
        <v>370412728553</v>
      </c>
      <c r="B6303" t="s">
        <v>8705</v>
      </c>
      <c r="C6303" t="s">
        <v>7</v>
      </c>
      <c r="D6303" t="s">
        <v>14</v>
      </c>
      <c r="E6303" t="s">
        <v>8586</v>
      </c>
    </row>
    <row r="6304" spans="1:6" x14ac:dyDescent="0.25">
      <c r="A6304" t="str">
        <f>"370500073497"</f>
        <v>370500073497</v>
      </c>
      <c r="B6304" t="s">
        <v>8706</v>
      </c>
      <c r="C6304" t="s">
        <v>7</v>
      </c>
      <c r="D6304" t="s">
        <v>14</v>
      </c>
      <c r="E6304" t="s">
        <v>8586</v>
      </c>
    </row>
    <row r="6305" spans="1:6" x14ac:dyDescent="0.25">
      <c r="A6305" t="str">
        <f>"370501486218"</f>
        <v>370501486218</v>
      </c>
      <c r="B6305" t="s">
        <v>8707</v>
      </c>
      <c r="C6305" t="s">
        <v>7</v>
      </c>
      <c r="D6305" t="s">
        <v>12</v>
      </c>
      <c r="E6305" t="s">
        <v>8586</v>
      </c>
    </row>
    <row r="6306" spans="1:6" x14ac:dyDescent="0.25">
      <c r="A6306" t="str">
        <f>"3706011377"</f>
        <v>3706011377</v>
      </c>
      <c r="B6306" t="s">
        <v>8708</v>
      </c>
      <c r="C6306" t="s">
        <v>7</v>
      </c>
      <c r="D6306" t="s">
        <v>14</v>
      </c>
      <c r="E6306" t="s">
        <v>8586</v>
      </c>
      <c r="F6306" t="s">
        <v>8709</v>
      </c>
    </row>
    <row r="6307" spans="1:6" x14ac:dyDescent="0.25">
      <c r="A6307" t="str">
        <f>"370602380313"</f>
        <v>370602380313</v>
      </c>
      <c r="B6307" t="s">
        <v>8710</v>
      </c>
      <c r="C6307" t="s">
        <v>7</v>
      </c>
      <c r="D6307" t="s">
        <v>12</v>
      </c>
      <c r="E6307" t="s">
        <v>8586</v>
      </c>
    </row>
    <row r="6308" spans="1:6" x14ac:dyDescent="0.25">
      <c r="A6308" t="str">
        <f>"370603364233"</f>
        <v>370603364233</v>
      </c>
      <c r="B6308" t="s">
        <v>8711</v>
      </c>
      <c r="C6308" t="s">
        <v>7</v>
      </c>
      <c r="D6308" t="s">
        <v>14</v>
      </c>
      <c r="E6308" t="s">
        <v>8586</v>
      </c>
    </row>
    <row r="6309" spans="1:6" x14ac:dyDescent="0.25">
      <c r="A6309" t="str">
        <f>"370604037292"</f>
        <v>370604037292</v>
      </c>
      <c r="B6309" t="s">
        <v>8712</v>
      </c>
      <c r="C6309" t="s">
        <v>7</v>
      </c>
      <c r="D6309" t="s">
        <v>14</v>
      </c>
      <c r="E6309" t="s">
        <v>8586</v>
      </c>
    </row>
    <row r="6310" spans="1:6" x14ac:dyDescent="0.25">
      <c r="A6310" t="str">
        <f>"370701975784"</f>
        <v>370701975784</v>
      </c>
      <c r="B6310" t="s">
        <v>8713</v>
      </c>
      <c r="C6310" t="s">
        <v>7</v>
      </c>
      <c r="D6310" t="s">
        <v>33</v>
      </c>
      <c r="E6310" t="s">
        <v>8586</v>
      </c>
    </row>
    <row r="6311" spans="1:6" x14ac:dyDescent="0.25">
      <c r="A6311" t="str">
        <f>"371121273744"</f>
        <v>371121273744</v>
      </c>
      <c r="B6311" t="s">
        <v>8714</v>
      </c>
      <c r="C6311" t="s">
        <v>7</v>
      </c>
      <c r="D6311" t="s">
        <v>12</v>
      </c>
      <c r="E6311" t="s">
        <v>8586</v>
      </c>
    </row>
    <row r="6312" spans="1:6" x14ac:dyDescent="0.25">
      <c r="A6312" t="str">
        <f>"371500021437"</f>
        <v>371500021437</v>
      </c>
      <c r="B6312" t="s">
        <v>8715</v>
      </c>
      <c r="C6312" t="s">
        <v>7</v>
      </c>
      <c r="D6312" t="s">
        <v>14</v>
      </c>
      <c r="E6312" t="s">
        <v>8586</v>
      </c>
    </row>
    <row r="6313" spans="1:6" x14ac:dyDescent="0.25">
      <c r="A6313" t="str">
        <f>"371500045283"</f>
        <v>371500045283</v>
      </c>
      <c r="B6313" t="s">
        <v>8716</v>
      </c>
      <c r="C6313" t="s">
        <v>7</v>
      </c>
      <c r="D6313" t="s">
        <v>14</v>
      </c>
      <c r="E6313" t="s">
        <v>8586</v>
      </c>
    </row>
    <row r="6314" spans="1:6" x14ac:dyDescent="0.25">
      <c r="A6314" t="str">
        <f>"372000513320"</f>
        <v>372000513320</v>
      </c>
      <c r="B6314" t="s">
        <v>8717</v>
      </c>
      <c r="C6314" t="s">
        <v>7</v>
      </c>
      <c r="D6314" t="s">
        <v>14</v>
      </c>
      <c r="E6314" t="s">
        <v>8586</v>
      </c>
    </row>
    <row r="6315" spans="1:6" x14ac:dyDescent="0.25">
      <c r="A6315" t="str">
        <f>"372103410622"</f>
        <v>372103410622</v>
      </c>
      <c r="B6315" t="s">
        <v>8718</v>
      </c>
      <c r="C6315" t="s">
        <v>7</v>
      </c>
      <c r="D6315" t="s">
        <v>14</v>
      </c>
      <c r="E6315" t="s">
        <v>8586</v>
      </c>
    </row>
    <row r="6316" spans="1:6" x14ac:dyDescent="0.25">
      <c r="A6316" t="str">
        <f>"372601586266"</f>
        <v>372601586266</v>
      </c>
      <c r="B6316" t="s">
        <v>8719</v>
      </c>
      <c r="C6316" t="s">
        <v>7</v>
      </c>
      <c r="D6316" t="s">
        <v>14</v>
      </c>
      <c r="E6316" t="s">
        <v>8586</v>
      </c>
    </row>
    <row r="6317" spans="1:6" x14ac:dyDescent="0.25">
      <c r="A6317" t="str">
        <f>"372802015801"</f>
        <v>372802015801</v>
      </c>
      <c r="B6317" t="s">
        <v>8720</v>
      </c>
      <c r="C6317" t="s">
        <v>7</v>
      </c>
      <c r="D6317" t="s">
        <v>14</v>
      </c>
      <c r="E6317" t="s">
        <v>8586</v>
      </c>
    </row>
    <row r="6318" spans="1:6" x14ac:dyDescent="0.25">
      <c r="A6318" t="str">
        <f>"3730000104"</f>
        <v>3730000104</v>
      </c>
      <c r="B6318" t="s">
        <v>8721</v>
      </c>
      <c r="C6318" t="s">
        <v>7</v>
      </c>
      <c r="D6318" t="s">
        <v>33</v>
      </c>
      <c r="E6318" t="s">
        <v>8586</v>
      </c>
      <c r="F6318" t="s">
        <v>8722</v>
      </c>
    </row>
    <row r="6319" spans="1:6" x14ac:dyDescent="0.25">
      <c r="A6319" t="str">
        <f>"373100228568"</f>
        <v>373100228568</v>
      </c>
      <c r="B6319" t="s">
        <v>8723</v>
      </c>
      <c r="C6319" t="s">
        <v>7</v>
      </c>
      <c r="D6319" t="s">
        <v>12</v>
      </c>
      <c r="E6319" t="s">
        <v>8586</v>
      </c>
    </row>
    <row r="6320" spans="1:6" x14ac:dyDescent="0.25">
      <c r="A6320" t="str">
        <f>"370600278410"</f>
        <v>370600278410</v>
      </c>
      <c r="B6320" t="s">
        <v>8724</v>
      </c>
      <c r="C6320" t="s">
        <v>7</v>
      </c>
      <c r="D6320" t="s">
        <v>14</v>
      </c>
      <c r="E6320" t="s">
        <v>8586</v>
      </c>
    </row>
    <row r="6321" spans="1:6" x14ac:dyDescent="0.25">
      <c r="A6321" t="str">
        <f>"370649774810"</f>
        <v>370649774810</v>
      </c>
      <c r="B6321" t="s">
        <v>8725</v>
      </c>
      <c r="C6321" t="s">
        <v>7</v>
      </c>
      <c r="D6321" t="s">
        <v>14</v>
      </c>
      <c r="E6321" t="s">
        <v>8586</v>
      </c>
    </row>
    <row r="6322" spans="1:6" x14ac:dyDescent="0.25">
      <c r="A6322" t="str">
        <f>"3709003938"</f>
        <v>3709003938</v>
      </c>
      <c r="B6322" t="s">
        <v>8726</v>
      </c>
      <c r="C6322" t="s">
        <v>7</v>
      </c>
      <c r="D6322" t="s">
        <v>14</v>
      </c>
      <c r="E6322" t="s">
        <v>8586</v>
      </c>
      <c r="F6322" t="s">
        <v>8727</v>
      </c>
    </row>
    <row r="6323" spans="1:6" x14ac:dyDescent="0.25">
      <c r="A6323" t="str">
        <f>"370900467538"</f>
        <v>370900467538</v>
      </c>
      <c r="B6323" t="s">
        <v>8728</v>
      </c>
      <c r="C6323" t="s">
        <v>7</v>
      </c>
      <c r="D6323" t="s">
        <v>14</v>
      </c>
      <c r="E6323" t="s">
        <v>8586</v>
      </c>
    </row>
    <row r="6324" spans="1:6" x14ac:dyDescent="0.25">
      <c r="A6324" t="str">
        <f>"3711049560"</f>
        <v>3711049560</v>
      </c>
      <c r="B6324" t="s">
        <v>8729</v>
      </c>
      <c r="C6324" t="s">
        <v>7</v>
      </c>
      <c r="D6324" t="s">
        <v>14</v>
      </c>
      <c r="E6324" t="s">
        <v>8586</v>
      </c>
      <c r="F6324" t="s">
        <v>8730</v>
      </c>
    </row>
    <row r="6325" spans="1:6" x14ac:dyDescent="0.25">
      <c r="A6325" t="str">
        <f>"371500845709"</f>
        <v>371500845709</v>
      </c>
      <c r="B6325" t="s">
        <v>8731</v>
      </c>
      <c r="C6325" t="s">
        <v>7</v>
      </c>
      <c r="D6325" t="s">
        <v>14</v>
      </c>
      <c r="E6325" t="s">
        <v>8586</v>
      </c>
    </row>
    <row r="6326" spans="1:6" x14ac:dyDescent="0.25">
      <c r="A6326" t="str">
        <f>"372000785355"</f>
        <v>372000785355</v>
      </c>
      <c r="B6326" t="s">
        <v>8732</v>
      </c>
      <c r="C6326" t="s">
        <v>7</v>
      </c>
      <c r="D6326" t="s">
        <v>14</v>
      </c>
      <c r="E6326" t="s">
        <v>8586</v>
      </c>
    </row>
    <row r="6327" spans="1:6" x14ac:dyDescent="0.25">
      <c r="A6327" t="str">
        <f>"372100031513"</f>
        <v>372100031513</v>
      </c>
      <c r="B6327" t="s">
        <v>8733</v>
      </c>
      <c r="C6327" t="s">
        <v>7</v>
      </c>
      <c r="D6327" t="s">
        <v>14</v>
      </c>
      <c r="E6327" t="s">
        <v>8586</v>
      </c>
    </row>
    <row r="6328" spans="1:6" x14ac:dyDescent="0.25">
      <c r="A6328" t="str">
        <f>"372400807701"</f>
        <v>372400807701</v>
      </c>
      <c r="B6328" t="s">
        <v>8734</v>
      </c>
      <c r="C6328" t="s">
        <v>7</v>
      </c>
      <c r="D6328" t="s">
        <v>14</v>
      </c>
      <c r="E6328" t="s">
        <v>8586</v>
      </c>
    </row>
    <row r="6329" spans="1:6" x14ac:dyDescent="0.25">
      <c r="A6329" t="str">
        <f>"372502348398"</f>
        <v>372502348398</v>
      </c>
      <c r="B6329" t="s">
        <v>8735</v>
      </c>
      <c r="C6329" t="s">
        <v>7</v>
      </c>
      <c r="D6329" t="s">
        <v>12</v>
      </c>
      <c r="E6329" t="s">
        <v>8586</v>
      </c>
    </row>
    <row r="6330" spans="1:6" x14ac:dyDescent="0.25">
      <c r="A6330" t="str">
        <f>"372602017907"</f>
        <v>372602017907</v>
      </c>
      <c r="B6330" t="s">
        <v>8736</v>
      </c>
      <c r="C6330" t="s">
        <v>7</v>
      </c>
      <c r="D6330" t="s">
        <v>14</v>
      </c>
      <c r="E6330" t="s">
        <v>8586</v>
      </c>
    </row>
    <row r="6331" spans="1:6" x14ac:dyDescent="0.25">
      <c r="A6331" t="str">
        <f>"372800472721"</f>
        <v>372800472721</v>
      </c>
      <c r="B6331" t="s">
        <v>8737</v>
      </c>
      <c r="C6331" t="s">
        <v>7</v>
      </c>
      <c r="D6331" t="s">
        <v>12</v>
      </c>
      <c r="E6331" t="s">
        <v>8586</v>
      </c>
    </row>
    <row r="6332" spans="1:6" x14ac:dyDescent="0.25">
      <c r="A6332" t="str">
        <f>"372900141000"</f>
        <v>372900141000</v>
      </c>
      <c r="B6332" t="s">
        <v>8738</v>
      </c>
      <c r="C6332" t="s">
        <v>7</v>
      </c>
      <c r="D6332" t="s">
        <v>14</v>
      </c>
      <c r="E6332" t="s">
        <v>8586</v>
      </c>
    </row>
    <row r="6333" spans="1:6" x14ac:dyDescent="0.25">
      <c r="A6333" t="str">
        <f>"370403429010"</f>
        <v>370403429010</v>
      </c>
      <c r="B6333" t="s">
        <v>8739</v>
      </c>
      <c r="C6333" t="s">
        <v>7</v>
      </c>
      <c r="D6333" t="s">
        <v>14</v>
      </c>
      <c r="E6333" t="s">
        <v>8586</v>
      </c>
    </row>
    <row r="6334" spans="1:6" x14ac:dyDescent="0.25">
      <c r="A6334" t="str">
        <f>"370527964596"</f>
        <v>370527964596</v>
      </c>
      <c r="B6334" t="s">
        <v>8740</v>
      </c>
      <c r="C6334" t="s">
        <v>7</v>
      </c>
      <c r="D6334" t="s">
        <v>14</v>
      </c>
      <c r="E6334" t="s">
        <v>8586</v>
      </c>
    </row>
    <row r="6335" spans="1:6" x14ac:dyDescent="0.25">
      <c r="A6335" t="str">
        <f>"3706020156"</f>
        <v>3706020156</v>
      </c>
      <c r="B6335" t="s">
        <v>8741</v>
      </c>
      <c r="C6335" t="s">
        <v>7</v>
      </c>
      <c r="D6335" t="s">
        <v>12</v>
      </c>
      <c r="E6335" t="s">
        <v>8586</v>
      </c>
      <c r="F6335" t="s">
        <v>8742</v>
      </c>
    </row>
    <row r="6336" spans="1:6" x14ac:dyDescent="0.25">
      <c r="A6336" t="str">
        <f>"370602744560"</f>
        <v>370602744560</v>
      </c>
      <c r="B6336" t="s">
        <v>8743</v>
      </c>
      <c r="C6336" t="s">
        <v>7</v>
      </c>
      <c r="D6336" t="s">
        <v>14</v>
      </c>
      <c r="E6336" t="s">
        <v>8586</v>
      </c>
    </row>
    <row r="6337" spans="1:6" x14ac:dyDescent="0.25">
      <c r="A6337" t="str">
        <f>"370603230543"</f>
        <v>370603230543</v>
      </c>
      <c r="B6337" t="s">
        <v>8744</v>
      </c>
      <c r="C6337" t="s">
        <v>7</v>
      </c>
      <c r="D6337" t="s">
        <v>14</v>
      </c>
      <c r="E6337" t="s">
        <v>8586</v>
      </c>
    </row>
    <row r="6338" spans="1:6" x14ac:dyDescent="0.25">
      <c r="A6338" t="str">
        <f>"370605017267"</f>
        <v>370605017267</v>
      </c>
      <c r="B6338" t="s">
        <v>8745</v>
      </c>
      <c r="C6338" t="s">
        <v>7</v>
      </c>
      <c r="D6338" t="s">
        <v>14</v>
      </c>
      <c r="E6338" t="s">
        <v>8586</v>
      </c>
    </row>
    <row r="6339" spans="1:6" x14ac:dyDescent="0.25">
      <c r="A6339" t="str">
        <f>"370700620732"</f>
        <v>370700620732</v>
      </c>
      <c r="B6339" t="s">
        <v>8746</v>
      </c>
      <c r="C6339" t="s">
        <v>7</v>
      </c>
      <c r="D6339" t="s">
        <v>14</v>
      </c>
      <c r="E6339" t="s">
        <v>8586</v>
      </c>
    </row>
    <row r="6340" spans="1:6" x14ac:dyDescent="0.25">
      <c r="A6340" t="str">
        <f>"371100522118"</f>
        <v>371100522118</v>
      </c>
      <c r="B6340" t="s">
        <v>8747</v>
      </c>
      <c r="C6340" t="s">
        <v>7</v>
      </c>
      <c r="D6340" t="s">
        <v>14</v>
      </c>
      <c r="E6340" t="s">
        <v>8586</v>
      </c>
    </row>
    <row r="6341" spans="1:6" x14ac:dyDescent="0.25">
      <c r="A6341" t="str">
        <f>"371100774490"</f>
        <v>371100774490</v>
      </c>
      <c r="B6341" t="s">
        <v>8748</v>
      </c>
      <c r="C6341" t="s">
        <v>7</v>
      </c>
      <c r="D6341" t="s">
        <v>14</v>
      </c>
      <c r="E6341" t="s">
        <v>8586</v>
      </c>
    </row>
    <row r="6342" spans="1:6" x14ac:dyDescent="0.25">
      <c r="A6342" t="str">
        <f>"371300052029"</f>
        <v>371300052029</v>
      </c>
      <c r="B6342" t="s">
        <v>8749</v>
      </c>
      <c r="C6342" t="s">
        <v>7</v>
      </c>
      <c r="D6342" t="s">
        <v>12</v>
      </c>
      <c r="E6342" t="s">
        <v>8586</v>
      </c>
    </row>
    <row r="6343" spans="1:6" x14ac:dyDescent="0.25">
      <c r="A6343" t="str">
        <f>"3714084019"</f>
        <v>3714084019</v>
      </c>
      <c r="B6343" t="s">
        <v>8750</v>
      </c>
      <c r="C6343" t="s">
        <v>7</v>
      </c>
      <c r="D6343" t="s">
        <v>14</v>
      </c>
      <c r="E6343" t="s">
        <v>8586</v>
      </c>
      <c r="F6343" t="s">
        <v>8751</v>
      </c>
    </row>
    <row r="6344" spans="1:6" x14ac:dyDescent="0.25">
      <c r="A6344" t="str">
        <f>"371900001280"</f>
        <v>371900001280</v>
      </c>
      <c r="B6344" t="s">
        <v>8752</v>
      </c>
      <c r="C6344" t="s">
        <v>7</v>
      </c>
      <c r="D6344" t="s">
        <v>12</v>
      </c>
      <c r="E6344" t="s">
        <v>8586</v>
      </c>
    </row>
    <row r="6345" spans="1:6" x14ac:dyDescent="0.25">
      <c r="A6345" t="str">
        <f>"372102463621"</f>
        <v>372102463621</v>
      </c>
      <c r="B6345" t="s">
        <v>8753</v>
      </c>
      <c r="C6345" t="s">
        <v>7</v>
      </c>
      <c r="D6345" t="s">
        <v>14</v>
      </c>
      <c r="E6345" t="s">
        <v>8586</v>
      </c>
    </row>
    <row r="6346" spans="1:6" x14ac:dyDescent="0.25">
      <c r="A6346" t="str">
        <f>"3726004770"</f>
        <v>3726004770</v>
      </c>
      <c r="B6346" t="s">
        <v>8754</v>
      </c>
      <c r="C6346" t="s">
        <v>7</v>
      </c>
      <c r="D6346" t="s">
        <v>14</v>
      </c>
      <c r="E6346" t="s">
        <v>8586</v>
      </c>
      <c r="F6346" t="s">
        <v>8755</v>
      </c>
    </row>
    <row r="6347" spans="1:6" x14ac:dyDescent="0.25">
      <c r="A6347" t="str">
        <f>"372700056502"</f>
        <v>372700056502</v>
      </c>
      <c r="B6347" t="s">
        <v>8756</v>
      </c>
      <c r="C6347" t="s">
        <v>7</v>
      </c>
      <c r="D6347" t="s">
        <v>14</v>
      </c>
      <c r="E6347" t="s">
        <v>8586</v>
      </c>
    </row>
    <row r="6348" spans="1:6" x14ac:dyDescent="0.25">
      <c r="A6348" t="str">
        <f>"3729009737"</f>
        <v>3729009737</v>
      </c>
      <c r="B6348" t="s">
        <v>8757</v>
      </c>
      <c r="C6348" t="s">
        <v>7</v>
      </c>
      <c r="D6348" t="s">
        <v>14</v>
      </c>
      <c r="E6348" t="s">
        <v>8586</v>
      </c>
      <c r="F6348" t="s">
        <v>8758</v>
      </c>
    </row>
    <row r="6349" spans="1:6" x14ac:dyDescent="0.25">
      <c r="A6349" t="str">
        <f>"3729025136"</f>
        <v>3729025136</v>
      </c>
      <c r="B6349" t="s">
        <v>8759</v>
      </c>
      <c r="C6349" t="s">
        <v>7</v>
      </c>
      <c r="D6349" t="s">
        <v>12</v>
      </c>
      <c r="E6349" t="s">
        <v>8586</v>
      </c>
      <c r="F6349" t="s">
        <v>8760</v>
      </c>
    </row>
    <row r="6350" spans="1:6" x14ac:dyDescent="0.25">
      <c r="A6350" t="str">
        <f>"3730012043"</f>
        <v>3730012043</v>
      </c>
      <c r="B6350" t="s">
        <v>8761</v>
      </c>
      <c r="C6350" t="s">
        <v>7</v>
      </c>
      <c r="D6350" t="s">
        <v>33</v>
      </c>
      <c r="E6350" t="s">
        <v>8586</v>
      </c>
      <c r="F6350" t="s">
        <v>8762</v>
      </c>
    </row>
    <row r="6351" spans="1:6" x14ac:dyDescent="0.25">
      <c r="A6351" t="str">
        <f>"503115553106"</f>
        <v>503115553106</v>
      </c>
      <c r="B6351" t="s">
        <v>8763</v>
      </c>
      <c r="C6351" t="s">
        <v>7</v>
      </c>
      <c r="D6351" t="s">
        <v>12</v>
      </c>
      <c r="E6351" t="s">
        <v>8586</v>
      </c>
    </row>
    <row r="6352" spans="1:6" x14ac:dyDescent="0.25">
      <c r="A6352" t="str">
        <f>"370142729909"</f>
        <v>370142729909</v>
      </c>
      <c r="B6352" t="s">
        <v>8764</v>
      </c>
      <c r="C6352" t="s">
        <v>7</v>
      </c>
      <c r="D6352" t="s">
        <v>14</v>
      </c>
      <c r="E6352" t="s">
        <v>8586</v>
      </c>
    </row>
    <row r="6353" spans="1:6" x14ac:dyDescent="0.25">
      <c r="A6353" t="str">
        <f>"3702191792"</f>
        <v>3702191792</v>
      </c>
      <c r="B6353" t="s">
        <v>8765</v>
      </c>
      <c r="C6353" t="s">
        <v>7</v>
      </c>
      <c r="D6353" t="s">
        <v>33</v>
      </c>
      <c r="E6353" t="s">
        <v>8586</v>
      </c>
      <c r="F6353" t="s">
        <v>8766</v>
      </c>
    </row>
    <row r="6354" spans="1:6" x14ac:dyDescent="0.25">
      <c r="A6354" t="str">
        <f>"370258213920"</f>
        <v>370258213920</v>
      </c>
      <c r="B6354" t="s">
        <v>8767</v>
      </c>
      <c r="C6354" t="s">
        <v>7</v>
      </c>
      <c r="D6354" t="s">
        <v>12</v>
      </c>
      <c r="E6354" t="s">
        <v>8586</v>
      </c>
    </row>
    <row r="6355" spans="1:6" x14ac:dyDescent="0.25">
      <c r="A6355" t="str">
        <f>"370401032059"</f>
        <v>370401032059</v>
      </c>
      <c r="B6355" t="s">
        <v>8768</v>
      </c>
      <c r="C6355" t="s">
        <v>7</v>
      </c>
      <c r="D6355" t="s">
        <v>14</v>
      </c>
      <c r="E6355" t="s">
        <v>8586</v>
      </c>
    </row>
    <row r="6356" spans="1:6" x14ac:dyDescent="0.25">
      <c r="A6356" t="str">
        <f>"370600210605"</f>
        <v>370600210605</v>
      </c>
      <c r="B6356" t="s">
        <v>8769</v>
      </c>
      <c r="C6356" t="s">
        <v>7</v>
      </c>
      <c r="D6356" t="s">
        <v>14</v>
      </c>
      <c r="E6356" t="s">
        <v>8586</v>
      </c>
    </row>
    <row r="6357" spans="1:6" x14ac:dyDescent="0.25">
      <c r="A6357" t="str">
        <f>"371301225235"</f>
        <v>371301225235</v>
      </c>
      <c r="B6357" t="s">
        <v>8770</v>
      </c>
      <c r="C6357" t="s">
        <v>7</v>
      </c>
      <c r="D6357" t="s">
        <v>33</v>
      </c>
      <c r="E6357" t="s">
        <v>8586</v>
      </c>
    </row>
    <row r="6358" spans="1:6" x14ac:dyDescent="0.25">
      <c r="A6358" t="str">
        <f>"3718001743"</f>
        <v>3718001743</v>
      </c>
      <c r="B6358" t="s">
        <v>8771</v>
      </c>
      <c r="C6358" t="s">
        <v>7</v>
      </c>
      <c r="D6358" t="s">
        <v>14</v>
      </c>
      <c r="E6358" t="s">
        <v>8586</v>
      </c>
      <c r="F6358" t="s">
        <v>8772</v>
      </c>
    </row>
    <row r="6359" spans="1:6" x14ac:dyDescent="0.25">
      <c r="A6359" t="str">
        <f>"3731001968"</f>
        <v>3731001968</v>
      </c>
      <c r="B6359" t="s">
        <v>8773</v>
      </c>
      <c r="C6359" t="s">
        <v>7</v>
      </c>
      <c r="D6359" t="s">
        <v>98</v>
      </c>
      <c r="E6359" t="s">
        <v>8586</v>
      </c>
      <c r="F6359" t="s">
        <v>8774</v>
      </c>
    </row>
    <row r="6360" spans="1:6" x14ac:dyDescent="0.25">
      <c r="A6360" t="str">
        <f>"672205519031"</f>
        <v>672205519031</v>
      </c>
      <c r="B6360" t="s">
        <v>8775</v>
      </c>
      <c r="C6360" t="s">
        <v>7</v>
      </c>
      <c r="D6360" t="s">
        <v>12</v>
      </c>
      <c r="E6360" t="s">
        <v>8586</v>
      </c>
    </row>
    <row r="6361" spans="1:6" x14ac:dyDescent="0.25">
      <c r="A6361" t="str">
        <f>"246207213166"</f>
        <v>246207213166</v>
      </c>
      <c r="B6361" t="s">
        <v>8776</v>
      </c>
      <c r="C6361" t="s">
        <v>7</v>
      </c>
      <c r="D6361" t="s">
        <v>14</v>
      </c>
      <c r="E6361" t="s">
        <v>8777</v>
      </c>
    </row>
    <row r="6362" spans="1:6" x14ac:dyDescent="0.25">
      <c r="A6362" t="str">
        <f>"540234318912"</f>
        <v>540234318912</v>
      </c>
      <c r="B6362" t="s">
        <v>8778</v>
      </c>
      <c r="C6362" t="s">
        <v>7</v>
      </c>
      <c r="D6362" t="s">
        <v>14</v>
      </c>
      <c r="E6362" t="s">
        <v>8777</v>
      </c>
    </row>
    <row r="6363" spans="1:6" x14ac:dyDescent="0.25">
      <c r="A6363" t="str">
        <f>"3801044044"</f>
        <v>3801044044</v>
      </c>
      <c r="B6363" t="s">
        <v>8779</v>
      </c>
      <c r="C6363" t="s">
        <v>7</v>
      </c>
      <c r="D6363" t="s">
        <v>14</v>
      </c>
      <c r="E6363" t="s">
        <v>8777</v>
      </c>
      <c r="F6363" t="s">
        <v>8780</v>
      </c>
    </row>
    <row r="6364" spans="1:6" x14ac:dyDescent="0.25">
      <c r="A6364" t="str">
        <f>"3801072926"</f>
        <v>3801072926</v>
      </c>
      <c r="B6364" t="s">
        <v>8781</v>
      </c>
      <c r="C6364" t="s">
        <v>7</v>
      </c>
      <c r="D6364" t="s">
        <v>14</v>
      </c>
      <c r="E6364" t="s">
        <v>8777</v>
      </c>
      <c r="F6364" t="s">
        <v>8780</v>
      </c>
    </row>
    <row r="6365" spans="1:6" x14ac:dyDescent="0.25">
      <c r="A6365" t="str">
        <f>"3801082699"</f>
        <v>3801082699</v>
      </c>
      <c r="B6365" t="s">
        <v>8782</v>
      </c>
      <c r="C6365" t="s">
        <v>7</v>
      </c>
      <c r="D6365" t="s">
        <v>33</v>
      </c>
      <c r="E6365" t="s">
        <v>8777</v>
      </c>
      <c r="F6365" t="s">
        <v>8783</v>
      </c>
    </row>
    <row r="6366" spans="1:6" x14ac:dyDescent="0.25">
      <c r="A6366" t="str">
        <f>"380119408420"</f>
        <v>380119408420</v>
      </c>
      <c r="B6366" t="s">
        <v>8784</v>
      </c>
      <c r="C6366" t="s">
        <v>7</v>
      </c>
      <c r="D6366" t="s">
        <v>14</v>
      </c>
      <c r="E6366" t="s">
        <v>8777</v>
      </c>
    </row>
    <row r="6367" spans="1:6" x14ac:dyDescent="0.25">
      <c r="A6367" t="str">
        <f>"3804048079"</f>
        <v>3804048079</v>
      </c>
      <c r="B6367" t="s">
        <v>7930</v>
      </c>
      <c r="C6367" t="s">
        <v>7</v>
      </c>
      <c r="D6367" t="s">
        <v>12</v>
      </c>
      <c r="E6367" t="s">
        <v>8777</v>
      </c>
      <c r="F6367" t="s">
        <v>8785</v>
      </c>
    </row>
    <row r="6368" spans="1:6" x14ac:dyDescent="0.25">
      <c r="A6368" t="str">
        <f>"3804048640"</f>
        <v>3804048640</v>
      </c>
      <c r="B6368" t="s">
        <v>8786</v>
      </c>
      <c r="C6368" t="s">
        <v>7</v>
      </c>
      <c r="D6368" t="s">
        <v>12</v>
      </c>
      <c r="E6368" t="s">
        <v>8777</v>
      </c>
      <c r="F6368" t="s">
        <v>8787</v>
      </c>
    </row>
    <row r="6369" spans="1:6" x14ac:dyDescent="0.25">
      <c r="A6369" t="str">
        <f>"380407314730"</f>
        <v>380407314730</v>
      </c>
      <c r="B6369" t="s">
        <v>8788</v>
      </c>
      <c r="C6369" t="s">
        <v>7</v>
      </c>
      <c r="D6369" t="s">
        <v>14</v>
      </c>
      <c r="E6369" t="s">
        <v>8777</v>
      </c>
    </row>
    <row r="6370" spans="1:6" x14ac:dyDescent="0.25">
      <c r="A6370" t="str">
        <f>"3804114638"</f>
        <v>3804114638</v>
      </c>
      <c r="B6370" t="s">
        <v>8789</v>
      </c>
      <c r="C6370" t="s">
        <v>7</v>
      </c>
      <c r="D6370" t="s">
        <v>12</v>
      </c>
      <c r="E6370" t="s">
        <v>8777</v>
      </c>
      <c r="F6370" t="s">
        <v>8790</v>
      </c>
    </row>
    <row r="6371" spans="1:6" x14ac:dyDescent="0.25">
      <c r="A6371" t="str">
        <f>"3804116226"</f>
        <v>3804116226</v>
      </c>
      <c r="B6371" t="s">
        <v>8791</v>
      </c>
      <c r="C6371" t="s">
        <v>7</v>
      </c>
      <c r="D6371" t="s">
        <v>12</v>
      </c>
      <c r="E6371" t="s">
        <v>8777</v>
      </c>
      <c r="F6371" t="s">
        <v>8792</v>
      </c>
    </row>
    <row r="6372" spans="1:6" x14ac:dyDescent="0.25">
      <c r="A6372" t="str">
        <f>"380413954255"</f>
        <v>380413954255</v>
      </c>
      <c r="B6372" t="s">
        <v>8793</v>
      </c>
      <c r="C6372" t="s">
        <v>7</v>
      </c>
      <c r="D6372" t="s">
        <v>14</v>
      </c>
      <c r="E6372" t="s">
        <v>8777</v>
      </c>
    </row>
    <row r="6373" spans="1:6" x14ac:dyDescent="0.25">
      <c r="A6373" t="str">
        <f>"380500202607"</f>
        <v>380500202607</v>
      </c>
      <c r="B6373" t="s">
        <v>8794</v>
      </c>
      <c r="C6373" t="s">
        <v>7</v>
      </c>
      <c r="D6373" t="s">
        <v>14</v>
      </c>
      <c r="E6373" t="s">
        <v>8777</v>
      </c>
    </row>
    <row r="6374" spans="1:6" x14ac:dyDescent="0.25">
      <c r="A6374" t="str">
        <f>"3805110467"</f>
        <v>3805110467</v>
      </c>
      <c r="B6374" t="s">
        <v>8795</v>
      </c>
      <c r="C6374" t="s">
        <v>7</v>
      </c>
      <c r="D6374" t="s">
        <v>14</v>
      </c>
      <c r="E6374" t="s">
        <v>8777</v>
      </c>
      <c r="F6374" t="s">
        <v>8796</v>
      </c>
    </row>
    <row r="6375" spans="1:6" x14ac:dyDescent="0.25">
      <c r="A6375" t="str">
        <f>"3805711725"</f>
        <v>3805711725</v>
      </c>
      <c r="B6375" t="s">
        <v>8797</v>
      </c>
      <c r="C6375" t="s">
        <v>7</v>
      </c>
      <c r="D6375" t="s">
        <v>12</v>
      </c>
      <c r="E6375" t="s">
        <v>8777</v>
      </c>
      <c r="F6375" t="s">
        <v>8798</v>
      </c>
    </row>
    <row r="6376" spans="1:6" x14ac:dyDescent="0.25">
      <c r="A6376" t="str">
        <f>"380601848789"</f>
        <v>380601848789</v>
      </c>
      <c r="B6376" t="s">
        <v>8799</v>
      </c>
      <c r="C6376" t="s">
        <v>7</v>
      </c>
      <c r="D6376" t="s">
        <v>14</v>
      </c>
      <c r="E6376" t="s">
        <v>8777</v>
      </c>
    </row>
    <row r="6377" spans="1:6" x14ac:dyDescent="0.25">
      <c r="A6377" t="str">
        <f>"380604291263"</f>
        <v>380604291263</v>
      </c>
      <c r="B6377" t="s">
        <v>8800</v>
      </c>
      <c r="C6377" t="s">
        <v>7</v>
      </c>
      <c r="D6377" t="s">
        <v>14</v>
      </c>
      <c r="E6377" t="s">
        <v>8777</v>
      </c>
    </row>
    <row r="6378" spans="1:6" x14ac:dyDescent="0.25">
      <c r="A6378" t="str">
        <f>"380806456084"</f>
        <v>380806456084</v>
      </c>
      <c r="B6378" t="s">
        <v>8801</v>
      </c>
      <c r="C6378" t="s">
        <v>7</v>
      </c>
      <c r="D6378" t="s">
        <v>14</v>
      </c>
      <c r="E6378" t="s">
        <v>8777</v>
      </c>
    </row>
    <row r="6379" spans="1:6" x14ac:dyDescent="0.25">
      <c r="A6379" t="str">
        <f>"3808091734"</f>
        <v>3808091734</v>
      </c>
      <c r="B6379" t="s">
        <v>8802</v>
      </c>
      <c r="C6379" t="s">
        <v>7</v>
      </c>
      <c r="D6379" t="s">
        <v>14</v>
      </c>
      <c r="E6379" t="s">
        <v>8777</v>
      </c>
      <c r="F6379" t="s">
        <v>8803</v>
      </c>
    </row>
    <row r="6380" spans="1:6" x14ac:dyDescent="0.25">
      <c r="A6380" t="str">
        <f>"3808096852"</f>
        <v>3808096852</v>
      </c>
      <c r="B6380" t="s">
        <v>8804</v>
      </c>
      <c r="C6380" t="s">
        <v>7</v>
      </c>
      <c r="D6380" t="s">
        <v>14</v>
      </c>
      <c r="E6380" t="s">
        <v>8777</v>
      </c>
      <c r="F6380" t="s">
        <v>8805</v>
      </c>
    </row>
    <row r="6381" spans="1:6" x14ac:dyDescent="0.25">
      <c r="A6381" t="str">
        <f>"380900050042"</f>
        <v>380900050042</v>
      </c>
      <c r="B6381" t="s">
        <v>8806</v>
      </c>
      <c r="C6381" t="s">
        <v>7</v>
      </c>
      <c r="D6381" t="s">
        <v>14</v>
      </c>
      <c r="E6381" t="s">
        <v>8777</v>
      </c>
    </row>
    <row r="6382" spans="1:6" x14ac:dyDescent="0.25">
      <c r="A6382" t="str">
        <f>"380900093906"</f>
        <v>380900093906</v>
      </c>
      <c r="B6382" t="s">
        <v>8807</v>
      </c>
      <c r="C6382" t="s">
        <v>7</v>
      </c>
      <c r="D6382" t="s">
        <v>12</v>
      </c>
      <c r="E6382" t="s">
        <v>8777</v>
      </c>
    </row>
    <row r="6383" spans="1:6" x14ac:dyDescent="0.25">
      <c r="A6383" t="str">
        <f>"381002306500"</f>
        <v>381002306500</v>
      </c>
      <c r="B6383" t="s">
        <v>8808</v>
      </c>
      <c r="C6383" t="s">
        <v>7</v>
      </c>
      <c r="D6383" t="s">
        <v>14</v>
      </c>
      <c r="E6383" t="s">
        <v>8777</v>
      </c>
    </row>
    <row r="6384" spans="1:6" x14ac:dyDescent="0.25">
      <c r="A6384" t="str">
        <f>"3810063438"</f>
        <v>3810063438</v>
      </c>
      <c r="B6384" t="s">
        <v>8809</v>
      </c>
      <c r="C6384" t="s">
        <v>7</v>
      </c>
      <c r="D6384" t="s">
        <v>14</v>
      </c>
      <c r="E6384" t="s">
        <v>8777</v>
      </c>
      <c r="F6384" t="s">
        <v>8810</v>
      </c>
    </row>
    <row r="6385" spans="1:6" x14ac:dyDescent="0.25">
      <c r="A6385" t="str">
        <f>"3810084357"</f>
        <v>3810084357</v>
      </c>
      <c r="B6385" t="s">
        <v>8811</v>
      </c>
      <c r="C6385" t="s">
        <v>7</v>
      </c>
      <c r="D6385" t="s">
        <v>14</v>
      </c>
      <c r="E6385" t="s">
        <v>8777</v>
      </c>
      <c r="F6385" t="s">
        <v>8812</v>
      </c>
    </row>
    <row r="6386" spans="1:6" x14ac:dyDescent="0.25">
      <c r="A6386" t="str">
        <f>"3800000742"</f>
        <v>3800000742</v>
      </c>
      <c r="B6386" t="s">
        <v>8813</v>
      </c>
      <c r="C6386" t="s">
        <v>7</v>
      </c>
      <c r="D6386" t="s">
        <v>14</v>
      </c>
      <c r="E6386" t="s">
        <v>8777</v>
      </c>
      <c r="F6386" t="s">
        <v>8814</v>
      </c>
    </row>
    <row r="6387" spans="1:6" x14ac:dyDescent="0.25">
      <c r="A6387" t="str">
        <f>"380100348200"</f>
        <v>380100348200</v>
      </c>
      <c r="B6387" t="s">
        <v>8815</v>
      </c>
      <c r="C6387" t="s">
        <v>7</v>
      </c>
      <c r="D6387" t="s">
        <v>14</v>
      </c>
      <c r="E6387" t="s">
        <v>8777</v>
      </c>
    </row>
    <row r="6388" spans="1:6" x14ac:dyDescent="0.25">
      <c r="A6388" t="str">
        <f>"3801062068"</f>
        <v>3801062068</v>
      </c>
      <c r="B6388" t="s">
        <v>8816</v>
      </c>
      <c r="C6388" t="s">
        <v>7</v>
      </c>
      <c r="D6388" t="s">
        <v>12</v>
      </c>
      <c r="E6388" t="s">
        <v>8777</v>
      </c>
      <c r="F6388" t="s">
        <v>8817</v>
      </c>
    </row>
    <row r="6389" spans="1:6" x14ac:dyDescent="0.25">
      <c r="A6389" t="str">
        <f>"3801065541"</f>
        <v>3801065541</v>
      </c>
      <c r="B6389" t="s">
        <v>8818</v>
      </c>
      <c r="C6389" t="s">
        <v>7</v>
      </c>
      <c r="D6389" t="s">
        <v>14</v>
      </c>
      <c r="E6389" t="s">
        <v>8777</v>
      </c>
      <c r="F6389" t="s">
        <v>8819</v>
      </c>
    </row>
    <row r="6390" spans="1:6" x14ac:dyDescent="0.25">
      <c r="A6390" t="str">
        <f>"3801084537"</f>
        <v>3801084537</v>
      </c>
      <c r="B6390" t="s">
        <v>8820</v>
      </c>
      <c r="C6390" t="s">
        <v>7</v>
      </c>
      <c r="D6390" t="s">
        <v>12</v>
      </c>
      <c r="E6390" t="s">
        <v>8777</v>
      </c>
      <c r="F6390" t="s">
        <v>8821</v>
      </c>
    </row>
    <row r="6391" spans="1:6" x14ac:dyDescent="0.25">
      <c r="A6391" t="str">
        <f>"3801085210"</f>
        <v>3801085210</v>
      </c>
      <c r="B6391" t="s">
        <v>8449</v>
      </c>
      <c r="C6391" t="s">
        <v>7</v>
      </c>
      <c r="D6391" t="s">
        <v>12</v>
      </c>
      <c r="E6391" t="s">
        <v>8777</v>
      </c>
      <c r="F6391" t="s">
        <v>8780</v>
      </c>
    </row>
    <row r="6392" spans="1:6" x14ac:dyDescent="0.25">
      <c r="A6392" t="str">
        <f>"3801121323"</f>
        <v>3801121323</v>
      </c>
      <c r="B6392" t="s">
        <v>8822</v>
      </c>
      <c r="C6392" t="s">
        <v>7</v>
      </c>
      <c r="D6392" t="s">
        <v>146</v>
      </c>
      <c r="E6392" t="s">
        <v>8777</v>
      </c>
      <c r="F6392" t="s">
        <v>8823</v>
      </c>
    </row>
    <row r="6393" spans="1:6" x14ac:dyDescent="0.25">
      <c r="A6393" t="str">
        <f>"3801156301"</f>
        <v>3801156301</v>
      </c>
      <c r="B6393" t="s">
        <v>8824</v>
      </c>
      <c r="C6393" t="s">
        <v>7</v>
      </c>
      <c r="D6393" t="s">
        <v>14</v>
      </c>
      <c r="E6393" t="s">
        <v>8777</v>
      </c>
      <c r="F6393" t="s">
        <v>8825</v>
      </c>
    </row>
    <row r="6394" spans="1:6" x14ac:dyDescent="0.25">
      <c r="A6394" t="str">
        <f>"3801158002"</f>
        <v>3801158002</v>
      </c>
      <c r="B6394" t="s">
        <v>8826</v>
      </c>
      <c r="C6394" t="s">
        <v>7</v>
      </c>
      <c r="D6394" t="s">
        <v>12</v>
      </c>
      <c r="E6394" t="s">
        <v>8777</v>
      </c>
      <c r="F6394" t="s">
        <v>8827</v>
      </c>
    </row>
    <row r="6395" spans="1:6" x14ac:dyDescent="0.25">
      <c r="A6395" t="str">
        <f>"380119683265"</f>
        <v>380119683265</v>
      </c>
      <c r="B6395" t="s">
        <v>8828</v>
      </c>
      <c r="C6395" t="s">
        <v>7</v>
      </c>
      <c r="D6395" t="s">
        <v>14</v>
      </c>
      <c r="E6395" t="s">
        <v>8777</v>
      </c>
    </row>
    <row r="6396" spans="1:6" x14ac:dyDescent="0.25">
      <c r="A6396" t="str">
        <f>"3801993349"</f>
        <v>3801993349</v>
      </c>
      <c r="B6396" t="s">
        <v>8829</v>
      </c>
      <c r="C6396" t="s">
        <v>7</v>
      </c>
      <c r="D6396" t="s">
        <v>33</v>
      </c>
      <c r="E6396" t="s">
        <v>8777</v>
      </c>
      <c r="F6396" t="s">
        <v>8830</v>
      </c>
    </row>
    <row r="6397" spans="1:6" x14ac:dyDescent="0.25">
      <c r="A6397" t="str">
        <f>"3802012408"</f>
        <v>3802012408</v>
      </c>
      <c r="B6397" t="s">
        <v>8831</v>
      </c>
      <c r="C6397" t="s">
        <v>7</v>
      </c>
      <c r="D6397" t="s">
        <v>33</v>
      </c>
      <c r="E6397" t="s">
        <v>8777</v>
      </c>
      <c r="F6397" t="s">
        <v>8832</v>
      </c>
    </row>
    <row r="6398" spans="1:6" x14ac:dyDescent="0.25">
      <c r="A6398" t="str">
        <f>"3802012990"</f>
        <v>3802012990</v>
      </c>
      <c r="B6398" t="s">
        <v>8833</v>
      </c>
      <c r="C6398" t="s">
        <v>7</v>
      </c>
      <c r="D6398" t="s">
        <v>12</v>
      </c>
      <c r="E6398" t="s">
        <v>8777</v>
      </c>
      <c r="F6398" t="s">
        <v>8834</v>
      </c>
    </row>
    <row r="6399" spans="1:6" x14ac:dyDescent="0.25">
      <c r="A6399" t="str">
        <f>"380203413556"</f>
        <v>380203413556</v>
      </c>
      <c r="B6399" t="s">
        <v>8835</v>
      </c>
      <c r="C6399" t="s">
        <v>7</v>
      </c>
      <c r="D6399" t="s">
        <v>14</v>
      </c>
      <c r="E6399" t="s">
        <v>8777</v>
      </c>
    </row>
    <row r="6400" spans="1:6" x14ac:dyDescent="0.25">
      <c r="A6400" t="str">
        <f>"3804008460"</f>
        <v>3804008460</v>
      </c>
      <c r="B6400" t="s">
        <v>8836</v>
      </c>
      <c r="C6400" t="s">
        <v>7</v>
      </c>
      <c r="D6400" t="s">
        <v>12</v>
      </c>
      <c r="E6400" t="s">
        <v>8777</v>
      </c>
      <c r="F6400" t="s">
        <v>8837</v>
      </c>
    </row>
    <row r="6401" spans="1:6" x14ac:dyDescent="0.25">
      <c r="A6401" t="str">
        <f>"3804047371"</f>
        <v>3804047371</v>
      </c>
      <c r="B6401" t="s">
        <v>8838</v>
      </c>
      <c r="C6401" t="s">
        <v>7</v>
      </c>
      <c r="D6401" t="s">
        <v>8</v>
      </c>
      <c r="E6401" t="s">
        <v>8777</v>
      </c>
      <c r="F6401" t="s">
        <v>8839</v>
      </c>
    </row>
    <row r="6402" spans="1:6" x14ac:dyDescent="0.25">
      <c r="A6402" t="str">
        <f>"380414135548"</f>
        <v>380414135548</v>
      </c>
      <c r="B6402" t="s">
        <v>8840</v>
      </c>
      <c r="C6402" t="s">
        <v>7</v>
      </c>
      <c r="D6402" t="s">
        <v>14</v>
      </c>
      <c r="E6402" t="s">
        <v>8777</v>
      </c>
    </row>
    <row r="6403" spans="1:6" x14ac:dyDescent="0.25">
      <c r="A6403" t="str">
        <f>"380500021738"</f>
        <v>380500021738</v>
      </c>
      <c r="B6403" t="s">
        <v>8841</v>
      </c>
      <c r="C6403" t="s">
        <v>7</v>
      </c>
      <c r="D6403" t="s">
        <v>14</v>
      </c>
      <c r="E6403" t="s">
        <v>8777</v>
      </c>
    </row>
    <row r="6404" spans="1:6" x14ac:dyDescent="0.25">
      <c r="A6404" t="str">
        <f>"380502098052"</f>
        <v>380502098052</v>
      </c>
      <c r="B6404" t="s">
        <v>8842</v>
      </c>
      <c r="C6404" t="s">
        <v>7</v>
      </c>
      <c r="D6404" t="s">
        <v>14</v>
      </c>
      <c r="E6404" t="s">
        <v>8777</v>
      </c>
    </row>
    <row r="6405" spans="1:6" x14ac:dyDescent="0.25">
      <c r="A6405" t="str">
        <f>"380502549509"</f>
        <v>380502549509</v>
      </c>
      <c r="B6405" t="s">
        <v>8843</v>
      </c>
      <c r="C6405" t="s">
        <v>7</v>
      </c>
      <c r="D6405" t="s">
        <v>14</v>
      </c>
      <c r="E6405" t="s">
        <v>8777</v>
      </c>
    </row>
    <row r="6406" spans="1:6" x14ac:dyDescent="0.25">
      <c r="A6406" t="str">
        <f>"3805702914"</f>
        <v>3805702914</v>
      </c>
      <c r="B6406" t="s">
        <v>4863</v>
      </c>
      <c r="C6406" t="s">
        <v>7</v>
      </c>
      <c r="D6406" t="s">
        <v>463</v>
      </c>
      <c r="E6406" t="s">
        <v>8777</v>
      </c>
      <c r="F6406" t="s">
        <v>8844</v>
      </c>
    </row>
    <row r="6407" spans="1:6" x14ac:dyDescent="0.25">
      <c r="A6407" t="str">
        <f>"3805731087"</f>
        <v>3805731087</v>
      </c>
      <c r="B6407" t="s">
        <v>5864</v>
      </c>
      <c r="C6407" t="s">
        <v>7</v>
      </c>
      <c r="D6407" t="s">
        <v>12</v>
      </c>
      <c r="E6407" t="s">
        <v>8777</v>
      </c>
      <c r="F6407" t="s">
        <v>8845</v>
      </c>
    </row>
    <row r="6408" spans="1:6" x14ac:dyDescent="0.25">
      <c r="A6408" t="str">
        <f>"380602307006"</f>
        <v>380602307006</v>
      </c>
      <c r="B6408" t="s">
        <v>8846</v>
      </c>
      <c r="C6408" t="s">
        <v>7</v>
      </c>
      <c r="D6408" t="s">
        <v>14</v>
      </c>
      <c r="E6408" t="s">
        <v>8777</v>
      </c>
    </row>
    <row r="6409" spans="1:6" x14ac:dyDescent="0.25">
      <c r="A6409" t="str">
        <f>"380806770928"</f>
        <v>380806770928</v>
      </c>
      <c r="B6409" t="s">
        <v>8847</v>
      </c>
      <c r="C6409" t="s">
        <v>7</v>
      </c>
      <c r="D6409" t="s">
        <v>14</v>
      </c>
      <c r="E6409" t="s">
        <v>8777</v>
      </c>
    </row>
    <row r="6410" spans="1:6" x14ac:dyDescent="0.25">
      <c r="A6410" t="str">
        <f>"3808118560"</f>
        <v>3808118560</v>
      </c>
      <c r="B6410" t="s">
        <v>8848</v>
      </c>
      <c r="C6410" t="s">
        <v>7</v>
      </c>
      <c r="D6410" t="s">
        <v>33</v>
      </c>
      <c r="E6410" t="s">
        <v>8777</v>
      </c>
      <c r="F6410" t="s">
        <v>8849</v>
      </c>
    </row>
    <row r="6411" spans="1:6" x14ac:dyDescent="0.25">
      <c r="A6411" t="str">
        <f>"3808180624"</f>
        <v>3808180624</v>
      </c>
      <c r="B6411" t="s">
        <v>8850</v>
      </c>
      <c r="C6411" t="s">
        <v>7</v>
      </c>
      <c r="D6411" t="s">
        <v>8</v>
      </c>
      <c r="E6411" t="s">
        <v>8777</v>
      </c>
      <c r="F6411" t="s">
        <v>8851</v>
      </c>
    </row>
    <row r="6412" spans="1:6" x14ac:dyDescent="0.25">
      <c r="A6412" t="str">
        <f>"3808185767"</f>
        <v>3808185767</v>
      </c>
      <c r="B6412" t="s">
        <v>8852</v>
      </c>
      <c r="C6412" t="s">
        <v>7</v>
      </c>
      <c r="D6412" t="s">
        <v>33</v>
      </c>
      <c r="E6412" t="s">
        <v>8777</v>
      </c>
      <c r="F6412" t="s">
        <v>8853</v>
      </c>
    </row>
    <row r="6413" spans="1:6" x14ac:dyDescent="0.25">
      <c r="A6413" t="str">
        <f>"3808233516"</f>
        <v>3808233516</v>
      </c>
      <c r="B6413" t="s">
        <v>8854</v>
      </c>
      <c r="C6413" t="s">
        <v>7</v>
      </c>
      <c r="D6413" t="s">
        <v>33</v>
      </c>
      <c r="E6413" t="s">
        <v>8777</v>
      </c>
      <c r="F6413" t="s">
        <v>8855</v>
      </c>
    </row>
    <row r="6414" spans="1:6" x14ac:dyDescent="0.25">
      <c r="A6414" t="str">
        <f>"3810000646"</f>
        <v>3810000646</v>
      </c>
      <c r="B6414" t="s">
        <v>8856</v>
      </c>
      <c r="C6414" t="s">
        <v>7</v>
      </c>
      <c r="D6414" t="s">
        <v>14</v>
      </c>
      <c r="E6414" t="s">
        <v>8777</v>
      </c>
      <c r="F6414" t="s">
        <v>8857</v>
      </c>
    </row>
    <row r="6415" spans="1:6" x14ac:dyDescent="0.25">
      <c r="A6415" t="str">
        <f>"381000322320"</f>
        <v>381000322320</v>
      </c>
      <c r="B6415" t="s">
        <v>8858</v>
      </c>
      <c r="C6415" t="s">
        <v>7</v>
      </c>
      <c r="D6415" t="s">
        <v>14</v>
      </c>
      <c r="E6415" t="s">
        <v>8777</v>
      </c>
    </row>
    <row r="6416" spans="1:6" x14ac:dyDescent="0.25">
      <c r="A6416" t="str">
        <f>"3810017128"</f>
        <v>3810017128</v>
      </c>
      <c r="B6416" t="s">
        <v>8859</v>
      </c>
      <c r="C6416" t="s">
        <v>7</v>
      </c>
      <c r="D6416" t="s">
        <v>14</v>
      </c>
      <c r="E6416" t="s">
        <v>8777</v>
      </c>
      <c r="F6416" t="s">
        <v>8860</v>
      </c>
    </row>
    <row r="6417" spans="1:6" x14ac:dyDescent="0.25">
      <c r="A6417" t="str">
        <f>"381002690551"</f>
        <v>381002690551</v>
      </c>
      <c r="B6417" t="s">
        <v>8861</v>
      </c>
      <c r="C6417" t="s">
        <v>7</v>
      </c>
      <c r="D6417" t="s">
        <v>14</v>
      </c>
      <c r="E6417" t="s">
        <v>8777</v>
      </c>
    </row>
    <row r="6418" spans="1:6" x14ac:dyDescent="0.25">
      <c r="A6418" t="str">
        <f>"3810045630"</f>
        <v>3810045630</v>
      </c>
      <c r="B6418" t="s">
        <v>8862</v>
      </c>
      <c r="C6418" t="s">
        <v>7</v>
      </c>
      <c r="D6418" t="s">
        <v>12</v>
      </c>
      <c r="E6418" t="s">
        <v>8777</v>
      </c>
      <c r="F6418" t="s">
        <v>8863</v>
      </c>
    </row>
    <row r="6419" spans="1:6" x14ac:dyDescent="0.25">
      <c r="A6419" t="str">
        <f>"3810049521"</f>
        <v>3810049521</v>
      </c>
      <c r="B6419" t="s">
        <v>8864</v>
      </c>
      <c r="C6419" t="s">
        <v>7</v>
      </c>
      <c r="D6419" t="s">
        <v>12</v>
      </c>
      <c r="E6419" t="s">
        <v>8777</v>
      </c>
      <c r="F6419" t="s">
        <v>8865</v>
      </c>
    </row>
    <row r="6420" spans="1:6" x14ac:dyDescent="0.25">
      <c r="A6420" t="str">
        <f>"3810071774"</f>
        <v>3810071774</v>
      </c>
      <c r="B6420" t="s">
        <v>4141</v>
      </c>
      <c r="C6420" t="s">
        <v>7</v>
      </c>
      <c r="D6420" t="s">
        <v>8</v>
      </c>
      <c r="E6420" t="s">
        <v>8777</v>
      </c>
      <c r="F6420" t="s">
        <v>8866</v>
      </c>
    </row>
    <row r="6421" spans="1:6" x14ac:dyDescent="0.25">
      <c r="A6421" t="str">
        <f>"3810076814"</f>
        <v>3810076814</v>
      </c>
      <c r="B6421" t="s">
        <v>8867</v>
      </c>
      <c r="C6421" t="s">
        <v>7</v>
      </c>
      <c r="D6421" t="s">
        <v>33</v>
      </c>
      <c r="E6421" t="s">
        <v>8777</v>
      </c>
      <c r="F6421" t="s">
        <v>8868</v>
      </c>
    </row>
    <row r="6422" spans="1:6" x14ac:dyDescent="0.25">
      <c r="A6422" t="str">
        <f>"381008111585"</f>
        <v>381008111585</v>
      </c>
      <c r="B6422" t="s">
        <v>8869</v>
      </c>
      <c r="C6422" t="s">
        <v>7</v>
      </c>
      <c r="D6422" t="s">
        <v>14</v>
      </c>
      <c r="E6422" t="s">
        <v>8777</v>
      </c>
    </row>
    <row r="6423" spans="1:6" x14ac:dyDescent="0.25">
      <c r="A6423" t="str">
        <f>"381009333647"</f>
        <v>381009333647</v>
      </c>
      <c r="B6423" t="s">
        <v>8870</v>
      </c>
      <c r="C6423" t="s">
        <v>7</v>
      </c>
      <c r="D6423" t="s">
        <v>12</v>
      </c>
      <c r="E6423" t="s">
        <v>8777</v>
      </c>
    </row>
    <row r="6424" spans="1:6" x14ac:dyDescent="0.25">
      <c r="A6424" t="str">
        <f>"381009818659"</f>
        <v>381009818659</v>
      </c>
      <c r="B6424" t="s">
        <v>8871</v>
      </c>
      <c r="C6424" t="s">
        <v>7</v>
      </c>
      <c r="D6424" t="s">
        <v>14</v>
      </c>
      <c r="E6424" t="s">
        <v>8777</v>
      </c>
    </row>
    <row r="6425" spans="1:6" x14ac:dyDescent="0.25">
      <c r="A6425" t="str">
        <f>"381016956804"</f>
        <v>381016956804</v>
      </c>
      <c r="B6425" t="s">
        <v>8872</v>
      </c>
      <c r="C6425" t="s">
        <v>7</v>
      </c>
      <c r="D6425" t="s">
        <v>14</v>
      </c>
      <c r="E6425" t="s">
        <v>8777</v>
      </c>
    </row>
    <row r="6426" spans="1:6" x14ac:dyDescent="0.25">
      <c r="A6426" t="str">
        <f>"381017733078"</f>
        <v>381017733078</v>
      </c>
      <c r="B6426" t="s">
        <v>8873</v>
      </c>
      <c r="C6426" t="s">
        <v>7</v>
      </c>
      <c r="D6426" t="s">
        <v>14</v>
      </c>
      <c r="E6426" t="s">
        <v>8777</v>
      </c>
    </row>
    <row r="6427" spans="1:6" x14ac:dyDescent="0.25">
      <c r="A6427" t="str">
        <f>"381017960546"</f>
        <v>381017960546</v>
      </c>
      <c r="B6427" t="s">
        <v>8874</v>
      </c>
      <c r="C6427" t="s">
        <v>7</v>
      </c>
      <c r="D6427" t="s">
        <v>14</v>
      </c>
      <c r="E6427" t="s">
        <v>8777</v>
      </c>
    </row>
    <row r="6428" spans="1:6" x14ac:dyDescent="0.25">
      <c r="A6428" t="str">
        <f>"3810313864"</f>
        <v>3810313864</v>
      </c>
      <c r="B6428" t="s">
        <v>8875</v>
      </c>
      <c r="C6428" t="s">
        <v>7</v>
      </c>
      <c r="D6428" t="s">
        <v>12</v>
      </c>
      <c r="E6428" t="s">
        <v>8777</v>
      </c>
      <c r="F6428" t="s">
        <v>8876</v>
      </c>
    </row>
    <row r="6429" spans="1:6" x14ac:dyDescent="0.25">
      <c r="A6429" t="str">
        <f>"3810315290"</f>
        <v>3810315290</v>
      </c>
      <c r="B6429" t="s">
        <v>8877</v>
      </c>
      <c r="C6429" t="s">
        <v>7</v>
      </c>
      <c r="D6429" t="s">
        <v>8</v>
      </c>
      <c r="E6429" t="s">
        <v>8777</v>
      </c>
      <c r="F6429" t="s">
        <v>8878</v>
      </c>
    </row>
    <row r="6430" spans="1:6" x14ac:dyDescent="0.25">
      <c r="A6430" t="str">
        <f>"3810323990"</f>
        <v>3810323990</v>
      </c>
      <c r="B6430" t="s">
        <v>8879</v>
      </c>
      <c r="C6430" t="s">
        <v>7</v>
      </c>
      <c r="D6430" t="s">
        <v>33</v>
      </c>
      <c r="E6430" t="s">
        <v>8777</v>
      </c>
      <c r="F6430" t="s">
        <v>8880</v>
      </c>
    </row>
    <row r="6431" spans="1:6" x14ac:dyDescent="0.25">
      <c r="A6431" t="str">
        <f>"380100112130"</f>
        <v>380100112130</v>
      </c>
      <c r="B6431" t="s">
        <v>8881</v>
      </c>
      <c r="C6431" t="s">
        <v>7</v>
      </c>
      <c r="D6431" t="s">
        <v>12</v>
      </c>
      <c r="E6431" t="s">
        <v>8777</v>
      </c>
    </row>
    <row r="6432" spans="1:6" x14ac:dyDescent="0.25">
      <c r="A6432" t="str">
        <f>"380101812865"</f>
        <v>380101812865</v>
      </c>
      <c r="B6432" t="s">
        <v>8882</v>
      </c>
      <c r="C6432" t="s">
        <v>7</v>
      </c>
      <c r="D6432" t="s">
        <v>14</v>
      </c>
      <c r="E6432" t="s">
        <v>8777</v>
      </c>
    </row>
    <row r="6433" spans="1:6" x14ac:dyDescent="0.25">
      <c r="A6433" t="str">
        <f>"3801057981"</f>
        <v>3801057981</v>
      </c>
      <c r="B6433" t="s">
        <v>8883</v>
      </c>
      <c r="C6433" t="s">
        <v>7</v>
      </c>
      <c r="D6433" t="s">
        <v>12</v>
      </c>
      <c r="E6433" t="s">
        <v>8777</v>
      </c>
      <c r="F6433" t="s">
        <v>8780</v>
      </c>
    </row>
    <row r="6434" spans="1:6" x14ac:dyDescent="0.25">
      <c r="A6434" t="str">
        <f>"380109559734"</f>
        <v>380109559734</v>
      </c>
      <c r="B6434" t="s">
        <v>8884</v>
      </c>
      <c r="C6434" t="s">
        <v>7</v>
      </c>
      <c r="D6434" t="s">
        <v>14</v>
      </c>
      <c r="E6434" t="s">
        <v>8777</v>
      </c>
    </row>
    <row r="6435" spans="1:6" x14ac:dyDescent="0.25">
      <c r="A6435" t="str">
        <f>"380111556730"</f>
        <v>380111556730</v>
      </c>
      <c r="B6435" t="s">
        <v>8885</v>
      </c>
      <c r="C6435" t="s">
        <v>7</v>
      </c>
      <c r="D6435" t="s">
        <v>14</v>
      </c>
      <c r="E6435" t="s">
        <v>8777</v>
      </c>
    </row>
    <row r="6436" spans="1:6" x14ac:dyDescent="0.25">
      <c r="A6436" t="str">
        <f>"380202216509"</f>
        <v>380202216509</v>
      </c>
      <c r="B6436" t="s">
        <v>8886</v>
      </c>
      <c r="C6436" t="s">
        <v>7</v>
      </c>
      <c r="D6436" t="s">
        <v>14</v>
      </c>
      <c r="E6436" t="s">
        <v>8777</v>
      </c>
    </row>
    <row r="6437" spans="1:6" x14ac:dyDescent="0.25">
      <c r="A6437" t="str">
        <f>"3804010935"</f>
        <v>3804010935</v>
      </c>
      <c r="B6437" t="s">
        <v>8887</v>
      </c>
      <c r="C6437" t="s">
        <v>7</v>
      </c>
      <c r="D6437" t="s">
        <v>14</v>
      </c>
      <c r="E6437" t="s">
        <v>8777</v>
      </c>
      <c r="F6437" t="s">
        <v>8888</v>
      </c>
    </row>
    <row r="6438" spans="1:6" x14ac:dyDescent="0.25">
      <c r="A6438" t="str">
        <f>"380405690129"</f>
        <v>380405690129</v>
      </c>
      <c r="B6438" t="s">
        <v>8889</v>
      </c>
      <c r="C6438" t="s">
        <v>7</v>
      </c>
      <c r="D6438" t="s">
        <v>12</v>
      </c>
      <c r="E6438" t="s">
        <v>8777</v>
      </c>
    </row>
    <row r="6439" spans="1:6" x14ac:dyDescent="0.25">
      <c r="A6439" t="str">
        <f>"380406638805"</f>
        <v>380406638805</v>
      </c>
      <c r="B6439" t="s">
        <v>8890</v>
      </c>
      <c r="C6439" t="s">
        <v>7</v>
      </c>
      <c r="D6439" t="s">
        <v>14</v>
      </c>
      <c r="E6439" t="s">
        <v>8777</v>
      </c>
    </row>
    <row r="6440" spans="1:6" x14ac:dyDescent="0.25">
      <c r="A6440" t="str">
        <f>"380408961610"</f>
        <v>380408961610</v>
      </c>
      <c r="B6440" t="s">
        <v>8891</v>
      </c>
      <c r="C6440" t="s">
        <v>7</v>
      </c>
      <c r="D6440" t="s">
        <v>14</v>
      </c>
      <c r="E6440" t="s">
        <v>8777</v>
      </c>
    </row>
    <row r="6441" spans="1:6" x14ac:dyDescent="0.25">
      <c r="A6441" t="str">
        <f>"3804118921"</f>
        <v>3804118921</v>
      </c>
      <c r="B6441" t="s">
        <v>8892</v>
      </c>
      <c r="C6441" t="s">
        <v>7</v>
      </c>
      <c r="D6441" t="s">
        <v>14</v>
      </c>
      <c r="E6441" t="s">
        <v>8777</v>
      </c>
      <c r="F6441" t="s">
        <v>8893</v>
      </c>
    </row>
    <row r="6442" spans="1:6" x14ac:dyDescent="0.25">
      <c r="A6442" t="str">
        <f>"380505544315"</f>
        <v>380505544315</v>
      </c>
      <c r="B6442" t="s">
        <v>8894</v>
      </c>
      <c r="C6442" t="s">
        <v>7</v>
      </c>
      <c r="D6442" t="s">
        <v>14</v>
      </c>
      <c r="E6442" t="s">
        <v>8777</v>
      </c>
    </row>
    <row r="6443" spans="1:6" x14ac:dyDescent="0.25">
      <c r="A6443" t="str">
        <f>"3808059716"</f>
        <v>3808059716</v>
      </c>
      <c r="B6443" t="s">
        <v>8895</v>
      </c>
      <c r="C6443" t="s">
        <v>7</v>
      </c>
      <c r="D6443" t="s">
        <v>12</v>
      </c>
      <c r="E6443" t="s">
        <v>8777</v>
      </c>
      <c r="F6443" t="s">
        <v>8896</v>
      </c>
    </row>
    <row r="6444" spans="1:6" x14ac:dyDescent="0.25">
      <c r="A6444" t="str">
        <f>"3808142594"</f>
        <v>3808142594</v>
      </c>
      <c r="B6444" t="s">
        <v>8897</v>
      </c>
      <c r="C6444" t="s">
        <v>7</v>
      </c>
      <c r="D6444" t="s">
        <v>14</v>
      </c>
      <c r="E6444" t="s">
        <v>8777</v>
      </c>
      <c r="F6444" t="s">
        <v>8898</v>
      </c>
    </row>
    <row r="6445" spans="1:6" x14ac:dyDescent="0.25">
      <c r="A6445" t="str">
        <f>"3808200493"</f>
        <v>3808200493</v>
      </c>
      <c r="B6445" t="s">
        <v>8899</v>
      </c>
      <c r="C6445" t="s">
        <v>7</v>
      </c>
      <c r="D6445" t="s">
        <v>14</v>
      </c>
      <c r="E6445" t="s">
        <v>8777</v>
      </c>
      <c r="F6445" t="s">
        <v>8900</v>
      </c>
    </row>
    <row r="6446" spans="1:6" x14ac:dyDescent="0.25">
      <c r="A6446" t="str">
        <f>"3808202525"</f>
        <v>3808202525</v>
      </c>
      <c r="B6446" t="s">
        <v>8901</v>
      </c>
      <c r="C6446" t="s">
        <v>7</v>
      </c>
      <c r="D6446" t="s">
        <v>33</v>
      </c>
      <c r="E6446" t="s">
        <v>8777</v>
      </c>
      <c r="F6446" t="s">
        <v>8902</v>
      </c>
    </row>
    <row r="6447" spans="1:6" x14ac:dyDescent="0.25">
      <c r="A6447" t="str">
        <f>"3808221207"</f>
        <v>3808221207</v>
      </c>
      <c r="B6447" t="s">
        <v>8903</v>
      </c>
      <c r="C6447" t="s">
        <v>7</v>
      </c>
      <c r="D6447" t="s">
        <v>33</v>
      </c>
      <c r="E6447" t="s">
        <v>8777</v>
      </c>
      <c r="F6447" t="s">
        <v>8904</v>
      </c>
    </row>
    <row r="6448" spans="1:6" x14ac:dyDescent="0.25">
      <c r="A6448" t="str">
        <f>"3808271624"</f>
        <v>3808271624</v>
      </c>
      <c r="B6448" t="s">
        <v>8905</v>
      </c>
      <c r="C6448" t="s">
        <v>7</v>
      </c>
      <c r="D6448" t="s">
        <v>14</v>
      </c>
      <c r="E6448" t="s">
        <v>8777</v>
      </c>
      <c r="F6448" t="s">
        <v>8906</v>
      </c>
    </row>
    <row r="6449" spans="1:6" x14ac:dyDescent="0.25">
      <c r="A6449" t="str">
        <f>"3808274008"</f>
        <v>3808274008</v>
      </c>
      <c r="B6449" t="s">
        <v>8907</v>
      </c>
      <c r="C6449" t="s">
        <v>7</v>
      </c>
      <c r="D6449" t="s">
        <v>14</v>
      </c>
      <c r="E6449" t="s">
        <v>8777</v>
      </c>
      <c r="F6449" t="s">
        <v>8908</v>
      </c>
    </row>
    <row r="6450" spans="1:6" x14ac:dyDescent="0.25">
      <c r="A6450" t="str">
        <f>"3808280481"</f>
        <v>3808280481</v>
      </c>
      <c r="B6450" t="s">
        <v>6213</v>
      </c>
      <c r="C6450" t="s">
        <v>7</v>
      </c>
      <c r="D6450" t="s">
        <v>12</v>
      </c>
      <c r="E6450" t="s">
        <v>8777</v>
      </c>
      <c r="F6450" t="s">
        <v>8909</v>
      </c>
    </row>
    <row r="6451" spans="1:6" x14ac:dyDescent="0.25">
      <c r="A6451" t="str">
        <f>"3808287582"</f>
        <v>3808287582</v>
      </c>
      <c r="B6451" t="s">
        <v>8910</v>
      </c>
      <c r="C6451" t="s">
        <v>7</v>
      </c>
      <c r="D6451" t="s">
        <v>14</v>
      </c>
      <c r="E6451" t="s">
        <v>8777</v>
      </c>
      <c r="F6451" t="s">
        <v>8911</v>
      </c>
    </row>
    <row r="6452" spans="1:6" x14ac:dyDescent="0.25">
      <c r="A6452" t="str">
        <f>"380896549742"</f>
        <v>380896549742</v>
      </c>
      <c r="B6452" t="s">
        <v>8912</v>
      </c>
      <c r="C6452" t="s">
        <v>7</v>
      </c>
      <c r="D6452" t="s">
        <v>14</v>
      </c>
      <c r="E6452" t="s">
        <v>8777</v>
      </c>
    </row>
    <row r="6453" spans="1:6" x14ac:dyDescent="0.25">
      <c r="A6453" t="str">
        <f>"380900174584"</f>
        <v>380900174584</v>
      </c>
      <c r="B6453" t="s">
        <v>8913</v>
      </c>
      <c r="C6453" t="s">
        <v>7</v>
      </c>
      <c r="D6453" t="s">
        <v>14</v>
      </c>
      <c r="E6453" t="s">
        <v>8777</v>
      </c>
    </row>
    <row r="6454" spans="1:6" x14ac:dyDescent="0.25">
      <c r="A6454" t="str">
        <f>"381000067863"</f>
        <v>381000067863</v>
      </c>
      <c r="B6454" t="s">
        <v>8914</v>
      </c>
      <c r="C6454" t="s">
        <v>7</v>
      </c>
      <c r="D6454" t="s">
        <v>14</v>
      </c>
      <c r="E6454" t="s">
        <v>8777</v>
      </c>
    </row>
    <row r="6455" spans="1:6" x14ac:dyDescent="0.25">
      <c r="A6455" t="str">
        <f>"381005853892"</f>
        <v>381005853892</v>
      </c>
      <c r="B6455" t="s">
        <v>8915</v>
      </c>
      <c r="C6455" t="s">
        <v>7</v>
      </c>
      <c r="D6455" t="s">
        <v>14</v>
      </c>
      <c r="E6455" t="s">
        <v>8777</v>
      </c>
    </row>
    <row r="6456" spans="1:6" x14ac:dyDescent="0.25">
      <c r="A6456" t="str">
        <f>"3810066510"</f>
        <v>3810066510</v>
      </c>
      <c r="B6456" t="s">
        <v>8916</v>
      </c>
      <c r="C6456" t="s">
        <v>7</v>
      </c>
      <c r="D6456" t="s">
        <v>8</v>
      </c>
      <c r="E6456" t="s">
        <v>8777</v>
      </c>
      <c r="F6456" t="s">
        <v>8917</v>
      </c>
    </row>
    <row r="6457" spans="1:6" x14ac:dyDescent="0.25">
      <c r="A6457" t="str">
        <f>"381015933360"</f>
        <v>381015933360</v>
      </c>
      <c r="B6457" t="s">
        <v>8918</v>
      </c>
      <c r="C6457" t="s">
        <v>7</v>
      </c>
      <c r="D6457" t="s">
        <v>14</v>
      </c>
      <c r="E6457" t="s">
        <v>8777</v>
      </c>
    </row>
    <row r="6458" spans="1:6" x14ac:dyDescent="0.25">
      <c r="A6458" t="str">
        <f>"381019500738"</f>
        <v>381019500738</v>
      </c>
      <c r="B6458" t="s">
        <v>8919</v>
      </c>
      <c r="C6458" t="s">
        <v>7</v>
      </c>
      <c r="D6458" t="s">
        <v>14</v>
      </c>
      <c r="E6458" t="s">
        <v>8777</v>
      </c>
    </row>
    <row r="6459" spans="1:6" x14ac:dyDescent="0.25">
      <c r="A6459" t="str">
        <f>"3810315205"</f>
        <v>3810315205</v>
      </c>
      <c r="B6459" t="s">
        <v>8920</v>
      </c>
      <c r="C6459" t="s">
        <v>7</v>
      </c>
      <c r="D6459" t="s">
        <v>12</v>
      </c>
      <c r="E6459" t="s">
        <v>8777</v>
      </c>
      <c r="F6459" t="s">
        <v>8876</v>
      </c>
    </row>
    <row r="6460" spans="1:6" x14ac:dyDescent="0.25">
      <c r="A6460" t="str">
        <f>"3810327345"</f>
        <v>3810327345</v>
      </c>
      <c r="B6460" t="s">
        <v>2784</v>
      </c>
      <c r="C6460" t="s">
        <v>7</v>
      </c>
      <c r="D6460" t="s">
        <v>12</v>
      </c>
      <c r="E6460" t="s">
        <v>8777</v>
      </c>
      <c r="F6460" t="s">
        <v>8921</v>
      </c>
    </row>
    <row r="6461" spans="1:6" x14ac:dyDescent="0.25">
      <c r="A6461" t="str">
        <f>"381100621161"</f>
        <v>381100621161</v>
      </c>
      <c r="B6461" t="s">
        <v>8922</v>
      </c>
      <c r="C6461" t="s">
        <v>7</v>
      </c>
      <c r="D6461" t="s">
        <v>14</v>
      </c>
      <c r="E6461" t="s">
        <v>8777</v>
      </c>
    </row>
    <row r="6462" spans="1:6" x14ac:dyDescent="0.25">
      <c r="A6462" t="str">
        <f>"381101787603"</f>
        <v>381101787603</v>
      </c>
      <c r="B6462" t="s">
        <v>8923</v>
      </c>
      <c r="C6462" t="s">
        <v>7</v>
      </c>
      <c r="D6462" t="s">
        <v>14</v>
      </c>
      <c r="E6462" t="s">
        <v>8777</v>
      </c>
    </row>
    <row r="6463" spans="1:6" x14ac:dyDescent="0.25">
      <c r="A6463" t="str">
        <f>"381105762310"</f>
        <v>381105762310</v>
      </c>
      <c r="B6463" t="s">
        <v>8924</v>
      </c>
      <c r="C6463" t="s">
        <v>7</v>
      </c>
      <c r="D6463" t="s">
        <v>14</v>
      </c>
      <c r="E6463" t="s">
        <v>8777</v>
      </c>
    </row>
    <row r="6464" spans="1:6" x14ac:dyDescent="0.25">
      <c r="A6464" t="str">
        <f>"3811076937"</f>
        <v>3811076937</v>
      </c>
      <c r="B6464" t="s">
        <v>533</v>
      </c>
      <c r="C6464" t="s">
        <v>7</v>
      </c>
      <c r="D6464" t="s">
        <v>14</v>
      </c>
      <c r="E6464" t="s">
        <v>8777</v>
      </c>
      <c r="F6464" t="s">
        <v>8925</v>
      </c>
    </row>
    <row r="6465" spans="1:6" x14ac:dyDescent="0.25">
      <c r="A6465" t="str">
        <f>"381112676775"</f>
        <v>381112676775</v>
      </c>
      <c r="B6465" t="s">
        <v>8926</v>
      </c>
      <c r="C6465" t="s">
        <v>7</v>
      </c>
      <c r="D6465" t="s">
        <v>14</v>
      </c>
      <c r="E6465" t="s">
        <v>8777</v>
      </c>
    </row>
    <row r="6466" spans="1:6" x14ac:dyDescent="0.25">
      <c r="A6466" t="str">
        <f>"381113809227"</f>
        <v>381113809227</v>
      </c>
      <c r="B6466" t="s">
        <v>8927</v>
      </c>
      <c r="C6466" t="s">
        <v>7</v>
      </c>
      <c r="D6466" t="s">
        <v>14</v>
      </c>
      <c r="E6466" t="s">
        <v>8777</v>
      </c>
    </row>
    <row r="6467" spans="1:6" x14ac:dyDescent="0.25">
      <c r="A6467" t="str">
        <f>"381116172803"</f>
        <v>381116172803</v>
      </c>
      <c r="B6467" t="s">
        <v>8928</v>
      </c>
      <c r="C6467" t="s">
        <v>7</v>
      </c>
      <c r="D6467" t="s">
        <v>14</v>
      </c>
      <c r="E6467" t="s">
        <v>8777</v>
      </c>
    </row>
    <row r="6468" spans="1:6" x14ac:dyDescent="0.25">
      <c r="A6468" t="str">
        <f>"3811433184"</f>
        <v>3811433184</v>
      </c>
      <c r="B6468" t="s">
        <v>8929</v>
      </c>
      <c r="C6468" t="s">
        <v>7</v>
      </c>
      <c r="D6468" t="s">
        <v>8</v>
      </c>
      <c r="E6468" t="s">
        <v>8777</v>
      </c>
      <c r="F6468" t="s">
        <v>8930</v>
      </c>
    </row>
    <row r="6469" spans="1:6" x14ac:dyDescent="0.25">
      <c r="A6469" t="str">
        <f>"3811434371"</f>
        <v>3811434371</v>
      </c>
      <c r="B6469" t="s">
        <v>268</v>
      </c>
      <c r="C6469" t="s">
        <v>7</v>
      </c>
      <c r="D6469" t="s">
        <v>12</v>
      </c>
      <c r="E6469" t="s">
        <v>8777</v>
      </c>
      <c r="F6469" t="s">
        <v>8931</v>
      </c>
    </row>
    <row r="6470" spans="1:6" x14ac:dyDescent="0.25">
      <c r="A6470" t="str">
        <f>"3811441548"</f>
        <v>3811441548</v>
      </c>
      <c r="B6470" t="s">
        <v>8932</v>
      </c>
      <c r="C6470" t="s">
        <v>7</v>
      </c>
      <c r="D6470" t="s">
        <v>14</v>
      </c>
      <c r="E6470" t="s">
        <v>8777</v>
      </c>
      <c r="F6470" t="s">
        <v>8933</v>
      </c>
    </row>
    <row r="6471" spans="1:6" x14ac:dyDescent="0.25">
      <c r="A6471" t="str">
        <f>"381200495873"</f>
        <v>381200495873</v>
      </c>
      <c r="B6471" t="s">
        <v>8934</v>
      </c>
      <c r="C6471" t="s">
        <v>7</v>
      </c>
      <c r="D6471" t="s">
        <v>14</v>
      </c>
      <c r="E6471" t="s">
        <v>8777</v>
      </c>
    </row>
    <row r="6472" spans="1:6" x14ac:dyDescent="0.25">
      <c r="A6472" t="str">
        <f>"381200846306"</f>
        <v>381200846306</v>
      </c>
      <c r="B6472" t="s">
        <v>8935</v>
      </c>
      <c r="C6472" t="s">
        <v>7</v>
      </c>
      <c r="D6472" t="s">
        <v>12</v>
      </c>
      <c r="E6472" t="s">
        <v>8777</v>
      </c>
    </row>
    <row r="6473" spans="1:6" x14ac:dyDescent="0.25">
      <c r="A6473" t="str">
        <f>"381200926008"</f>
        <v>381200926008</v>
      </c>
      <c r="B6473" t="s">
        <v>8936</v>
      </c>
      <c r="C6473" t="s">
        <v>7</v>
      </c>
      <c r="D6473" t="s">
        <v>14</v>
      </c>
      <c r="E6473" t="s">
        <v>8777</v>
      </c>
    </row>
    <row r="6474" spans="1:6" x14ac:dyDescent="0.25">
      <c r="A6474" t="str">
        <f>"3812059973"</f>
        <v>3812059973</v>
      </c>
      <c r="B6474" t="s">
        <v>8937</v>
      </c>
      <c r="C6474" t="s">
        <v>7</v>
      </c>
      <c r="D6474" t="s">
        <v>12</v>
      </c>
      <c r="E6474" t="s">
        <v>8777</v>
      </c>
      <c r="F6474" t="s">
        <v>8938</v>
      </c>
    </row>
    <row r="6475" spans="1:6" x14ac:dyDescent="0.25">
      <c r="A6475" t="str">
        <f>"381206547077"</f>
        <v>381206547077</v>
      </c>
      <c r="B6475" t="s">
        <v>8939</v>
      </c>
      <c r="C6475" t="s">
        <v>7</v>
      </c>
      <c r="D6475" t="s">
        <v>14</v>
      </c>
      <c r="E6475" t="s">
        <v>8777</v>
      </c>
    </row>
    <row r="6476" spans="1:6" x14ac:dyDescent="0.25">
      <c r="A6476" t="str">
        <f>"3812073921"</f>
        <v>3812073921</v>
      </c>
      <c r="B6476" t="s">
        <v>8940</v>
      </c>
      <c r="C6476" t="s">
        <v>7</v>
      </c>
      <c r="D6476" t="s">
        <v>8</v>
      </c>
      <c r="E6476" t="s">
        <v>8777</v>
      </c>
      <c r="F6476" t="s">
        <v>8941</v>
      </c>
    </row>
    <row r="6477" spans="1:6" x14ac:dyDescent="0.25">
      <c r="A6477" t="str">
        <f>"381210429615"</f>
        <v>381210429615</v>
      </c>
      <c r="B6477" t="s">
        <v>8942</v>
      </c>
      <c r="C6477" t="s">
        <v>7</v>
      </c>
      <c r="D6477" t="s">
        <v>14</v>
      </c>
      <c r="E6477" t="s">
        <v>8777</v>
      </c>
    </row>
    <row r="6478" spans="1:6" x14ac:dyDescent="0.25">
      <c r="A6478" t="str">
        <f>"3812129518"</f>
        <v>3812129518</v>
      </c>
      <c r="B6478" t="s">
        <v>8943</v>
      </c>
      <c r="C6478" t="s">
        <v>7</v>
      </c>
      <c r="D6478" t="s">
        <v>12</v>
      </c>
      <c r="E6478" t="s">
        <v>8777</v>
      </c>
      <c r="F6478" t="s">
        <v>8944</v>
      </c>
    </row>
    <row r="6479" spans="1:6" x14ac:dyDescent="0.25">
      <c r="A6479" t="str">
        <f>"381251081486"</f>
        <v>381251081486</v>
      </c>
      <c r="B6479" t="s">
        <v>8945</v>
      </c>
      <c r="C6479" t="s">
        <v>7</v>
      </c>
      <c r="D6479" t="s">
        <v>33</v>
      </c>
      <c r="E6479" t="s">
        <v>8777</v>
      </c>
    </row>
    <row r="6480" spans="1:6" x14ac:dyDescent="0.25">
      <c r="A6480" t="str">
        <f>"381251206745"</f>
        <v>381251206745</v>
      </c>
      <c r="B6480" t="s">
        <v>8946</v>
      </c>
      <c r="C6480" t="s">
        <v>7</v>
      </c>
      <c r="D6480" t="s">
        <v>14</v>
      </c>
      <c r="E6480" t="s">
        <v>8777</v>
      </c>
    </row>
    <row r="6481" spans="1:6" x14ac:dyDescent="0.25">
      <c r="A6481" t="str">
        <f>"3812536094"</f>
        <v>3812536094</v>
      </c>
      <c r="B6481" t="s">
        <v>8947</v>
      </c>
      <c r="C6481" t="s">
        <v>7</v>
      </c>
      <c r="D6481" t="s">
        <v>33</v>
      </c>
      <c r="E6481" t="s">
        <v>8777</v>
      </c>
      <c r="F6481" t="s">
        <v>8948</v>
      </c>
    </row>
    <row r="6482" spans="1:6" x14ac:dyDescent="0.25">
      <c r="A6482" t="str">
        <f>"381299328460"</f>
        <v>381299328460</v>
      </c>
      <c r="B6482" t="s">
        <v>8949</v>
      </c>
      <c r="C6482" t="s">
        <v>7</v>
      </c>
      <c r="D6482" t="s">
        <v>14</v>
      </c>
      <c r="E6482" t="s">
        <v>8777</v>
      </c>
    </row>
    <row r="6483" spans="1:6" x14ac:dyDescent="0.25">
      <c r="A6483" t="str">
        <f>"381301045334"</f>
        <v>381301045334</v>
      </c>
      <c r="B6483" t="s">
        <v>8950</v>
      </c>
      <c r="C6483" t="s">
        <v>7</v>
      </c>
      <c r="D6483" t="s">
        <v>12</v>
      </c>
      <c r="E6483" t="s">
        <v>8777</v>
      </c>
    </row>
    <row r="6484" spans="1:6" x14ac:dyDescent="0.25">
      <c r="A6484" t="str">
        <f>"381400306266"</f>
        <v>381400306266</v>
      </c>
      <c r="B6484" t="s">
        <v>8951</v>
      </c>
      <c r="C6484" t="s">
        <v>7</v>
      </c>
      <c r="D6484" t="s">
        <v>14</v>
      </c>
      <c r="E6484" t="s">
        <v>8777</v>
      </c>
    </row>
    <row r="6485" spans="1:6" x14ac:dyDescent="0.25">
      <c r="A6485" t="str">
        <f>"3814011952"</f>
        <v>3814011952</v>
      </c>
      <c r="B6485" t="s">
        <v>8952</v>
      </c>
      <c r="C6485" t="s">
        <v>7</v>
      </c>
      <c r="D6485" t="s">
        <v>14</v>
      </c>
      <c r="E6485" t="s">
        <v>8777</v>
      </c>
      <c r="F6485" t="s">
        <v>8953</v>
      </c>
    </row>
    <row r="6486" spans="1:6" x14ac:dyDescent="0.25">
      <c r="A6486" t="str">
        <f>"381403784454"</f>
        <v>381403784454</v>
      </c>
      <c r="B6486" t="s">
        <v>8954</v>
      </c>
      <c r="C6486" t="s">
        <v>7</v>
      </c>
      <c r="D6486" t="s">
        <v>14</v>
      </c>
      <c r="E6486" t="s">
        <v>8777</v>
      </c>
    </row>
    <row r="6487" spans="1:6" x14ac:dyDescent="0.25">
      <c r="A6487" t="str">
        <f>"381454614250"</f>
        <v>381454614250</v>
      </c>
      <c r="B6487" t="s">
        <v>8955</v>
      </c>
      <c r="C6487" t="s">
        <v>7</v>
      </c>
      <c r="D6487" t="s">
        <v>14</v>
      </c>
      <c r="E6487" t="s">
        <v>8777</v>
      </c>
    </row>
    <row r="6488" spans="1:6" x14ac:dyDescent="0.25">
      <c r="A6488" t="str">
        <f>"381500225758"</f>
        <v>381500225758</v>
      </c>
      <c r="B6488" t="s">
        <v>8956</v>
      </c>
      <c r="C6488" t="s">
        <v>7</v>
      </c>
      <c r="D6488" t="s">
        <v>14</v>
      </c>
      <c r="E6488" t="s">
        <v>8777</v>
      </c>
    </row>
    <row r="6489" spans="1:6" x14ac:dyDescent="0.25">
      <c r="A6489" t="str">
        <f>"381612641749"</f>
        <v>381612641749</v>
      </c>
      <c r="B6489" t="s">
        <v>8957</v>
      </c>
      <c r="C6489" t="s">
        <v>7</v>
      </c>
      <c r="D6489" t="s">
        <v>12</v>
      </c>
      <c r="E6489" t="s">
        <v>8777</v>
      </c>
    </row>
    <row r="6490" spans="1:6" x14ac:dyDescent="0.25">
      <c r="A6490" t="str">
        <f>"3817018258"</f>
        <v>3817018258</v>
      </c>
      <c r="B6490" t="s">
        <v>8958</v>
      </c>
      <c r="C6490" t="s">
        <v>7</v>
      </c>
      <c r="D6490" t="s">
        <v>12</v>
      </c>
      <c r="E6490" t="s">
        <v>8777</v>
      </c>
      <c r="F6490" t="s">
        <v>8959</v>
      </c>
    </row>
    <row r="6491" spans="1:6" x14ac:dyDescent="0.25">
      <c r="A6491" t="str">
        <f>"381711136401"</f>
        <v>381711136401</v>
      </c>
      <c r="B6491" t="s">
        <v>8960</v>
      </c>
      <c r="C6491" t="s">
        <v>7</v>
      </c>
      <c r="D6491" t="s">
        <v>14</v>
      </c>
      <c r="E6491" t="s">
        <v>8777</v>
      </c>
    </row>
    <row r="6492" spans="1:6" x14ac:dyDescent="0.25">
      <c r="A6492" t="str">
        <f>"381900528010"</f>
        <v>381900528010</v>
      </c>
      <c r="B6492" t="s">
        <v>8961</v>
      </c>
      <c r="C6492" t="s">
        <v>7</v>
      </c>
      <c r="D6492" t="s">
        <v>14</v>
      </c>
      <c r="E6492" t="s">
        <v>8777</v>
      </c>
    </row>
    <row r="6493" spans="1:6" x14ac:dyDescent="0.25">
      <c r="A6493" t="str">
        <f>"382003712922"</f>
        <v>382003712922</v>
      </c>
      <c r="B6493" t="s">
        <v>8962</v>
      </c>
      <c r="C6493" t="s">
        <v>7</v>
      </c>
      <c r="D6493" t="s">
        <v>14</v>
      </c>
      <c r="E6493" t="s">
        <v>8777</v>
      </c>
    </row>
    <row r="6494" spans="1:6" x14ac:dyDescent="0.25">
      <c r="A6494" t="str">
        <f>"382010247994"</f>
        <v>382010247994</v>
      </c>
      <c r="B6494" t="s">
        <v>8963</v>
      </c>
      <c r="C6494" t="s">
        <v>7</v>
      </c>
      <c r="D6494" t="s">
        <v>14</v>
      </c>
      <c r="E6494" t="s">
        <v>8777</v>
      </c>
    </row>
    <row r="6495" spans="1:6" x14ac:dyDescent="0.25">
      <c r="A6495" t="str">
        <f>"382037095650"</f>
        <v>382037095650</v>
      </c>
      <c r="B6495" t="s">
        <v>8964</v>
      </c>
      <c r="C6495" t="s">
        <v>7</v>
      </c>
      <c r="D6495" t="s">
        <v>14</v>
      </c>
      <c r="E6495" t="s">
        <v>8777</v>
      </c>
    </row>
    <row r="6496" spans="1:6" x14ac:dyDescent="0.25">
      <c r="A6496" t="str">
        <f>"382104382678"</f>
        <v>382104382678</v>
      </c>
      <c r="B6496" t="s">
        <v>8965</v>
      </c>
      <c r="C6496" t="s">
        <v>7</v>
      </c>
      <c r="D6496" t="s">
        <v>12</v>
      </c>
      <c r="E6496" t="s">
        <v>8777</v>
      </c>
    </row>
    <row r="6497" spans="1:6" x14ac:dyDescent="0.25">
      <c r="A6497" t="str">
        <f>"381100499585"</f>
        <v>381100499585</v>
      </c>
      <c r="B6497" t="s">
        <v>8966</v>
      </c>
      <c r="C6497" t="s">
        <v>7</v>
      </c>
      <c r="D6497" t="s">
        <v>33</v>
      </c>
      <c r="E6497" t="s">
        <v>8777</v>
      </c>
    </row>
    <row r="6498" spans="1:6" x14ac:dyDescent="0.25">
      <c r="A6498" t="str">
        <f>"381101517364"</f>
        <v>381101517364</v>
      </c>
      <c r="B6498" t="s">
        <v>8967</v>
      </c>
      <c r="C6498" t="s">
        <v>7</v>
      </c>
      <c r="D6498" t="s">
        <v>14</v>
      </c>
      <c r="E6498" t="s">
        <v>8777</v>
      </c>
    </row>
    <row r="6499" spans="1:6" x14ac:dyDescent="0.25">
      <c r="A6499" t="str">
        <f>"381102509609"</f>
        <v>381102509609</v>
      </c>
      <c r="B6499" t="s">
        <v>8968</v>
      </c>
      <c r="C6499" t="s">
        <v>7</v>
      </c>
      <c r="D6499" t="s">
        <v>14</v>
      </c>
      <c r="E6499" t="s">
        <v>8777</v>
      </c>
    </row>
    <row r="6500" spans="1:6" x14ac:dyDescent="0.25">
      <c r="A6500" t="str">
        <f>"3811068598"</f>
        <v>3811068598</v>
      </c>
      <c r="B6500" t="s">
        <v>8969</v>
      </c>
      <c r="C6500" t="s">
        <v>7</v>
      </c>
      <c r="D6500" t="s">
        <v>33</v>
      </c>
      <c r="E6500" t="s">
        <v>8777</v>
      </c>
      <c r="F6500" t="s">
        <v>8970</v>
      </c>
    </row>
    <row r="6501" spans="1:6" x14ac:dyDescent="0.25">
      <c r="A6501" t="str">
        <f>"3811069961"</f>
        <v>3811069961</v>
      </c>
      <c r="B6501" t="s">
        <v>8971</v>
      </c>
      <c r="C6501" t="s">
        <v>7</v>
      </c>
      <c r="D6501" t="s">
        <v>12</v>
      </c>
      <c r="E6501" t="s">
        <v>8777</v>
      </c>
      <c r="F6501" t="s">
        <v>8972</v>
      </c>
    </row>
    <row r="6502" spans="1:6" x14ac:dyDescent="0.25">
      <c r="A6502" t="str">
        <f>"3811128180"</f>
        <v>3811128180</v>
      </c>
      <c r="B6502" t="s">
        <v>8973</v>
      </c>
      <c r="C6502" t="s">
        <v>7</v>
      </c>
      <c r="D6502" t="s">
        <v>33</v>
      </c>
      <c r="E6502" t="s">
        <v>8777</v>
      </c>
      <c r="F6502" t="s">
        <v>8974</v>
      </c>
    </row>
    <row r="6503" spans="1:6" x14ac:dyDescent="0.25">
      <c r="A6503" t="str">
        <f>"3811142996"</f>
        <v>3811142996</v>
      </c>
      <c r="B6503" t="s">
        <v>8975</v>
      </c>
      <c r="C6503" t="s">
        <v>7</v>
      </c>
      <c r="D6503" t="s">
        <v>12</v>
      </c>
      <c r="E6503" t="s">
        <v>8777</v>
      </c>
      <c r="F6503" t="s">
        <v>8976</v>
      </c>
    </row>
    <row r="6504" spans="1:6" x14ac:dyDescent="0.25">
      <c r="A6504" t="str">
        <f>"3811149529"</f>
        <v>3811149529</v>
      </c>
      <c r="B6504" t="s">
        <v>8977</v>
      </c>
      <c r="C6504" t="s">
        <v>7</v>
      </c>
      <c r="D6504" t="s">
        <v>12</v>
      </c>
      <c r="E6504" t="s">
        <v>8777</v>
      </c>
      <c r="F6504" t="s">
        <v>8978</v>
      </c>
    </row>
    <row r="6505" spans="1:6" x14ac:dyDescent="0.25">
      <c r="A6505" t="str">
        <f>"3811159848"</f>
        <v>3811159848</v>
      </c>
      <c r="B6505" t="s">
        <v>8979</v>
      </c>
      <c r="C6505" t="s">
        <v>7</v>
      </c>
      <c r="D6505" t="s">
        <v>14</v>
      </c>
      <c r="E6505" t="s">
        <v>8777</v>
      </c>
      <c r="F6505" t="s">
        <v>8980</v>
      </c>
    </row>
    <row r="6506" spans="1:6" x14ac:dyDescent="0.25">
      <c r="A6506" t="str">
        <f>"381116258761"</f>
        <v>381116258761</v>
      </c>
      <c r="B6506" t="s">
        <v>8981</v>
      </c>
      <c r="C6506" t="s">
        <v>7</v>
      </c>
      <c r="D6506" t="s">
        <v>14</v>
      </c>
      <c r="E6506" t="s">
        <v>8777</v>
      </c>
    </row>
    <row r="6507" spans="1:6" x14ac:dyDescent="0.25">
      <c r="A6507" t="str">
        <f>"381117633479"</f>
        <v>381117633479</v>
      </c>
      <c r="B6507" t="s">
        <v>8982</v>
      </c>
      <c r="C6507" t="s">
        <v>7</v>
      </c>
      <c r="D6507" t="s">
        <v>12</v>
      </c>
      <c r="E6507" t="s">
        <v>8777</v>
      </c>
    </row>
    <row r="6508" spans="1:6" x14ac:dyDescent="0.25">
      <c r="A6508" t="str">
        <f>"381118004473"</f>
        <v>381118004473</v>
      </c>
      <c r="B6508" t="s">
        <v>8983</v>
      </c>
      <c r="C6508" t="s">
        <v>7</v>
      </c>
      <c r="D6508" t="s">
        <v>14</v>
      </c>
      <c r="E6508" t="s">
        <v>8777</v>
      </c>
    </row>
    <row r="6509" spans="1:6" x14ac:dyDescent="0.25">
      <c r="A6509" t="str">
        <f>"3811182607"</f>
        <v>3811182607</v>
      </c>
      <c r="B6509" t="s">
        <v>4141</v>
      </c>
      <c r="C6509" t="s">
        <v>7</v>
      </c>
      <c r="D6509" t="s">
        <v>12</v>
      </c>
      <c r="E6509" t="s">
        <v>8777</v>
      </c>
      <c r="F6509" t="s">
        <v>8984</v>
      </c>
    </row>
    <row r="6510" spans="1:6" x14ac:dyDescent="0.25">
      <c r="A6510" t="str">
        <f>"3811454593"</f>
        <v>3811454593</v>
      </c>
      <c r="B6510" t="s">
        <v>8985</v>
      </c>
      <c r="C6510" t="s">
        <v>7</v>
      </c>
      <c r="D6510" t="s">
        <v>33</v>
      </c>
      <c r="E6510" t="s">
        <v>8777</v>
      </c>
      <c r="F6510" t="s">
        <v>8853</v>
      </c>
    </row>
    <row r="6511" spans="1:6" x14ac:dyDescent="0.25">
      <c r="A6511" t="str">
        <f>"381200470043"</f>
        <v>381200470043</v>
      </c>
      <c r="B6511" t="s">
        <v>8986</v>
      </c>
      <c r="C6511" t="s">
        <v>7</v>
      </c>
      <c r="D6511" t="s">
        <v>14</v>
      </c>
      <c r="E6511" t="s">
        <v>8777</v>
      </c>
    </row>
    <row r="6512" spans="1:6" x14ac:dyDescent="0.25">
      <c r="A6512" t="str">
        <f>"3812009161"</f>
        <v>3812009161</v>
      </c>
      <c r="B6512" t="s">
        <v>8987</v>
      </c>
      <c r="C6512" t="s">
        <v>7</v>
      </c>
      <c r="D6512" t="s">
        <v>14</v>
      </c>
      <c r="E6512" t="s">
        <v>8777</v>
      </c>
      <c r="F6512" t="s">
        <v>8988</v>
      </c>
    </row>
    <row r="6513" spans="1:6" x14ac:dyDescent="0.25">
      <c r="A6513" t="str">
        <f>"3812035228"</f>
        <v>3812035228</v>
      </c>
      <c r="B6513" t="s">
        <v>8989</v>
      </c>
      <c r="C6513" t="s">
        <v>7</v>
      </c>
      <c r="D6513" t="s">
        <v>33</v>
      </c>
      <c r="E6513" t="s">
        <v>8777</v>
      </c>
      <c r="F6513" t="s">
        <v>8990</v>
      </c>
    </row>
    <row r="6514" spans="1:6" x14ac:dyDescent="0.25">
      <c r="A6514" t="str">
        <f>"3812074481"</f>
        <v>3812074481</v>
      </c>
      <c r="B6514" t="s">
        <v>8991</v>
      </c>
      <c r="C6514" t="s">
        <v>7</v>
      </c>
      <c r="D6514" t="s">
        <v>14</v>
      </c>
      <c r="E6514" t="s">
        <v>8777</v>
      </c>
      <c r="F6514" t="s">
        <v>8988</v>
      </c>
    </row>
    <row r="6515" spans="1:6" x14ac:dyDescent="0.25">
      <c r="A6515" t="str">
        <f>"3812119372"</f>
        <v>3812119372</v>
      </c>
      <c r="B6515" t="s">
        <v>8992</v>
      </c>
      <c r="C6515" t="s">
        <v>7</v>
      </c>
      <c r="D6515" t="s">
        <v>146</v>
      </c>
      <c r="E6515" t="s">
        <v>8777</v>
      </c>
      <c r="F6515" t="s">
        <v>8993</v>
      </c>
    </row>
    <row r="6516" spans="1:6" x14ac:dyDescent="0.25">
      <c r="A6516" t="str">
        <f>"3812157931"</f>
        <v>3812157931</v>
      </c>
      <c r="B6516" t="s">
        <v>8994</v>
      </c>
      <c r="C6516" t="s">
        <v>7</v>
      </c>
      <c r="D6516" t="s">
        <v>12</v>
      </c>
      <c r="E6516" t="s">
        <v>8777</v>
      </c>
      <c r="F6516" t="s">
        <v>8995</v>
      </c>
    </row>
    <row r="6517" spans="1:6" x14ac:dyDescent="0.25">
      <c r="A6517" t="str">
        <f>"3812167619"</f>
        <v>3812167619</v>
      </c>
      <c r="B6517" t="s">
        <v>8996</v>
      </c>
      <c r="C6517" t="s">
        <v>7</v>
      </c>
      <c r="D6517" t="s">
        <v>674</v>
      </c>
      <c r="E6517" t="s">
        <v>8777</v>
      </c>
      <c r="F6517" t="s">
        <v>8997</v>
      </c>
    </row>
    <row r="6518" spans="1:6" x14ac:dyDescent="0.25">
      <c r="A6518" t="str">
        <f>"3812529499"</f>
        <v>3812529499</v>
      </c>
      <c r="B6518" t="s">
        <v>8998</v>
      </c>
      <c r="C6518" t="s">
        <v>7</v>
      </c>
      <c r="D6518" t="s">
        <v>12</v>
      </c>
      <c r="E6518" t="s">
        <v>8777</v>
      </c>
      <c r="F6518" t="s">
        <v>8999</v>
      </c>
    </row>
    <row r="6519" spans="1:6" x14ac:dyDescent="0.25">
      <c r="A6519" t="str">
        <f>"381256925694"</f>
        <v>381256925694</v>
      </c>
      <c r="B6519" t="s">
        <v>9000</v>
      </c>
      <c r="C6519" t="s">
        <v>7</v>
      </c>
      <c r="D6519" t="s">
        <v>14</v>
      </c>
      <c r="E6519" t="s">
        <v>8777</v>
      </c>
    </row>
    <row r="6520" spans="1:6" x14ac:dyDescent="0.25">
      <c r="A6520" t="str">
        <f>"381257398592"</f>
        <v>381257398592</v>
      </c>
      <c r="B6520" t="s">
        <v>9001</v>
      </c>
      <c r="C6520" t="s">
        <v>7</v>
      </c>
      <c r="D6520" t="s">
        <v>14</v>
      </c>
      <c r="E6520" t="s">
        <v>8777</v>
      </c>
    </row>
    <row r="6521" spans="1:6" x14ac:dyDescent="0.25">
      <c r="A6521" t="str">
        <f>"381260540930"</f>
        <v>381260540930</v>
      </c>
      <c r="B6521" t="s">
        <v>9002</v>
      </c>
      <c r="C6521" t="s">
        <v>7</v>
      </c>
      <c r="D6521" t="s">
        <v>12</v>
      </c>
      <c r="E6521" t="s">
        <v>8777</v>
      </c>
    </row>
    <row r="6522" spans="1:6" x14ac:dyDescent="0.25">
      <c r="A6522" t="str">
        <f>"381296808789"</f>
        <v>381296808789</v>
      </c>
      <c r="B6522" t="s">
        <v>9003</v>
      </c>
      <c r="C6522" t="s">
        <v>7</v>
      </c>
      <c r="D6522" t="s">
        <v>14</v>
      </c>
      <c r="E6522" t="s">
        <v>8777</v>
      </c>
    </row>
    <row r="6523" spans="1:6" x14ac:dyDescent="0.25">
      <c r="A6523" t="str">
        <f>"381297864338"</f>
        <v>381297864338</v>
      </c>
      <c r="B6523" t="s">
        <v>9004</v>
      </c>
      <c r="C6523" t="s">
        <v>7</v>
      </c>
      <c r="D6523" t="s">
        <v>33</v>
      </c>
      <c r="E6523" t="s">
        <v>8777</v>
      </c>
    </row>
    <row r="6524" spans="1:6" x14ac:dyDescent="0.25">
      <c r="A6524" t="str">
        <f>"3812988485"</f>
        <v>3812988485</v>
      </c>
      <c r="B6524" t="s">
        <v>9005</v>
      </c>
      <c r="C6524" t="s">
        <v>7</v>
      </c>
      <c r="D6524" t="s">
        <v>33</v>
      </c>
      <c r="E6524" t="s">
        <v>8777</v>
      </c>
      <c r="F6524" t="s">
        <v>9006</v>
      </c>
    </row>
    <row r="6525" spans="1:6" x14ac:dyDescent="0.25">
      <c r="A6525" t="str">
        <f>"381299308248"</f>
        <v>381299308248</v>
      </c>
      <c r="B6525" t="s">
        <v>9007</v>
      </c>
      <c r="C6525" t="s">
        <v>7</v>
      </c>
      <c r="D6525" t="s">
        <v>14</v>
      </c>
      <c r="E6525" t="s">
        <v>8777</v>
      </c>
    </row>
    <row r="6526" spans="1:6" x14ac:dyDescent="0.25">
      <c r="A6526" t="str">
        <f>"3812996905"</f>
        <v>3812996905</v>
      </c>
      <c r="B6526" t="s">
        <v>9008</v>
      </c>
      <c r="C6526" t="s">
        <v>7</v>
      </c>
      <c r="D6526" t="s">
        <v>12</v>
      </c>
      <c r="E6526" t="s">
        <v>8777</v>
      </c>
      <c r="F6526" t="s">
        <v>9009</v>
      </c>
    </row>
    <row r="6527" spans="1:6" x14ac:dyDescent="0.25">
      <c r="A6527" t="str">
        <f>"381305011079"</f>
        <v>381305011079</v>
      </c>
      <c r="B6527" t="s">
        <v>9010</v>
      </c>
      <c r="C6527" t="s">
        <v>7</v>
      </c>
      <c r="D6527" t="s">
        <v>14</v>
      </c>
      <c r="E6527" t="s">
        <v>8777</v>
      </c>
    </row>
    <row r="6528" spans="1:6" x14ac:dyDescent="0.25">
      <c r="A6528" t="str">
        <f>"381401142596"</f>
        <v>381401142596</v>
      </c>
      <c r="B6528" t="s">
        <v>9011</v>
      </c>
      <c r="C6528" t="s">
        <v>7</v>
      </c>
      <c r="D6528" t="s">
        <v>14</v>
      </c>
      <c r="E6528" t="s">
        <v>8777</v>
      </c>
    </row>
    <row r="6529" spans="1:6" x14ac:dyDescent="0.25">
      <c r="A6529" t="str">
        <f>"381452227230"</f>
        <v>381452227230</v>
      </c>
      <c r="B6529" t="s">
        <v>9012</v>
      </c>
      <c r="C6529" t="s">
        <v>7</v>
      </c>
      <c r="D6529" t="s">
        <v>12</v>
      </c>
      <c r="E6529" t="s">
        <v>8777</v>
      </c>
    </row>
    <row r="6530" spans="1:6" x14ac:dyDescent="0.25">
      <c r="A6530" t="str">
        <f>"381454935158"</f>
        <v>381454935158</v>
      </c>
      <c r="B6530" t="s">
        <v>9013</v>
      </c>
      <c r="C6530" t="s">
        <v>7</v>
      </c>
      <c r="D6530" t="s">
        <v>8</v>
      </c>
      <c r="E6530" t="s">
        <v>8777</v>
      </c>
    </row>
    <row r="6531" spans="1:6" x14ac:dyDescent="0.25">
      <c r="A6531" t="str">
        <f>"3816007398"</f>
        <v>3816007398</v>
      </c>
      <c r="B6531" t="s">
        <v>769</v>
      </c>
      <c r="C6531" t="s">
        <v>7</v>
      </c>
      <c r="D6531" t="s">
        <v>14</v>
      </c>
      <c r="E6531" t="s">
        <v>8777</v>
      </c>
      <c r="F6531" t="s">
        <v>9014</v>
      </c>
    </row>
    <row r="6532" spans="1:6" x14ac:dyDescent="0.25">
      <c r="A6532" t="str">
        <f>"381704350027"</f>
        <v>381704350027</v>
      </c>
      <c r="B6532" t="s">
        <v>9015</v>
      </c>
      <c r="C6532" t="s">
        <v>7</v>
      </c>
      <c r="D6532" t="s">
        <v>14</v>
      </c>
      <c r="E6532" t="s">
        <v>8777</v>
      </c>
    </row>
    <row r="6533" spans="1:6" x14ac:dyDescent="0.25">
      <c r="A6533" t="str">
        <f>"381706429610"</f>
        <v>381706429610</v>
      </c>
      <c r="B6533" t="s">
        <v>9016</v>
      </c>
      <c r="C6533" t="s">
        <v>7</v>
      </c>
      <c r="D6533" t="s">
        <v>14</v>
      </c>
      <c r="E6533" t="s">
        <v>8777</v>
      </c>
    </row>
    <row r="6534" spans="1:6" x14ac:dyDescent="0.25">
      <c r="A6534" t="str">
        <f>"381709755901"</f>
        <v>381709755901</v>
      </c>
      <c r="B6534" t="s">
        <v>9017</v>
      </c>
      <c r="C6534" t="s">
        <v>7</v>
      </c>
      <c r="D6534" t="s">
        <v>14</v>
      </c>
      <c r="E6534" t="s">
        <v>8777</v>
      </c>
    </row>
    <row r="6535" spans="1:6" x14ac:dyDescent="0.25">
      <c r="A6535" t="str">
        <f>"381711291037"</f>
        <v>381711291037</v>
      </c>
      <c r="B6535" t="s">
        <v>9018</v>
      </c>
      <c r="C6535" t="s">
        <v>7</v>
      </c>
      <c r="D6535" t="s">
        <v>14</v>
      </c>
      <c r="E6535" t="s">
        <v>8777</v>
      </c>
    </row>
    <row r="6536" spans="1:6" x14ac:dyDescent="0.25">
      <c r="A6536" t="str">
        <f>"3819013375"</f>
        <v>3819013375</v>
      </c>
      <c r="B6536" t="s">
        <v>9019</v>
      </c>
      <c r="C6536" t="s">
        <v>7</v>
      </c>
      <c r="D6536" t="s">
        <v>12</v>
      </c>
      <c r="E6536" t="s">
        <v>8777</v>
      </c>
      <c r="F6536" t="s">
        <v>9020</v>
      </c>
    </row>
    <row r="6537" spans="1:6" x14ac:dyDescent="0.25">
      <c r="A6537" t="str">
        <f>"381911220570"</f>
        <v>381911220570</v>
      </c>
      <c r="B6537" t="s">
        <v>9021</v>
      </c>
      <c r="C6537" t="s">
        <v>7</v>
      </c>
      <c r="D6537" t="s">
        <v>14</v>
      </c>
      <c r="E6537" t="s">
        <v>8777</v>
      </c>
    </row>
    <row r="6538" spans="1:6" x14ac:dyDescent="0.25">
      <c r="A6538" t="str">
        <f>"382001024832"</f>
        <v>382001024832</v>
      </c>
      <c r="B6538" t="s">
        <v>9022</v>
      </c>
      <c r="C6538" t="s">
        <v>7</v>
      </c>
      <c r="D6538" t="s">
        <v>14</v>
      </c>
      <c r="E6538" t="s">
        <v>8777</v>
      </c>
    </row>
    <row r="6539" spans="1:6" x14ac:dyDescent="0.25">
      <c r="A6539" t="str">
        <f>"382001049178"</f>
        <v>382001049178</v>
      </c>
      <c r="B6539" t="s">
        <v>9023</v>
      </c>
      <c r="C6539" t="s">
        <v>7</v>
      </c>
      <c r="D6539" t="s">
        <v>14</v>
      </c>
      <c r="E6539" t="s">
        <v>8777</v>
      </c>
    </row>
    <row r="6540" spans="1:6" x14ac:dyDescent="0.25">
      <c r="A6540" t="str">
        <f>"382003091993"</f>
        <v>382003091993</v>
      </c>
      <c r="B6540" t="s">
        <v>9024</v>
      </c>
      <c r="C6540" t="s">
        <v>7</v>
      </c>
      <c r="D6540" t="s">
        <v>8</v>
      </c>
      <c r="E6540" t="s">
        <v>8777</v>
      </c>
    </row>
    <row r="6541" spans="1:6" x14ac:dyDescent="0.25">
      <c r="A6541" t="str">
        <f>"382100654176"</f>
        <v>382100654176</v>
      </c>
      <c r="B6541" t="s">
        <v>9025</v>
      </c>
      <c r="C6541" t="s">
        <v>7</v>
      </c>
      <c r="D6541" t="s">
        <v>14</v>
      </c>
      <c r="E6541" t="s">
        <v>8777</v>
      </c>
    </row>
    <row r="6542" spans="1:6" x14ac:dyDescent="0.25">
      <c r="A6542" t="str">
        <f>"3823019210"</f>
        <v>3823019210</v>
      </c>
      <c r="B6542" t="s">
        <v>9026</v>
      </c>
      <c r="C6542" t="s">
        <v>7</v>
      </c>
      <c r="D6542" t="s">
        <v>12</v>
      </c>
      <c r="E6542" t="s">
        <v>8777</v>
      </c>
      <c r="F6542" t="s">
        <v>9027</v>
      </c>
    </row>
    <row r="6543" spans="1:6" x14ac:dyDescent="0.25">
      <c r="A6543" t="str">
        <f>"750536939308"</f>
        <v>750536939308</v>
      </c>
      <c r="B6543" t="s">
        <v>9028</v>
      </c>
      <c r="C6543" t="s">
        <v>7</v>
      </c>
      <c r="D6543" t="s">
        <v>14</v>
      </c>
      <c r="E6543" t="s">
        <v>8777</v>
      </c>
    </row>
    <row r="6544" spans="1:6" x14ac:dyDescent="0.25">
      <c r="A6544" t="str">
        <f>"381018394607"</f>
        <v>381018394607</v>
      </c>
      <c r="B6544" t="s">
        <v>9029</v>
      </c>
      <c r="C6544" t="s">
        <v>7</v>
      </c>
      <c r="D6544" t="s">
        <v>12</v>
      </c>
      <c r="E6544" t="s">
        <v>8777</v>
      </c>
    </row>
    <row r="6545" spans="1:6" x14ac:dyDescent="0.25">
      <c r="A6545" t="str">
        <f>"381018941183"</f>
        <v>381018941183</v>
      </c>
      <c r="B6545" t="s">
        <v>9030</v>
      </c>
      <c r="C6545" t="s">
        <v>7</v>
      </c>
      <c r="D6545" t="s">
        <v>14</v>
      </c>
      <c r="E6545" t="s">
        <v>8777</v>
      </c>
    </row>
    <row r="6546" spans="1:6" x14ac:dyDescent="0.25">
      <c r="A6546" t="str">
        <f>"3810313590"</f>
        <v>3810313590</v>
      </c>
      <c r="B6546" t="s">
        <v>9031</v>
      </c>
      <c r="C6546" t="s">
        <v>7</v>
      </c>
      <c r="D6546" t="s">
        <v>12</v>
      </c>
      <c r="E6546" t="s">
        <v>8777</v>
      </c>
      <c r="F6546" t="s">
        <v>9032</v>
      </c>
    </row>
    <row r="6547" spans="1:6" x14ac:dyDescent="0.25">
      <c r="A6547" t="str">
        <f>"381100062562"</f>
        <v>381100062562</v>
      </c>
      <c r="B6547" t="s">
        <v>9033</v>
      </c>
      <c r="C6547" t="s">
        <v>7</v>
      </c>
      <c r="D6547" t="s">
        <v>674</v>
      </c>
      <c r="E6547" t="s">
        <v>8777</v>
      </c>
    </row>
    <row r="6548" spans="1:6" x14ac:dyDescent="0.25">
      <c r="A6548" t="str">
        <f>"381100223851"</f>
        <v>381100223851</v>
      </c>
      <c r="B6548" t="s">
        <v>9034</v>
      </c>
      <c r="C6548" t="s">
        <v>7</v>
      </c>
      <c r="D6548" t="s">
        <v>12</v>
      </c>
      <c r="E6548" t="s">
        <v>8777</v>
      </c>
    </row>
    <row r="6549" spans="1:6" x14ac:dyDescent="0.25">
      <c r="A6549" t="str">
        <f>"381101511725"</f>
        <v>381101511725</v>
      </c>
      <c r="B6549" t="s">
        <v>9035</v>
      </c>
      <c r="C6549" t="s">
        <v>7</v>
      </c>
      <c r="D6549" t="s">
        <v>14</v>
      </c>
      <c r="E6549" t="s">
        <v>8777</v>
      </c>
    </row>
    <row r="6550" spans="1:6" x14ac:dyDescent="0.25">
      <c r="A6550" t="str">
        <f>"381103262009"</f>
        <v>381103262009</v>
      </c>
      <c r="B6550" t="s">
        <v>9036</v>
      </c>
      <c r="C6550" t="s">
        <v>7</v>
      </c>
      <c r="D6550" t="s">
        <v>14</v>
      </c>
      <c r="E6550" t="s">
        <v>8777</v>
      </c>
    </row>
    <row r="6551" spans="1:6" x14ac:dyDescent="0.25">
      <c r="A6551" t="str">
        <f>"3811063825"</f>
        <v>3811063825</v>
      </c>
      <c r="B6551" t="s">
        <v>9037</v>
      </c>
      <c r="C6551" t="s">
        <v>7</v>
      </c>
      <c r="D6551" t="s">
        <v>14</v>
      </c>
      <c r="E6551" t="s">
        <v>8777</v>
      </c>
      <c r="F6551" t="s">
        <v>9038</v>
      </c>
    </row>
    <row r="6552" spans="1:6" x14ac:dyDescent="0.25">
      <c r="A6552" t="str">
        <f>"3811073990"</f>
        <v>3811073990</v>
      </c>
      <c r="B6552" t="s">
        <v>9039</v>
      </c>
      <c r="C6552" t="s">
        <v>7</v>
      </c>
      <c r="D6552" t="s">
        <v>14</v>
      </c>
      <c r="E6552" t="s">
        <v>8777</v>
      </c>
      <c r="F6552" t="s">
        <v>8925</v>
      </c>
    </row>
    <row r="6553" spans="1:6" x14ac:dyDescent="0.25">
      <c r="A6553" t="str">
        <f>"3811093869"</f>
        <v>3811093869</v>
      </c>
      <c r="B6553" t="s">
        <v>9040</v>
      </c>
      <c r="C6553" t="s">
        <v>7</v>
      </c>
      <c r="D6553" t="s">
        <v>14</v>
      </c>
      <c r="E6553" t="s">
        <v>8777</v>
      </c>
      <c r="F6553" t="s">
        <v>9041</v>
      </c>
    </row>
    <row r="6554" spans="1:6" x14ac:dyDescent="0.25">
      <c r="A6554" t="str">
        <f>"3811127525"</f>
        <v>3811127525</v>
      </c>
      <c r="B6554" t="s">
        <v>9042</v>
      </c>
      <c r="C6554" t="s">
        <v>7</v>
      </c>
      <c r="D6554" t="s">
        <v>33</v>
      </c>
      <c r="E6554" t="s">
        <v>8777</v>
      </c>
      <c r="F6554" t="s">
        <v>9043</v>
      </c>
    </row>
    <row r="6555" spans="1:6" x14ac:dyDescent="0.25">
      <c r="A6555" t="str">
        <f>"3811133960"</f>
        <v>3811133960</v>
      </c>
      <c r="B6555" t="s">
        <v>9044</v>
      </c>
      <c r="C6555" t="s">
        <v>7</v>
      </c>
      <c r="D6555" t="s">
        <v>8</v>
      </c>
      <c r="E6555" t="s">
        <v>8777</v>
      </c>
      <c r="F6555" t="s">
        <v>9045</v>
      </c>
    </row>
    <row r="6556" spans="1:6" x14ac:dyDescent="0.25">
      <c r="A6556" t="str">
        <f>"381114600852"</f>
        <v>381114600852</v>
      </c>
      <c r="B6556" t="s">
        <v>9046</v>
      </c>
      <c r="C6556" t="s">
        <v>7</v>
      </c>
      <c r="D6556" t="s">
        <v>14</v>
      </c>
      <c r="E6556" t="s">
        <v>8777</v>
      </c>
    </row>
    <row r="6557" spans="1:6" x14ac:dyDescent="0.25">
      <c r="A6557" t="str">
        <f>"3811154085"</f>
        <v>3811154085</v>
      </c>
      <c r="B6557" t="s">
        <v>5837</v>
      </c>
      <c r="C6557" t="s">
        <v>7</v>
      </c>
      <c r="D6557" t="s">
        <v>33</v>
      </c>
      <c r="E6557" t="s">
        <v>8777</v>
      </c>
      <c r="F6557" t="s">
        <v>9047</v>
      </c>
    </row>
    <row r="6558" spans="1:6" x14ac:dyDescent="0.25">
      <c r="A6558" t="str">
        <f>"3811435696"</f>
        <v>3811435696</v>
      </c>
      <c r="B6558" t="s">
        <v>9048</v>
      </c>
      <c r="C6558" t="s">
        <v>7</v>
      </c>
      <c r="D6558" t="s">
        <v>14</v>
      </c>
      <c r="E6558" t="s">
        <v>8777</v>
      </c>
      <c r="F6558" t="s">
        <v>9049</v>
      </c>
    </row>
    <row r="6559" spans="1:6" x14ac:dyDescent="0.25">
      <c r="A6559" t="str">
        <f>"3811440713"</f>
        <v>3811440713</v>
      </c>
      <c r="B6559" t="s">
        <v>9050</v>
      </c>
      <c r="C6559" t="s">
        <v>7</v>
      </c>
      <c r="D6559" t="s">
        <v>33</v>
      </c>
      <c r="E6559" t="s">
        <v>8777</v>
      </c>
      <c r="F6559" t="s">
        <v>9051</v>
      </c>
    </row>
    <row r="6560" spans="1:6" x14ac:dyDescent="0.25">
      <c r="A6560" t="str">
        <f>"3811474663"</f>
        <v>3811474663</v>
      </c>
      <c r="B6560" t="s">
        <v>9052</v>
      </c>
      <c r="C6560" t="s">
        <v>7</v>
      </c>
      <c r="D6560" t="s">
        <v>189</v>
      </c>
      <c r="E6560" t="s">
        <v>8777</v>
      </c>
      <c r="F6560" t="s">
        <v>9053</v>
      </c>
    </row>
    <row r="6561" spans="1:6" x14ac:dyDescent="0.25">
      <c r="A6561" t="str">
        <f>"381200750805"</f>
        <v>381200750805</v>
      </c>
      <c r="B6561" t="s">
        <v>9054</v>
      </c>
      <c r="C6561" t="s">
        <v>7</v>
      </c>
      <c r="D6561" t="s">
        <v>12</v>
      </c>
      <c r="E6561" t="s">
        <v>8777</v>
      </c>
    </row>
    <row r="6562" spans="1:6" x14ac:dyDescent="0.25">
      <c r="A6562" t="str">
        <f>"3812067438"</f>
        <v>3812067438</v>
      </c>
      <c r="B6562" t="s">
        <v>9055</v>
      </c>
      <c r="C6562" t="s">
        <v>7</v>
      </c>
      <c r="D6562" t="s">
        <v>14</v>
      </c>
      <c r="E6562" t="s">
        <v>8777</v>
      </c>
      <c r="F6562" t="s">
        <v>9056</v>
      </c>
    </row>
    <row r="6563" spans="1:6" x14ac:dyDescent="0.25">
      <c r="A6563" t="str">
        <f>"3812115145"</f>
        <v>3812115145</v>
      </c>
      <c r="B6563" t="s">
        <v>9057</v>
      </c>
      <c r="C6563" t="s">
        <v>7</v>
      </c>
      <c r="D6563" t="s">
        <v>12</v>
      </c>
      <c r="E6563" t="s">
        <v>8777</v>
      </c>
      <c r="F6563" t="s">
        <v>9058</v>
      </c>
    </row>
    <row r="6564" spans="1:6" x14ac:dyDescent="0.25">
      <c r="A6564" t="str">
        <f>"3812157515"</f>
        <v>3812157515</v>
      </c>
      <c r="B6564" t="s">
        <v>9059</v>
      </c>
      <c r="C6564" t="s">
        <v>7</v>
      </c>
      <c r="D6564" t="s">
        <v>33</v>
      </c>
      <c r="E6564" t="s">
        <v>8777</v>
      </c>
      <c r="F6564" t="s">
        <v>9058</v>
      </c>
    </row>
    <row r="6565" spans="1:6" x14ac:dyDescent="0.25">
      <c r="A6565" t="str">
        <f>"381296554943"</f>
        <v>381296554943</v>
      </c>
      <c r="B6565" t="s">
        <v>9060</v>
      </c>
      <c r="C6565" t="s">
        <v>7</v>
      </c>
      <c r="D6565" t="s">
        <v>12</v>
      </c>
      <c r="E6565" t="s">
        <v>8777</v>
      </c>
    </row>
    <row r="6566" spans="1:6" x14ac:dyDescent="0.25">
      <c r="A6566" t="str">
        <f>"381296679195"</f>
        <v>381296679195</v>
      </c>
      <c r="B6566" t="s">
        <v>9061</v>
      </c>
      <c r="C6566" t="s">
        <v>7</v>
      </c>
      <c r="D6566" t="s">
        <v>586</v>
      </c>
      <c r="E6566" t="s">
        <v>8777</v>
      </c>
    </row>
    <row r="6567" spans="1:6" x14ac:dyDescent="0.25">
      <c r="A6567" t="str">
        <f>"3812993012"</f>
        <v>3812993012</v>
      </c>
      <c r="B6567" t="s">
        <v>9062</v>
      </c>
      <c r="C6567" t="s">
        <v>7</v>
      </c>
      <c r="D6567" t="s">
        <v>33</v>
      </c>
      <c r="E6567" t="s">
        <v>8777</v>
      </c>
      <c r="F6567" t="s">
        <v>9063</v>
      </c>
    </row>
    <row r="6568" spans="1:6" x14ac:dyDescent="0.25">
      <c r="A6568" t="str">
        <f>"381299408933"</f>
        <v>381299408933</v>
      </c>
      <c r="B6568" t="s">
        <v>9064</v>
      </c>
      <c r="C6568" t="s">
        <v>7</v>
      </c>
      <c r="D6568" t="s">
        <v>14</v>
      </c>
      <c r="E6568" t="s">
        <v>8777</v>
      </c>
    </row>
    <row r="6569" spans="1:6" x14ac:dyDescent="0.25">
      <c r="A6569" t="str">
        <f>"381301921775"</f>
        <v>381301921775</v>
      </c>
      <c r="B6569" t="s">
        <v>9065</v>
      </c>
      <c r="C6569" t="s">
        <v>7</v>
      </c>
      <c r="D6569" t="s">
        <v>14</v>
      </c>
      <c r="E6569" t="s">
        <v>8777</v>
      </c>
    </row>
    <row r="6570" spans="1:6" x14ac:dyDescent="0.25">
      <c r="A6570" t="str">
        <f>"381400324473"</f>
        <v>381400324473</v>
      </c>
      <c r="B6570" t="s">
        <v>9066</v>
      </c>
      <c r="C6570" t="s">
        <v>7</v>
      </c>
      <c r="D6570" t="s">
        <v>14</v>
      </c>
      <c r="E6570" t="s">
        <v>8777</v>
      </c>
    </row>
    <row r="6571" spans="1:6" x14ac:dyDescent="0.25">
      <c r="A6571" t="str">
        <f>"3814008646"</f>
        <v>3814008646</v>
      </c>
      <c r="B6571" t="s">
        <v>9067</v>
      </c>
      <c r="C6571" t="s">
        <v>7</v>
      </c>
      <c r="D6571" t="s">
        <v>14</v>
      </c>
      <c r="E6571" t="s">
        <v>8777</v>
      </c>
      <c r="F6571" t="s">
        <v>9068</v>
      </c>
    </row>
    <row r="6572" spans="1:6" x14ac:dyDescent="0.25">
      <c r="A6572" t="str">
        <f>"381402282959"</f>
        <v>381402282959</v>
      </c>
      <c r="B6572" t="s">
        <v>9069</v>
      </c>
      <c r="C6572" t="s">
        <v>7</v>
      </c>
      <c r="D6572" t="s">
        <v>14</v>
      </c>
      <c r="E6572" t="s">
        <v>8777</v>
      </c>
    </row>
    <row r="6573" spans="1:6" x14ac:dyDescent="0.25">
      <c r="A6573" t="str">
        <f>"381452137682"</f>
        <v>381452137682</v>
      </c>
      <c r="B6573" t="s">
        <v>9070</v>
      </c>
      <c r="C6573" t="s">
        <v>7</v>
      </c>
      <c r="D6573" t="s">
        <v>14</v>
      </c>
      <c r="E6573" t="s">
        <v>8777</v>
      </c>
    </row>
    <row r="6574" spans="1:6" x14ac:dyDescent="0.25">
      <c r="A6574" t="str">
        <f>"381452712090"</f>
        <v>381452712090</v>
      </c>
      <c r="B6574" t="s">
        <v>9071</v>
      </c>
      <c r="C6574" t="s">
        <v>7</v>
      </c>
      <c r="D6574" t="s">
        <v>14</v>
      </c>
      <c r="E6574" t="s">
        <v>8777</v>
      </c>
    </row>
    <row r="6575" spans="1:6" x14ac:dyDescent="0.25">
      <c r="A6575" t="str">
        <f>"381454267101"</f>
        <v>381454267101</v>
      </c>
      <c r="B6575" t="s">
        <v>9072</v>
      </c>
      <c r="C6575" t="s">
        <v>7</v>
      </c>
      <c r="D6575" t="s">
        <v>14</v>
      </c>
      <c r="E6575" t="s">
        <v>8777</v>
      </c>
    </row>
    <row r="6576" spans="1:6" x14ac:dyDescent="0.25">
      <c r="A6576" t="str">
        <f>"381455167237"</f>
        <v>381455167237</v>
      </c>
      <c r="B6576" t="s">
        <v>9073</v>
      </c>
      <c r="C6576" t="s">
        <v>7</v>
      </c>
      <c r="D6576" t="s">
        <v>14</v>
      </c>
      <c r="E6576" t="s">
        <v>8777</v>
      </c>
    </row>
    <row r="6577" spans="1:6" x14ac:dyDescent="0.25">
      <c r="A6577" t="str">
        <f>"381500017839"</f>
        <v>381500017839</v>
      </c>
      <c r="B6577" t="s">
        <v>9074</v>
      </c>
      <c r="C6577" t="s">
        <v>7</v>
      </c>
      <c r="D6577" t="s">
        <v>14</v>
      </c>
      <c r="E6577" t="s">
        <v>8777</v>
      </c>
    </row>
    <row r="6578" spans="1:6" x14ac:dyDescent="0.25">
      <c r="A6578" t="str">
        <f>"3816021836"</f>
        <v>3816021836</v>
      </c>
      <c r="B6578" t="s">
        <v>9075</v>
      </c>
      <c r="C6578" t="s">
        <v>7</v>
      </c>
      <c r="D6578" t="s">
        <v>14</v>
      </c>
      <c r="E6578" t="s">
        <v>8777</v>
      </c>
      <c r="F6578" t="s">
        <v>9076</v>
      </c>
    </row>
    <row r="6579" spans="1:6" x14ac:dyDescent="0.25">
      <c r="A6579" t="str">
        <f>"381603174657"</f>
        <v>381603174657</v>
      </c>
      <c r="B6579" t="s">
        <v>9077</v>
      </c>
      <c r="C6579" t="s">
        <v>7</v>
      </c>
      <c r="D6579" t="s">
        <v>14</v>
      </c>
      <c r="E6579" t="s">
        <v>8777</v>
      </c>
    </row>
    <row r="6580" spans="1:6" x14ac:dyDescent="0.25">
      <c r="A6580" t="str">
        <f>"3817016701"</f>
        <v>3817016701</v>
      </c>
      <c r="B6580" t="s">
        <v>9078</v>
      </c>
      <c r="C6580" t="s">
        <v>7</v>
      </c>
      <c r="D6580" t="s">
        <v>12</v>
      </c>
      <c r="E6580" t="s">
        <v>8777</v>
      </c>
      <c r="F6580" t="s">
        <v>9079</v>
      </c>
    </row>
    <row r="6581" spans="1:6" x14ac:dyDescent="0.25">
      <c r="A6581" t="str">
        <f>"381708756846"</f>
        <v>381708756846</v>
      </c>
      <c r="B6581" t="s">
        <v>9080</v>
      </c>
      <c r="C6581" t="s">
        <v>7</v>
      </c>
      <c r="D6581" t="s">
        <v>12</v>
      </c>
      <c r="E6581" t="s">
        <v>8777</v>
      </c>
    </row>
    <row r="6582" spans="1:6" x14ac:dyDescent="0.25">
      <c r="A6582" t="str">
        <f>"381714243000"</f>
        <v>381714243000</v>
      </c>
      <c r="B6582" t="s">
        <v>9081</v>
      </c>
      <c r="C6582" t="s">
        <v>7</v>
      </c>
      <c r="D6582" t="s">
        <v>12</v>
      </c>
      <c r="E6582" t="s">
        <v>8777</v>
      </c>
    </row>
    <row r="6583" spans="1:6" x14ac:dyDescent="0.25">
      <c r="A6583" t="str">
        <f>"381801070184"</f>
        <v>381801070184</v>
      </c>
      <c r="B6583" t="s">
        <v>9082</v>
      </c>
      <c r="C6583" t="s">
        <v>7</v>
      </c>
      <c r="D6583" t="s">
        <v>14</v>
      </c>
      <c r="E6583" t="s">
        <v>8777</v>
      </c>
    </row>
    <row r="6584" spans="1:6" x14ac:dyDescent="0.25">
      <c r="A6584" t="str">
        <f>"381801070402"</f>
        <v>381801070402</v>
      </c>
      <c r="B6584" t="s">
        <v>9083</v>
      </c>
      <c r="C6584" t="s">
        <v>7</v>
      </c>
      <c r="D6584" t="s">
        <v>14</v>
      </c>
      <c r="E6584" t="s">
        <v>8777</v>
      </c>
    </row>
    <row r="6585" spans="1:6" x14ac:dyDescent="0.25">
      <c r="A6585" t="str">
        <f>"381801237323"</f>
        <v>381801237323</v>
      </c>
      <c r="B6585" t="s">
        <v>9084</v>
      </c>
      <c r="C6585" t="s">
        <v>7</v>
      </c>
      <c r="D6585" t="s">
        <v>14</v>
      </c>
      <c r="E6585" t="s">
        <v>8777</v>
      </c>
    </row>
    <row r="6586" spans="1:6" x14ac:dyDescent="0.25">
      <c r="A6586" t="str">
        <f>"381807120307"</f>
        <v>381807120307</v>
      </c>
      <c r="B6586" t="s">
        <v>9085</v>
      </c>
      <c r="C6586" t="s">
        <v>7</v>
      </c>
      <c r="D6586" t="s">
        <v>14</v>
      </c>
      <c r="E6586" t="s">
        <v>8777</v>
      </c>
    </row>
    <row r="6587" spans="1:6" x14ac:dyDescent="0.25">
      <c r="A6587" t="str">
        <f>"381809320284"</f>
        <v>381809320284</v>
      </c>
      <c r="B6587" t="s">
        <v>9086</v>
      </c>
      <c r="C6587" t="s">
        <v>7</v>
      </c>
      <c r="D6587" t="s">
        <v>14</v>
      </c>
      <c r="E6587" t="s">
        <v>8777</v>
      </c>
    </row>
    <row r="6588" spans="1:6" x14ac:dyDescent="0.25">
      <c r="A6588" t="str">
        <f>"381900107910"</f>
        <v>381900107910</v>
      </c>
      <c r="B6588" t="s">
        <v>9087</v>
      </c>
      <c r="C6588" t="s">
        <v>7</v>
      </c>
      <c r="D6588" t="s">
        <v>14</v>
      </c>
      <c r="E6588" t="s">
        <v>8777</v>
      </c>
    </row>
    <row r="6589" spans="1:6" x14ac:dyDescent="0.25">
      <c r="A6589" t="str">
        <f>"381913385143"</f>
        <v>381913385143</v>
      </c>
      <c r="B6589" t="s">
        <v>9088</v>
      </c>
      <c r="C6589" t="s">
        <v>7</v>
      </c>
      <c r="D6589" t="s">
        <v>14</v>
      </c>
      <c r="E6589" t="s">
        <v>8777</v>
      </c>
    </row>
    <row r="6590" spans="1:6" x14ac:dyDescent="0.25">
      <c r="A6590" t="str">
        <f>"382009330616"</f>
        <v>382009330616</v>
      </c>
      <c r="B6590" t="s">
        <v>9089</v>
      </c>
      <c r="C6590" t="s">
        <v>7</v>
      </c>
      <c r="D6590" t="s">
        <v>14</v>
      </c>
      <c r="E6590" t="s">
        <v>8777</v>
      </c>
    </row>
    <row r="6591" spans="1:6" x14ac:dyDescent="0.25">
      <c r="A6591" t="str">
        <f>"572000002289"</f>
        <v>572000002289</v>
      </c>
      <c r="B6591" t="s">
        <v>9090</v>
      </c>
      <c r="C6591" t="s">
        <v>7</v>
      </c>
      <c r="D6591" t="s">
        <v>14</v>
      </c>
      <c r="E6591" t="s">
        <v>8777</v>
      </c>
    </row>
    <row r="6592" spans="1:6" x14ac:dyDescent="0.25">
      <c r="A6592" t="str">
        <f>"382105273336"</f>
        <v>382105273336</v>
      </c>
      <c r="B6592" t="s">
        <v>9091</v>
      </c>
      <c r="C6592" t="s">
        <v>7</v>
      </c>
      <c r="D6592" t="s">
        <v>14</v>
      </c>
      <c r="E6592" t="s">
        <v>8777</v>
      </c>
    </row>
    <row r="6593" spans="1:6" x14ac:dyDescent="0.25">
      <c r="A6593" t="str">
        <f>"382131259391"</f>
        <v>382131259391</v>
      </c>
      <c r="B6593" t="s">
        <v>9092</v>
      </c>
      <c r="C6593" t="s">
        <v>7</v>
      </c>
      <c r="D6593" t="s">
        <v>14</v>
      </c>
      <c r="E6593" t="s">
        <v>8777</v>
      </c>
    </row>
    <row r="6594" spans="1:6" x14ac:dyDescent="0.25">
      <c r="A6594" t="str">
        <f>"382131266110"</f>
        <v>382131266110</v>
      </c>
      <c r="B6594" t="s">
        <v>9093</v>
      </c>
      <c r="C6594" t="s">
        <v>7</v>
      </c>
      <c r="D6594" t="s">
        <v>14</v>
      </c>
      <c r="E6594" t="s">
        <v>8777</v>
      </c>
    </row>
    <row r="6595" spans="1:6" x14ac:dyDescent="0.25">
      <c r="A6595" t="str">
        <f>"382131299193"</f>
        <v>382131299193</v>
      </c>
      <c r="B6595" t="s">
        <v>9094</v>
      </c>
      <c r="C6595" t="s">
        <v>7</v>
      </c>
      <c r="D6595" t="s">
        <v>14</v>
      </c>
      <c r="E6595" t="s">
        <v>8777</v>
      </c>
    </row>
    <row r="6596" spans="1:6" x14ac:dyDescent="0.25">
      <c r="A6596" t="str">
        <f>"382301459104"</f>
        <v>382301459104</v>
      </c>
      <c r="B6596" t="s">
        <v>9095</v>
      </c>
      <c r="C6596" t="s">
        <v>7</v>
      </c>
      <c r="D6596" t="s">
        <v>12</v>
      </c>
      <c r="E6596" t="s">
        <v>8777</v>
      </c>
    </row>
    <row r="6597" spans="1:6" x14ac:dyDescent="0.25">
      <c r="A6597" t="str">
        <f>"382305944655"</f>
        <v>382305944655</v>
      </c>
      <c r="B6597" t="s">
        <v>9096</v>
      </c>
      <c r="C6597" t="s">
        <v>7</v>
      </c>
      <c r="D6597" t="s">
        <v>14</v>
      </c>
      <c r="E6597" t="s">
        <v>8777</v>
      </c>
    </row>
    <row r="6598" spans="1:6" x14ac:dyDescent="0.25">
      <c r="A6598" t="str">
        <f>"382703059917"</f>
        <v>382703059917</v>
      </c>
      <c r="B6598" t="s">
        <v>9097</v>
      </c>
      <c r="C6598" t="s">
        <v>7</v>
      </c>
      <c r="D6598" t="s">
        <v>14</v>
      </c>
      <c r="E6598" t="s">
        <v>8777</v>
      </c>
    </row>
    <row r="6599" spans="1:6" x14ac:dyDescent="0.25">
      <c r="A6599" t="str">
        <f>"3827031723"</f>
        <v>3827031723</v>
      </c>
      <c r="B6599" t="s">
        <v>5886</v>
      </c>
      <c r="C6599" t="s">
        <v>7</v>
      </c>
      <c r="D6599" t="s">
        <v>12</v>
      </c>
      <c r="E6599" t="s">
        <v>8777</v>
      </c>
      <c r="F6599" t="s">
        <v>9098</v>
      </c>
    </row>
    <row r="6600" spans="1:6" x14ac:dyDescent="0.25">
      <c r="A6600" t="str">
        <f>"3827035598"</f>
        <v>3827035598</v>
      </c>
      <c r="B6600" t="s">
        <v>9099</v>
      </c>
      <c r="C6600" t="s">
        <v>7</v>
      </c>
      <c r="D6600" t="s">
        <v>14</v>
      </c>
      <c r="E6600" t="s">
        <v>8777</v>
      </c>
      <c r="F6600" t="s">
        <v>9100</v>
      </c>
    </row>
    <row r="6601" spans="1:6" x14ac:dyDescent="0.25">
      <c r="A6601" t="str">
        <f>"3827041383"</f>
        <v>3827041383</v>
      </c>
      <c r="B6601" t="s">
        <v>9101</v>
      </c>
      <c r="C6601" t="s">
        <v>7</v>
      </c>
      <c r="D6601" t="s">
        <v>14</v>
      </c>
      <c r="E6601" t="s">
        <v>8777</v>
      </c>
      <c r="F6601" t="s">
        <v>9102</v>
      </c>
    </row>
    <row r="6602" spans="1:6" x14ac:dyDescent="0.25">
      <c r="A6602" t="str">
        <f>"3827055523"</f>
        <v>3827055523</v>
      </c>
      <c r="B6602" t="s">
        <v>9103</v>
      </c>
      <c r="C6602" t="s">
        <v>7</v>
      </c>
      <c r="D6602" t="s">
        <v>33</v>
      </c>
      <c r="E6602" t="s">
        <v>8777</v>
      </c>
      <c r="F6602" t="s">
        <v>9104</v>
      </c>
    </row>
    <row r="6603" spans="1:6" x14ac:dyDescent="0.25">
      <c r="A6603" t="str">
        <f>"383100038556"</f>
        <v>383100038556</v>
      </c>
      <c r="B6603" t="s">
        <v>9105</v>
      </c>
      <c r="C6603" t="s">
        <v>7</v>
      </c>
      <c r="D6603" t="s">
        <v>14</v>
      </c>
      <c r="E6603" t="s">
        <v>8777</v>
      </c>
    </row>
    <row r="6604" spans="1:6" x14ac:dyDescent="0.25">
      <c r="A6604" t="str">
        <f>"383102304700"</f>
        <v>383102304700</v>
      </c>
      <c r="B6604" t="s">
        <v>9106</v>
      </c>
      <c r="C6604" t="s">
        <v>7</v>
      </c>
      <c r="D6604" t="s">
        <v>14</v>
      </c>
      <c r="E6604" t="s">
        <v>8777</v>
      </c>
    </row>
    <row r="6605" spans="1:6" x14ac:dyDescent="0.25">
      <c r="A6605" t="str">
        <f>"383700749953"</f>
        <v>383700749953</v>
      </c>
      <c r="B6605" t="s">
        <v>9107</v>
      </c>
      <c r="C6605" t="s">
        <v>7</v>
      </c>
      <c r="D6605" t="s">
        <v>14</v>
      </c>
      <c r="E6605" t="s">
        <v>8777</v>
      </c>
    </row>
    <row r="6606" spans="1:6" x14ac:dyDescent="0.25">
      <c r="A6606" t="str">
        <f>"3848001367"</f>
        <v>3848001367</v>
      </c>
      <c r="B6606" t="s">
        <v>9108</v>
      </c>
      <c r="C6606" t="s">
        <v>7</v>
      </c>
      <c r="D6606" t="s">
        <v>33</v>
      </c>
      <c r="E6606" t="s">
        <v>8777</v>
      </c>
      <c r="F6606" t="s">
        <v>9109</v>
      </c>
    </row>
    <row r="6607" spans="1:6" x14ac:dyDescent="0.25">
      <c r="A6607" t="str">
        <f>"3848006767"</f>
        <v>3848006767</v>
      </c>
      <c r="B6607" t="s">
        <v>9110</v>
      </c>
      <c r="C6607" t="s">
        <v>7</v>
      </c>
      <c r="D6607" t="s">
        <v>14</v>
      </c>
      <c r="E6607" t="s">
        <v>8777</v>
      </c>
      <c r="F6607" t="s">
        <v>9111</v>
      </c>
    </row>
    <row r="6608" spans="1:6" x14ac:dyDescent="0.25">
      <c r="A6608" t="str">
        <f>"3849027086"</f>
        <v>3849027086</v>
      </c>
      <c r="B6608" t="s">
        <v>9112</v>
      </c>
      <c r="C6608" t="s">
        <v>7</v>
      </c>
      <c r="D6608" t="s">
        <v>33</v>
      </c>
      <c r="E6608" t="s">
        <v>8777</v>
      </c>
      <c r="F6608" t="s">
        <v>9113</v>
      </c>
    </row>
    <row r="6609" spans="1:6" x14ac:dyDescent="0.25">
      <c r="A6609" t="str">
        <f>"3849034781"</f>
        <v>3849034781</v>
      </c>
      <c r="B6609" t="s">
        <v>9114</v>
      </c>
      <c r="C6609" t="s">
        <v>7</v>
      </c>
      <c r="D6609" t="s">
        <v>8</v>
      </c>
      <c r="E6609" t="s">
        <v>8777</v>
      </c>
      <c r="F6609" t="s">
        <v>9115</v>
      </c>
    </row>
    <row r="6610" spans="1:6" x14ac:dyDescent="0.25">
      <c r="A6610" t="str">
        <f>"3849083098"</f>
        <v>3849083098</v>
      </c>
      <c r="B6610" t="s">
        <v>9116</v>
      </c>
      <c r="C6610" t="s">
        <v>7</v>
      </c>
      <c r="D6610" t="s">
        <v>12</v>
      </c>
      <c r="E6610" t="s">
        <v>8777</v>
      </c>
      <c r="F6610" t="s">
        <v>9117</v>
      </c>
    </row>
    <row r="6611" spans="1:6" x14ac:dyDescent="0.25">
      <c r="A6611" t="str">
        <f>"382700091359"</f>
        <v>382700091359</v>
      </c>
      <c r="B6611" t="s">
        <v>9118</v>
      </c>
      <c r="C6611" t="s">
        <v>7</v>
      </c>
      <c r="D6611" t="s">
        <v>14</v>
      </c>
      <c r="E6611" t="s">
        <v>8777</v>
      </c>
    </row>
    <row r="6612" spans="1:6" x14ac:dyDescent="0.25">
      <c r="A6612" t="str">
        <f>"382703734093"</f>
        <v>382703734093</v>
      </c>
      <c r="B6612" t="s">
        <v>9119</v>
      </c>
      <c r="C6612" t="s">
        <v>7</v>
      </c>
      <c r="D6612" t="s">
        <v>8</v>
      </c>
      <c r="E6612" t="s">
        <v>8777</v>
      </c>
    </row>
    <row r="6613" spans="1:6" x14ac:dyDescent="0.25">
      <c r="A6613" t="str">
        <f>"3827045765"</f>
        <v>3827045765</v>
      </c>
      <c r="B6613" t="s">
        <v>9120</v>
      </c>
      <c r="C6613" t="s">
        <v>7</v>
      </c>
      <c r="D6613" t="s">
        <v>33</v>
      </c>
      <c r="E6613" t="s">
        <v>8777</v>
      </c>
      <c r="F6613" t="s">
        <v>9121</v>
      </c>
    </row>
    <row r="6614" spans="1:6" x14ac:dyDescent="0.25">
      <c r="A6614" t="str">
        <f>"383001022611"</f>
        <v>383001022611</v>
      </c>
      <c r="B6614" t="s">
        <v>9122</v>
      </c>
      <c r="C6614" t="s">
        <v>7</v>
      </c>
      <c r="D6614" t="s">
        <v>14</v>
      </c>
      <c r="E6614" t="s">
        <v>8777</v>
      </c>
    </row>
    <row r="6615" spans="1:6" x14ac:dyDescent="0.25">
      <c r="A6615" t="str">
        <f>"3831000044"</f>
        <v>3831000044</v>
      </c>
      <c r="B6615" t="s">
        <v>9123</v>
      </c>
      <c r="C6615" t="s">
        <v>7</v>
      </c>
      <c r="D6615" t="s">
        <v>14</v>
      </c>
      <c r="E6615" t="s">
        <v>8777</v>
      </c>
      <c r="F6615" t="s">
        <v>9124</v>
      </c>
    </row>
    <row r="6616" spans="1:6" x14ac:dyDescent="0.25">
      <c r="A6616" t="str">
        <f>"383102031179"</f>
        <v>383102031179</v>
      </c>
      <c r="B6616" t="s">
        <v>9125</v>
      </c>
      <c r="C6616" t="s">
        <v>7</v>
      </c>
      <c r="D6616" t="s">
        <v>14</v>
      </c>
      <c r="E6616" t="s">
        <v>8777</v>
      </c>
    </row>
    <row r="6617" spans="1:6" x14ac:dyDescent="0.25">
      <c r="A6617" t="str">
        <f>"383200058122"</f>
        <v>383200058122</v>
      </c>
      <c r="B6617" t="s">
        <v>9126</v>
      </c>
      <c r="C6617" t="s">
        <v>7</v>
      </c>
      <c r="D6617" t="s">
        <v>14</v>
      </c>
      <c r="E6617" t="s">
        <v>8777</v>
      </c>
    </row>
    <row r="6618" spans="1:6" x14ac:dyDescent="0.25">
      <c r="A6618" t="str">
        <f>"383200925657"</f>
        <v>383200925657</v>
      </c>
      <c r="B6618" t="s">
        <v>9127</v>
      </c>
      <c r="C6618" t="s">
        <v>7</v>
      </c>
      <c r="D6618" t="s">
        <v>14</v>
      </c>
      <c r="E6618" t="s">
        <v>8777</v>
      </c>
    </row>
    <row r="6619" spans="1:6" x14ac:dyDescent="0.25">
      <c r="A6619" t="str">
        <f>"383801436876"</f>
        <v>383801436876</v>
      </c>
      <c r="B6619" t="s">
        <v>9128</v>
      </c>
      <c r="C6619" t="s">
        <v>7</v>
      </c>
      <c r="D6619" t="s">
        <v>14</v>
      </c>
      <c r="E6619" t="s">
        <v>8777</v>
      </c>
    </row>
    <row r="6620" spans="1:6" x14ac:dyDescent="0.25">
      <c r="A6620" t="str">
        <f>"384400053885"</f>
        <v>384400053885</v>
      </c>
      <c r="B6620" t="s">
        <v>9129</v>
      </c>
      <c r="C6620" t="s">
        <v>7</v>
      </c>
      <c r="D6620" t="s">
        <v>14</v>
      </c>
      <c r="E6620" t="s">
        <v>8777</v>
      </c>
    </row>
    <row r="6621" spans="1:6" x14ac:dyDescent="0.25">
      <c r="A6621" t="str">
        <f>"3849012386"</f>
        <v>3849012386</v>
      </c>
      <c r="B6621" t="s">
        <v>9130</v>
      </c>
      <c r="C6621" t="s">
        <v>7</v>
      </c>
      <c r="D6621" t="s">
        <v>14</v>
      </c>
      <c r="E6621" t="s">
        <v>8777</v>
      </c>
      <c r="F6621" t="s">
        <v>9131</v>
      </c>
    </row>
    <row r="6622" spans="1:6" x14ac:dyDescent="0.25">
      <c r="A6622" t="str">
        <f>"384903320600"</f>
        <v>384903320600</v>
      </c>
      <c r="B6622" t="s">
        <v>9132</v>
      </c>
      <c r="C6622" t="s">
        <v>7</v>
      </c>
      <c r="D6622" t="s">
        <v>33</v>
      </c>
      <c r="E6622" t="s">
        <v>8777</v>
      </c>
    </row>
    <row r="6623" spans="1:6" x14ac:dyDescent="0.25">
      <c r="A6623" t="str">
        <f>"3849034132"</f>
        <v>3849034132</v>
      </c>
      <c r="B6623" t="s">
        <v>9133</v>
      </c>
      <c r="C6623" t="s">
        <v>7</v>
      </c>
      <c r="D6623" t="s">
        <v>674</v>
      </c>
      <c r="E6623" t="s">
        <v>8777</v>
      </c>
      <c r="F6623" t="s">
        <v>9134</v>
      </c>
    </row>
    <row r="6624" spans="1:6" x14ac:dyDescent="0.25">
      <c r="A6624" t="str">
        <f>"3849036669"</f>
        <v>3849036669</v>
      </c>
      <c r="B6624" t="s">
        <v>9135</v>
      </c>
      <c r="C6624" t="s">
        <v>7</v>
      </c>
      <c r="D6624" t="s">
        <v>33</v>
      </c>
      <c r="E6624" t="s">
        <v>8777</v>
      </c>
      <c r="F6624" t="s">
        <v>9136</v>
      </c>
    </row>
    <row r="6625" spans="1:6" x14ac:dyDescent="0.25">
      <c r="A6625" t="str">
        <f>"3849038987"</f>
        <v>3849038987</v>
      </c>
      <c r="B6625" t="s">
        <v>9137</v>
      </c>
      <c r="C6625" t="s">
        <v>7</v>
      </c>
      <c r="D6625" t="s">
        <v>12</v>
      </c>
      <c r="E6625" t="s">
        <v>8777</v>
      </c>
      <c r="F6625" t="s">
        <v>9138</v>
      </c>
    </row>
    <row r="6626" spans="1:6" x14ac:dyDescent="0.25">
      <c r="A6626" t="str">
        <f>"3849093882"</f>
        <v>3849093882</v>
      </c>
      <c r="B6626" t="s">
        <v>9139</v>
      </c>
      <c r="C6626" t="s">
        <v>7</v>
      </c>
      <c r="D6626" t="s">
        <v>189</v>
      </c>
      <c r="E6626" t="s">
        <v>8777</v>
      </c>
      <c r="F6626" t="s">
        <v>9140</v>
      </c>
    </row>
    <row r="6627" spans="1:6" x14ac:dyDescent="0.25">
      <c r="A6627" t="str">
        <f>"3849098760"</f>
        <v>3849098760</v>
      </c>
      <c r="B6627" t="s">
        <v>9141</v>
      </c>
      <c r="C6627" t="s">
        <v>7</v>
      </c>
      <c r="D6627" t="s">
        <v>12</v>
      </c>
      <c r="E6627" t="s">
        <v>8777</v>
      </c>
      <c r="F6627" t="s">
        <v>9142</v>
      </c>
    </row>
    <row r="6628" spans="1:6" x14ac:dyDescent="0.25">
      <c r="A6628" t="str">
        <f>"7536180076"</f>
        <v>7536180076</v>
      </c>
      <c r="B6628" t="s">
        <v>9143</v>
      </c>
      <c r="C6628" t="s">
        <v>7</v>
      </c>
      <c r="D6628" t="s">
        <v>12</v>
      </c>
      <c r="E6628" t="s">
        <v>8777</v>
      </c>
      <c r="F6628" t="s">
        <v>9144</v>
      </c>
    </row>
    <row r="6629" spans="1:6" x14ac:dyDescent="0.25">
      <c r="A6629" t="str">
        <f>"850200088581"</f>
        <v>850200088581</v>
      </c>
      <c r="B6629" t="s">
        <v>9145</v>
      </c>
      <c r="C6629" t="s">
        <v>7</v>
      </c>
      <c r="D6629" t="s">
        <v>14</v>
      </c>
      <c r="E6629" t="s">
        <v>8777</v>
      </c>
    </row>
    <row r="6630" spans="1:6" x14ac:dyDescent="0.25">
      <c r="A6630" t="str">
        <f>"850602252707"</f>
        <v>850602252707</v>
      </c>
      <c r="B6630" t="s">
        <v>9146</v>
      </c>
      <c r="C6630" t="s">
        <v>7</v>
      </c>
      <c r="D6630" t="s">
        <v>33</v>
      </c>
      <c r="E6630" t="s">
        <v>8777</v>
      </c>
    </row>
    <row r="6631" spans="1:6" x14ac:dyDescent="0.25">
      <c r="A6631" t="str">
        <f>"850200913989"</f>
        <v>850200913989</v>
      </c>
      <c r="B6631" t="s">
        <v>9147</v>
      </c>
      <c r="C6631" t="s">
        <v>7</v>
      </c>
      <c r="D6631" t="s">
        <v>189</v>
      </c>
      <c r="E6631" t="s">
        <v>8777</v>
      </c>
    </row>
    <row r="6632" spans="1:6" x14ac:dyDescent="0.25">
      <c r="A6632" t="str">
        <f>"850400650110"</f>
        <v>850400650110</v>
      </c>
      <c r="B6632" t="s">
        <v>9148</v>
      </c>
      <c r="C6632" t="s">
        <v>7</v>
      </c>
      <c r="D6632" t="s">
        <v>14</v>
      </c>
      <c r="E6632" t="s">
        <v>8777</v>
      </c>
    </row>
    <row r="6633" spans="1:6" x14ac:dyDescent="0.25">
      <c r="A6633" t="str">
        <f>"850401220053"</f>
        <v>850401220053</v>
      </c>
      <c r="B6633" t="s">
        <v>9149</v>
      </c>
      <c r="C6633" t="s">
        <v>7</v>
      </c>
      <c r="D6633" t="s">
        <v>14</v>
      </c>
      <c r="E6633" t="s">
        <v>8777</v>
      </c>
    </row>
    <row r="6634" spans="1:6" x14ac:dyDescent="0.25">
      <c r="A6634" t="str">
        <f>"850600436191"</f>
        <v>850600436191</v>
      </c>
      <c r="B6634" t="s">
        <v>9150</v>
      </c>
      <c r="C6634" t="s">
        <v>7</v>
      </c>
      <c r="D6634" t="s">
        <v>14</v>
      </c>
      <c r="E6634" t="s">
        <v>8777</v>
      </c>
    </row>
    <row r="6635" spans="1:6" x14ac:dyDescent="0.25">
      <c r="A6635" t="str">
        <f>"850601881639"</f>
        <v>850601881639</v>
      </c>
      <c r="B6635" t="s">
        <v>9151</v>
      </c>
      <c r="C6635" t="s">
        <v>7</v>
      </c>
      <c r="D6635" t="s">
        <v>14</v>
      </c>
      <c r="E6635" t="s">
        <v>8777</v>
      </c>
    </row>
    <row r="6636" spans="1:6" x14ac:dyDescent="0.25">
      <c r="A6636" t="str">
        <f>"382105358950"</f>
        <v>382105358950</v>
      </c>
      <c r="B6636" t="s">
        <v>9152</v>
      </c>
      <c r="C6636" t="s">
        <v>7</v>
      </c>
      <c r="D6636" t="s">
        <v>14</v>
      </c>
      <c r="E6636" t="s">
        <v>8777</v>
      </c>
    </row>
    <row r="6637" spans="1:6" x14ac:dyDescent="0.25">
      <c r="A6637" t="str">
        <f>"382105410631"</f>
        <v>382105410631</v>
      </c>
      <c r="B6637" t="s">
        <v>9153</v>
      </c>
      <c r="C6637" t="s">
        <v>7</v>
      </c>
      <c r="D6637" t="s">
        <v>14</v>
      </c>
      <c r="E6637" t="s">
        <v>8777</v>
      </c>
    </row>
    <row r="6638" spans="1:6" x14ac:dyDescent="0.25">
      <c r="A6638" t="str">
        <f>"382200017332"</f>
        <v>382200017332</v>
      </c>
      <c r="B6638" t="s">
        <v>9154</v>
      </c>
      <c r="C6638" t="s">
        <v>7</v>
      </c>
      <c r="D6638" t="s">
        <v>14</v>
      </c>
      <c r="E6638" t="s">
        <v>8777</v>
      </c>
    </row>
    <row r="6639" spans="1:6" x14ac:dyDescent="0.25">
      <c r="A6639" t="str">
        <f>"382600008004"</f>
        <v>382600008004</v>
      </c>
      <c r="B6639" t="s">
        <v>9155</v>
      </c>
      <c r="C6639" t="s">
        <v>7</v>
      </c>
      <c r="D6639" t="s">
        <v>14</v>
      </c>
      <c r="E6639" t="s">
        <v>8777</v>
      </c>
    </row>
    <row r="6640" spans="1:6" x14ac:dyDescent="0.25">
      <c r="A6640" t="str">
        <f>"3827056654"</f>
        <v>3827056654</v>
      </c>
      <c r="B6640" t="s">
        <v>9156</v>
      </c>
      <c r="C6640" t="s">
        <v>7</v>
      </c>
      <c r="D6640" t="s">
        <v>14</v>
      </c>
      <c r="E6640" t="s">
        <v>8777</v>
      </c>
      <c r="F6640" t="s">
        <v>9157</v>
      </c>
    </row>
    <row r="6641" spans="1:6" x14ac:dyDescent="0.25">
      <c r="A6641" t="str">
        <f>"382800097121"</f>
        <v>382800097121</v>
      </c>
      <c r="B6641" t="s">
        <v>9158</v>
      </c>
      <c r="C6641" t="s">
        <v>7</v>
      </c>
      <c r="D6641" t="s">
        <v>14</v>
      </c>
      <c r="E6641" t="s">
        <v>8777</v>
      </c>
    </row>
    <row r="6642" spans="1:6" x14ac:dyDescent="0.25">
      <c r="A6642" t="str">
        <f>"383101553824"</f>
        <v>383101553824</v>
      </c>
      <c r="B6642" t="s">
        <v>9159</v>
      </c>
      <c r="C6642" t="s">
        <v>7</v>
      </c>
      <c r="D6642" t="s">
        <v>14</v>
      </c>
      <c r="E6642" t="s">
        <v>8777</v>
      </c>
    </row>
    <row r="6643" spans="1:6" x14ac:dyDescent="0.25">
      <c r="A6643" t="str">
        <f>"383200385909"</f>
        <v>383200385909</v>
      </c>
      <c r="B6643" t="s">
        <v>9160</v>
      </c>
      <c r="C6643" t="s">
        <v>7</v>
      </c>
      <c r="D6643" t="s">
        <v>14</v>
      </c>
      <c r="E6643" t="s">
        <v>8777</v>
      </c>
    </row>
    <row r="6644" spans="1:6" x14ac:dyDescent="0.25">
      <c r="A6644" t="str">
        <f>"383400769003"</f>
        <v>383400769003</v>
      </c>
      <c r="B6644" t="s">
        <v>9161</v>
      </c>
      <c r="C6644" t="s">
        <v>7</v>
      </c>
      <c r="D6644" t="s">
        <v>14</v>
      </c>
      <c r="E6644" t="s">
        <v>8777</v>
      </c>
    </row>
    <row r="6645" spans="1:6" x14ac:dyDescent="0.25">
      <c r="A6645" t="str">
        <f>"383802435931"</f>
        <v>383802435931</v>
      </c>
      <c r="B6645" t="s">
        <v>9162</v>
      </c>
      <c r="C6645" t="s">
        <v>7</v>
      </c>
      <c r="D6645" t="s">
        <v>14</v>
      </c>
      <c r="E6645" t="s">
        <v>8777</v>
      </c>
    </row>
    <row r="6646" spans="1:6" x14ac:dyDescent="0.25">
      <c r="A6646" t="str">
        <f>"384200514031"</f>
        <v>384200514031</v>
      </c>
      <c r="B6646" t="s">
        <v>9163</v>
      </c>
      <c r="C6646" t="s">
        <v>7</v>
      </c>
      <c r="D6646" t="s">
        <v>12</v>
      </c>
      <c r="E6646" t="s">
        <v>8777</v>
      </c>
    </row>
    <row r="6647" spans="1:6" x14ac:dyDescent="0.25">
      <c r="A6647" t="str">
        <f>"3847000787"</f>
        <v>3847000787</v>
      </c>
      <c r="B6647" t="s">
        <v>9164</v>
      </c>
      <c r="C6647" t="s">
        <v>7</v>
      </c>
      <c r="D6647" t="s">
        <v>12</v>
      </c>
      <c r="E6647" t="s">
        <v>8777</v>
      </c>
      <c r="F6647" t="s">
        <v>9165</v>
      </c>
    </row>
    <row r="6648" spans="1:6" x14ac:dyDescent="0.25">
      <c r="A6648" t="str">
        <f>"3849061538"</f>
        <v>3849061538</v>
      </c>
      <c r="B6648" t="s">
        <v>111</v>
      </c>
      <c r="C6648" t="s">
        <v>7</v>
      </c>
      <c r="D6648" t="s">
        <v>12</v>
      </c>
      <c r="E6648" t="s">
        <v>8777</v>
      </c>
      <c r="F6648" t="s">
        <v>9166</v>
      </c>
    </row>
    <row r="6649" spans="1:6" x14ac:dyDescent="0.25">
      <c r="A6649" t="str">
        <f>"3849092670"</f>
        <v>3849092670</v>
      </c>
      <c r="B6649" t="s">
        <v>9167</v>
      </c>
      <c r="C6649" t="s">
        <v>7</v>
      </c>
      <c r="D6649" t="s">
        <v>14</v>
      </c>
      <c r="E6649" t="s">
        <v>8777</v>
      </c>
      <c r="F6649" t="s">
        <v>9168</v>
      </c>
    </row>
    <row r="6650" spans="1:6" x14ac:dyDescent="0.25">
      <c r="A6650" t="str">
        <f>"3849104100"</f>
        <v>3849104100</v>
      </c>
      <c r="B6650" t="s">
        <v>9169</v>
      </c>
      <c r="C6650" t="s">
        <v>7</v>
      </c>
      <c r="D6650" t="s">
        <v>14</v>
      </c>
      <c r="E6650" t="s">
        <v>8777</v>
      </c>
      <c r="F6650" t="s">
        <v>9170</v>
      </c>
    </row>
    <row r="6651" spans="1:6" x14ac:dyDescent="0.25">
      <c r="A6651" t="str">
        <f>"3849106299"</f>
        <v>3849106299</v>
      </c>
      <c r="B6651" t="s">
        <v>9171</v>
      </c>
      <c r="C6651" t="s">
        <v>7</v>
      </c>
      <c r="D6651" t="s">
        <v>33</v>
      </c>
      <c r="E6651" t="s">
        <v>8777</v>
      </c>
      <c r="F6651" t="s">
        <v>9172</v>
      </c>
    </row>
    <row r="6652" spans="1:6" x14ac:dyDescent="0.25">
      <c r="A6652" t="str">
        <f>"3851022374"</f>
        <v>3851022374</v>
      </c>
      <c r="B6652" t="s">
        <v>9173</v>
      </c>
      <c r="C6652" t="s">
        <v>7</v>
      </c>
      <c r="D6652" t="s">
        <v>14</v>
      </c>
      <c r="E6652" t="s">
        <v>8777</v>
      </c>
      <c r="F6652" t="s">
        <v>9174</v>
      </c>
    </row>
    <row r="6653" spans="1:6" x14ac:dyDescent="0.25">
      <c r="A6653" t="str">
        <f>"385103619390"</f>
        <v>385103619390</v>
      </c>
      <c r="B6653" t="s">
        <v>9175</v>
      </c>
      <c r="C6653" t="s">
        <v>7</v>
      </c>
      <c r="D6653" t="s">
        <v>14</v>
      </c>
      <c r="E6653" t="s">
        <v>8777</v>
      </c>
    </row>
    <row r="6654" spans="1:6" x14ac:dyDescent="0.25">
      <c r="A6654" t="str">
        <f>"751800024003"</f>
        <v>751800024003</v>
      </c>
      <c r="B6654" t="s">
        <v>9176</v>
      </c>
      <c r="C6654" t="s">
        <v>7</v>
      </c>
      <c r="D6654" t="s">
        <v>14</v>
      </c>
      <c r="E6654" t="s">
        <v>8777</v>
      </c>
    </row>
    <row r="6655" spans="1:6" x14ac:dyDescent="0.25">
      <c r="A6655" t="str">
        <f>"141457673894"</f>
        <v>141457673894</v>
      </c>
      <c r="B6655" t="s">
        <v>9177</v>
      </c>
      <c r="C6655" t="s">
        <v>7</v>
      </c>
      <c r="D6655" t="s">
        <v>14</v>
      </c>
      <c r="E6655" t="s">
        <v>8777</v>
      </c>
    </row>
    <row r="6656" spans="1:6" x14ac:dyDescent="0.25">
      <c r="A6656" t="str">
        <f>"753004828634"</f>
        <v>753004828634</v>
      </c>
      <c r="B6656" t="s">
        <v>9178</v>
      </c>
      <c r="C6656" t="s">
        <v>7</v>
      </c>
      <c r="D6656" t="s">
        <v>14</v>
      </c>
      <c r="E6656" t="s">
        <v>8777</v>
      </c>
    </row>
    <row r="6657" spans="1:6" x14ac:dyDescent="0.25">
      <c r="A6657" t="str">
        <f>"380400861677"</f>
        <v>380400861677</v>
      </c>
      <c r="B6657" t="s">
        <v>9179</v>
      </c>
      <c r="C6657" t="s">
        <v>7</v>
      </c>
      <c r="D6657" t="s">
        <v>14</v>
      </c>
      <c r="E6657" t="s">
        <v>8777</v>
      </c>
    </row>
    <row r="6658" spans="1:6" x14ac:dyDescent="0.25">
      <c r="A6658" t="str">
        <f>"380507247646"</f>
        <v>380507247646</v>
      </c>
      <c r="B6658" t="s">
        <v>9180</v>
      </c>
      <c r="C6658" t="s">
        <v>7</v>
      </c>
      <c r="D6658" t="s">
        <v>463</v>
      </c>
      <c r="E6658" t="s">
        <v>8777</v>
      </c>
    </row>
    <row r="6659" spans="1:6" x14ac:dyDescent="0.25">
      <c r="A6659" t="str">
        <f>"3808273935"</f>
        <v>3808273935</v>
      </c>
      <c r="B6659" t="s">
        <v>9181</v>
      </c>
      <c r="C6659" t="s">
        <v>7</v>
      </c>
      <c r="D6659" t="s">
        <v>14</v>
      </c>
      <c r="E6659" t="s">
        <v>8777</v>
      </c>
      <c r="F6659" t="s">
        <v>9182</v>
      </c>
    </row>
    <row r="6660" spans="1:6" x14ac:dyDescent="0.25">
      <c r="A6660" t="str">
        <f>"381110795390"</f>
        <v>381110795390</v>
      </c>
      <c r="B6660" t="s">
        <v>9183</v>
      </c>
      <c r="C6660" t="s">
        <v>7</v>
      </c>
      <c r="D6660" t="s">
        <v>12</v>
      </c>
      <c r="E6660" t="s">
        <v>8777</v>
      </c>
    </row>
    <row r="6661" spans="1:6" x14ac:dyDescent="0.25">
      <c r="A6661" t="str">
        <f>"381115661093"</f>
        <v>381115661093</v>
      </c>
      <c r="B6661" t="s">
        <v>9184</v>
      </c>
      <c r="C6661" t="s">
        <v>7</v>
      </c>
      <c r="D6661" t="s">
        <v>12</v>
      </c>
      <c r="E6661" t="s">
        <v>8777</v>
      </c>
    </row>
    <row r="6662" spans="1:6" x14ac:dyDescent="0.25">
      <c r="A6662" t="str">
        <f>"3811175550"</f>
        <v>3811175550</v>
      </c>
      <c r="B6662" t="s">
        <v>9185</v>
      </c>
      <c r="C6662" t="s">
        <v>7</v>
      </c>
      <c r="D6662" t="s">
        <v>189</v>
      </c>
      <c r="E6662" t="s">
        <v>8777</v>
      </c>
      <c r="F6662" t="s">
        <v>9186</v>
      </c>
    </row>
    <row r="6663" spans="1:6" x14ac:dyDescent="0.25">
      <c r="A6663" t="str">
        <f>"3811463968"</f>
        <v>3811463968</v>
      </c>
      <c r="B6663" t="s">
        <v>6097</v>
      </c>
      <c r="C6663" t="s">
        <v>7</v>
      </c>
      <c r="D6663" t="s">
        <v>14</v>
      </c>
      <c r="E6663" t="s">
        <v>8777</v>
      </c>
      <c r="F6663" t="s">
        <v>9187</v>
      </c>
    </row>
    <row r="6664" spans="1:6" x14ac:dyDescent="0.25">
      <c r="A6664" t="str">
        <f>"381201063234"</f>
        <v>381201063234</v>
      </c>
      <c r="B6664" t="s">
        <v>9188</v>
      </c>
      <c r="C6664" t="s">
        <v>7</v>
      </c>
      <c r="D6664" t="s">
        <v>12</v>
      </c>
      <c r="E6664" t="s">
        <v>8777</v>
      </c>
    </row>
    <row r="6665" spans="1:6" x14ac:dyDescent="0.25">
      <c r="A6665" t="str">
        <f>"3812127630"</f>
        <v>3812127630</v>
      </c>
      <c r="B6665" t="s">
        <v>9189</v>
      </c>
      <c r="C6665" t="s">
        <v>7</v>
      </c>
      <c r="D6665" t="s">
        <v>14</v>
      </c>
      <c r="E6665" t="s">
        <v>8777</v>
      </c>
      <c r="F6665" t="s">
        <v>9190</v>
      </c>
    </row>
    <row r="6666" spans="1:6" x14ac:dyDescent="0.25">
      <c r="A6666" t="str">
        <f>"3812159784"</f>
        <v>3812159784</v>
      </c>
      <c r="B6666" t="s">
        <v>9191</v>
      </c>
      <c r="C6666" t="s">
        <v>7</v>
      </c>
      <c r="D6666" t="s">
        <v>8</v>
      </c>
      <c r="E6666" t="s">
        <v>8777</v>
      </c>
      <c r="F6666" t="s">
        <v>9192</v>
      </c>
    </row>
    <row r="6667" spans="1:6" x14ac:dyDescent="0.25">
      <c r="A6667" t="str">
        <f>"3812163484"</f>
        <v>3812163484</v>
      </c>
      <c r="B6667" t="s">
        <v>9193</v>
      </c>
      <c r="C6667" t="s">
        <v>7</v>
      </c>
      <c r="D6667" t="s">
        <v>189</v>
      </c>
      <c r="E6667" t="s">
        <v>8777</v>
      </c>
      <c r="F6667" t="s">
        <v>9194</v>
      </c>
    </row>
    <row r="6668" spans="1:6" x14ac:dyDescent="0.25">
      <c r="A6668" t="str">
        <f>"382700044260"</f>
        <v>382700044260</v>
      </c>
      <c r="B6668" t="s">
        <v>9195</v>
      </c>
      <c r="C6668" t="s">
        <v>7</v>
      </c>
      <c r="D6668" t="s">
        <v>14</v>
      </c>
      <c r="E6668" t="s">
        <v>8777</v>
      </c>
    </row>
    <row r="6669" spans="1:6" x14ac:dyDescent="0.25">
      <c r="A6669" t="str">
        <f>"382704213495"</f>
        <v>382704213495</v>
      </c>
      <c r="B6669" t="s">
        <v>9196</v>
      </c>
      <c r="C6669" t="s">
        <v>7</v>
      </c>
      <c r="D6669" t="s">
        <v>14</v>
      </c>
      <c r="E6669" t="s">
        <v>8777</v>
      </c>
    </row>
    <row r="6670" spans="1:6" x14ac:dyDescent="0.25">
      <c r="A6670" t="str">
        <f>"3827057295"</f>
        <v>3827057295</v>
      </c>
      <c r="B6670" t="s">
        <v>9197</v>
      </c>
      <c r="C6670" t="s">
        <v>7</v>
      </c>
      <c r="D6670" t="s">
        <v>14</v>
      </c>
      <c r="E6670" t="s">
        <v>8777</v>
      </c>
      <c r="F6670" t="s">
        <v>9198</v>
      </c>
    </row>
    <row r="6671" spans="1:6" x14ac:dyDescent="0.25">
      <c r="A6671" t="str">
        <f>"383200399002"</f>
        <v>383200399002</v>
      </c>
      <c r="B6671" t="s">
        <v>9199</v>
      </c>
      <c r="C6671" t="s">
        <v>7</v>
      </c>
      <c r="D6671" t="s">
        <v>14</v>
      </c>
      <c r="E6671" t="s">
        <v>8777</v>
      </c>
    </row>
    <row r="6672" spans="1:6" x14ac:dyDescent="0.25">
      <c r="A6672" t="str">
        <f>"3849056707"</f>
        <v>3849056707</v>
      </c>
      <c r="B6672" t="s">
        <v>9200</v>
      </c>
      <c r="C6672" t="s">
        <v>7</v>
      </c>
      <c r="D6672" t="s">
        <v>189</v>
      </c>
      <c r="E6672" t="s">
        <v>8777</v>
      </c>
      <c r="F6672" t="s">
        <v>9136</v>
      </c>
    </row>
    <row r="6673" spans="1:6" x14ac:dyDescent="0.25">
      <c r="A6673" t="str">
        <f>"3849081446"</f>
        <v>3849081446</v>
      </c>
      <c r="B6673" t="s">
        <v>9201</v>
      </c>
      <c r="C6673" t="s">
        <v>7</v>
      </c>
      <c r="D6673" t="s">
        <v>12</v>
      </c>
      <c r="E6673" t="s">
        <v>8777</v>
      </c>
      <c r="F6673" t="s">
        <v>9202</v>
      </c>
    </row>
    <row r="6674" spans="1:6" x14ac:dyDescent="0.25">
      <c r="A6674" t="str">
        <f>"6672356418"</f>
        <v>6672356418</v>
      </c>
      <c r="B6674" t="s">
        <v>9203</v>
      </c>
      <c r="C6674" t="s">
        <v>7</v>
      </c>
      <c r="D6674" t="s">
        <v>33</v>
      </c>
      <c r="E6674" t="s">
        <v>8777</v>
      </c>
      <c r="F6674" t="s">
        <v>9204</v>
      </c>
    </row>
    <row r="6675" spans="1:6" x14ac:dyDescent="0.25">
      <c r="A6675" t="str">
        <f>"421702777925"</f>
        <v>421702777925</v>
      </c>
      <c r="B6675" t="s">
        <v>9205</v>
      </c>
      <c r="C6675" t="s">
        <v>7</v>
      </c>
      <c r="D6675" t="s">
        <v>33</v>
      </c>
      <c r="E6675" t="s">
        <v>9206</v>
      </c>
    </row>
    <row r="6676" spans="1:6" x14ac:dyDescent="0.25">
      <c r="A6676" t="str">
        <f>"343514034536"</f>
        <v>343514034536</v>
      </c>
      <c r="B6676" t="s">
        <v>9207</v>
      </c>
      <c r="C6676" t="s">
        <v>7</v>
      </c>
      <c r="D6676" t="s">
        <v>12</v>
      </c>
      <c r="E6676" t="s">
        <v>9206</v>
      </c>
    </row>
    <row r="6677" spans="1:6" x14ac:dyDescent="0.25">
      <c r="A6677" t="str">
        <f>"3523016804"</f>
        <v>3523016804</v>
      </c>
      <c r="B6677" t="s">
        <v>9208</v>
      </c>
      <c r="C6677" t="s">
        <v>7</v>
      </c>
      <c r="D6677" t="s">
        <v>33</v>
      </c>
      <c r="E6677" t="s">
        <v>9206</v>
      </c>
      <c r="F6677" t="s">
        <v>9209</v>
      </c>
    </row>
    <row r="6678" spans="1:6" x14ac:dyDescent="0.25">
      <c r="A6678" t="str">
        <f>"352829814206"</f>
        <v>352829814206</v>
      </c>
      <c r="B6678" t="s">
        <v>9210</v>
      </c>
      <c r="C6678" t="s">
        <v>7</v>
      </c>
      <c r="D6678" t="s">
        <v>12</v>
      </c>
      <c r="E6678" t="s">
        <v>9206</v>
      </c>
    </row>
    <row r="6679" spans="1:6" x14ac:dyDescent="0.25">
      <c r="A6679" t="str">
        <f>"560305559331"</f>
        <v>560305559331</v>
      </c>
      <c r="B6679" t="s">
        <v>9211</v>
      </c>
      <c r="C6679" t="s">
        <v>7</v>
      </c>
      <c r="D6679" t="s">
        <v>14</v>
      </c>
      <c r="E6679" t="s">
        <v>9206</v>
      </c>
    </row>
    <row r="6680" spans="1:6" x14ac:dyDescent="0.25">
      <c r="A6680" t="str">
        <f>"781309929978"</f>
        <v>781309929978</v>
      </c>
      <c r="B6680" t="s">
        <v>9212</v>
      </c>
      <c r="C6680" t="s">
        <v>7</v>
      </c>
      <c r="D6680" t="s">
        <v>14</v>
      </c>
      <c r="E6680" t="s">
        <v>9206</v>
      </c>
    </row>
    <row r="6681" spans="1:6" x14ac:dyDescent="0.25">
      <c r="A6681" t="str">
        <f>"490900698957"</f>
        <v>490900698957</v>
      </c>
      <c r="B6681" t="s">
        <v>9213</v>
      </c>
      <c r="C6681" t="s">
        <v>7</v>
      </c>
      <c r="D6681" t="s">
        <v>12</v>
      </c>
      <c r="E6681" t="s">
        <v>9206</v>
      </c>
    </row>
    <row r="6682" spans="1:6" x14ac:dyDescent="0.25">
      <c r="A6682" t="str">
        <f>"7448021084"</f>
        <v>7448021084</v>
      </c>
      <c r="B6682" t="s">
        <v>9214</v>
      </c>
      <c r="C6682" t="s">
        <v>7</v>
      </c>
      <c r="D6682" t="s">
        <v>33</v>
      </c>
      <c r="E6682" t="s">
        <v>9206</v>
      </c>
      <c r="F6682" t="s">
        <v>9215</v>
      </c>
    </row>
    <row r="6683" spans="1:6" x14ac:dyDescent="0.25">
      <c r="A6683" t="str">
        <f>"390000089685"</f>
        <v>390000089685</v>
      </c>
      <c r="B6683" t="s">
        <v>9216</v>
      </c>
      <c r="C6683" t="s">
        <v>7</v>
      </c>
      <c r="D6683" t="s">
        <v>14</v>
      </c>
      <c r="E6683" t="s">
        <v>9206</v>
      </c>
    </row>
    <row r="6684" spans="1:6" x14ac:dyDescent="0.25">
      <c r="A6684" t="str">
        <f>"3900003419"</f>
        <v>3900003419</v>
      </c>
      <c r="B6684" t="s">
        <v>9217</v>
      </c>
      <c r="C6684" t="s">
        <v>7</v>
      </c>
      <c r="D6684" t="s">
        <v>98</v>
      </c>
      <c r="E6684" t="s">
        <v>9206</v>
      </c>
      <c r="F6684" t="s">
        <v>9218</v>
      </c>
    </row>
    <row r="6685" spans="1:6" x14ac:dyDescent="0.25">
      <c r="A6685" t="str">
        <f>"3900009724"</f>
        <v>3900009724</v>
      </c>
      <c r="B6685" t="s">
        <v>9219</v>
      </c>
      <c r="C6685" t="s">
        <v>7</v>
      </c>
      <c r="D6685" t="s">
        <v>674</v>
      </c>
      <c r="E6685" t="s">
        <v>9206</v>
      </c>
      <c r="F6685" t="s">
        <v>9220</v>
      </c>
    </row>
    <row r="6686" spans="1:6" x14ac:dyDescent="0.25">
      <c r="A6686" t="str">
        <f>"3900015439"</f>
        <v>3900015439</v>
      </c>
      <c r="B6686" t="s">
        <v>9221</v>
      </c>
      <c r="C6686" t="s">
        <v>7</v>
      </c>
      <c r="D6686" t="s">
        <v>674</v>
      </c>
      <c r="E6686" t="s">
        <v>9206</v>
      </c>
      <c r="F6686" t="s">
        <v>9222</v>
      </c>
    </row>
    <row r="6687" spans="1:6" x14ac:dyDescent="0.25">
      <c r="A6687" t="str">
        <f>"3900042778"</f>
        <v>3900042778</v>
      </c>
      <c r="B6687" t="s">
        <v>9223</v>
      </c>
      <c r="C6687" t="s">
        <v>7</v>
      </c>
      <c r="D6687" t="s">
        <v>12</v>
      </c>
      <c r="E6687" t="s">
        <v>9206</v>
      </c>
      <c r="F6687" t="s">
        <v>9224</v>
      </c>
    </row>
    <row r="6688" spans="1:6" x14ac:dyDescent="0.25">
      <c r="A6688" t="str">
        <f>"390200016405"</f>
        <v>390200016405</v>
      </c>
      <c r="B6688" t="s">
        <v>9225</v>
      </c>
      <c r="C6688" t="s">
        <v>7</v>
      </c>
      <c r="D6688" t="s">
        <v>14</v>
      </c>
      <c r="E6688" t="s">
        <v>9206</v>
      </c>
    </row>
    <row r="6689" spans="1:6" x14ac:dyDescent="0.25">
      <c r="A6689" t="str">
        <f>"390200229146"</f>
        <v>390200229146</v>
      </c>
      <c r="B6689" t="s">
        <v>9226</v>
      </c>
      <c r="C6689" t="s">
        <v>7</v>
      </c>
      <c r="D6689" t="s">
        <v>14</v>
      </c>
      <c r="E6689" t="s">
        <v>9206</v>
      </c>
    </row>
    <row r="6690" spans="1:6" x14ac:dyDescent="0.25">
      <c r="A6690" t="str">
        <f>"390202097826"</f>
        <v>390202097826</v>
      </c>
      <c r="B6690" t="s">
        <v>9227</v>
      </c>
      <c r="C6690" t="s">
        <v>7</v>
      </c>
      <c r="D6690" t="s">
        <v>14</v>
      </c>
      <c r="E6690" t="s">
        <v>9206</v>
      </c>
    </row>
    <row r="6691" spans="1:6" x14ac:dyDescent="0.25">
      <c r="A6691" t="str">
        <f>"390202553483"</f>
        <v>390202553483</v>
      </c>
      <c r="B6691" t="s">
        <v>9228</v>
      </c>
      <c r="C6691" t="s">
        <v>7</v>
      </c>
      <c r="D6691" t="s">
        <v>14</v>
      </c>
      <c r="E6691" t="s">
        <v>9206</v>
      </c>
    </row>
    <row r="6692" spans="1:6" x14ac:dyDescent="0.25">
      <c r="A6692" t="str">
        <f>"390400546960"</f>
        <v>390400546960</v>
      </c>
      <c r="B6692" t="s">
        <v>9229</v>
      </c>
      <c r="C6692" t="s">
        <v>7</v>
      </c>
      <c r="D6692" t="s">
        <v>14</v>
      </c>
      <c r="E6692" t="s">
        <v>9206</v>
      </c>
    </row>
    <row r="6693" spans="1:6" x14ac:dyDescent="0.25">
      <c r="A6693" t="str">
        <f>"3904067269"</f>
        <v>3904067269</v>
      </c>
      <c r="B6693" t="s">
        <v>719</v>
      </c>
      <c r="C6693" t="s">
        <v>7</v>
      </c>
      <c r="D6693" t="s">
        <v>33</v>
      </c>
      <c r="E6693" t="s">
        <v>9206</v>
      </c>
      <c r="F6693" t="s">
        <v>9230</v>
      </c>
    </row>
    <row r="6694" spans="1:6" x14ac:dyDescent="0.25">
      <c r="A6694" t="str">
        <f>"390406741929"</f>
        <v>390406741929</v>
      </c>
      <c r="B6694" t="s">
        <v>9231</v>
      </c>
      <c r="C6694" t="s">
        <v>7</v>
      </c>
      <c r="D6694" t="s">
        <v>14</v>
      </c>
      <c r="E6694" t="s">
        <v>9206</v>
      </c>
    </row>
    <row r="6695" spans="1:6" x14ac:dyDescent="0.25">
      <c r="A6695" t="str">
        <f>"390502773176"</f>
        <v>390502773176</v>
      </c>
      <c r="B6695" t="s">
        <v>9232</v>
      </c>
      <c r="C6695" t="s">
        <v>7</v>
      </c>
      <c r="D6695" t="s">
        <v>14</v>
      </c>
      <c r="E6695" t="s">
        <v>9206</v>
      </c>
    </row>
    <row r="6696" spans="1:6" x14ac:dyDescent="0.25">
      <c r="A6696" t="str">
        <f>"3905040936"</f>
        <v>3905040936</v>
      </c>
      <c r="B6696" t="s">
        <v>9233</v>
      </c>
      <c r="C6696" t="s">
        <v>7</v>
      </c>
      <c r="D6696" t="s">
        <v>33</v>
      </c>
      <c r="E6696" t="s">
        <v>9206</v>
      </c>
      <c r="F6696" t="s">
        <v>9234</v>
      </c>
    </row>
    <row r="6697" spans="1:6" x14ac:dyDescent="0.25">
      <c r="A6697" t="str">
        <f>"3905065722"</f>
        <v>3905065722</v>
      </c>
      <c r="B6697" t="s">
        <v>2368</v>
      </c>
      <c r="C6697" t="s">
        <v>7</v>
      </c>
      <c r="D6697" t="s">
        <v>8</v>
      </c>
      <c r="E6697" t="s">
        <v>9206</v>
      </c>
      <c r="F6697" t="s">
        <v>9235</v>
      </c>
    </row>
    <row r="6698" spans="1:6" x14ac:dyDescent="0.25">
      <c r="A6698" t="str">
        <f>"3905069220"</f>
        <v>3905069220</v>
      </c>
      <c r="B6698" t="s">
        <v>9236</v>
      </c>
      <c r="C6698" t="s">
        <v>7</v>
      </c>
      <c r="D6698" t="s">
        <v>12</v>
      </c>
      <c r="E6698" t="s">
        <v>9206</v>
      </c>
      <c r="F6698" t="s">
        <v>9237</v>
      </c>
    </row>
    <row r="6699" spans="1:6" x14ac:dyDescent="0.25">
      <c r="A6699" t="str">
        <f>"390524731300"</f>
        <v>390524731300</v>
      </c>
      <c r="B6699" t="s">
        <v>9238</v>
      </c>
      <c r="C6699" t="s">
        <v>7</v>
      </c>
      <c r="D6699" t="s">
        <v>14</v>
      </c>
      <c r="E6699" t="s">
        <v>9206</v>
      </c>
    </row>
    <row r="6700" spans="1:6" x14ac:dyDescent="0.25">
      <c r="A6700" t="str">
        <f>"3905606266"</f>
        <v>3905606266</v>
      </c>
      <c r="B6700" t="s">
        <v>9239</v>
      </c>
      <c r="C6700" t="s">
        <v>7</v>
      </c>
      <c r="D6700" t="s">
        <v>463</v>
      </c>
      <c r="E6700" t="s">
        <v>9206</v>
      </c>
      <c r="F6700" t="s">
        <v>9240</v>
      </c>
    </row>
    <row r="6701" spans="1:6" x14ac:dyDescent="0.25">
      <c r="A6701" t="str">
        <f>"390600321153"</f>
        <v>390600321153</v>
      </c>
      <c r="B6701" t="s">
        <v>9241</v>
      </c>
      <c r="C6701" t="s">
        <v>7</v>
      </c>
      <c r="D6701" t="s">
        <v>14</v>
      </c>
      <c r="E6701" t="s">
        <v>9206</v>
      </c>
    </row>
    <row r="6702" spans="1:6" x14ac:dyDescent="0.25">
      <c r="A6702" t="str">
        <f>"390601140470"</f>
        <v>390601140470</v>
      </c>
      <c r="B6702" t="s">
        <v>9242</v>
      </c>
      <c r="C6702" t="s">
        <v>7</v>
      </c>
      <c r="D6702" t="s">
        <v>14</v>
      </c>
      <c r="E6702" t="s">
        <v>9206</v>
      </c>
    </row>
    <row r="6703" spans="1:6" x14ac:dyDescent="0.25">
      <c r="A6703" t="str">
        <f>"390603331054"</f>
        <v>390603331054</v>
      </c>
      <c r="B6703" t="s">
        <v>9243</v>
      </c>
      <c r="C6703" t="s">
        <v>7</v>
      </c>
      <c r="D6703" t="s">
        <v>14</v>
      </c>
      <c r="E6703" t="s">
        <v>9206</v>
      </c>
    </row>
    <row r="6704" spans="1:6" x14ac:dyDescent="0.25">
      <c r="A6704" t="str">
        <f>"390603699120"</f>
        <v>390603699120</v>
      </c>
      <c r="B6704" t="s">
        <v>9244</v>
      </c>
      <c r="C6704" t="s">
        <v>7</v>
      </c>
      <c r="D6704" t="s">
        <v>14</v>
      </c>
      <c r="E6704" t="s">
        <v>9206</v>
      </c>
    </row>
    <row r="6705" spans="1:6" x14ac:dyDescent="0.25">
      <c r="A6705" t="str">
        <f>"3906044080"</f>
        <v>3906044080</v>
      </c>
      <c r="B6705" t="s">
        <v>9245</v>
      </c>
      <c r="C6705" t="s">
        <v>7</v>
      </c>
      <c r="D6705" t="s">
        <v>14</v>
      </c>
      <c r="E6705" t="s">
        <v>9206</v>
      </c>
      <c r="F6705" t="s">
        <v>9246</v>
      </c>
    </row>
    <row r="6706" spans="1:6" x14ac:dyDescent="0.25">
      <c r="A6706" t="str">
        <f>"390611302748"</f>
        <v>390611302748</v>
      </c>
      <c r="B6706" t="s">
        <v>9247</v>
      </c>
      <c r="C6706" t="s">
        <v>7</v>
      </c>
      <c r="D6706" t="s">
        <v>14</v>
      </c>
      <c r="E6706" t="s">
        <v>9206</v>
      </c>
    </row>
    <row r="6707" spans="1:6" x14ac:dyDescent="0.25">
      <c r="A6707" t="str">
        <f>"390612885683"</f>
        <v>390612885683</v>
      </c>
      <c r="B6707" t="s">
        <v>9248</v>
      </c>
      <c r="C6707" t="s">
        <v>7</v>
      </c>
      <c r="D6707" t="s">
        <v>14</v>
      </c>
      <c r="E6707" t="s">
        <v>9206</v>
      </c>
    </row>
    <row r="6708" spans="1:6" x14ac:dyDescent="0.25">
      <c r="A6708" t="str">
        <f>"3906151029"</f>
        <v>3906151029</v>
      </c>
      <c r="B6708" t="s">
        <v>9249</v>
      </c>
      <c r="C6708" t="s">
        <v>7</v>
      </c>
      <c r="D6708" t="s">
        <v>8</v>
      </c>
      <c r="E6708" t="s">
        <v>9206</v>
      </c>
      <c r="F6708" t="s">
        <v>9250</v>
      </c>
    </row>
    <row r="6709" spans="1:6" x14ac:dyDescent="0.25">
      <c r="A6709" t="str">
        <f>"3900000136"</f>
        <v>3900000136</v>
      </c>
      <c r="B6709" t="s">
        <v>9251</v>
      </c>
      <c r="C6709" t="s">
        <v>7</v>
      </c>
      <c r="D6709" t="s">
        <v>14</v>
      </c>
      <c r="E6709" t="s">
        <v>9206</v>
      </c>
      <c r="F6709" t="s">
        <v>9252</v>
      </c>
    </row>
    <row r="6710" spans="1:6" x14ac:dyDescent="0.25">
      <c r="A6710" t="str">
        <f>"3900004451"</f>
        <v>3900004451</v>
      </c>
      <c r="B6710" t="s">
        <v>9253</v>
      </c>
      <c r="C6710" t="s">
        <v>7</v>
      </c>
      <c r="D6710" t="s">
        <v>33</v>
      </c>
      <c r="E6710" t="s">
        <v>9206</v>
      </c>
      <c r="F6710" t="s">
        <v>9254</v>
      </c>
    </row>
    <row r="6711" spans="1:6" x14ac:dyDescent="0.25">
      <c r="A6711" t="str">
        <f>"3900006970"</f>
        <v>3900006970</v>
      </c>
      <c r="B6711" t="s">
        <v>9255</v>
      </c>
      <c r="C6711" t="s">
        <v>7</v>
      </c>
      <c r="D6711" t="s">
        <v>14</v>
      </c>
      <c r="E6711" t="s">
        <v>9206</v>
      </c>
      <c r="F6711" t="s">
        <v>9256</v>
      </c>
    </row>
    <row r="6712" spans="1:6" x14ac:dyDescent="0.25">
      <c r="A6712" t="str">
        <f>"3900038210"</f>
        <v>3900038210</v>
      </c>
      <c r="B6712" t="s">
        <v>9257</v>
      </c>
      <c r="C6712" t="s">
        <v>7</v>
      </c>
      <c r="D6712" t="s">
        <v>28</v>
      </c>
      <c r="E6712" t="s">
        <v>9206</v>
      </c>
      <c r="F6712" t="s">
        <v>9258</v>
      </c>
    </row>
    <row r="6713" spans="1:6" x14ac:dyDescent="0.25">
      <c r="A6713" t="str">
        <f>"3900038549"</f>
        <v>3900038549</v>
      </c>
      <c r="B6713" t="s">
        <v>9259</v>
      </c>
      <c r="C6713" t="s">
        <v>7</v>
      </c>
      <c r="D6713" t="s">
        <v>33</v>
      </c>
      <c r="E6713" t="s">
        <v>9206</v>
      </c>
      <c r="F6713" t="s">
        <v>9260</v>
      </c>
    </row>
    <row r="6714" spans="1:6" x14ac:dyDescent="0.25">
      <c r="A6714" t="str">
        <f>"390406437012"</f>
        <v>390406437012</v>
      </c>
      <c r="B6714" t="s">
        <v>9261</v>
      </c>
      <c r="C6714" t="s">
        <v>7</v>
      </c>
      <c r="D6714" t="s">
        <v>14</v>
      </c>
      <c r="E6714" t="s">
        <v>9206</v>
      </c>
    </row>
    <row r="6715" spans="1:6" x14ac:dyDescent="0.25">
      <c r="A6715" t="str">
        <f>"3904067685"</f>
        <v>3904067685</v>
      </c>
      <c r="B6715" t="s">
        <v>9262</v>
      </c>
      <c r="C6715" t="s">
        <v>7</v>
      </c>
      <c r="D6715" t="s">
        <v>189</v>
      </c>
      <c r="E6715" t="s">
        <v>9206</v>
      </c>
      <c r="F6715" t="s">
        <v>9263</v>
      </c>
    </row>
    <row r="6716" spans="1:6" x14ac:dyDescent="0.25">
      <c r="A6716" t="str">
        <f>"3904612387"</f>
        <v>3904612387</v>
      </c>
      <c r="B6716" t="s">
        <v>9264</v>
      </c>
      <c r="C6716" t="s">
        <v>7</v>
      </c>
      <c r="D6716" t="s">
        <v>674</v>
      </c>
      <c r="E6716" t="s">
        <v>9206</v>
      </c>
      <c r="F6716" t="s">
        <v>9265</v>
      </c>
    </row>
    <row r="6717" spans="1:6" x14ac:dyDescent="0.25">
      <c r="A6717" t="str">
        <f>"3905027340"</f>
        <v>3905027340</v>
      </c>
      <c r="B6717" t="s">
        <v>9266</v>
      </c>
      <c r="C6717" t="s">
        <v>7</v>
      </c>
      <c r="D6717" t="s">
        <v>8</v>
      </c>
      <c r="E6717" t="s">
        <v>9206</v>
      </c>
      <c r="F6717" t="s">
        <v>9267</v>
      </c>
    </row>
    <row r="6718" spans="1:6" x14ac:dyDescent="0.25">
      <c r="A6718" t="str">
        <f>"390503723065"</f>
        <v>390503723065</v>
      </c>
      <c r="B6718" t="s">
        <v>9268</v>
      </c>
      <c r="C6718" t="s">
        <v>7</v>
      </c>
      <c r="D6718" t="s">
        <v>14</v>
      </c>
      <c r="E6718" t="s">
        <v>9206</v>
      </c>
    </row>
    <row r="6719" spans="1:6" x14ac:dyDescent="0.25">
      <c r="A6719" t="str">
        <f>"390503887306"</f>
        <v>390503887306</v>
      </c>
      <c r="B6719" t="s">
        <v>9269</v>
      </c>
      <c r="C6719" t="s">
        <v>7</v>
      </c>
      <c r="D6719" t="s">
        <v>14</v>
      </c>
      <c r="E6719" t="s">
        <v>9206</v>
      </c>
    </row>
    <row r="6720" spans="1:6" x14ac:dyDescent="0.25">
      <c r="A6720" t="str">
        <f>"390600113234"</f>
        <v>390600113234</v>
      </c>
      <c r="B6720" t="s">
        <v>9270</v>
      </c>
      <c r="C6720" t="s">
        <v>7</v>
      </c>
      <c r="D6720" t="s">
        <v>33</v>
      </c>
      <c r="E6720" t="s">
        <v>9206</v>
      </c>
    </row>
    <row r="6721" spans="1:6" x14ac:dyDescent="0.25">
      <c r="A6721" t="str">
        <f>"390600221889"</f>
        <v>390600221889</v>
      </c>
      <c r="B6721" t="s">
        <v>9271</v>
      </c>
      <c r="C6721" t="s">
        <v>7</v>
      </c>
      <c r="D6721" t="s">
        <v>14</v>
      </c>
      <c r="E6721" t="s">
        <v>9206</v>
      </c>
    </row>
    <row r="6722" spans="1:6" x14ac:dyDescent="0.25">
      <c r="A6722" t="str">
        <f>"390600635791"</f>
        <v>390600635791</v>
      </c>
      <c r="B6722" t="s">
        <v>9272</v>
      </c>
      <c r="C6722" t="s">
        <v>7</v>
      </c>
      <c r="D6722" t="s">
        <v>8</v>
      </c>
      <c r="E6722" t="s">
        <v>9206</v>
      </c>
    </row>
    <row r="6723" spans="1:6" x14ac:dyDescent="0.25">
      <c r="A6723" t="str">
        <f>"390601267406"</f>
        <v>390601267406</v>
      </c>
      <c r="B6723" t="s">
        <v>9273</v>
      </c>
      <c r="C6723" t="s">
        <v>7</v>
      </c>
      <c r="D6723" t="s">
        <v>14</v>
      </c>
      <c r="E6723" t="s">
        <v>9206</v>
      </c>
    </row>
    <row r="6724" spans="1:6" x14ac:dyDescent="0.25">
      <c r="A6724" t="str">
        <f>"390601779789"</f>
        <v>390601779789</v>
      </c>
      <c r="B6724" t="s">
        <v>9274</v>
      </c>
      <c r="C6724" t="s">
        <v>7</v>
      </c>
      <c r="D6724" t="s">
        <v>14</v>
      </c>
      <c r="E6724" t="s">
        <v>9206</v>
      </c>
    </row>
    <row r="6725" spans="1:6" x14ac:dyDescent="0.25">
      <c r="A6725" t="str">
        <f>"390603202806"</f>
        <v>390603202806</v>
      </c>
      <c r="B6725" t="s">
        <v>9275</v>
      </c>
      <c r="C6725" t="s">
        <v>7</v>
      </c>
      <c r="D6725" t="s">
        <v>14</v>
      </c>
      <c r="E6725" t="s">
        <v>9206</v>
      </c>
    </row>
    <row r="6726" spans="1:6" x14ac:dyDescent="0.25">
      <c r="A6726" t="str">
        <f>"3906099192"</f>
        <v>3906099192</v>
      </c>
      <c r="B6726" t="s">
        <v>111</v>
      </c>
      <c r="C6726" t="s">
        <v>7</v>
      </c>
      <c r="D6726" t="s">
        <v>8</v>
      </c>
      <c r="E6726" t="s">
        <v>9206</v>
      </c>
      <c r="F6726" t="s">
        <v>9276</v>
      </c>
    </row>
    <row r="6727" spans="1:6" x14ac:dyDescent="0.25">
      <c r="A6727" t="str">
        <f>"3906151822"</f>
        <v>3906151822</v>
      </c>
      <c r="B6727" t="s">
        <v>9277</v>
      </c>
      <c r="C6727" t="s">
        <v>7</v>
      </c>
      <c r="D6727" t="s">
        <v>28</v>
      </c>
      <c r="E6727" t="s">
        <v>9206</v>
      </c>
      <c r="F6727" t="s">
        <v>9278</v>
      </c>
    </row>
    <row r="6728" spans="1:6" x14ac:dyDescent="0.25">
      <c r="A6728" t="str">
        <f>"3906156764"</f>
        <v>3906156764</v>
      </c>
      <c r="B6728" t="s">
        <v>9279</v>
      </c>
      <c r="C6728" t="s">
        <v>7</v>
      </c>
      <c r="D6728" t="s">
        <v>12</v>
      </c>
      <c r="E6728" t="s">
        <v>9206</v>
      </c>
      <c r="F6728" t="s">
        <v>9280</v>
      </c>
    </row>
    <row r="6729" spans="1:6" x14ac:dyDescent="0.25">
      <c r="A6729" t="str">
        <f>"3906199895"</f>
        <v>3906199895</v>
      </c>
      <c r="B6729" t="s">
        <v>9281</v>
      </c>
      <c r="C6729" t="s">
        <v>7</v>
      </c>
      <c r="D6729" t="s">
        <v>12</v>
      </c>
      <c r="E6729" t="s">
        <v>9206</v>
      </c>
      <c r="F6729" t="s">
        <v>9282</v>
      </c>
    </row>
    <row r="6730" spans="1:6" x14ac:dyDescent="0.25">
      <c r="A6730" t="str">
        <f>"3906244259"</f>
        <v>3906244259</v>
      </c>
      <c r="B6730" t="s">
        <v>9283</v>
      </c>
      <c r="C6730" t="s">
        <v>7</v>
      </c>
      <c r="D6730" t="s">
        <v>12</v>
      </c>
      <c r="E6730" t="s">
        <v>9206</v>
      </c>
      <c r="F6730" t="s">
        <v>9284</v>
      </c>
    </row>
    <row r="6731" spans="1:6" x14ac:dyDescent="0.25">
      <c r="A6731" t="str">
        <f>"3906275850"</f>
        <v>3906275850</v>
      </c>
      <c r="B6731" t="s">
        <v>9285</v>
      </c>
      <c r="C6731" t="s">
        <v>7</v>
      </c>
      <c r="D6731" t="s">
        <v>189</v>
      </c>
      <c r="E6731" t="s">
        <v>9206</v>
      </c>
      <c r="F6731" t="s">
        <v>9286</v>
      </c>
    </row>
    <row r="6732" spans="1:6" x14ac:dyDescent="0.25">
      <c r="A6732" t="str">
        <f>"3906312406"</f>
        <v>3906312406</v>
      </c>
      <c r="B6732" t="s">
        <v>9287</v>
      </c>
      <c r="C6732" t="s">
        <v>7</v>
      </c>
      <c r="D6732" t="s">
        <v>14</v>
      </c>
      <c r="E6732" t="s">
        <v>9206</v>
      </c>
      <c r="F6732" t="s">
        <v>9288</v>
      </c>
    </row>
    <row r="6733" spans="1:6" x14ac:dyDescent="0.25">
      <c r="A6733" t="str">
        <f>"3906368448"</f>
        <v>3906368448</v>
      </c>
      <c r="B6733" t="s">
        <v>9289</v>
      </c>
      <c r="C6733" t="s">
        <v>7</v>
      </c>
      <c r="D6733" t="s">
        <v>12</v>
      </c>
      <c r="E6733" t="s">
        <v>9206</v>
      </c>
      <c r="F6733" t="s">
        <v>9290</v>
      </c>
    </row>
    <row r="6734" spans="1:6" x14ac:dyDescent="0.25">
      <c r="A6734" t="str">
        <f>"3906377876"</f>
        <v>3906377876</v>
      </c>
      <c r="B6734" t="s">
        <v>9291</v>
      </c>
      <c r="C6734" t="s">
        <v>7</v>
      </c>
      <c r="D6734" t="s">
        <v>33</v>
      </c>
      <c r="E6734" t="s">
        <v>9206</v>
      </c>
      <c r="F6734" t="s">
        <v>9292</v>
      </c>
    </row>
    <row r="6735" spans="1:6" x14ac:dyDescent="0.25">
      <c r="A6735" t="str">
        <f>"3906380501"</f>
        <v>3906380501</v>
      </c>
      <c r="B6735" t="s">
        <v>9293</v>
      </c>
      <c r="C6735" t="s">
        <v>7</v>
      </c>
      <c r="D6735" t="s">
        <v>674</v>
      </c>
      <c r="E6735" t="s">
        <v>9206</v>
      </c>
      <c r="F6735" t="s">
        <v>9294</v>
      </c>
    </row>
    <row r="6736" spans="1:6" x14ac:dyDescent="0.25">
      <c r="A6736" t="str">
        <f>"3900036206"</f>
        <v>3900036206</v>
      </c>
      <c r="B6736" t="s">
        <v>9295</v>
      </c>
      <c r="C6736" t="s">
        <v>7</v>
      </c>
      <c r="D6736" t="s">
        <v>14</v>
      </c>
      <c r="E6736" t="s">
        <v>9206</v>
      </c>
      <c r="F6736" t="s">
        <v>9296</v>
      </c>
    </row>
    <row r="6737" spans="1:6" x14ac:dyDescent="0.25">
      <c r="A6737" t="str">
        <f>"390100017469"</f>
        <v>390100017469</v>
      </c>
      <c r="B6737" t="s">
        <v>9297</v>
      </c>
      <c r="C6737" t="s">
        <v>7</v>
      </c>
      <c r="D6737" t="s">
        <v>14</v>
      </c>
      <c r="E6737" t="s">
        <v>9206</v>
      </c>
    </row>
    <row r="6738" spans="1:6" x14ac:dyDescent="0.25">
      <c r="A6738" t="str">
        <f>"390203434104"</f>
        <v>390203434104</v>
      </c>
      <c r="B6738" t="s">
        <v>9298</v>
      </c>
      <c r="C6738" t="s">
        <v>7</v>
      </c>
      <c r="D6738" t="s">
        <v>12</v>
      </c>
      <c r="E6738" t="s">
        <v>9206</v>
      </c>
    </row>
    <row r="6739" spans="1:6" x14ac:dyDescent="0.25">
      <c r="A6739" t="str">
        <f>"390407979988"</f>
        <v>390407979988</v>
      </c>
      <c r="B6739" t="s">
        <v>9299</v>
      </c>
      <c r="C6739" t="s">
        <v>7</v>
      </c>
      <c r="D6739" t="s">
        <v>12</v>
      </c>
      <c r="E6739" t="s">
        <v>9206</v>
      </c>
    </row>
    <row r="6740" spans="1:6" x14ac:dyDescent="0.25">
      <c r="A6740" t="str">
        <f>"390500152705"</f>
        <v>390500152705</v>
      </c>
      <c r="B6740" t="s">
        <v>9300</v>
      </c>
      <c r="C6740" t="s">
        <v>7</v>
      </c>
      <c r="D6740" t="s">
        <v>14</v>
      </c>
      <c r="E6740" t="s">
        <v>9206</v>
      </c>
    </row>
    <row r="6741" spans="1:6" x14ac:dyDescent="0.25">
      <c r="A6741" t="str">
        <f>"390502269868"</f>
        <v>390502269868</v>
      </c>
      <c r="B6741" t="s">
        <v>9301</v>
      </c>
      <c r="C6741" t="s">
        <v>7</v>
      </c>
      <c r="D6741" t="s">
        <v>14</v>
      </c>
      <c r="E6741" t="s">
        <v>9206</v>
      </c>
    </row>
    <row r="6742" spans="1:6" x14ac:dyDescent="0.25">
      <c r="A6742" t="str">
        <f>"390503774567"</f>
        <v>390503774567</v>
      </c>
      <c r="B6742" t="s">
        <v>9302</v>
      </c>
      <c r="C6742" t="s">
        <v>7</v>
      </c>
      <c r="D6742" t="s">
        <v>12</v>
      </c>
      <c r="E6742" t="s">
        <v>9206</v>
      </c>
    </row>
    <row r="6743" spans="1:6" x14ac:dyDescent="0.25">
      <c r="A6743" t="str">
        <f>"3905069170"</f>
        <v>3905069170</v>
      </c>
      <c r="B6743" t="s">
        <v>9303</v>
      </c>
      <c r="C6743" t="s">
        <v>7</v>
      </c>
      <c r="D6743" t="s">
        <v>33</v>
      </c>
      <c r="E6743" t="s">
        <v>9206</v>
      </c>
      <c r="F6743" t="s">
        <v>9304</v>
      </c>
    </row>
    <row r="6744" spans="1:6" x14ac:dyDescent="0.25">
      <c r="A6744" t="str">
        <f>"390510154028"</f>
        <v>390510154028</v>
      </c>
      <c r="B6744" t="s">
        <v>9305</v>
      </c>
      <c r="C6744" t="s">
        <v>7</v>
      </c>
      <c r="D6744" t="s">
        <v>14</v>
      </c>
      <c r="E6744" t="s">
        <v>9206</v>
      </c>
    </row>
    <row r="6745" spans="1:6" x14ac:dyDescent="0.25">
      <c r="A6745" t="str">
        <f>"390521508776"</f>
        <v>390521508776</v>
      </c>
      <c r="B6745" t="s">
        <v>9306</v>
      </c>
      <c r="C6745" t="s">
        <v>7</v>
      </c>
      <c r="D6745" t="s">
        <v>14</v>
      </c>
      <c r="E6745" t="s">
        <v>9206</v>
      </c>
    </row>
    <row r="6746" spans="1:6" x14ac:dyDescent="0.25">
      <c r="A6746" t="str">
        <f>"390600252527"</f>
        <v>390600252527</v>
      </c>
      <c r="B6746" t="s">
        <v>9307</v>
      </c>
      <c r="C6746" t="s">
        <v>7</v>
      </c>
      <c r="D6746" t="s">
        <v>33</v>
      </c>
      <c r="E6746" t="s">
        <v>9206</v>
      </c>
    </row>
    <row r="6747" spans="1:6" x14ac:dyDescent="0.25">
      <c r="A6747" t="str">
        <f>"390600350740"</f>
        <v>390600350740</v>
      </c>
      <c r="B6747" t="s">
        <v>9308</v>
      </c>
      <c r="C6747" t="s">
        <v>7</v>
      </c>
      <c r="D6747" t="s">
        <v>14</v>
      </c>
      <c r="E6747" t="s">
        <v>9206</v>
      </c>
    </row>
    <row r="6748" spans="1:6" x14ac:dyDescent="0.25">
      <c r="A6748" t="str">
        <f>"3906005282"</f>
        <v>3906005282</v>
      </c>
      <c r="B6748" t="s">
        <v>9309</v>
      </c>
      <c r="C6748" t="s">
        <v>7</v>
      </c>
      <c r="D6748" t="s">
        <v>8</v>
      </c>
      <c r="E6748" t="s">
        <v>9206</v>
      </c>
      <c r="F6748" t="s">
        <v>9310</v>
      </c>
    </row>
    <row r="6749" spans="1:6" x14ac:dyDescent="0.25">
      <c r="A6749" t="str">
        <f>"390600988074"</f>
        <v>390600988074</v>
      </c>
      <c r="B6749" t="s">
        <v>9311</v>
      </c>
      <c r="C6749" t="s">
        <v>7</v>
      </c>
      <c r="D6749" t="s">
        <v>33</v>
      </c>
      <c r="E6749" t="s">
        <v>9206</v>
      </c>
    </row>
    <row r="6750" spans="1:6" x14ac:dyDescent="0.25">
      <c r="A6750" t="str">
        <f>"390605055096"</f>
        <v>390605055096</v>
      </c>
      <c r="B6750" t="s">
        <v>9312</v>
      </c>
      <c r="C6750" t="s">
        <v>7</v>
      </c>
      <c r="D6750" t="s">
        <v>14</v>
      </c>
      <c r="E6750" t="s">
        <v>9206</v>
      </c>
    </row>
    <row r="6751" spans="1:6" x14ac:dyDescent="0.25">
      <c r="A6751" t="str">
        <f>"3906090827"</f>
        <v>3906090827</v>
      </c>
      <c r="B6751" t="s">
        <v>9313</v>
      </c>
      <c r="C6751" t="s">
        <v>7</v>
      </c>
      <c r="D6751" t="s">
        <v>14</v>
      </c>
      <c r="E6751" t="s">
        <v>9206</v>
      </c>
      <c r="F6751" t="s">
        <v>9314</v>
      </c>
    </row>
    <row r="6752" spans="1:6" x14ac:dyDescent="0.25">
      <c r="A6752" t="str">
        <f>"3906122839"</f>
        <v>3906122839</v>
      </c>
      <c r="B6752" t="s">
        <v>9315</v>
      </c>
      <c r="C6752" t="s">
        <v>7</v>
      </c>
      <c r="D6752" t="s">
        <v>8</v>
      </c>
      <c r="E6752" t="s">
        <v>9206</v>
      </c>
      <c r="F6752" t="s">
        <v>9316</v>
      </c>
    </row>
    <row r="6753" spans="1:6" x14ac:dyDescent="0.25">
      <c r="A6753" t="str">
        <f>"3906137169"</f>
        <v>3906137169</v>
      </c>
      <c r="B6753" t="s">
        <v>9317</v>
      </c>
      <c r="C6753" t="s">
        <v>7</v>
      </c>
      <c r="D6753" t="s">
        <v>8</v>
      </c>
      <c r="E6753" t="s">
        <v>9206</v>
      </c>
      <c r="F6753" t="s">
        <v>9318</v>
      </c>
    </row>
    <row r="6754" spans="1:6" x14ac:dyDescent="0.25">
      <c r="A6754" t="str">
        <f>"390614155516"</f>
        <v>390614155516</v>
      </c>
      <c r="B6754" t="s">
        <v>9319</v>
      </c>
      <c r="C6754" t="s">
        <v>7</v>
      </c>
      <c r="D6754" t="s">
        <v>14</v>
      </c>
      <c r="E6754" t="s">
        <v>9206</v>
      </c>
    </row>
    <row r="6755" spans="1:6" x14ac:dyDescent="0.25">
      <c r="A6755" t="str">
        <f>"390615133723"</f>
        <v>390615133723</v>
      </c>
      <c r="B6755" t="s">
        <v>9320</v>
      </c>
      <c r="C6755" t="s">
        <v>7</v>
      </c>
      <c r="D6755" t="s">
        <v>14</v>
      </c>
      <c r="E6755" t="s">
        <v>9206</v>
      </c>
    </row>
    <row r="6756" spans="1:6" x14ac:dyDescent="0.25">
      <c r="A6756" t="str">
        <f>"3906202869"</f>
        <v>3906202869</v>
      </c>
      <c r="B6756" t="s">
        <v>9321</v>
      </c>
      <c r="C6756" t="s">
        <v>7</v>
      </c>
      <c r="D6756" t="s">
        <v>14</v>
      </c>
      <c r="E6756" t="s">
        <v>9206</v>
      </c>
      <c r="F6756" t="s">
        <v>9322</v>
      </c>
    </row>
    <row r="6757" spans="1:6" x14ac:dyDescent="0.25">
      <c r="A6757" t="str">
        <f>"3906239266"</f>
        <v>3906239266</v>
      </c>
      <c r="B6757" t="s">
        <v>9323</v>
      </c>
      <c r="C6757" t="s">
        <v>7</v>
      </c>
      <c r="D6757" t="s">
        <v>14</v>
      </c>
      <c r="E6757" t="s">
        <v>9206</v>
      </c>
      <c r="F6757" t="s">
        <v>9324</v>
      </c>
    </row>
    <row r="6758" spans="1:6" x14ac:dyDescent="0.25">
      <c r="A6758" t="str">
        <f>"3906242741"</f>
        <v>3906242741</v>
      </c>
      <c r="B6758" t="s">
        <v>9325</v>
      </c>
      <c r="C6758" t="s">
        <v>7</v>
      </c>
      <c r="D6758" t="s">
        <v>33</v>
      </c>
      <c r="E6758" t="s">
        <v>9206</v>
      </c>
      <c r="F6758" t="s">
        <v>9326</v>
      </c>
    </row>
    <row r="6759" spans="1:6" x14ac:dyDescent="0.25">
      <c r="A6759" t="str">
        <f>"3906349460"</f>
        <v>3906349460</v>
      </c>
      <c r="B6759" t="s">
        <v>9285</v>
      </c>
      <c r="C6759" t="s">
        <v>7</v>
      </c>
      <c r="D6759" t="s">
        <v>189</v>
      </c>
      <c r="E6759" t="s">
        <v>9206</v>
      </c>
      <c r="F6759" t="s">
        <v>9286</v>
      </c>
    </row>
    <row r="6760" spans="1:6" x14ac:dyDescent="0.25">
      <c r="A6760" t="str">
        <f>"3906359732"</f>
        <v>3906359732</v>
      </c>
      <c r="B6760" t="s">
        <v>9327</v>
      </c>
      <c r="C6760" t="s">
        <v>7</v>
      </c>
      <c r="D6760" t="s">
        <v>12</v>
      </c>
      <c r="E6760" t="s">
        <v>9206</v>
      </c>
      <c r="F6760" t="s">
        <v>9328</v>
      </c>
    </row>
    <row r="6761" spans="1:6" x14ac:dyDescent="0.25">
      <c r="A6761" t="str">
        <f>"3906392465"</f>
        <v>3906392465</v>
      </c>
      <c r="B6761" t="s">
        <v>9329</v>
      </c>
      <c r="C6761" t="s">
        <v>7</v>
      </c>
      <c r="D6761" t="s">
        <v>8</v>
      </c>
      <c r="E6761" t="s">
        <v>9206</v>
      </c>
      <c r="F6761" t="s">
        <v>9330</v>
      </c>
    </row>
    <row r="6762" spans="1:6" x14ac:dyDescent="0.25">
      <c r="A6762" t="str">
        <f>"3906961175"</f>
        <v>3906961175</v>
      </c>
      <c r="B6762" t="s">
        <v>9331</v>
      </c>
      <c r="C6762" t="s">
        <v>7</v>
      </c>
      <c r="D6762" t="s">
        <v>14</v>
      </c>
      <c r="E6762" t="s">
        <v>9206</v>
      </c>
      <c r="F6762" t="s">
        <v>9332</v>
      </c>
    </row>
    <row r="6763" spans="1:6" x14ac:dyDescent="0.25">
      <c r="A6763" t="str">
        <f>"3906987127"</f>
        <v>3906987127</v>
      </c>
      <c r="B6763" t="s">
        <v>9333</v>
      </c>
      <c r="C6763" t="s">
        <v>7</v>
      </c>
      <c r="D6763" t="s">
        <v>14</v>
      </c>
      <c r="E6763" t="s">
        <v>9206</v>
      </c>
      <c r="F6763" t="s">
        <v>9334</v>
      </c>
    </row>
    <row r="6764" spans="1:6" x14ac:dyDescent="0.25">
      <c r="A6764" t="str">
        <f>"390700152533"</f>
        <v>390700152533</v>
      </c>
      <c r="B6764" t="s">
        <v>9335</v>
      </c>
      <c r="C6764" t="s">
        <v>7</v>
      </c>
      <c r="D6764" t="s">
        <v>12</v>
      </c>
      <c r="E6764" t="s">
        <v>9206</v>
      </c>
    </row>
    <row r="6765" spans="1:6" x14ac:dyDescent="0.25">
      <c r="A6765" t="str">
        <f>"3907005398"</f>
        <v>3907005398</v>
      </c>
      <c r="B6765" t="s">
        <v>9336</v>
      </c>
      <c r="C6765" t="s">
        <v>7</v>
      </c>
      <c r="D6765" t="s">
        <v>12</v>
      </c>
      <c r="E6765" t="s">
        <v>9206</v>
      </c>
      <c r="F6765" t="s">
        <v>9337</v>
      </c>
    </row>
    <row r="6766" spans="1:6" x14ac:dyDescent="0.25">
      <c r="A6766" t="str">
        <f>"3907022548"</f>
        <v>3907022548</v>
      </c>
      <c r="B6766" t="s">
        <v>9338</v>
      </c>
      <c r="C6766" t="s">
        <v>7</v>
      </c>
      <c r="D6766" t="s">
        <v>12</v>
      </c>
      <c r="E6766" t="s">
        <v>9206</v>
      </c>
      <c r="F6766" t="s">
        <v>9339</v>
      </c>
    </row>
    <row r="6767" spans="1:6" x14ac:dyDescent="0.25">
      <c r="A6767" t="str">
        <f>"3907025813"</f>
        <v>3907025813</v>
      </c>
      <c r="B6767" t="s">
        <v>9340</v>
      </c>
      <c r="C6767" t="s">
        <v>7</v>
      </c>
      <c r="D6767" t="s">
        <v>14</v>
      </c>
      <c r="E6767" t="s">
        <v>9206</v>
      </c>
      <c r="F6767" t="s">
        <v>9341</v>
      </c>
    </row>
    <row r="6768" spans="1:6" x14ac:dyDescent="0.25">
      <c r="A6768" t="str">
        <f>"390703270052"</f>
        <v>390703270052</v>
      </c>
      <c r="B6768" t="s">
        <v>9342</v>
      </c>
      <c r="C6768" t="s">
        <v>7</v>
      </c>
      <c r="D6768" t="s">
        <v>12</v>
      </c>
      <c r="E6768" t="s">
        <v>9206</v>
      </c>
    </row>
    <row r="6769" spans="1:6" x14ac:dyDescent="0.25">
      <c r="A6769" t="str">
        <f>"3907039238"</f>
        <v>3907039238</v>
      </c>
      <c r="B6769" t="s">
        <v>3879</v>
      </c>
      <c r="C6769" t="s">
        <v>7</v>
      </c>
      <c r="D6769" t="s">
        <v>12</v>
      </c>
      <c r="E6769" t="s">
        <v>9206</v>
      </c>
      <c r="F6769" t="s">
        <v>9343</v>
      </c>
    </row>
    <row r="6770" spans="1:6" x14ac:dyDescent="0.25">
      <c r="A6770" t="str">
        <f>"3907056610"</f>
        <v>3907056610</v>
      </c>
      <c r="B6770" t="s">
        <v>9344</v>
      </c>
      <c r="C6770" t="s">
        <v>7</v>
      </c>
      <c r="D6770" t="s">
        <v>674</v>
      </c>
      <c r="E6770" t="s">
        <v>9206</v>
      </c>
      <c r="F6770" t="s">
        <v>9345</v>
      </c>
    </row>
    <row r="6771" spans="1:6" x14ac:dyDescent="0.25">
      <c r="A6771" t="str">
        <f>"3908020624"</f>
        <v>3908020624</v>
      </c>
      <c r="B6771" t="s">
        <v>9346</v>
      </c>
      <c r="C6771" t="s">
        <v>7</v>
      </c>
      <c r="D6771" t="s">
        <v>12</v>
      </c>
      <c r="E6771" t="s">
        <v>9206</v>
      </c>
      <c r="F6771" t="s">
        <v>9347</v>
      </c>
    </row>
    <row r="6772" spans="1:6" x14ac:dyDescent="0.25">
      <c r="A6772" t="str">
        <f>"390804763022"</f>
        <v>390804763022</v>
      </c>
      <c r="B6772" t="s">
        <v>9348</v>
      </c>
      <c r="C6772" t="s">
        <v>7</v>
      </c>
      <c r="D6772" t="s">
        <v>14</v>
      </c>
      <c r="E6772" t="s">
        <v>9206</v>
      </c>
    </row>
    <row r="6773" spans="1:6" x14ac:dyDescent="0.25">
      <c r="A6773" t="str">
        <f>"390805579788"</f>
        <v>390805579788</v>
      </c>
      <c r="B6773" t="s">
        <v>9349</v>
      </c>
      <c r="C6773" t="s">
        <v>7</v>
      </c>
      <c r="D6773" t="s">
        <v>14</v>
      </c>
      <c r="E6773" t="s">
        <v>9206</v>
      </c>
    </row>
    <row r="6774" spans="1:6" x14ac:dyDescent="0.25">
      <c r="A6774" t="str">
        <f>"390901815879"</f>
        <v>390901815879</v>
      </c>
      <c r="B6774" t="s">
        <v>9350</v>
      </c>
      <c r="C6774" t="s">
        <v>7</v>
      </c>
      <c r="D6774" t="s">
        <v>14</v>
      </c>
      <c r="E6774" t="s">
        <v>9206</v>
      </c>
    </row>
    <row r="6775" spans="1:6" x14ac:dyDescent="0.25">
      <c r="A6775" t="str">
        <f>"390902117789"</f>
        <v>390902117789</v>
      </c>
      <c r="B6775" t="s">
        <v>9351</v>
      </c>
      <c r="C6775" t="s">
        <v>7</v>
      </c>
      <c r="D6775" t="s">
        <v>33</v>
      </c>
      <c r="E6775" t="s">
        <v>9206</v>
      </c>
    </row>
    <row r="6776" spans="1:6" x14ac:dyDescent="0.25">
      <c r="A6776" t="str">
        <f>"3911009691"</f>
        <v>3911009691</v>
      </c>
      <c r="B6776" t="s">
        <v>9352</v>
      </c>
      <c r="C6776" t="s">
        <v>7</v>
      </c>
      <c r="D6776" t="s">
        <v>14</v>
      </c>
      <c r="E6776" t="s">
        <v>9206</v>
      </c>
      <c r="F6776" t="s">
        <v>9353</v>
      </c>
    </row>
    <row r="6777" spans="1:6" x14ac:dyDescent="0.25">
      <c r="A6777" t="str">
        <f>"391101303680"</f>
        <v>391101303680</v>
      </c>
      <c r="B6777" t="s">
        <v>9354</v>
      </c>
      <c r="C6777" t="s">
        <v>7</v>
      </c>
      <c r="D6777" t="s">
        <v>14</v>
      </c>
      <c r="E6777" t="s">
        <v>9206</v>
      </c>
    </row>
    <row r="6778" spans="1:6" x14ac:dyDescent="0.25">
      <c r="A6778" t="str">
        <f>"391102753561"</f>
        <v>391102753561</v>
      </c>
      <c r="B6778" t="s">
        <v>9355</v>
      </c>
      <c r="C6778" t="s">
        <v>7</v>
      </c>
      <c r="D6778" t="s">
        <v>14</v>
      </c>
      <c r="E6778" t="s">
        <v>9206</v>
      </c>
    </row>
    <row r="6779" spans="1:6" x14ac:dyDescent="0.25">
      <c r="A6779" t="str">
        <f>"3914023831"</f>
        <v>3914023831</v>
      </c>
      <c r="B6779" t="s">
        <v>9356</v>
      </c>
      <c r="C6779" t="s">
        <v>7</v>
      </c>
      <c r="D6779" t="s">
        <v>14</v>
      </c>
      <c r="E6779" t="s">
        <v>9206</v>
      </c>
      <c r="F6779" t="s">
        <v>9357</v>
      </c>
    </row>
    <row r="6780" spans="1:6" x14ac:dyDescent="0.25">
      <c r="A6780" t="str">
        <f>"391500242855"</f>
        <v>391500242855</v>
      </c>
      <c r="B6780" t="s">
        <v>9358</v>
      </c>
      <c r="C6780" t="s">
        <v>7</v>
      </c>
      <c r="D6780" t="s">
        <v>12</v>
      </c>
      <c r="E6780" t="s">
        <v>9206</v>
      </c>
    </row>
    <row r="6781" spans="1:6" x14ac:dyDescent="0.25">
      <c r="A6781" t="str">
        <f>"391700086836"</f>
        <v>391700086836</v>
      </c>
      <c r="B6781" t="s">
        <v>9359</v>
      </c>
      <c r="C6781" t="s">
        <v>7</v>
      </c>
      <c r="D6781" t="s">
        <v>12</v>
      </c>
      <c r="E6781" t="s">
        <v>9206</v>
      </c>
    </row>
    <row r="6782" spans="1:6" x14ac:dyDescent="0.25">
      <c r="A6782" t="str">
        <f>"391700388570"</f>
        <v>391700388570</v>
      </c>
      <c r="B6782" t="s">
        <v>9360</v>
      </c>
      <c r="C6782" t="s">
        <v>7</v>
      </c>
      <c r="D6782" t="s">
        <v>14</v>
      </c>
      <c r="E6782" t="s">
        <v>9206</v>
      </c>
    </row>
    <row r="6783" spans="1:6" x14ac:dyDescent="0.25">
      <c r="A6783" t="str">
        <f>"391700680800"</f>
        <v>391700680800</v>
      </c>
      <c r="B6783" t="s">
        <v>9361</v>
      </c>
      <c r="C6783" t="s">
        <v>7</v>
      </c>
      <c r="D6783" t="s">
        <v>14</v>
      </c>
      <c r="E6783" t="s">
        <v>9206</v>
      </c>
    </row>
    <row r="6784" spans="1:6" x14ac:dyDescent="0.25">
      <c r="A6784" t="str">
        <f>"391703762391"</f>
        <v>391703762391</v>
      </c>
      <c r="B6784" t="s">
        <v>9362</v>
      </c>
      <c r="C6784" t="s">
        <v>7</v>
      </c>
      <c r="D6784" t="s">
        <v>12</v>
      </c>
      <c r="E6784" t="s">
        <v>9206</v>
      </c>
    </row>
    <row r="6785" spans="1:6" x14ac:dyDescent="0.25">
      <c r="A6785" t="str">
        <f>"391788905590"</f>
        <v>391788905590</v>
      </c>
      <c r="B6785" t="s">
        <v>9363</v>
      </c>
      <c r="C6785" t="s">
        <v>7</v>
      </c>
      <c r="D6785" t="s">
        <v>14</v>
      </c>
      <c r="E6785" t="s">
        <v>9206</v>
      </c>
    </row>
    <row r="6786" spans="1:6" x14ac:dyDescent="0.25">
      <c r="A6786" t="str">
        <f>"392301048100"</f>
        <v>392301048100</v>
      </c>
      <c r="B6786" t="s">
        <v>9364</v>
      </c>
      <c r="C6786" t="s">
        <v>7</v>
      </c>
      <c r="D6786" t="s">
        <v>14</v>
      </c>
      <c r="E6786" t="s">
        <v>9206</v>
      </c>
    </row>
    <row r="6787" spans="1:6" x14ac:dyDescent="0.25">
      <c r="A6787" t="str">
        <f>"392301679096"</f>
        <v>392301679096</v>
      </c>
      <c r="B6787" t="s">
        <v>9365</v>
      </c>
      <c r="C6787" t="s">
        <v>7</v>
      </c>
      <c r="D6787" t="s">
        <v>14</v>
      </c>
      <c r="E6787" t="s">
        <v>9206</v>
      </c>
    </row>
    <row r="6788" spans="1:6" x14ac:dyDescent="0.25">
      <c r="A6788" t="str">
        <f>"392400029772"</f>
        <v>392400029772</v>
      </c>
      <c r="B6788" t="s">
        <v>9366</v>
      </c>
      <c r="C6788" t="s">
        <v>7</v>
      </c>
      <c r="D6788" t="s">
        <v>14</v>
      </c>
      <c r="E6788" t="s">
        <v>9206</v>
      </c>
    </row>
    <row r="6789" spans="1:6" x14ac:dyDescent="0.25">
      <c r="A6789" t="str">
        <f>"392400613307"</f>
        <v>392400613307</v>
      </c>
      <c r="B6789" t="s">
        <v>9367</v>
      </c>
      <c r="C6789" t="s">
        <v>7</v>
      </c>
      <c r="D6789" t="s">
        <v>12</v>
      </c>
      <c r="E6789" t="s">
        <v>9206</v>
      </c>
    </row>
    <row r="6790" spans="1:6" x14ac:dyDescent="0.25">
      <c r="A6790" t="str">
        <f>"3906391253"</f>
        <v>3906391253</v>
      </c>
      <c r="B6790" t="s">
        <v>9368</v>
      </c>
      <c r="C6790" t="s">
        <v>7</v>
      </c>
      <c r="D6790" t="s">
        <v>14</v>
      </c>
      <c r="E6790" t="s">
        <v>9206</v>
      </c>
      <c r="F6790" t="s">
        <v>9369</v>
      </c>
    </row>
    <row r="6791" spans="1:6" x14ac:dyDescent="0.25">
      <c r="A6791" t="str">
        <f>"3906394575"</f>
        <v>3906394575</v>
      </c>
      <c r="B6791" t="s">
        <v>9370</v>
      </c>
      <c r="C6791" t="s">
        <v>7</v>
      </c>
      <c r="D6791" t="s">
        <v>8</v>
      </c>
      <c r="E6791" t="s">
        <v>9206</v>
      </c>
      <c r="F6791" t="s">
        <v>9371</v>
      </c>
    </row>
    <row r="6792" spans="1:6" x14ac:dyDescent="0.25">
      <c r="A6792" t="str">
        <f>"3906966046"</f>
        <v>3906966046</v>
      </c>
      <c r="B6792" t="s">
        <v>9372</v>
      </c>
      <c r="C6792" t="s">
        <v>7</v>
      </c>
      <c r="D6792" t="s">
        <v>14</v>
      </c>
      <c r="E6792" t="s">
        <v>9206</v>
      </c>
      <c r="F6792" t="s">
        <v>9373</v>
      </c>
    </row>
    <row r="6793" spans="1:6" x14ac:dyDescent="0.25">
      <c r="A6793" t="str">
        <f>"3906966744"</f>
        <v>3906966744</v>
      </c>
      <c r="B6793" t="s">
        <v>9374</v>
      </c>
      <c r="C6793" t="s">
        <v>7</v>
      </c>
      <c r="D6793" t="s">
        <v>12</v>
      </c>
      <c r="E6793" t="s">
        <v>9206</v>
      </c>
      <c r="F6793" t="s">
        <v>9375</v>
      </c>
    </row>
    <row r="6794" spans="1:6" x14ac:dyDescent="0.25">
      <c r="A6794" t="str">
        <f>"3906981598"</f>
        <v>3906981598</v>
      </c>
      <c r="B6794" t="s">
        <v>9376</v>
      </c>
      <c r="C6794" t="s">
        <v>7</v>
      </c>
      <c r="D6794" t="s">
        <v>12</v>
      </c>
      <c r="E6794" t="s">
        <v>9206</v>
      </c>
      <c r="F6794" t="s">
        <v>9377</v>
      </c>
    </row>
    <row r="6795" spans="1:6" x14ac:dyDescent="0.25">
      <c r="A6795" t="str">
        <f>"3907040547"</f>
        <v>3907040547</v>
      </c>
      <c r="B6795" t="s">
        <v>9378</v>
      </c>
      <c r="C6795" t="s">
        <v>7</v>
      </c>
      <c r="D6795" t="s">
        <v>14</v>
      </c>
      <c r="E6795" t="s">
        <v>9206</v>
      </c>
      <c r="F6795" t="s">
        <v>9379</v>
      </c>
    </row>
    <row r="6796" spans="1:6" x14ac:dyDescent="0.25">
      <c r="A6796" t="str">
        <f>"390705137176"</f>
        <v>390705137176</v>
      </c>
      <c r="B6796" t="s">
        <v>9380</v>
      </c>
      <c r="C6796" t="s">
        <v>7</v>
      </c>
      <c r="D6796" t="s">
        <v>14</v>
      </c>
      <c r="E6796" t="s">
        <v>9206</v>
      </c>
    </row>
    <row r="6797" spans="1:6" x14ac:dyDescent="0.25">
      <c r="A6797" t="str">
        <f>"390800374184"</f>
        <v>390800374184</v>
      </c>
      <c r="B6797" t="s">
        <v>9381</v>
      </c>
      <c r="C6797" t="s">
        <v>7</v>
      </c>
      <c r="D6797" t="s">
        <v>14</v>
      </c>
      <c r="E6797" t="s">
        <v>9206</v>
      </c>
    </row>
    <row r="6798" spans="1:6" x14ac:dyDescent="0.25">
      <c r="A6798" t="str">
        <f>"390805361679"</f>
        <v>390805361679</v>
      </c>
      <c r="B6798" t="s">
        <v>9382</v>
      </c>
      <c r="C6798" t="s">
        <v>7</v>
      </c>
      <c r="D6798" t="s">
        <v>12</v>
      </c>
      <c r="E6798" t="s">
        <v>9206</v>
      </c>
    </row>
    <row r="6799" spans="1:6" x14ac:dyDescent="0.25">
      <c r="A6799" t="str">
        <f>"391100248500"</f>
        <v>391100248500</v>
      </c>
      <c r="B6799" t="s">
        <v>9383</v>
      </c>
      <c r="C6799" t="s">
        <v>7</v>
      </c>
      <c r="D6799" t="s">
        <v>14</v>
      </c>
      <c r="E6799" t="s">
        <v>9206</v>
      </c>
    </row>
    <row r="6800" spans="1:6" x14ac:dyDescent="0.25">
      <c r="A6800" t="str">
        <f>"3911018625"</f>
        <v>3911018625</v>
      </c>
      <c r="B6800" t="s">
        <v>9384</v>
      </c>
      <c r="C6800" t="s">
        <v>7</v>
      </c>
      <c r="D6800" t="s">
        <v>8</v>
      </c>
      <c r="E6800" t="s">
        <v>9206</v>
      </c>
      <c r="F6800" t="s">
        <v>9385</v>
      </c>
    </row>
    <row r="6801" spans="1:6" x14ac:dyDescent="0.25">
      <c r="A6801" t="str">
        <f>"3911018939"</f>
        <v>3911018939</v>
      </c>
      <c r="B6801" t="s">
        <v>9386</v>
      </c>
      <c r="C6801" t="s">
        <v>7</v>
      </c>
      <c r="D6801" t="s">
        <v>8</v>
      </c>
      <c r="E6801" t="s">
        <v>9206</v>
      </c>
      <c r="F6801" t="s">
        <v>9387</v>
      </c>
    </row>
    <row r="6802" spans="1:6" x14ac:dyDescent="0.25">
      <c r="A6802" t="str">
        <f>"391300140310"</f>
        <v>391300140310</v>
      </c>
      <c r="B6802" t="s">
        <v>9388</v>
      </c>
      <c r="C6802" t="s">
        <v>7</v>
      </c>
      <c r="D6802" t="s">
        <v>14</v>
      </c>
      <c r="E6802" t="s">
        <v>9206</v>
      </c>
    </row>
    <row r="6803" spans="1:6" x14ac:dyDescent="0.25">
      <c r="A6803" t="str">
        <f>"391313319258"</f>
        <v>391313319258</v>
      </c>
      <c r="B6803" t="s">
        <v>9389</v>
      </c>
      <c r="C6803" t="s">
        <v>7</v>
      </c>
      <c r="D6803" t="s">
        <v>14</v>
      </c>
      <c r="E6803" t="s">
        <v>9206</v>
      </c>
    </row>
    <row r="6804" spans="1:6" x14ac:dyDescent="0.25">
      <c r="A6804" t="str">
        <f>"3913503296"</f>
        <v>3913503296</v>
      </c>
      <c r="B6804" t="s">
        <v>9390</v>
      </c>
      <c r="C6804" t="s">
        <v>7</v>
      </c>
      <c r="D6804" t="s">
        <v>14</v>
      </c>
      <c r="E6804" t="s">
        <v>9206</v>
      </c>
      <c r="F6804" t="s">
        <v>9391</v>
      </c>
    </row>
    <row r="6805" spans="1:6" x14ac:dyDescent="0.25">
      <c r="A6805" t="str">
        <f>"391500024293"</f>
        <v>391500024293</v>
      </c>
      <c r="B6805" t="s">
        <v>9392</v>
      </c>
      <c r="C6805" t="s">
        <v>7</v>
      </c>
      <c r="D6805" t="s">
        <v>14</v>
      </c>
      <c r="E6805" t="s">
        <v>9206</v>
      </c>
    </row>
    <row r="6806" spans="1:6" x14ac:dyDescent="0.25">
      <c r="A6806" t="str">
        <f>"391599266588"</f>
        <v>391599266588</v>
      </c>
      <c r="B6806" t="s">
        <v>9393</v>
      </c>
      <c r="C6806" t="s">
        <v>7</v>
      </c>
      <c r="D6806" t="s">
        <v>14</v>
      </c>
      <c r="E6806" t="s">
        <v>9206</v>
      </c>
    </row>
    <row r="6807" spans="1:6" x14ac:dyDescent="0.25">
      <c r="A6807" t="str">
        <f>"391703630148"</f>
        <v>391703630148</v>
      </c>
      <c r="B6807" t="s">
        <v>9394</v>
      </c>
      <c r="C6807" t="s">
        <v>7</v>
      </c>
      <c r="D6807" t="s">
        <v>12</v>
      </c>
      <c r="E6807" t="s">
        <v>9206</v>
      </c>
    </row>
    <row r="6808" spans="1:6" x14ac:dyDescent="0.25">
      <c r="A6808" t="str">
        <f>"391704538530"</f>
        <v>391704538530</v>
      </c>
      <c r="B6808" t="s">
        <v>9395</v>
      </c>
      <c r="C6808" t="s">
        <v>7</v>
      </c>
      <c r="D6808" t="s">
        <v>14</v>
      </c>
      <c r="E6808" t="s">
        <v>9206</v>
      </c>
    </row>
    <row r="6809" spans="1:6" x14ac:dyDescent="0.25">
      <c r="A6809" t="str">
        <f>"3917056063"</f>
        <v>3917056063</v>
      </c>
      <c r="B6809" t="s">
        <v>9396</v>
      </c>
      <c r="C6809" t="s">
        <v>7</v>
      </c>
      <c r="D6809" t="s">
        <v>12</v>
      </c>
      <c r="E6809" t="s">
        <v>9206</v>
      </c>
      <c r="F6809" t="s">
        <v>9397</v>
      </c>
    </row>
    <row r="6810" spans="1:6" x14ac:dyDescent="0.25">
      <c r="A6810" t="str">
        <f>"3918015327"</f>
        <v>3918015327</v>
      </c>
      <c r="B6810" t="s">
        <v>9398</v>
      </c>
      <c r="C6810" t="s">
        <v>7</v>
      </c>
      <c r="D6810" t="s">
        <v>1430</v>
      </c>
      <c r="E6810" t="s">
        <v>9206</v>
      </c>
      <c r="F6810" t="s">
        <v>9399</v>
      </c>
    </row>
    <row r="6811" spans="1:6" x14ac:dyDescent="0.25">
      <c r="A6811" t="str">
        <f>"392001161994"</f>
        <v>392001161994</v>
      </c>
      <c r="B6811" t="s">
        <v>9400</v>
      </c>
      <c r="C6811" t="s">
        <v>7</v>
      </c>
      <c r="D6811" t="s">
        <v>14</v>
      </c>
      <c r="E6811" t="s">
        <v>9206</v>
      </c>
    </row>
    <row r="6812" spans="1:6" x14ac:dyDescent="0.25">
      <c r="A6812" t="str">
        <f>"392200538532"</f>
        <v>392200538532</v>
      </c>
      <c r="B6812" t="s">
        <v>9401</v>
      </c>
      <c r="C6812" t="s">
        <v>7</v>
      </c>
      <c r="D6812" t="s">
        <v>14</v>
      </c>
      <c r="E6812" t="s">
        <v>9206</v>
      </c>
    </row>
    <row r="6813" spans="1:6" x14ac:dyDescent="0.25">
      <c r="A6813" t="str">
        <f>"3922008026"</f>
        <v>3922008026</v>
      </c>
      <c r="B6813" t="s">
        <v>9402</v>
      </c>
      <c r="C6813" t="s">
        <v>7</v>
      </c>
      <c r="D6813" t="s">
        <v>12</v>
      </c>
      <c r="E6813" t="s">
        <v>9206</v>
      </c>
      <c r="F6813" t="s">
        <v>9403</v>
      </c>
    </row>
    <row r="6814" spans="1:6" x14ac:dyDescent="0.25">
      <c r="A6814" t="str">
        <f>"392201664480"</f>
        <v>392201664480</v>
      </c>
      <c r="B6814" t="s">
        <v>9404</v>
      </c>
      <c r="C6814" t="s">
        <v>7</v>
      </c>
      <c r="D6814" t="s">
        <v>12</v>
      </c>
      <c r="E6814" t="s">
        <v>9206</v>
      </c>
    </row>
    <row r="6815" spans="1:6" x14ac:dyDescent="0.25">
      <c r="A6815" t="str">
        <f>"392301163801"</f>
        <v>392301163801</v>
      </c>
      <c r="B6815" t="s">
        <v>9405</v>
      </c>
      <c r="C6815" t="s">
        <v>7</v>
      </c>
      <c r="D6815" t="s">
        <v>14</v>
      </c>
      <c r="E6815" t="s">
        <v>9206</v>
      </c>
    </row>
    <row r="6816" spans="1:6" x14ac:dyDescent="0.25">
      <c r="A6816" t="str">
        <f>"392302864239"</f>
        <v>392302864239</v>
      </c>
      <c r="B6816" t="s">
        <v>9406</v>
      </c>
      <c r="C6816" t="s">
        <v>7</v>
      </c>
      <c r="D6816" t="s">
        <v>12</v>
      </c>
      <c r="E6816" t="s">
        <v>9206</v>
      </c>
    </row>
    <row r="6817" spans="1:6" x14ac:dyDescent="0.25">
      <c r="A6817" t="str">
        <f>"233910665663"</f>
        <v>233910665663</v>
      </c>
      <c r="B6817" t="s">
        <v>9407</v>
      </c>
      <c r="C6817" t="s">
        <v>7</v>
      </c>
      <c r="D6817" t="s">
        <v>14</v>
      </c>
      <c r="E6817" t="s">
        <v>9206</v>
      </c>
    </row>
    <row r="6818" spans="1:6" x14ac:dyDescent="0.25">
      <c r="A6818" t="str">
        <f>"3906167766"</f>
        <v>3906167766</v>
      </c>
      <c r="B6818" t="s">
        <v>9408</v>
      </c>
      <c r="C6818" t="s">
        <v>7</v>
      </c>
      <c r="D6818" t="s">
        <v>8</v>
      </c>
      <c r="E6818" t="s">
        <v>9206</v>
      </c>
      <c r="F6818" t="s">
        <v>9409</v>
      </c>
    </row>
    <row r="6819" spans="1:6" x14ac:dyDescent="0.25">
      <c r="A6819" t="str">
        <f>"3906258678"</f>
        <v>3906258678</v>
      </c>
      <c r="B6819" t="s">
        <v>9410</v>
      </c>
      <c r="C6819" t="s">
        <v>7</v>
      </c>
      <c r="D6819" t="s">
        <v>33</v>
      </c>
      <c r="E6819" t="s">
        <v>9206</v>
      </c>
      <c r="F6819" t="s">
        <v>9411</v>
      </c>
    </row>
    <row r="6820" spans="1:6" x14ac:dyDescent="0.25">
      <c r="A6820" t="str">
        <f>"3906358915"</f>
        <v>3906358915</v>
      </c>
      <c r="B6820" t="s">
        <v>9412</v>
      </c>
      <c r="C6820" t="s">
        <v>7</v>
      </c>
      <c r="D6820" t="s">
        <v>14</v>
      </c>
      <c r="E6820" t="s">
        <v>9206</v>
      </c>
      <c r="F6820" t="s">
        <v>9328</v>
      </c>
    </row>
    <row r="6821" spans="1:6" x14ac:dyDescent="0.25">
      <c r="A6821" t="str">
        <f>"3906365398"</f>
        <v>3906365398</v>
      </c>
      <c r="B6821" t="s">
        <v>9413</v>
      </c>
      <c r="C6821" t="s">
        <v>7</v>
      </c>
      <c r="D6821" t="s">
        <v>28</v>
      </c>
      <c r="E6821" t="s">
        <v>9206</v>
      </c>
      <c r="F6821" t="s">
        <v>9414</v>
      </c>
    </row>
    <row r="6822" spans="1:6" x14ac:dyDescent="0.25">
      <c r="A6822" t="str">
        <f>"3906386782"</f>
        <v>3906386782</v>
      </c>
      <c r="B6822" t="s">
        <v>9415</v>
      </c>
      <c r="C6822" t="s">
        <v>7</v>
      </c>
      <c r="D6822" t="s">
        <v>33</v>
      </c>
      <c r="E6822" t="s">
        <v>9206</v>
      </c>
      <c r="F6822" t="s">
        <v>9416</v>
      </c>
    </row>
    <row r="6823" spans="1:6" x14ac:dyDescent="0.25">
      <c r="A6823" t="str">
        <f>"3906400821"</f>
        <v>3906400821</v>
      </c>
      <c r="B6823" t="s">
        <v>9417</v>
      </c>
      <c r="C6823" t="s">
        <v>7</v>
      </c>
      <c r="D6823" t="s">
        <v>8</v>
      </c>
      <c r="E6823" t="s">
        <v>9206</v>
      </c>
      <c r="F6823" t="s">
        <v>9418</v>
      </c>
    </row>
    <row r="6824" spans="1:6" x14ac:dyDescent="0.25">
      <c r="A6824" t="str">
        <f>"3906966342"</f>
        <v>3906966342</v>
      </c>
      <c r="B6824" t="s">
        <v>9419</v>
      </c>
      <c r="C6824" t="s">
        <v>7</v>
      </c>
      <c r="D6824" t="s">
        <v>14</v>
      </c>
      <c r="E6824" t="s">
        <v>9206</v>
      </c>
      <c r="F6824" t="s">
        <v>9332</v>
      </c>
    </row>
    <row r="6825" spans="1:6" x14ac:dyDescent="0.25">
      <c r="A6825" t="str">
        <f>"390705645740"</f>
        <v>390705645740</v>
      </c>
      <c r="B6825" t="s">
        <v>9420</v>
      </c>
      <c r="C6825" t="s">
        <v>7</v>
      </c>
      <c r="D6825" t="s">
        <v>14</v>
      </c>
      <c r="E6825" t="s">
        <v>9206</v>
      </c>
    </row>
    <row r="6826" spans="1:6" x14ac:dyDescent="0.25">
      <c r="A6826" t="str">
        <f>"3907207041"</f>
        <v>3907207041</v>
      </c>
      <c r="B6826" t="s">
        <v>9421</v>
      </c>
      <c r="C6826" t="s">
        <v>7</v>
      </c>
      <c r="D6826" t="s">
        <v>12</v>
      </c>
      <c r="E6826" t="s">
        <v>9206</v>
      </c>
      <c r="F6826" t="s">
        <v>9422</v>
      </c>
    </row>
    <row r="6827" spans="1:6" x14ac:dyDescent="0.25">
      <c r="A6827" t="str">
        <f>"390800104879"</f>
        <v>390800104879</v>
      </c>
      <c r="B6827" t="s">
        <v>9423</v>
      </c>
      <c r="C6827" t="s">
        <v>7</v>
      </c>
      <c r="D6827" t="s">
        <v>14</v>
      </c>
      <c r="E6827" t="s">
        <v>9206</v>
      </c>
    </row>
    <row r="6828" spans="1:6" x14ac:dyDescent="0.25">
      <c r="A6828" t="str">
        <f>"3908021441"</f>
        <v>3908021441</v>
      </c>
      <c r="B6828" t="s">
        <v>9424</v>
      </c>
      <c r="C6828" t="s">
        <v>7</v>
      </c>
      <c r="D6828" t="s">
        <v>14</v>
      </c>
      <c r="E6828" t="s">
        <v>9206</v>
      </c>
      <c r="F6828" t="s">
        <v>9425</v>
      </c>
    </row>
    <row r="6829" spans="1:6" x14ac:dyDescent="0.25">
      <c r="A6829" t="str">
        <f>"390804812600"</f>
        <v>390804812600</v>
      </c>
      <c r="B6829" t="s">
        <v>9426</v>
      </c>
      <c r="C6829" t="s">
        <v>7</v>
      </c>
      <c r="D6829" t="s">
        <v>14</v>
      </c>
      <c r="E6829" t="s">
        <v>9206</v>
      </c>
    </row>
    <row r="6830" spans="1:6" x14ac:dyDescent="0.25">
      <c r="A6830" t="str">
        <f>"391100082879"</f>
        <v>391100082879</v>
      </c>
      <c r="B6830" t="s">
        <v>9427</v>
      </c>
      <c r="C6830" t="s">
        <v>7</v>
      </c>
      <c r="D6830" t="s">
        <v>12</v>
      </c>
      <c r="E6830" t="s">
        <v>9206</v>
      </c>
    </row>
    <row r="6831" spans="1:6" x14ac:dyDescent="0.25">
      <c r="A6831" t="str">
        <f>"391104567472"</f>
        <v>391104567472</v>
      </c>
      <c r="B6831" t="s">
        <v>9428</v>
      </c>
      <c r="C6831" t="s">
        <v>7</v>
      </c>
      <c r="D6831" t="s">
        <v>14</v>
      </c>
      <c r="E6831" t="s">
        <v>9206</v>
      </c>
    </row>
    <row r="6832" spans="1:6" x14ac:dyDescent="0.25">
      <c r="A6832" t="str">
        <f>"3914022010"</f>
        <v>3914022010</v>
      </c>
      <c r="B6832" t="s">
        <v>9429</v>
      </c>
      <c r="C6832" t="s">
        <v>7</v>
      </c>
      <c r="D6832" t="s">
        <v>12</v>
      </c>
      <c r="E6832" t="s">
        <v>9206</v>
      </c>
      <c r="F6832" t="s">
        <v>9430</v>
      </c>
    </row>
    <row r="6833" spans="1:6" x14ac:dyDescent="0.25">
      <c r="A6833" t="str">
        <f>"391505423118"</f>
        <v>391505423118</v>
      </c>
      <c r="B6833" t="s">
        <v>9431</v>
      </c>
      <c r="C6833" t="s">
        <v>7</v>
      </c>
      <c r="D6833" t="s">
        <v>14</v>
      </c>
      <c r="E6833" t="s">
        <v>9206</v>
      </c>
    </row>
    <row r="6834" spans="1:6" x14ac:dyDescent="0.25">
      <c r="A6834" t="str">
        <f>"3915446614"</f>
        <v>3915446614</v>
      </c>
      <c r="B6834" t="s">
        <v>9432</v>
      </c>
      <c r="C6834" t="s">
        <v>7</v>
      </c>
      <c r="D6834" t="s">
        <v>8</v>
      </c>
      <c r="E6834" t="s">
        <v>9206</v>
      </c>
      <c r="F6834" t="s">
        <v>9433</v>
      </c>
    </row>
    <row r="6835" spans="1:6" x14ac:dyDescent="0.25">
      <c r="A6835" t="str">
        <f>"391602054748"</f>
        <v>391602054748</v>
      </c>
      <c r="B6835" t="s">
        <v>9434</v>
      </c>
      <c r="C6835" t="s">
        <v>7</v>
      </c>
      <c r="D6835" t="s">
        <v>14</v>
      </c>
      <c r="E6835" t="s">
        <v>9206</v>
      </c>
    </row>
    <row r="6836" spans="1:6" x14ac:dyDescent="0.25">
      <c r="A6836" t="str">
        <f>"3917023364"</f>
        <v>3917023364</v>
      </c>
      <c r="B6836" t="s">
        <v>3810</v>
      </c>
      <c r="C6836" t="s">
        <v>7</v>
      </c>
      <c r="D6836" t="s">
        <v>12</v>
      </c>
      <c r="E6836" t="s">
        <v>9206</v>
      </c>
      <c r="F6836" t="s">
        <v>9435</v>
      </c>
    </row>
    <row r="6837" spans="1:6" x14ac:dyDescent="0.25">
      <c r="A6837" t="str">
        <f>"3917052598"</f>
        <v>3917052598</v>
      </c>
      <c r="B6837" t="s">
        <v>9436</v>
      </c>
      <c r="C6837" t="s">
        <v>7</v>
      </c>
      <c r="D6837" t="s">
        <v>1430</v>
      </c>
      <c r="E6837" t="s">
        <v>9206</v>
      </c>
      <c r="F6837" t="s">
        <v>9437</v>
      </c>
    </row>
    <row r="6838" spans="1:6" x14ac:dyDescent="0.25">
      <c r="A6838" t="str">
        <f>"3917501469"</f>
        <v>3917501469</v>
      </c>
      <c r="B6838" t="s">
        <v>9438</v>
      </c>
      <c r="C6838" t="s">
        <v>7</v>
      </c>
      <c r="D6838" t="s">
        <v>146</v>
      </c>
      <c r="E6838" t="s">
        <v>9206</v>
      </c>
      <c r="F6838" t="s">
        <v>9439</v>
      </c>
    </row>
    <row r="6839" spans="1:6" x14ac:dyDescent="0.25">
      <c r="A6839" t="str">
        <f>"3917505008"</f>
        <v>3917505008</v>
      </c>
      <c r="B6839" t="s">
        <v>9440</v>
      </c>
      <c r="C6839" t="s">
        <v>7</v>
      </c>
      <c r="D6839" t="s">
        <v>12</v>
      </c>
      <c r="E6839" t="s">
        <v>9206</v>
      </c>
      <c r="F6839" t="s">
        <v>9435</v>
      </c>
    </row>
    <row r="6840" spans="1:6" x14ac:dyDescent="0.25">
      <c r="A6840" t="str">
        <f>"391800917611"</f>
        <v>391800917611</v>
      </c>
      <c r="B6840" t="s">
        <v>9441</v>
      </c>
      <c r="C6840" t="s">
        <v>7</v>
      </c>
      <c r="D6840" t="s">
        <v>12</v>
      </c>
      <c r="E6840" t="s">
        <v>9206</v>
      </c>
    </row>
    <row r="6841" spans="1:6" x14ac:dyDescent="0.25">
      <c r="A6841" t="str">
        <f>"391803374226"</f>
        <v>391803374226</v>
      </c>
      <c r="B6841" t="s">
        <v>9442</v>
      </c>
      <c r="C6841" t="s">
        <v>7</v>
      </c>
      <c r="D6841" t="s">
        <v>14</v>
      </c>
      <c r="E6841" t="s">
        <v>9206</v>
      </c>
    </row>
    <row r="6842" spans="1:6" x14ac:dyDescent="0.25">
      <c r="A6842" t="str">
        <f>"392100010386"</f>
        <v>392100010386</v>
      </c>
      <c r="B6842" t="s">
        <v>9443</v>
      </c>
      <c r="C6842" t="s">
        <v>7</v>
      </c>
      <c r="D6842" t="s">
        <v>14</v>
      </c>
      <c r="E6842" t="s">
        <v>9206</v>
      </c>
    </row>
    <row r="6843" spans="1:6" x14ac:dyDescent="0.25">
      <c r="A6843" t="str">
        <f>"392201911098"</f>
        <v>392201911098</v>
      </c>
      <c r="B6843" t="s">
        <v>9444</v>
      </c>
      <c r="C6843" t="s">
        <v>7</v>
      </c>
      <c r="D6843" t="s">
        <v>14</v>
      </c>
      <c r="E6843" t="s">
        <v>9206</v>
      </c>
    </row>
    <row r="6844" spans="1:6" x14ac:dyDescent="0.25">
      <c r="A6844" t="str">
        <f>"392202412616"</f>
        <v>392202412616</v>
      </c>
      <c r="B6844" t="s">
        <v>9445</v>
      </c>
      <c r="C6844" t="s">
        <v>7</v>
      </c>
      <c r="D6844" t="s">
        <v>14</v>
      </c>
      <c r="E6844" t="s">
        <v>9206</v>
      </c>
    </row>
    <row r="6845" spans="1:6" x14ac:dyDescent="0.25">
      <c r="A6845" t="str">
        <f>"3922503126"</f>
        <v>3922503126</v>
      </c>
      <c r="B6845" t="s">
        <v>9446</v>
      </c>
      <c r="C6845" t="s">
        <v>7</v>
      </c>
      <c r="D6845" t="s">
        <v>33</v>
      </c>
      <c r="E6845" t="s">
        <v>9206</v>
      </c>
      <c r="F6845" t="s">
        <v>9447</v>
      </c>
    </row>
    <row r="6846" spans="1:6" x14ac:dyDescent="0.25">
      <c r="A6846" t="str">
        <f>"390103418483"</f>
        <v>390103418483</v>
      </c>
      <c r="B6846" t="s">
        <v>9448</v>
      </c>
      <c r="C6846" t="s">
        <v>7</v>
      </c>
      <c r="D6846" t="s">
        <v>12</v>
      </c>
      <c r="E6846" t="s">
        <v>9206</v>
      </c>
    </row>
    <row r="6847" spans="1:6" x14ac:dyDescent="0.25">
      <c r="A6847" t="str">
        <f>"390200825290"</f>
        <v>390200825290</v>
      </c>
      <c r="B6847" t="s">
        <v>9449</v>
      </c>
      <c r="C6847" t="s">
        <v>7</v>
      </c>
      <c r="D6847" t="s">
        <v>14</v>
      </c>
      <c r="E6847" t="s">
        <v>9206</v>
      </c>
    </row>
    <row r="6848" spans="1:6" x14ac:dyDescent="0.25">
      <c r="A6848" t="str">
        <f>"390402058422"</f>
        <v>390402058422</v>
      </c>
      <c r="B6848" t="s">
        <v>9450</v>
      </c>
      <c r="C6848" t="s">
        <v>7</v>
      </c>
      <c r="D6848" t="s">
        <v>14</v>
      </c>
      <c r="E6848" t="s">
        <v>9206</v>
      </c>
    </row>
    <row r="6849" spans="1:6" x14ac:dyDescent="0.25">
      <c r="A6849" t="str">
        <f>"390517934027"</f>
        <v>390517934027</v>
      </c>
      <c r="B6849" t="s">
        <v>9451</v>
      </c>
      <c r="C6849" t="s">
        <v>7</v>
      </c>
      <c r="D6849" t="s">
        <v>14</v>
      </c>
      <c r="E6849" t="s">
        <v>9206</v>
      </c>
    </row>
    <row r="6850" spans="1:6" x14ac:dyDescent="0.25">
      <c r="A6850" t="str">
        <f>"390611914532"</f>
        <v>390611914532</v>
      </c>
      <c r="B6850" t="s">
        <v>9452</v>
      </c>
      <c r="C6850" t="s">
        <v>7</v>
      </c>
      <c r="D6850" t="s">
        <v>14</v>
      </c>
      <c r="E6850" t="s">
        <v>9206</v>
      </c>
    </row>
    <row r="6851" spans="1:6" x14ac:dyDescent="0.25">
      <c r="A6851" t="str">
        <f>"3906221090"</f>
        <v>3906221090</v>
      </c>
      <c r="B6851" t="s">
        <v>9453</v>
      </c>
      <c r="C6851" t="s">
        <v>7</v>
      </c>
      <c r="D6851" t="s">
        <v>12</v>
      </c>
      <c r="E6851" t="s">
        <v>9206</v>
      </c>
      <c r="F6851" t="s">
        <v>9454</v>
      </c>
    </row>
    <row r="6852" spans="1:6" x14ac:dyDescent="0.25">
      <c r="A6852" t="str">
        <f>"3906299201"</f>
        <v>3906299201</v>
      </c>
      <c r="B6852" t="s">
        <v>9455</v>
      </c>
      <c r="C6852" t="s">
        <v>7</v>
      </c>
      <c r="D6852" t="s">
        <v>14</v>
      </c>
      <c r="E6852" t="s">
        <v>9206</v>
      </c>
      <c r="F6852" t="s">
        <v>9456</v>
      </c>
    </row>
    <row r="6853" spans="1:6" x14ac:dyDescent="0.25">
      <c r="A6853" t="str">
        <f>"3906383100"</f>
        <v>3906383100</v>
      </c>
      <c r="B6853" t="s">
        <v>9457</v>
      </c>
      <c r="C6853" t="s">
        <v>7</v>
      </c>
      <c r="D6853" t="s">
        <v>12</v>
      </c>
      <c r="E6853" t="s">
        <v>9206</v>
      </c>
      <c r="F6853" t="s">
        <v>9458</v>
      </c>
    </row>
    <row r="6854" spans="1:6" x14ac:dyDescent="0.25">
      <c r="A6854" t="str">
        <f>"3906391140"</f>
        <v>3906391140</v>
      </c>
      <c r="B6854" t="s">
        <v>9459</v>
      </c>
      <c r="C6854" t="s">
        <v>7</v>
      </c>
      <c r="D6854" t="s">
        <v>189</v>
      </c>
      <c r="E6854" t="s">
        <v>9206</v>
      </c>
      <c r="F6854" t="s">
        <v>9460</v>
      </c>
    </row>
    <row r="6855" spans="1:6" x14ac:dyDescent="0.25">
      <c r="A6855" t="str">
        <f>"390700444303"</f>
        <v>390700444303</v>
      </c>
      <c r="B6855" t="s">
        <v>9461</v>
      </c>
      <c r="C6855" t="s">
        <v>7</v>
      </c>
      <c r="D6855" t="s">
        <v>12</v>
      </c>
      <c r="E6855" t="s">
        <v>9206</v>
      </c>
    </row>
    <row r="6856" spans="1:6" x14ac:dyDescent="0.25">
      <c r="A6856" t="str">
        <f>"3907038957"</f>
        <v>3907038957</v>
      </c>
      <c r="B6856" t="s">
        <v>9462</v>
      </c>
      <c r="C6856" t="s">
        <v>7</v>
      </c>
      <c r="D6856" t="s">
        <v>8</v>
      </c>
      <c r="E6856" t="s">
        <v>9206</v>
      </c>
      <c r="F6856" t="s">
        <v>9463</v>
      </c>
    </row>
    <row r="6857" spans="1:6" x14ac:dyDescent="0.25">
      <c r="A6857" t="str">
        <f>"390705499786"</f>
        <v>390705499786</v>
      </c>
      <c r="B6857" t="s">
        <v>9464</v>
      </c>
      <c r="C6857" t="s">
        <v>7</v>
      </c>
      <c r="D6857" t="s">
        <v>14</v>
      </c>
      <c r="E6857" t="s">
        <v>9206</v>
      </c>
    </row>
    <row r="6858" spans="1:6" x14ac:dyDescent="0.25">
      <c r="A6858" t="str">
        <f>"390705863604"</f>
        <v>390705863604</v>
      </c>
      <c r="B6858" t="s">
        <v>9465</v>
      </c>
      <c r="C6858" t="s">
        <v>7</v>
      </c>
      <c r="D6858" t="s">
        <v>14</v>
      </c>
      <c r="E6858" t="s">
        <v>9206</v>
      </c>
    </row>
    <row r="6859" spans="1:6" x14ac:dyDescent="0.25">
      <c r="A6859" t="str">
        <f>"3907201963"</f>
        <v>3907201963</v>
      </c>
      <c r="B6859" t="s">
        <v>9466</v>
      </c>
      <c r="C6859" t="s">
        <v>7</v>
      </c>
      <c r="D6859" t="s">
        <v>12</v>
      </c>
      <c r="E6859" t="s">
        <v>9206</v>
      </c>
      <c r="F6859" t="s">
        <v>9467</v>
      </c>
    </row>
    <row r="6860" spans="1:6" x14ac:dyDescent="0.25">
      <c r="A6860" t="str">
        <f>"3917053880"</f>
        <v>3917053880</v>
      </c>
      <c r="B6860" t="s">
        <v>9468</v>
      </c>
      <c r="C6860" t="s">
        <v>7</v>
      </c>
      <c r="D6860" t="s">
        <v>14</v>
      </c>
      <c r="E6860" t="s">
        <v>9206</v>
      </c>
      <c r="F6860" t="s">
        <v>9469</v>
      </c>
    </row>
    <row r="6861" spans="1:6" x14ac:dyDescent="0.25">
      <c r="A6861" t="str">
        <f>"3917056313"</f>
        <v>3917056313</v>
      </c>
      <c r="B6861" t="s">
        <v>9470</v>
      </c>
      <c r="C6861" t="s">
        <v>7</v>
      </c>
      <c r="D6861" t="s">
        <v>33</v>
      </c>
      <c r="E6861" t="s">
        <v>9206</v>
      </c>
      <c r="F6861" t="s">
        <v>9471</v>
      </c>
    </row>
    <row r="6862" spans="1:6" x14ac:dyDescent="0.25">
      <c r="A6862" t="str">
        <f>"3917503032"</f>
        <v>3917503032</v>
      </c>
      <c r="B6862" t="s">
        <v>9472</v>
      </c>
      <c r="C6862" t="s">
        <v>7</v>
      </c>
      <c r="D6862" t="s">
        <v>146</v>
      </c>
      <c r="E6862" t="s">
        <v>9206</v>
      </c>
      <c r="F6862" t="s">
        <v>9439</v>
      </c>
    </row>
    <row r="6863" spans="1:6" x14ac:dyDescent="0.25">
      <c r="A6863" t="str">
        <f>"392201669457"</f>
        <v>392201669457</v>
      </c>
      <c r="B6863" t="s">
        <v>9473</v>
      </c>
      <c r="C6863" t="s">
        <v>7</v>
      </c>
      <c r="D6863" t="s">
        <v>14</v>
      </c>
      <c r="E6863" t="s">
        <v>9206</v>
      </c>
    </row>
    <row r="6864" spans="1:6" x14ac:dyDescent="0.25">
      <c r="A6864" t="str">
        <f>"7702596813"</f>
        <v>7702596813</v>
      </c>
      <c r="B6864" t="s">
        <v>9474</v>
      </c>
      <c r="C6864" t="s">
        <v>7</v>
      </c>
      <c r="D6864" t="s">
        <v>8</v>
      </c>
      <c r="E6864" t="s">
        <v>9206</v>
      </c>
      <c r="F6864" t="s">
        <v>9475</v>
      </c>
    </row>
    <row r="6865" spans="1:6" x14ac:dyDescent="0.25">
      <c r="A6865" t="str">
        <f>"710407143431"</f>
        <v>710407143431</v>
      </c>
      <c r="B6865" t="s">
        <v>9476</v>
      </c>
      <c r="C6865" t="s">
        <v>7</v>
      </c>
      <c r="D6865" t="s">
        <v>12</v>
      </c>
      <c r="E6865" t="s">
        <v>9477</v>
      </c>
    </row>
    <row r="6866" spans="1:6" x14ac:dyDescent="0.25">
      <c r="A6866" t="str">
        <f>"352800101410"</f>
        <v>352800101410</v>
      </c>
      <c r="B6866" t="s">
        <v>9478</v>
      </c>
      <c r="C6866" t="s">
        <v>7</v>
      </c>
      <c r="D6866" t="s">
        <v>14</v>
      </c>
      <c r="E6866" t="s">
        <v>9477</v>
      </c>
    </row>
    <row r="6867" spans="1:6" x14ac:dyDescent="0.25">
      <c r="A6867" t="str">
        <f>"731053449865"</f>
        <v>731053449865</v>
      </c>
      <c r="B6867" t="s">
        <v>9479</v>
      </c>
      <c r="C6867" t="s">
        <v>7</v>
      </c>
      <c r="D6867" t="s">
        <v>12</v>
      </c>
      <c r="E6867" t="s">
        <v>9477</v>
      </c>
    </row>
    <row r="6868" spans="1:6" x14ac:dyDescent="0.25">
      <c r="A6868" t="str">
        <f>"380470405244"</f>
        <v>380470405244</v>
      </c>
      <c r="B6868" t="s">
        <v>9480</v>
      </c>
      <c r="C6868" t="s">
        <v>7</v>
      </c>
      <c r="D6868" t="s">
        <v>14</v>
      </c>
      <c r="E6868" t="s">
        <v>9477</v>
      </c>
    </row>
    <row r="6869" spans="1:6" x14ac:dyDescent="0.25">
      <c r="A6869" t="str">
        <f>"121526523071"</f>
        <v>121526523071</v>
      </c>
      <c r="B6869" t="s">
        <v>9481</v>
      </c>
      <c r="C6869" t="s">
        <v>7</v>
      </c>
      <c r="D6869" t="s">
        <v>14</v>
      </c>
      <c r="E6869" t="s">
        <v>9477</v>
      </c>
    </row>
    <row r="6870" spans="1:6" x14ac:dyDescent="0.25">
      <c r="A6870" t="str">
        <f>"503013453600"</f>
        <v>503013453600</v>
      </c>
      <c r="B6870" t="s">
        <v>9482</v>
      </c>
      <c r="C6870" t="s">
        <v>7</v>
      </c>
      <c r="D6870" t="s">
        <v>14</v>
      </c>
      <c r="E6870" t="s">
        <v>9477</v>
      </c>
    </row>
    <row r="6871" spans="1:6" x14ac:dyDescent="0.25">
      <c r="A6871" t="str">
        <f>"4000004813"</f>
        <v>4000004813</v>
      </c>
      <c r="B6871" t="s">
        <v>9483</v>
      </c>
      <c r="C6871" t="s">
        <v>7</v>
      </c>
      <c r="D6871" t="s">
        <v>12</v>
      </c>
      <c r="E6871" t="s">
        <v>9477</v>
      </c>
      <c r="F6871" t="s">
        <v>9484</v>
      </c>
    </row>
    <row r="6872" spans="1:6" x14ac:dyDescent="0.25">
      <c r="A6872" t="str">
        <f>"400101844805"</f>
        <v>400101844805</v>
      </c>
      <c r="B6872" t="s">
        <v>9485</v>
      </c>
      <c r="C6872" t="s">
        <v>7</v>
      </c>
      <c r="D6872" t="s">
        <v>14</v>
      </c>
      <c r="E6872" t="s">
        <v>9477</v>
      </c>
    </row>
    <row r="6873" spans="1:6" x14ac:dyDescent="0.25">
      <c r="A6873" t="str">
        <f>"400301728387"</f>
        <v>400301728387</v>
      </c>
      <c r="B6873" t="s">
        <v>9486</v>
      </c>
      <c r="C6873" t="s">
        <v>7</v>
      </c>
      <c r="D6873" t="s">
        <v>33</v>
      </c>
      <c r="E6873" t="s">
        <v>9477</v>
      </c>
    </row>
    <row r="6874" spans="1:6" x14ac:dyDescent="0.25">
      <c r="A6874" t="str">
        <f>"4003026967"</f>
        <v>4003026967</v>
      </c>
      <c r="B6874" t="s">
        <v>9487</v>
      </c>
      <c r="C6874" t="s">
        <v>7</v>
      </c>
      <c r="D6874" t="s">
        <v>463</v>
      </c>
      <c r="E6874" t="s">
        <v>9477</v>
      </c>
      <c r="F6874" t="s">
        <v>9488</v>
      </c>
    </row>
    <row r="6875" spans="1:6" x14ac:dyDescent="0.25">
      <c r="A6875" t="str">
        <f>"400302955801"</f>
        <v>400302955801</v>
      </c>
      <c r="B6875" t="s">
        <v>9489</v>
      </c>
      <c r="C6875" t="s">
        <v>7</v>
      </c>
      <c r="D6875" t="s">
        <v>460</v>
      </c>
      <c r="E6875" t="s">
        <v>9477</v>
      </c>
    </row>
    <row r="6876" spans="1:6" x14ac:dyDescent="0.25">
      <c r="A6876" t="str">
        <f>"4000012130"</f>
        <v>4000012130</v>
      </c>
      <c r="B6876" t="s">
        <v>5461</v>
      </c>
      <c r="C6876" t="s">
        <v>7</v>
      </c>
      <c r="D6876" t="s">
        <v>14</v>
      </c>
      <c r="E6876" t="s">
        <v>9477</v>
      </c>
      <c r="F6876" t="s">
        <v>9490</v>
      </c>
    </row>
    <row r="6877" spans="1:6" x14ac:dyDescent="0.25">
      <c r="A6877" t="str">
        <f>"4000023534"</f>
        <v>4000023534</v>
      </c>
      <c r="B6877" t="s">
        <v>9491</v>
      </c>
      <c r="C6877" t="s">
        <v>7</v>
      </c>
      <c r="D6877" t="s">
        <v>33</v>
      </c>
      <c r="E6877" t="s">
        <v>9477</v>
      </c>
      <c r="F6877" t="s">
        <v>9492</v>
      </c>
    </row>
    <row r="6878" spans="1:6" x14ac:dyDescent="0.25">
      <c r="A6878" t="str">
        <f>"400300007720"</f>
        <v>400300007720</v>
      </c>
      <c r="B6878" t="s">
        <v>9493</v>
      </c>
      <c r="C6878" t="s">
        <v>7</v>
      </c>
      <c r="D6878" t="s">
        <v>14</v>
      </c>
      <c r="E6878" t="s">
        <v>9477</v>
      </c>
    </row>
    <row r="6879" spans="1:6" x14ac:dyDescent="0.25">
      <c r="A6879" t="str">
        <f>"400300274074"</f>
        <v>400300274074</v>
      </c>
      <c r="B6879" t="s">
        <v>9494</v>
      </c>
      <c r="C6879" t="s">
        <v>7</v>
      </c>
      <c r="D6879" t="s">
        <v>14</v>
      </c>
      <c r="E6879" t="s">
        <v>9477</v>
      </c>
    </row>
    <row r="6880" spans="1:6" x14ac:dyDescent="0.25">
      <c r="A6880" t="str">
        <f>"400301060318"</f>
        <v>400301060318</v>
      </c>
      <c r="B6880" t="s">
        <v>9495</v>
      </c>
      <c r="C6880" t="s">
        <v>7</v>
      </c>
      <c r="D6880" t="s">
        <v>14</v>
      </c>
      <c r="E6880" t="s">
        <v>9477</v>
      </c>
    </row>
    <row r="6881" spans="1:6" x14ac:dyDescent="0.25">
      <c r="A6881" t="str">
        <f>"4003014665"</f>
        <v>4003014665</v>
      </c>
      <c r="B6881" t="s">
        <v>9496</v>
      </c>
      <c r="C6881" t="s">
        <v>7</v>
      </c>
      <c r="D6881" t="s">
        <v>14</v>
      </c>
      <c r="E6881" t="s">
        <v>9477</v>
      </c>
      <c r="F6881" t="s">
        <v>9497</v>
      </c>
    </row>
    <row r="6882" spans="1:6" x14ac:dyDescent="0.25">
      <c r="A6882" t="str">
        <f>"4003038930"</f>
        <v>4003038930</v>
      </c>
      <c r="B6882" t="s">
        <v>9498</v>
      </c>
      <c r="C6882" t="s">
        <v>7</v>
      </c>
      <c r="D6882" t="s">
        <v>14</v>
      </c>
      <c r="E6882" t="s">
        <v>9477</v>
      </c>
      <c r="F6882" t="s">
        <v>9499</v>
      </c>
    </row>
    <row r="6883" spans="1:6" x14ac:dyDescent="0.25">
      <c r="A6883" t="str">
        <f>"400331317271"</f>
        <v>400331317271</v>
      </c>
      <c r="B6883" t="s">
        <v>9500</v>
      </c>
      <c r="C6883" t="s">
        <v>7</v>
      </c>
      <c r="D6883" t="s">
        <v>12</v>
      </c>
      <c r="E6883" t="s">
        <v>9477</v>
      </c>
    </row>
    <row r="6884" spans="1:6" x14ac:dyDescent="0.25">
      <c r="A6884" t="str">
        <f>"400600373213"</f>
        <v>400600373213</v>
      </c>
      <c r="B6884" t="s">
        <v>9501</v>
      </c>
      <c r="C6884" t="s">
        <v>7</v>
      </c>
      <c r="D6884" t="s">
        <v>14</v>
      </c>
      <c r="E6884" t="s">
        <v>9477</v>
      </c>
    </row>
    <row r="6885" spans="1:6" x14ac:dyDescent="0.25">
      <c r="A6885" t="str">
        <f>"400600959199"</f>
        <v>400600959199</v>
      </c>
      <c r="B6885" t="s">
        <v>9502</v>
      </c>
      <c r="C6885" t="s">
        <v>7</v>
      </c>
      <c r="D6885" t="s">
        <v>12</v>
      </c>
      <c r="E6885" t="s">
        <v>9477</v>
      </c>
    </row>
    <row r="6886" spans="1:6" x14ac:dyDescent="0.25">
      <c r="A6886" t="str">
        <f>"400701804191"</f>
        <v>400701804191</v>
      </c>
      <c r="B6886" t="s">
        <v>9503</v>
      </c>
      <c r="C6886" t="s">
        <v>7</v>
      </c>
      <c r="D6886" t="s">
        <v>14</v>
      </c>
      <c r="E6886" t="s">
        <v>9477</v>
      </c>
    </row>
    <row r="6887" spans="1:6" x14ac:dyDescent="0.25">
      <c r="A6887" t="str">
        <f>"4007019696"</f>
        <v>4007019696</v>
      </c>
      <c r="B6887" t="s">
        <v>9504</v>
      </c>
      <c r="C6887" t="s">
        <v>7</v>
      </c>
      <c r="D6887" t="s">
        <v>14</v>
      </c>
      <c r="E6887" t="s">
        <v>9477</v>
      </c>
      <c r="F6887" t="s">
        <v>9505</v>
      </c>
    </row>
    <row r="6888" spans="1:6" x14ac:dyDescent="0.25">
      <c r="A6888" t="str">
        <f>"5042059767"</f>
        <v>5042059767</v>
      </c>
      <c r="B6888" t="s">
        <v>9506</v>
      </c>
      <c r="C6888" t="s">
        <v>7</v>
      </c>
      <c r="D6888" t="s">
        <v>1430</v>
      </c>
      <c r="E6888" t="s">
        <v>9477</v>
      </c>
      <c r="F6888" t="s">
        <v>9507</v>
      </c>
    </row>
    <row r="6889" spans="1:6" x14ac:dyDescent="0.25">
      <c r="A6889" t="str">
        <f>"4000013416"</f>
        <v>4000013416</v>
      </c>
      <c r="B6889" t="s">
        <v>9508</v>
      </c>
      <c r="C6889" t="s">
        <v>7</v>
      </c>
      <c r="D6889" t="s">
        <v>8</v>
      </c>
      <c r="E6889" t="s">
        <v>9477</v>
      </c>
      <c r="F6889" t="s">
        <v>9509</v>
      </c>
    </row>
    <row r="6890" spans="1:6" x14ac:dyDescent="0.25">
      <c r="A6890" t="str">
        <f>"4000024224"</f>
        <v>4000024224</v>
      </c>
      <c r="B6890" t="s">
        <v>9510</v>
      </c>
      <c r="C6890" t="s">
        <v>7</v>
      </c>
      <c r="D6890" t="s">
        <v>12</v>
      </c>
      <c r="E6890" t="s">
        <v>9477</v>
      </c>
      <c r="F6890" t="s">
        <v>9511</v>
      </c>
    </row>
    <row r="6891" spans="1:6" x14ac:dyDescent="0.25">
      <c r="A6891" t="str">
        <f>"400300764047"</f>
        <v>400300764047</v>
      </c>
      <c r="B6891" t="s">
        <v>9512</v>
      </c>
      <c r="C6891" t="s">
        <v>7</v>
      </c>
      <c r="D6891" t="s">
        <v>14</v>
      </c>
      <c r="E6891" t="s">
        <v>9477</v>
      </c>
    </row>
    <row r="6892" spans="1:6" x14ac:dyDescent="0.25">
      <c r="A6892" t="str">
        <f>"4003030258"</f>
        <v>4003030258</v>
      </c>
      <c r="B6892" t="s">
        <v>9513</v>
      </c>
      <c r="C6892" t="s">
        <v>7</v>
      </c>
      <c r="D6892" t="s">
        <v>14</v>
      </c>
      <c r="E6892" t="s">
        <v>9477</v>
      </c>
      <c r="F6892" t="s">
        <v>9514</v>
      </c>
    </row>
    <row r="6893" spans="1:6" x14ac:dyDescent="0.25">
      <c r="A6893" t="str">
        <f>"400400043747"</f>
        <v>400400043747</v>
      </c>
      <c r="B6893" t="s">
        <v>9515</v>
      </c>
      <c r="C6893" t="s">
        <v>7</v>
      </c>
      <c r="D6893" t="s">
        <v>14</v>
      </c>
      <c r="E6893" t="s">
        <v>9477</v>
      </c>
    </row>
    <row r="6894" spans="1:6" x14ac:dyDescent="0.25">
      <c r="A6894" t="str">
        <f>"400400096611"</f>
        <v>400400096611</v>
      </c>
      <c r="B6894" t="s">
        <v>9516</v>
      </c>
      <c r="C6894" t="s">
        <v>7</v>
      </c>
      <c r="D6894" t="s">
        <v>14</v>
      </c>
      <c r="E6894" t="s">
        <v>9477</v>
      </c>
    </row>
    <row r="6895" spans="1:6" x14ac:dyDescent="0.25">
      <c r="A6895" t="str">
        <f>"400400288585"</f>
        <v>400400288585</v>
      </c>
      <c r="B6895" t="s">
        <v>9517</v>
      </c>
      <c r="C6895" t="s">
        <v>7</v>
      </c>
      <c r="D6895" t="s">
        <v>14</v>
      </c>
      <c r="E6895" t="s">
        <v>9477</v>
      </c>
    </row>
    <row r="6896" spans="1:6" x14ac:dyDescent="0.25">
      <c r="A6896" t="str">
        <f>"400401861495"</f>
        <v>400401861495</v>
      </c>
      <c r="B6896" t="s">
        <v>9518</v>
      </c>
      <c r="C6896" t="s">
        <v>7</v>
      </c>
      <c r="D6896" t="s">
        <v>14</v>
      </c>
      <c r="E6896" t="s">
        <v>9477</v>
      </c>
    </row>
    <row r="6897" spans="1:6" x14ac:dyDescent="0.25">
      <c r="A6897" t="str">
        <f>"401101158501"</f>
        <v>401101158501</v>
      </c>
      <c r="B6897" t="s">
        <v>9519</v>
      </c>
      <c r="C6897" t="s">
        <v>7</v>
      </c>
      <c r="D6897" t="s">
        <v>14</v>
      </c>
      <c r="E6897" t="s">
        <v>9477</v>
      </c>
    </row>
    <row r="6898" spans="1:6" x14ac:dyDescent="0.25">
      <c r="A6898" t="str">
        <f>"401101261393"</f>
        <v>401101261393</v>
      </c>
      <c r="B6898" t="s">
        <v>9520</v>
      </c>
      <c r="C6898" t="s">
        <v>7</v>
      </c>
      <c r="D6898" t="s">
        <v>14</v>
      </c>
      <c r="E6898" t="s">
        <v>9477</v>
      </c>
    </row>
    <row r="6899" spans="1:6" x14ac:dyDescent="0.25">
      <c r="A6899" t="str">
        <f>"401109987003"</f>
        <v>401109987003</v>
      </c>
      <c r="B6899" t="s">
        <v>9521</v>
      </c>
      <c r="C6899" t="s">
        <v>7</v>
      </c>
      <c r="D6899" t="s">
        <v>14</v>
      </c>
      <c r="E6899" t="s">
        <v>9477</v>
      </c>
    </row>
    <row r="6900" spans="1:6" x14ac:dyDescent="0.25">
      <c r="A6900" t="str">
        <f>"401200619880"</f>
        <v>401200619880</v>
      </c>
      <c r="B6900" t="s">
        <v>9522</v>
      </c>
      <c r="C6900" t="s">
        <v>7</v>
      </c>
      <c r="D6900" t="s">
        <v>14</v>
      </c>
      <c r="E6900" t="s">
        <v>9477</v>
      </c>
    </row>
    <row r="6901" spans="1:6" x14ac:dyDescent="0.25">
      <c r="A6901" t="str">
        <f>"401301087230"</f>
        <v>401301087230</v>
      </c>
      <c r="B6901" t="s">
        <v>9523</v>
      </c>
      <c r="C6901" t="s">
        <v>7</v>
      </c>
      <c r="D6901" t="s">
        <v>14</v>
      </c>
      <c r="E6901" t="s">
        <v>9477</v>
      </c>
    </row>
    <row r="6902" spans="1:6" x14ac:dyDescent="0.25">
      <c r="A6902" t="str">
        <f>"401700742385"</f>
        <v>401700742385</v>
      </c>
      <c r="B6902" t="s">
        <v>9524</v>
      </c>
      <c r="C6902" t="s">
        <v>7</v>
      </c>
      <c r="D6902" t="s">
        <v>14</v>
      </c>
      <c r="E6902" t="s">
        <v>9477</v>
      </c>
    </row>
    <row r="6903" spans="1:6" x14ac:dyDescent="0.25">
      <c r="A6903" t="str">
        <f>"401901149792"</f>
        <v>401901149792</v>
      </c>
      <c r="B6903" t="s">
        <v>9525</v>
      </c>
      <c r="C6903" t="s">
        <v>7</v>
      </c>
      <c r="D6903" t="s">
        <v>14</v>
      </c>
      <c r="E6903" t="s">
        <v>9477</v>
      </c>
    </row>
    <row r="6904" spans="1:6" x14ac:dyDescent="0.25">
      <c r="A6904" t="str">
        <f>"4023007987"</f>
        <v>4023007987</v>
      </c>
      <c r="B6904" t="s">
        <v>479</v>
      </c>
      <c r="C6904" t="s">
        <v>7</v>
      </c>
      <c r="D6904" t="s">
        <v>14</v>
      </c>
      <c r="E6904" t="s">
        <v>9477</v>
      </c>
      <c r="F6904" t="s">
        <v>9526</v>
      </c>
    </row>
    <row r="6905" spans="1:6" x14ac:dyDescent="0.25">
      <c r="A6905" t="str">
        <f>"4023009617"</f>
        <v>4023009617</v>
      </c>
      <c r="B6905" t="s">
        <v>9527</v>
      </c>
      <c r="C6905" t="s">
        <v>7</v>
      </c>
      <c r="D6905" t="s">
        <v>14</v>
      </c>
      <c r="E6905" t="s">
        <v>9477</v>
      </c>
      <c r="F6905" t="s">
        <v>9528</v>
      </c>
    </row>
    <row r="6906" spans="1:6" x14ac:dyDescent="0.25">
      <c r="A6906" t="str">
        <f>"402301268214"</f>
        <v>402301268214</v>
      </c>
      <c r="B6906" t="s">
        <v>9529</v>
      </c>
      <c r="C6906" t="s">
        <v>7</v>
      </c>
      <c r="D6906" t="s">
        <v>14</v>
      </c>
      <c r="E6906" t="s">
        <v>9477</v>
      </c>
    </row>
    <row r="6907" spans="1:6" x14ac:dyDescent="0.25">
      <c r="A6907" t="str">
        <f>"402302786554"</f>
        <v>402302786554</v>
      </c>
      <c r="B6907" t="s">
        <v>9530</v>
      </c>
      <c r="C6907" t="s">
        <v>7</v>
      </c>
      <c r="D6907" t="s">
        <v>14</v>
      </c>
      <c r="E6907" t="s">
        <v>9477</v>
      </c>
    </row>
    <row r="6908" spans="1:6" x14ac:dyDescent="0.25">
      <c r="A6908" t="str">
        <f>"402313367266"</f>
        <v>402313367266</v>
      </c>
      <c r="B6908" t="s">
        <v>9531</v>
      </c>
      <c r="C6908" t="s">
        <v>7</v>
      </c>
      <c r="D6908" t="s">
        <v>14</v>
      </c>
      <c r="E6908" t="s">
        <v>9477</v>
      </c>
    </row>
    <row r="6909" spans="1:6" x14ac:dyDescent="0.25">
      <c r="A6909" t="str">
        <f>"402400067565"</f>
        <v>402400067565</v>
      </c>
      <c r="B6909" t="s">
        <v>9532</v>
      </c>
      <c r="C6909" t="s">
        <v>7</v>
      </c>
      <c r="D6909" t="s">
        <v>14</v>
      </c>
      <c r="E6909" t="s">
        <v>9477</v>
      </c>
    </row>
    <row r="6910" spans="1:6" x14ac:dyDescent="0.25">
      <c r="A6910" t="str">
        <f>"402400102308"</f>
        <v>402400102308</v>
      </c>
      <c r="B6910" t="s">
        <v>9533</v>
      </c>
      <c r="C6910" t="s">
        <v>7</v>
      </c>
      <c r="D6910" t="s">
        <v>14</v>
      </c>
      <c r="E6910" t="s">
        <v>9477</v>
      </c>
    </row>
    <row r="6911" spans="1:6" x14ac:dyDescent="0.25">
      <c r="A6911" t="str">
        <f>"402400150206"</f>
        <v>402400150206</v>
      </c>
      <c r="B6911" t="s">
        <v>9534</v>
      </c>
      <c r="C6911" t="s">
        <v>7</v>
      </c>
      <c r="D6911" t="s">
        <v>14</v>
      </c>
      <c r="E6911" t="s">
        <v>9477</v>
      </c>
    </row>
    <row r="6912" spans="1:6" x14ac:dyDescent="0.25">
      <c r="A6912" t="str">
        <f>"402403628353"</f>
        <v>402403628353</v>
      </c>
      <c r="B6912" t="s">
        <v>9535</v>
      </c>
      <c r="C6912" t="s">
        <v>7</v>
      </c>
      <c r="D6912" t="s">
        <v>14</v>
      </c>
      <c r="E6912" t="s">
        <v>9477</v>
      </c>
    </row>
    <row r="6913" spans="1:6" x14ac:dyDescent="0.25">
      <c r="A6913" t="str">
        <f>"402500699494"</f>
        <v>402500699494</v>
      </c>
      <c r="B6913" t="s">
        <v>9536</v>
      </c>
      <c r="C6913" t="s">
        <v>7</v>
      </c>
      <c r="D6913" t="s">
        <v>14</v>
      </c>
      <c r="E6913" t="s">
        <v>9477</v>
      </c>
    </row>
    <row r="6914" spans="1:6" x14ac:dyDescent="0.25">
      <c r="A6914" t="str">
        <f>"4025007460"</f>
        <v>4025007460</v>
      </c>
      <c r="B6914" t="s">
        <v>9537</v>
      </c>
      <c r="C6914" t="s">
        <v>7</v>
      </c>
      <c r="D6914" t="s">
        <v>12</v>
      </c>
      <c r="E6914" t="s">
        <v>9477</v>
      </c>
      <c r="F6914" t="s">
        <v>9538</v>
      </c>
    </row>
    <row r="6915" spans="1:6" x14ac:dyDescent="0.25">
      <c r="A6915" t="str">
        <f>"402506496902"</f>
        <v>402506496902</v>
      </c>
      <c r="B6915" t="s">
        <v>9539</v>
      </c>
      <c r="C6915" t="s">
        <v>7</v>
      </c>
      <c r="D6915" t="s">
        <v>12</v>
      </c>
      <c r="E6915" t="s">
        <v>9477</v>
      </c>
    </row>
    <row r="6916" spans="1:6" x14ac:dyDescent="0.25">
      <c r="A6916" t="str">
        <f>"4025415131"</f>
        <v>4025415131</v>
      </c>
      <c r="B6916" t="s">
        <v>9540</v>
      </c>
      <c r="C6916" t="s">
        <v>7</v>
      </c>
      <c r="D6916" t="s">
        <v>33</v>
      </c>
      <c r="E6916" t="s">
        <v>9477</v>
      </c>
      <c r="F6916" t="s">
        <v>9541</v>
      </c>
    </row>
    <row r="6917" spans="1:6" x14ac:dyDescent="0.25">
      <c r="A6917" t="str">
        <f>"4025431581"</f>
        <v>4025431581</v>
      </c>
      <c r="B6917" t="s">
        <v>9542</v>
      </c>
      <c r="C6917" t="s">
        <v>7</v>
      </c>
      <c r="D6917" t="s">
        <v>12</v>
      </c>
      <c r="E6917" t="s">
        <v>9477</v>
      </c>
      <c r="F6917" t="s">
        <v>9543</v>
      </c>
    </row>
    <row r="6918" spans="1:6" x14ac:dyDescent="0.25">
      <c r="A6918" t="str">
        <f>"4025436734"</f>
        <v>4025436734</v>
      </c>
      <c r="B6918" t="s">
        <v>9544</v>
      </c>
      <c r="C6918" t="s">
        <v>7</v>
      </c>
      <c r="D6918" t="s">
        <v>12</v>
      </c>
      <c r="E6918" t="s">
        <v>9477</v>
      </c>
      <c r="F6918" t="s">
        <v>9545</v>
      </c>
    </row>
    <row r="6919" spans="1:6" x14ac:dyDescent="0.25">
      <c r="A6919" t="str">
        <f>"4025450626"</f>
        <v>4025450626</v>
      </c>
      <c r="B6919" t="s">
        <v>9546</v>
      </c>
      <c r="C6919" t="s">
        <v>7</v>
      </c>
      <c r="D6919" t="s">
        <v>98</v>
      </c>
      <c r="E6919" t="s">
        <v>9477</v>
      </c>
      <c r="F6919" t="s">
        <v>9547</v>
      </c>
    </row>
    <row r="6920" spans="1:6" x14ac:dyDescent="0.25">
      <c r="A6920" t="str">
        <f>"4025454765"</f>
        <v>4025454765</v>
      </c>
      <c r="B6920" t="s">
        <v>9548</v>
      </c>
      <c r="C6920" t="s">
        <v>7</v>
      </c>
      <c r="D6920" t="s">
        <v>98</v>
      </c>
      <c r="E6920" t="s">
        <v>9477</v>
      </c>
      <c r="F6920" t="s">
        <v>9549</v>
      </c>
    </row>
    <row r="6921" spans="1:6" x14ac:dyDescent="0.25">
      <c r="A6921" t="str">
        <f>"402572197380"</f>
        <v>402572197380</v>
      </c>
      <c r="B6921" t="s">
        <v>9550</v>
      </c>
      <c r="C6921" t="s">
        <v>7</v>
      </c>
      <c r="D6921" t="s">
        <v>14</v>
      </c>
      <c r="E6921" t="s">
        <v>9477</v>
      </c>
    </row>
    <row r="6922" spans="1:6" x14ac:dyDescent="0.25">
      <c r="A6922" t="str">
        <f>"402574272876"</f>
        <v>402574272876</v>
      </c>
      <c r="B6922" t="s">
        <v>9551</v>
      </c>
      <c r="C6922" t="s">
        <v>7</v>
      </c>
      <c r="D6922" t="s">
        <v>14</v>
      </c>
      <c r="E6922" t="s">
        <v>9477</v>
      </c>
    </row>
    <row r="6923" spans="1:6" x14ac:dyDescent="0.25">
      <c r="A6923" t="str">
        <f>"4026002000"</f>
        <v>4026002000</v>
      </c>
      <c r="B6923" t="s">
        <v>9552</v>
      </c>
      <c r="C6923" t="s">
        <v>7</v>
      </c>
      <c r="D6923" t="s">
        <v>14</v>
      </c>
      <c r="E6923" t="s">
        <v>9477</v>
      </c>
      <c r="F6923" t="s">
        <v>9553</v>
      </c>
    </row>
    <row r="6924" spans="1:6" x14ac:dyDescent="0.25">
      <c r="A6924" t="str">
        <f>"4026002419"</f>
        <v>4026002419</v>
      </c>
      <c r="B6924" t="s">
        <v>9554</v>
      </c>
      <c r="C6924" t="s">
        <v>7</v>
      </c>
      <c r="D6924" t="s">
        <v>12</v>
      </c>
      <c r="E6924" t="s">
        <v>9477</v>
      </c>
      <c r="F6924" t="s">
        <v>9555</v>
      </c>
    </row>
    <row r="6925" spans="1:6" x14ac:dyDescent="0.25">
      <c r="A6925" t="str">
        <f>"402701324833"</f>
        <v>402701324833</v>
      </c>
      <c r="B6925" t="s">
        <v>9556</v>
      </c>
      <c r="C6925" t="s">
        <v>7</v>
      </c>
      <c r="D6925" t="s">
        <v>14</v>
      </c>
      <c r="E6925" t="s">
        <v>9477</v>
      </c>
    </row>
    <row r="6926" spans="1:6" x14ac:dyDescent="0.25">
      <c r="A6926" t="str">
        <f>"402701840330"</f>
        <v>402701840330</v>
      </c>
      <c r="B6926" t="s">
        <v>9557</v>
      </c>
      <c r="C6926" t="s">
        <v>7</v>
      </c>
      <c r="D6926" t="s">
        <v>14</v>
      </c>
      <c r="E6926" t="s">
        <v>9477</v>
      </c>
    </row>
    <row r="6927" spans="1:6" x14ac:dyDescent="0.25">
      <c r="A6927" t="str">
        <f>"4027035914"</f>
        <v>4027035914</v>
      </c>
      <c r="B6927" t="s">
        <v>9558</v>
      </c>
      <c r="C6927" t="s">
        <v>7</v>
      </c>
      <c r="D6927" t="s">
        <v>33</v>
      </c>
      <c r="E6927" t="s">
        <v>9477</v>
      </c>
      <c r="F6927" t="s">
        <v>9559</v>
      </c>
    </row>
    <row r="6928" spans="1:6" x14ac:dyDescent="0.25">
      <c r="A6928" t="str">
        <f>"4027067320"</f>
        <v>4027067320</v>
      </c>
      <c r="B6928" t="s">
        <v>9560</v>
      </c>
      <c r="C6928" t="s">
        <v>7</v>
      </c>
      <c r="D6928" t="s">
        <v>14</v>
      </c>
      <c r="E6928" t="s">
        <v>9477</v>
      </c>
      <c r="F6928" t="s">
        <v>9561</v>
      </c>
    </row>
    <row r="6929" spans="1:6" x14ac:dyDescent="0.25">
      <c r="A6929" t="str">
        <f>"4027071140"</f>
        <v>4027071140</v>
      </c>
      <c r="B6929" t="s">
        <v>9562</v>
      </c>
      <c r="C6929" t="s">
        <v>7</v>
      </c>
      <c r="D6929" t="s">
        <v>12</v>
      </c>
      <c r="E6929" t="s">
        <v>9477</v>
      </c>
      <c r="F6929" t="s">
        <v>9563</v>
      </c>
    </row>
    <row r="6930" spans="1:6" x14ac:dyDescent="0.25">
      <c r="A6930" t="str">
        <f>"4027086570"</f>
        <v>4027086570</v>
      </c>
      <c r="B6930" t="s">
        <v>9564</v>
      </c>
      <c r="C6930" t="s">
        <v>7</v>
      </c>
      <c r="D6930" t="s">
        <v>12</v>
      </c>
      <c r="E6930" t="s">
        <v>9477</v>
      </c>
      <c r="F6930" t="s">
        <v>9565</v>
      </c>
    </row>
    <row r="6931" spans="1:6" x14ac:dyDescent="0.25">
      <c r="A6931" t="str">
        <f>"4027129739"</f>
        <v>4027129739</v>
      </c>
      <c r="B6931" t="s">
        <v>9566</v>
      </c>
      <c r="C6931" t="s">
        <v>7</v>
      </c>
      <c r="D6931" t="s">
        <v>12</v>
      </c>
      <c r="E6931" t="s">
        <v>9477</v>
      </c>
      <c r="F6931" t="s">
        <v>9567</v>
      </c>
    </row>
    <row r="6932" spans="1:6" x14ac:dyDescent="0.25">
      <c r="A6932" t="str">
        <f>"402802224962"</f>
        <v>402802224962</v>
      </c>
      <c r="B6932" t="s">
        <v>9568</v>
      </c>
      <c r="C6932" t="s">
        <v>7</v>
      </c>
      <c r="D6932" t="s">
        <v>14</v>
      </c>
      <c r="E6932" t="s">
        <v>9477</v>
      </c>
    </row>
    <row r="6933" spans="1:6" x14ac:dyDescent="0.25">
      <c r="A6933" t="str">
        <f>"4028073528"</f>
        <v>4028073528</v>
      </c>
      <c r="B6933" t="s">
        <v>9569</v>
      </c>
      <c r="C6933" t="s">
        <v>7</v>
      </c>
      <c r="D6933" t="s">
        <v>8</v>
      </c>
      <c r="E6933" t="s">
        <v>9477</v>
      </c>
      <c r="F6933" t="s">
        <v>9570</v>
      </c>
    </row>
    <row r="6934" spans="1:6" x14ac:dyDescent="0.25">
      <c r="A6934" t="str">
        <f>"402808152312"</f>
        <v>402808152312</v>
      </c>
      <c r="B6934" t="s">
        <v>9571</v>
      </c>
      <c r="C6934" t="s">
        <v>7</v>
      </c>
      <c r="D6934" t="s">
        <v>14</v>
      </c>
      <c r="E6934" t="s">
        <v>9477</v>
      </c>
    </row>
    <row r="6935" spans="1:6" x14ac:dyDescent="0.25">
      <c r="A6935" t="str">
        <f>"402809484180"</f>
        <v>402809484180</v>
      </c>
      <c r="B6935" t="s">
        <v>9572</v>
      </c>
      <c r="C6935" t="s">
        <v>7</v>
      </c>
      <c r="D6935" t="s">
        <v>33</v>
      </c>
      <c r="E6935" t="s">
        <v>9477</v>
      </c>
    </row>
    <row r="6936" spans="1:6" x14ac:dyDescent="0.25">
      <c r="A6936" t="str">
        <f>"402816035436"</f>
        <v>402816035436</v>
      </c>
      <c r="B6936" t="s">
        <v>9573</v>
      </c>
      <c r="C6936" t="s">
        <v>7</v>
      </c>
      <c r="D6936" t="s">
        <v>14</v>
      </c>
      <c r="E6936" t="s">
        <v>9477</v>
      </c>
    </row>
    <row r="6937" spans="1:6" x14ac:dyDescent="0.25">
      <c r="A6937" t="str">
        <f>"402902056052"</f>
        <v>402902056052</v>
      </c>
      <c r="B6937" t="s">
        <v>9574</v>
      </c>
      <c r="C6937" t="s">
        <v>7</v>
      </c>
      <c r="D6937" t="s">
        <v>33</v>
      </c>
      <c r="E6937" t="s">
        <v>9477</v>
      </c>
    </row>
    <row r="6938" spans="1:6" x14ac:dyDescent="0.25">
      <c r="A6938" t="str">
        <f>"4029039576"</f>
        <v>4029039576</v>
      </c>
      <c r="B6938" t="s">
        <v>9575</v>
      </c>
      <c r="C6938" t="s">
        <v>7</v>
      </c>
      <c r="D6938" t="s">
        <v>12</v>
      </c>
      <c r="E6938" t="s">
        <v>9477</v>
      </c>
      <c r="F6938" t="s">
        <v>9576</v>
      </c>
    </row>
    <row r="6939" spans="1:6" x14ac:dyDescent="0.25">
      <c r="A6939" t="str">
        <f>"402904188047"</f>
        <v>402904188047</v>
      </c>
      <c r="B6939" t="s">
        <v>9577</v>
      </c>
      <c r="C6939" t="s">
        <v>7</v>
      </c>
      <c r="D6939" t="s">
        <v>12</v>
      </c>
      <c r="E6939" t="s">
        <v>9477</v>
      </c>
    </row>
    <row r="6940" spans="1:6" x14ac:dyDescent="0.25">
      <c r="A6940" t="str">
        <f>"402905353462"</f>
        <v>402905353462</v>
      </c>
      <c r="B6940" t="s">
        <v>9578</v>
      </c>
      <c r="C6940" t="s">
        <v>7</v>
      </c>
      <c r="D6940" t="s">
        <v>14</v>
      </c>
      <c r="E6940" t="s">
        <v>9477</v>
      </c>
    </row>
    <row r="6941" spans="1:6" x14ac:dyDescent="0.25">
      <c r="A6941" t="str">
        <f>"402905546841"</f>
        <v>402905546841</v>
      </c>
      <c r="B6941" t="s">
        <v>9579</v>
      </c>
      <c r="C6941" t="s">
        <v>7</v>
      </c>
      <c r="D6941" t="s">
        <v>12</v>
      </c>
      <c r="E6941" t="s">
        <v>9477</v>
      </c>
    </row>
    <row r="6942" spans="1:6" x14ac:dyDescent="0.25">
      <c r="A6942" t="str">
        <f>"4029060810"</f>
        <v>4029060810</v>
      </c>
      <c r="B6942" t="s">
        <v>9580</v>
      </c>
      <c r="C6942" t="s">
        <v>7</v>
      </c>
      <c r="D6942" t="s">
        <v>33</v>
      </c>
      <c r="E6942" t="s">
        <v>9477</v>
      </c>
      <c r="F6942" t="s">
        <v>9581</v>
      </c>
    </row>
    <row r="6943" spans="1:6" x14ac:dyDescent="0.25">
      <c r="A6943" t="str">
        <f>"402915864882"</f>
        <v>402915864882</v>
      </c>
      <c r="B6943" t="s">
        <v>9582</v>
      </c>
      <c r="C6943" t="s">
        <v>7</v>
      </c>
      <c r="D6943" t="s">
        <v>14</v>
      </c>
      <c r="E6943" t="s">
        <v>9477</v>
      </c>
    </row>
    <row r="6944" spans="1:6" x14ac:dyDescent="0.25">
      <c r="A6944" t="str">
        <f>"400903328604"</f>
        <v>400903328604</v>
      </c>
      <c r="B6944" t="s">
        <v>9583</v>
      </c>
      <c r="C6944" t="s">
        <v>7</v>
      </c>
      <c r="D6944" t="s">
        <v>14</v>
      </c>
      <c r="E6944" t="s">
        <v>9477</v>
      </c>
    </row>
    <row r="6945" spans="1:6" x14ac:dyDescent="0.25">
      <c r="A6945" t="str">
        <f>"401100108579"</f>
        <v>401100108579</v>
      </c>
      <c r="B6945" t="s">
        <v>9584</v>
      </c>
      <c r="C6945" t="s">
        <v>7</v>
      </c>
      <c r="D6945" t="s">
        <v>14</v>
      </c>
      <c r="E6945" t="s">
        <v>9477</v>
      </c>
    </row>
    <row r="6946" spans="1:6" x14ac:dyDescent="0.25">
      <c r="A6946" t="str">
        <f>"401100115791"</f>
        <v>401100115791</v>
      </c>
      <c r="B6946" t="s">
        <v>9585</v>
      </c>
      <c r="C6946" t="s">
        <v>7</v>
      </c>
      <c r="D6946" t="s">
        <v>14</v>
      </c>
      <c r="E6946" t="s">
        <v>9477</v>
      </c>
    </row>
    <row r="6947" spans="1:6" x14ac:dyDescent="0.25">
      <c r="A6947" t="str">
        <f>"4011019811"</f>
        <v>4011019811</v>
      </c>
      <c r="B6947" t="s">
        <v>9586</v>
      </c>
      <c r="C6947" t="s">
        <v>7</v>
      </c>
      <c r="D6947" t="s">
        <v>12</v>
      </c>
      <c r="E6947" t="s">
        <v>9477</v>
      </c>
      <c r="F6947" t="s">
        <v>9587</v>
      </c>
    </row>
    <row r="6948" spans="1:6" x14ac:dyDescent="0.25">
      <c r="A6948" t="str">
        <f>"401102378651"</f>
        <v>401102378651</v>
      </c>
      <c r="B6948" t="s">
        <v>9588</v>
      </c>
      <c r="C6948" t="s">
        <v>7</v>
      </c>
      <c r="D6948" t="s">
        <v>14</v>
      </c>
      <c r="E6948" t="s">
        <v>9477</v>
      </c>
    </row>
    <row r="6949" spans="1:6" x14ac:dyDescent="0.25">
      <c r="A6949" t="str">
        <f>"401102640267"</f>
        <v>401102640267</v>
      </c>
      <c r="B6949" t="s">
        <v>9589</v>
      </c>
      <c r="C6949" t="s">
        <v>7</v>
      </c>
      <c r="D6949" t="s">
        <v>14</v>
      </c>
      <c r="E6949" t="s">
        <v>9477</v>
      </c>
    </row>
    <row r="6950" spans="1:6" x14ac:dyDescent="0.25">
      <c r="A6950" t="str">
        <f>"401103423554"</f>
        <v>401103423554</v>
      </c>
      <c r="B6950" t="s">
        <v>9590</v>
      </c>
      <c r="C6950" t="s">
        <v>7</v>
      </c>
      <c r="D6950" t="s">
        <v>14</v>
      </c>
      <c r="E6950" t="s">
        <v>9477</v>
      </c>
    </row>
    <row r="6951" spans="1:6" x14ac:dyDescent="0.25">
      <c r="A6951" t="str">
        <f>"401109110974"</f>
        <v>401109110974</v>
      </c>
      <c r="B6951" t="s">
        <v>9591</v>
      </c>
      <c r="C6951" t="s">
        <v>7</v>
      </c>
      <c r="D6951" t="s">
        <v>14</v>
      </c>
      <c r="E6951" t="s">
        <v>9477</v>
      </c>
    </row>
    <row r="6952" spans="1:6" x14ac:dyDescent="0.25">
      <c r="A6952" t="str">
        <f>"401800000348"</f>
        <v>401800000348</v>
      </c>
      <c r="B6952" t="s">
        <v>9592</v>
      </c>
      <c r="C6952" t="s">
        <v>7</v>
      </c>
      <c r="D6952" t="s">
        <v>14</v>
      </c>
      <c r="E6952" t="s">
        <v>9477</v>
      </c>
    </row>
    <row r="6953" spans="1:6" x14ac:dyDescent="0.25">
      <c r="A6953" t="str">
        <f>"401800052339"</f>
        <v>401800052339</v>
      </c>
      <c r="B6953" t="s">
        <v>9593</v>
      </c>
      <c r="C6953" t="s">
        <v>7</v>
      </c>
      <c r="D6953" t="s">
        <v>14</v>
      </c>
      <c r="E6953" t="s">
        <v>9477</v>
      </c>
    </row>
    <row r="6954" spans="1:6" x14ac:dyDescent="0.25">
      <c r="A6954" t="str">
        <f>"401800056037"</f>
        <v>401800056037</v>
      </c>
      <c r="B6954" t="s">
        <v>9594</v>
      </c>
      <c r="C6954" t="s">
        <v>7</v>
      </c>
      <c r="D6954" t="s">
        <v>14</v>
      </c>
      <c r="E6954" t="s">
        <v>9477</v>
      </c>
    </row>
    <row r="6955" spans="1:6" x14ac:dyDescent="0.25">
      <c r="A6955" t="str">
        <f>"402200394646"</f>
        <v>402200394646</v>
      </c>
      <c r="B6955" t="s">
        <v>9595</v>
      </c>
      <c r="C6955" t="s">
        <v>7</v>
      </c>
      <c r="D6955" t="s">
        <v>14</v>
      </c>
      <c r="E6955" t="s">
        <v>9477</v>
      </c>
    </row>
    <row r="6956" spans="1:6" x14ac:dyDescent="0.25">
      <c r="A6956" t="str">
        <f>"402302112107"</f>
        <v>402302112107</v>
      </c>
      <c r="B6956" t="s">
        <v>9596</v>
      </c>
      <c r="C6956" t="s">
        <v>7</v>
      </c>
      <c r="D6956" t="s">
        <v>14</v>
      </c>
      <c r="E6956" t="s">
        <v>9477</v>
      </c>
    </row>
    <row r="6957" spans="1:6" x14ac:dyDescent="0.25">
      <c r="A6957" t="str">
        <f>"402302763370"</f>
        <v>402302763370</v>
      </c>
      <c r="B6957" t="s">
        <v>9597</v>
      </c>
      <c r="C6957" t="s">
        <v>7</v>
      </c>
      <c r="D6957" t="s">
        <v>14</v>
      </c>
      <c r="E6957" t="s">
        <v>9477</v>
      </c>
    </row>
    <row r="6958" spans="1:6" x14ac:dyDescent="0.25">
      <c r="A6958" t="str">
        <f>"402302882762"</f>
        <v>402302882762</v>
      </c>
      <c r="B6958" t="s">
        <v>9598</v>
      </c>
      <c r="C6958" t="s">
        <v>7</v>
      </c>
      <c r="D6958" t="s">
        <v>14</v>
      </c>
      <c r="E6958" t="s">
        <v>9477</v>
      </c>
    </row>
    <row r="6959" spans="1:6" x14ac:dyDescent="0.25">
      <c r="A6959" t="str">
        <f>"402315640560"</f>
        <v>402315640560</v>
      </c>
      <c r="B6959" t="s">
        <v>9599</v>
      </c>
      <c r="C6959" t="s">
        <v>7</v>
      </c>
      <c r="D6959" t="s">
        <v>14</v>
      </c>
      <c r="E6959" t="s">
        <v>9477</v>
      </c>
    </row>
    <row r="6960" spans="1:6" x14ac:dyDescent="0.25">
      <c r="A6960" t="str">
        <f>"402500568766"</f>
        <v>402500568766</v>
      </c>
      <c r="B6960" t="s">
        <v>9600</v>
      </c>
      <c r="C6960" t="s">
        <v>7</v>
      </c>
      <c r="D6960" t="s">
        <v>12</v>
      </c>
      <c r="E6960" t="s">
        <v>9477</v>
      </c>
    </row>
    <row r="6961" spans="1:6" x14ac:dyDescent="0.25">
      <c r="A6961" t="str">
        <f>"402501053086"</f>
        <v>402501053086</v>
      </c>
      <c r="B6961" t="s">
        <v>9601</v>
      </c>
      <c r="C6961" t="s">
        <v>7</v>
      </c>
      <c r="D6961" t="s">
        <v>14</v>
      </c>
      <c r="E6961" t="s">
        <v>9477</v>
      </c>
    </row>
    <row r="6962" spans="1:6" x14ac:dyDescent="0.25">
      <c r="A6962" t="str">
        <f>"402501493129"</f>
        <v>402501493129</v>
      </c>
      <c r="B6962" t="s">
        <v>9602</v>
      </c>
      <c r="C6962" t="s">
        <v>7</v>
      </c>
      <c r="D6962" t="s">
        <v>14</v>
      </c>
      <c r="E6962" t="s">
        <v>9477</v>
      </c>
    </row>
    <row r="6963" spans="1:6" x14ac:dyDescent="0.25">
      <c r="A6963" t="str">
        <f>"4025415519"</f>
        <v>4025415519</v>
      </c>
      <c r="B6963" t="s">
        <v>9603</v>
      </c>
      <c r="C6963" t="s">
        <v>7</v>
      </c>
      <c r="D6963" t="s">
        <v>98</v>
      </c>
      <c r="E6963" t="s">
        <v>9477</v>
      </c>
      <c r="F6963" t="s">
        <v>9604</v>
      </c>
    </row>
    <row r="6964" spans="1:6" x14ac:dyDescent="0.25">
      <c r="A6964" t="str">
        <f>"4025424601"</f>
        <v>4025424601</v>
      </c>
      <c r="B6964" t="s">
        <v>9605</v>
      </c>
      <c r="C6964" t="s">
        <v>7</v>
      </c>
      <c r="D6964" t="s">
        <v>33</v>
      </c>
      <c r="E6964" t="s">
        <v>9477</v>
      </c>
      <c r="F6964" t="s">
        <v>9606</v>
      </c>
    </row>
    <row r="6965" spans="1:6" x14ac:dyDescent="0.25">
      <c r="A6965" t="str">
        <f>"402701993369"</f>
        <v>402701993369</v>
      </c>
      <c r="B6965" t="s">
        <v>9607</v>
      </c>
      <c r="C6965" t="s">
        <v>7</v>
      </c>
      <c r="D6965" t="s">
        <v>14</v>
      </c>
      <c r="E6965" t="s">
        <v>9477</v>
      </c>
    </row>
    <row r="6966" spans="1:6" x14ac:dyDescent="0.25">
      <c r="A6966" t="str">
        <f>"4027036989"</f>
        <v>4027036989</v>
      </c>
      <c r="B6966" t="s">
        <v>9608</v>
      </c>
      <c r="C6966" t="s">
        <v>7</v>
      </c>
      <c r="D6966" t="s">
        <v>12</v>
      </c>
      <c r="E6966" t="s">
        <v>9477</v>
      </c>
      <c r="F6966" t="s">
        <v>9609</v>
      </c>
    </row>
    <row r="6967" spans="1:6" x14ac:dyDescent="0.25">
      <c r="A6967" t="str">
        <f>"4027057604"</f>
        <v>4027057604</v>
      </c>
      <c r="B6967" t="s">
        <v>9610</v>
      </c>
      <c r="C6967" t="s">
        <v>7</v>
      </c>
      <c r="D6967" t="s">
        <v>189</v>
      </c>
      <c r="E6967" t="s">
        <v>9477</v>
      </c>
      <c r="F6967" t="s">
        <v>9611</v>
      </c>
    </row>
    <row r="6968" spans="1:6" x14ac:dyDescent="0.25">
      <c r="A6968" t="str">
        <f>"402708520805"</f>
        <v>402708520805</v>
      </c>
      <c r="B6968" t="s">
        <v>9612</v>
      </c>
      <c r="C6968" t="s">
        <v>7</v>
      </c>
      <c r="D6968" t="s">
        <v>12</v>
      </c>
      <c r="E6968" t="s">
        <v>9477</v>
      </c>
    </row>
    <row r="6969" spans="1:6" x14ac:dyDescent="0.25">
      <c r="A6969" t="str">
        <f>"402709547408"</f>
        <v>402709547408</v>
      </c>
      <c r="B6969" t="s">
        <v>9613</v>
      </c>
      <c r="C6969" t="s">
        <v>7</v>
      </c>
      <c r="D6969" t="s">
        <v>14</v>
      </c>
      <c r="E6969" t="s">
        <v>9477</v>
      </c>
    </row>
    <row r="6970" spans="1:6" x14ac:dyDescent="0.25">
      <c r="A6970" t="str">
        <f>"402718577712"</f>
        <v>402718577712</v>
      </c>
      <c r="B6970" t="s">
        <v>9614</v>
      </c>
      <c r="C6970" t="s">
        <v>7</v>
      </c>
      <c r="D6970" t="s">
        <v>12</v>
      </c>
      <c r="E6970" t="s">
        <v>9477</v>
      </c>
    </row>
    <row r="6971" spans="1:6" x14ac:dyDescent="0.25">
      <c r="A6971" t="str">
        <f>"402801581457"</f>
        <v>402801581457</v>
      </c>
      <c r="B6971" t="s">
        <v>9615</v>
      </c>
      <c r="C6971" t="s">
        <v>7</v>
      </c>
      <c r="D6971" t="s">
        <v>14</v>
      </c>
      <c r="E6971" t="s">
        <v>9477</v>
      </c>
    </row>
    <row r="6972" spans="1:6" x14ac:dyDescent="0.25">
      <c r="A6972" t="str">
        <f>"4028050094"</f>
        <v>4028050094</v>
      </c>
      <c r="B6972" t="s">
        <v>9616</v>
      </c>
      <c r="C6972" t="s">
        <v>7</v>
      </c>
      <c r="D6972" t="s">
        <v>14</v>
      </c>
      <c r="E6972" t="s">
        <v>9477</v>
      </c>
      <c r="F6972" t="s">
        <v>9617</v>
      </c>
    </row>
    <row r="6973" spans="1:6" x14ac:dyDescent="0.25">
      <c r="A6973" t="str">
        <f>"4028058061"</f>
        <v>4028058061</v>
      </c>
      <c r="B6973" t="s">
        <v>9618</v>
      </c>
      <c r="C6973" t="s">
        <v>7</v>
      </c>
      <c r="D6973" t="s">
        <v>12</v>
      </c>
      <c r="E6973" t="s">
        <v>9477</v>
      </c>
      <c r="F6973" t="s">
        <v>9619</v>
      </c>
    </row>
    <row r="6974" spans="1:6" x14ac:dyDescent="0.25">
      <c r="A6974" t="str">
        <f>"4028060021"</f>
        <v>4028060021</v>
      </c>
      <c r="B6974" t="s">
        <v>9620</v>
      </c>
      <c r="C6974" t="s">
        <v>7</v>
      </c>
      <c r="D6974" t="s">
        <v>33</v>
      </c>
      <c r="E6974" t="s">
        <v>9477</v>
      </c>
      <c r="F6974" t="s">
        <v>9621</v>
      </c>
    </row>
    <row r="6975" spans="1:6" x14ac:dyDescent="0.25">
      <c r="A6975" t="str">
        <f>"4028070439"</f>
        <v>4028070439</v>
      </c>
      <c r="B6975" t="s">
        <v>9622</v>
      </c>
      <c r="C6975" t="s">
        <v>7</v>
      </c>
      <c r="D6975" t="s">
        <v>12</v>
      </c>
      <c r="E6975" t="s">
        <v>9477</v>
      </c>
      <c r="F6975" t="s">
        <v>9623</v>
      </c>
    </row>
    <row r="6976" spans="1:6" x14ac:dyDescent="0.25">
      <c r="A6976" t="str">
        <f>"402811033001"</f>
        <v>402811033001</v>
      </c>
      <c r="B6976" t="s">
        <v>9624</v>
      </c>
      <c r="C6976" t="s">
        <v>7</v>
      </c>
      <c r="D6976" t="s">
        <v>14</v>
      </c>
      <c r="E6976" t="s">
        <v>9477</v>
      </c>
    </row>
    <row r="6977" spans="1:6" x14ac:dyDescent="0.25">
      <c r="A6977" t="str">
        <f>"4029001011"</f>
        <v>4029001011</v>
      </c>
      <c r="B6977" t="s">
        <v>9625</v>
      </c>
      <c r="C6977" t="s">
        <v>7</v>
      </c>
      <c r="D6977" t="s">
        <v>14</v>
      </c>
      <c r="E6977" t="s">
        <v>9477</v>
      </c>
      <c r="F6977" t="s">
        <v>9626</v>
      </c>
    </row>
    <row r="6978" spans="1:6" x14ac:dyDescent="0.25">
      <c r="A6978" t="str">
        <f>"4029058794"</f>
        <v>4029058794</v>
      </c>
      <c r="B6978" t="s">
        <v>9627</v>
      </c>
      <c r="C6978" t="s">
        <v>7</v>
      </c>
      <c r="D6978" t="s">
        <v>33</v>
      </c>
      <c r="E6978" t="s">
        <v>9477</v>
      </c>
      <c r="F6978" t="s">
        <v>9628</v>
      </c>
    </row>
    <row r="6979" spans="1:6" x14ac:dyDescent="0.25">
      <c r="A6979" t="str">
        <f>"4029062783"</f>
        <v>4029062783</v>
      </c>
      <c r="B6979" t="s">
        <v>9629</v>
      </c>
      <c r="C6979" t="s">
        <v>7</v>
      </c>
      <c r="D6979" t="s">
        <v>33</v>
      </c>
      <c r="E6979" t="s">
        <v>9477</v>
      </c>
      <c r="F6979" t="s">
        <v>9630</v>
      </c>
    </row>
    <row r="6980" spans="1:6" x14ac:dyDescent="0.25">
      <c r="A6980" t="str">
        <f>"4029065505"</f>
        <v>4029065505</v>
      </c>
      <c r="B6980" t="s">
        <v>9631</v>
      </c>
      <c r="C6980" t="s">
        <v>7</v>
      </c>
      <c r="D6980" t="s">
        <v>33</v>
      </c>
      <c r="E6980" t="s">
        <v>9477</v>
      </c>
      <c r="F6980" t="s">
        <v>9632</v>
      </c>
    </row>
    <row r="6981" spans="1:6" x14ac:dyDescent="0.25">
      <c r="A6981" t="str">
        <f>"4029066227"</f>
        <v>4029066227</v>
      </c>
      <c r="B6981" t="s">
        <v>9633</v>
      </c>
      <c r="C6981" t="s">
        <v>7</v>
      </c>
      <c r="D6981" t="s">
        <v>33</v>
      </c>
      <c r="E6981" t="s">
        <v>9477</v>
      </c>
      <c r="F6981" t="s">
        <v>9634</v>
      </c>
    </row>
    <row r="6982" spans="1:6" x14ac:dyDescent="0.25">
      <c r="A6982" t="str">
        <f>"402912605103"</f>
        <v>402912605103</v>
      </c>
      <c r="B6982" t="s">
        <v>9635</v>
      </c>
      <c r="C6982" t="s">
        <v>7</v>
      </c>
      <c r="D6982" t="s">
        <v>12</v>
      </c>
      <c r="E6982" t="s">
        <v>9477</v>
      </c>
    </row>
    <row r="6983" spans="1:6" x14ac:dyDescent="0.25">
      <c r="A6983" t="str">
        <f>"402916449800"</f>
        <v>402916449800</v>
      </c>
      <c r="B6983" t="s">
        <v>9636</v>
      </c>
      <c r="C6983" t="s">
        <v>7</v>
      </c>
      <c r="D6983" t="s">
        <v>14</v>
      </c>
      <c r="E6983" t="s">
        <v>9477</v>
      </c>
    </row>
    <row r="6984" spans="1:6" x14ac:dyDescent="0.25">
      <c r="A6984" t="str">
        <f>"402917411800"</f>
        <v>402917411800</v>
      </c>
      <c r="B6984" t="s">
        <v>9637</v>
      </c>
      <c r="C6984" t="s">
        <v>7</v>
      </c>
      <c r="D6984" t="s">
        <v>14</v>
      </c>
      <c r="E6984" t="s">
        <v>9477</v>
      </c>
    </row>
    <row r="6985" spans="1:6" x14ac:dyDescent="0.25">
      <c r="A6985" t="str">
        <f>"771375977470"</f>
        <v>771375977470</v>
      </c>
      <c r="B6985" t="s">
        <v>9638</v>
      </c>
      <c r="C6985" t="s">
        <v>7</v>
      </c>
      <c r="D6985" t="s">
        <v>14</v>
      </c>
      <c r="E6985" t="s">
        <v>9477</v>
      </c>
    </row>
    <row r="6986" spans="1:6" x14ac:dyDescent="0.25">
      <c r="A6986" t="str">
        <f>"400900029758"</f>
        <v>400900029758</v>
      </c>
      <c r="B6986" t="s">
        <v>9639</v>
      </c>
      <c r="C6986" t="s">
        <v>7</v>
      </c>
      <c r="D6986" t="s">
        <v>14</v>
      </c>
      <c r="E6986" t="s">
        <v>9477</v>
      </c>
    </row>
    <row r="6987" spans="1:6" x14ac:dyDescent="0.25">
      <c r="A6987" t="str">
        <f>"400905686806"</f>
        <v>400905686806</v>
      </c>
      <c r="B6987" t="s">
        <v>9640</v>
      </c>
      <c r="C6987" t="s">
        <v>7</v>
      </c>
      <c r="D6987" t="s">
        <v>12</v>
      </c>
      <c r="E6987" t="s">
        <v>9477</v>
      </c>
    </row>
    <row r="6988" spans="1:6" x14ac:dyDescent="0.25">
      <c r="A6988" t="str">
        <f>"401100044050"</f>
        <v>401100044050</v>
      </c>
      <c r="B6988" t="s">
        <v>9641</v>
      </c>
      <c r="C6988" t="s">
        <v>7</v>
      </c>
      <c r="D6988" t="s">
        <v>14</v>
      </c>
      <c r="E6988" t="s">
        <v>9477</v>
      </c>
    </row>
    <row r="6989" spans="1:6" x14ac:dyDescent="0.25">
      <c r="A6989" t="str">
        <f>"401104690489"</f>
        <v>401104690489</v>
      </c>
      <c r="B6989" t="s">
        <v>9642</v>
      </c>
      <c r="C6989" t="s">
        <v>7</v>
      </c>
      <c r="D6989" t="s">
        <v>14</v>
      </c>
      <c r="E6989" t="s">
        <v>9477</v>
      </c>
    </row>
    <row r="6990" spans="1:6" x14ac:dyDescent="0.25">
      <c r="A6990" t="str">
        <f>"401112777197"</f>
        <v>401112777197</v>
      </c>
      <c r="B6990" t="s">
        <v>9643</v>
      </c>
      <c r="C6990" t="s">
        <v>7</v>
      </c>
      <c r="D6990" t="s">
        <v>12</v>
      </c>
      <c r="E6990" t="s">
        <v>9477</v>
      </c>
    </row>
    <row r="6991" spans="1:6" x14ac:dyDescent="0.25">
      <c r="A6991" t="str">
        <f>"401200227001"</f>
        <v>401200227001</v>
      </c>
      <c r="B6991" t="s">
        <v>9644</v>
      </c>
      <c r="C6991" t="s">
        <v>7</v>
      </c>
      <c r="D6991" t="s">
        <v>14</v>
      </c>
      <c r="E6991" t="s">
        <v>9477</v>
      </c>
    </row>
    <row r="6992" spans="1:6" x14ac:dyDescent="0.25">
      <c r="A6992" t="str">
        <f>"4017005195"</f>
        <v>4017005195</v>
      </c>
      <c r="B6992" t="s">
        <v>9645</v>
      </c>
      <c r="C6992" t="s">
        <v>7</v>
      </c>
      <c r="D6992" t="s">
        <v>14</v>
      </c>
      <c r="E6992" t="s">
        <v>9477</v>
      </c>
      <c r="F6992" t="s">
        <v>9646</v>
      </c>
    </row>
    <row r="6993" spans="1:6" x14ac:dyDescent="0.25">
      <c r="A6993" t="str">
        <f>"401700900465"</f>
        <v>401700900465</v>
      </c>
      <c r="B6993" t="s">
        <v>9647</v>
      </c>
      <c r="C6993" t="s">
        <v>7</v>
      </c>
      <c r="D6993" t="s">
        <v>14</v>
      </c>
      <c r="E6993" t="s">
        <v>9477</v>
      </c>
    </row>
    <row r="6994" spans="1:6" x14ac:dyDescent="0.25">
      <c r="A6994" t="str">
        <f>"401702217575"</f>
        <v>401702217575</v>
      </c>
      <c r="B6994" t="s">
        <v>9648</v>
      </c>
      <c r="C6994" t="s">
        <v>7</v>
      </c>
      <c r="D6994" t="s">
        <v>14</v>
      </c>
      <c r="E6994" t="s">
        <v>9477</v>
      </c>
    </row>
    <row r="6995" spans="1:6" x14ac:dyDescent="0.25">
      <c r="A6995" t="str">
        <f>"402000007339"</f>
        <v>402000007339</v>
      </c>
      <c r="B6995" t="s">
        <v>9649</v>
      </c>
      <c r="C6995" t="s">
        <v>7</v>
      </c>
      <c r="D6995" t="s">
        <v>14</v>
      </c>
      <c r="E6995" t="s">
        <v>9477</v>
      </c>
    </row>
    <row r="6996" spans="1:6" x14ac:dyDescent="0.25">
      <c r="A6996" t="str">
        <f>"402201717120"</f>
        <v>402201717120</v>
      </c>
      <c r="B6996" t="s">
        <v>9650</v>
      </c>
      <c r="C6996" t="s">
        <v>7</v>
      </c>
      <c r="D6996" t="s">
        <v>14</v>
      </c>
      <c r="E6996" t="s">
        <v>9477</v>
      </c>
    </row>
    <row r="6997" spans="1:6" x14ac:dyDescent="0.25">
      <c r="A6997" t="str">
        <f>"402301629252"</f>
        <v>402301629252</v>
      </c>
      <c r="B6997" t="s">
        <v>9651</v>
      </c>
      <c r="C6997" t="s">
        <v>7</v>
      </c>
      <c r="D6997" t="s">
        <v>14</v>
      </c>
      <c r="E6997" t="s">
        <v>9477</v>
      </c>
    </row>
    <row r="6998" spans="1:6" x14ac:dyDescent="0.25">
      <c r="A6998" t="str">
        <f>"402404047714"</f>
        <v>402404047714</v>
      </c>
      <c r="B6998" t="s">
        <v>9652</v>
      </c>
      <c r="C6998" t="s">
        <v>7</v>
      </c>
      <c r="D6998" t="s">
        <v>33</v>
      </c>
      <c r="E6998" t="s">
        <v>9477</v>
      </c>
    </row>
    <row r="6999" spans="1:6" x14ac:dyDescent="0.25">
      <c r="A6999" t="str">
        <f>"402500416080"</f>
        <v>402500416080</v>
      </c>
      <c r="B6999" t="s">
        <v>9653</v>
      </c>
      <c r="C6999" t="s">
        <v>7</v>
      </c>
      <c r="D6999" t="s">
        <v>14</v>
      </c>
      <c r="E6999" t="s">
        <v>9477</v>
      </c>
    </row>
    <row r="7000" spans="1:6" x14ac:dyDescent="0.25">
      <c r="A7000" t="str">
        <f>"402504191101"</f>
        <v>402504191101</v>
      </c>
      <c r="B7000" t="s">
        <v>9654</v>
      </c>
      <c r="C7000" t="s">
        <v>7</v>
      </c>
      <c r="D7000" t="s">
        <v>14</v>
      </c>
      <c r="E7000" t="s">
        <v>9477</v>
      </c>
    </row>
    <row r="7001" spans="1:6" x14ac:dyDescent="0.25">
      <c r="A7001" t="str">
        <f>"4025082394"</f>
        <v>4025082394</v>
      </c>
      <c r="B7001" t="s">
        <v>9655</v>
      </c>
      <c r="C7001" t="s">
        <v>7</v>
      </c>
      <c r="D7001" t="s">
        <v>189</v>
      </c>
      <c r="E7001" t="s">
        <v>9477</v>
      </c>
      <c r="F7001" t="s">
        <v>9656</v>
      </c>
    </row>
    <row r="7002" spans="1:6" x14ac:dyDescent="0.25">
      <c r="A7002" t="str">
        <f>"4025440018"</f>
        <v>4025440018</v>
      </c>
      <c r="B7002" t="s">
        <v>9657</v>
      </c>
      <c r="C7002" t="s">
        <v>7</v>
      </c>
      <c r="D7002" t="s">
        <v>14</v>
      </c>
      <c r="E7002" t="s">
        <v>9477</v>
      </c>
      <c r="F7002" t="s">
        <v>9658</v>
      </c>
    </row>
    <row r="7003" spans="1:6" x14ac:dyDescent="0.25">
      <c r="A7003" t="str">
        <f>"4025446041"</f>
        <v>4025446041</v>
      </c>
      <c r="B7003" t="s">
        <v>9659</v>
      </c>
      <c r="C7003" t="s">
        <v>7</v>
      </c>
      <c r="D7003" t="s">
        <v>14</v>
      </c>
      <c r="E7003" t="s">
        <v>9477</v>
      </c>
      <c r="F7003" t="s">
        <v>9660</v>
      </c>
    </row>
    <row r="7004" spans="1:6" x14ac:dyDescent="0.25">
      <c r="A7004" t="str">
        <f>"4025459643"</f>
        <v>4025459643</v>
      </c>
      <c r="B7004" t="s">
        <v>9661</v>
      </c>
      <c r="C7004" t="s">
        <v>7</v>
      </c>
      <c r="D7004" t="s">
        <v>14</v>
      </c>
      <c r="E7004" t="s">
        <v>9477</v>
      </c>
      <c r="F7004" t="s">
        <v>9662</v>
      </c>
    </row>
    <row r="7005" spans="1:6" x14ac:dyDescent="0.25">
      <c r="A7005" t="str">
        <f>"4027021816"</f>
        <v>4027021816</v>
      </c>
      <c r="B7005" t="s">
        <v>9663</v>
      </c>
      <c r="C7005" t="s">
        <v>7</v>
      </c>
      <c r="D7005" t="s">
        <v>33</v>
      </c>
      <c r="E7005" t="s">
        <v>9477</v>
      </c>
      <c r="F7005" t="s">
        <v>9664</v>
      </c>
    </row>
    <row r="7006" spans="1:6" x14ac:dyDescent="0.25">
      <c r="A7006" t="str">
        <f>"402707721097"</f>
        <v>402707721097</v>
      </c>
      <c r="B7006" t="s">
        <v>9665</v>
      </c>
      <c r="C7006" t="s">
        <v>7</v>
      </c>
      <c r="D7006" t="s">
        <v>12</v>
      </c>
      <c r="E7006" t="s">
        <v>9477</v>
      </c>
    </row>
    <row r="7007" spans="1:6" x14ac:dyDescent="0.25">
      <c r="A7007" t="str">
        <f>"4027101317"</f>
        <v>4027101317</v>
      </c>
      <c r="B7007" t="s">
        <v>9666</v>
      </c>
      <c r="C7007" t="s">
        <v>7</v>
      </c>
      <c r="D7007" t="s">
        <v>33</v>
      </c>
      <c r="E7007" t="s">
        <v>9477</v>
      </c>
      <c r="F7007" t="s">
        <v>9667</v>
      </c>
    </row>
    <row r="7008" spans="1:6" x14ac:dyDescent="0.25">
      <c r="A7008" t="str">
        <f>"4027121225"</f>
        <v>4027121225</v>
      </c>
      <c r="B7008" t="s">
        <v>9668</v>
      </c>
      <c r="C7008" t="s">
        <v>7</v>
      </c>
      <c r="D7008" t="s">
        <v>674</v>
      </c>
      <c r="E7008" t="s">
        <v>9477</v>
      </c>
      <c r="F7008" t="s">
        <v>9669</v>
      </c>
    </row>
    <row r="7009" spans="1:6" x14ac:dyDescent="0.25">
      <c r="A7009" t="str">
        <f>"4027135764"</f>
        <v>4027135764</v>
      </c>
      <c r="B7009" t="s">
        <v>9670</v>
      </c>
      <c r="C7009" t="s">
        <v>7</v>
      </c>
      <c r="D7009" t="s">
        <v>33</v>
      </c>
      <c r="E7009" t="s">
        <v>9477</v>
      </c>
      <c r="F7009" t="s">
        <v>9671</v>
      </c>
    </row>
    <row r="7010" spans="1:6" x14ac:dyDescent="0.25">
      <c r="A7010" t="str">
        <f>"4027148065"</f>
        <v>4027148065</v>
      </c>
      <c r="B7010" t="s">
        <v>9672</v>
      </c>
      <c r="C7010" t="s">
        <v>7</v>
      </c>
      <c r="D7010" t="s">
        <v>33</v>
      </c>
      <c r="E7010" t="s">
        <v>9477</v>
      </c>
      <c r="F7010" t="s">
        <v>9673</v>
      </c>
    </row>
    <row r="7011" spans="1:6" x14ac:dyDescent="0.25">
      <c r="A7011" t="str">
        <f>"4028061096"</f>
        <v>4028061096</v>
      </c>
      <c r="B7011" t="s">
        <v>4449</v>
      </c>
      <c r="C7011" t="s">
        <v>7</v>
      </c>
      <c r="D7011" t="s">
        <v>14</v>
      </c>
      <c r="E7011" t="s">
        <v>9477</v>
      </c>
      <c r="F7011" t="s">
        <v>9674</v>
      </c>
    </row>
    <row r="7012" spans="1:6" x14ac:dyDescent="0.25">
      <c r="A7012" t="str">
        <f>"4028068278"</f>
        <v>4028068278</v>
      </c>
      <c r="B7012" t="s">
        <v>5561</v>
      </c>
      <c r="C7012" t="s">
        <v>7</v>
      </c>
      <c r="D7012" t="s">
        <v>33</v>
      </c>
      <c r="E7012" t="s">
        <v>9477</v>
      </c>
      <c r="F7012" t="s">
        <v>9675</v>
      </c>
    </row>
    <row r="7013" spans="1:6" x14ac:dyDescent="0.25">
      <c r="A7013" t="str">
        <f>"402815657392"</f>
        <v>402815657392</v>
      </c>
      <c r="B7013" t="s">
        <v>9676</v>
      </c>
      <c r="C7013" t="s">
        <v>7</v>
      </c>
      <c r="D7013" t="s">
        <v>14</v>
      </c>
      <c r="E7013" t="s">
        <v>9477</v>
      </c>
    </row>
    <row r="7014" spans="1:6" x14ac:dyDescent="0.25">
      <c r="A7014" t="str">
        <f>"402900055007"</f>
        <v>402900055007</v>
      </c>
      <c r="B7014" t="s">
        <v>9677</v>
      </c>
      <c r="C7014" t="s">
        <v>7</v>
      </c>
      <c r="D7014" t="s">
        <v>12</v>
      </c>
      <c r="E7014" t="s">
        <v>9477</v>
      </c>
    </row>
    <row r="7015" spans="1:6" x14ac:dyDescent="0.25">
      <c r="A7015" t="str">
        <f>"402900270854"</f>
        <v>402900270854</v>
      </c>
      <c r="B7015" t="s">
        <v>9678</v>
      </c>
      <c r="C7015" t="s">
        <v>7</v>
      </c>
      <c r="D7015" t="s">
        <v>33</v>
      </c>
      <c r="E7015" t="s">
        <v>9477</v>
      </c>
    </row>
    <row r="7016" spans="1:6" x14ac:dyDescent="0.25">
      <c r="A7016" t="str">
        <f>"402900955907"</f>
        <v>402900955907</v>
      </c>
      <c r="B7016" t="s">
        <v>9679</v>
      </c>
      <c r="C7016" t="s">
        <v>7</v>
      </c>
      <c r="D7016" t="s">
        <v>14</v>
      </c>
      <c r="E7016" t="s">
        <v>9477</v>
      </c>
    </row>
    <row r="7017" spans="1:6" x14ac:dyDescent="0.25">
      <c r="A7017" t="str">
        <f>"402901199001"</f>
        <v>402901199001</v>
      </c>
      <c r="B7017" t="s">
        <v>9680</v>
      </c>
      <c r="C7017" t="s">
        <v>7</v>
      </c>
      <c r="D7017" t="s">
        <v>14</v>
      </c>
      <c r="E7017" t="s">
        <v>9477</v>
      </c>
    </row>
    <row r="7018" spans="1:6" x14ac:dyDescent="0.25">
      <c r="A7018" t="str">
        <f>"402908055464"</f>
        <v>402908055464</v>
      </c>
      <c r="B7018" t="s">
        <v>9681</v>
      </c>
      <c r="C7018" t="s">
        <v>7</v>
      </c>
      <c r="D7018" t="s">
        <v>14</v>
      </c>
      <c r="E7018" t="s">
        <v>9477</v>
      </c>
    </row>
    <row r="7019" spans="1:6" x14ac:dyDescent="0.25">
      <c r="A7019" t="str">
        <f>"402914494357"</f>
        <v>402914494357</v>
      </c>
      <c r="B7019" t="s">
        <v>9682</v>
      </c>
      <c r="C7019" t="s">
        <v>7</v>
      </c>
      <c r="D7019" t="s">
        <v>33</v>
      </c>
      <c r="E7019" t="s">
        <v>9477</v>
      </c>
    </row>
    <row r="7020" spans="1:6" x14ac:dyDescent="0.25">
      <c r="A7020" t="str">
        <f>"402917323222"</f>
        <v>402917323222</v>
      </c>
      <c r="B7020" t="s">
        <v>9683</v>
      </c>
      <c r="C7020" t="s">
        <v>7</v>
      </c>
      <c r="D7020" t="s">
        <v>33</v>
      </c>
      <c r="E7020" t="s">
        <v>9477</v>
      </c>
    </row>
    <row r="7021" spans="1:6" x14ac:dyDescent="0.25">
      <c r="A7021" t="str">
        <f>"7611001307"</f>
        <v>7611001307</v>
      </c>
      <c r="B7021" t="s">
        <v>9684</v>
      </c>
      <c r="C7021" t="s">
        <v>7</v>
      </c>
      <c r="D7021" t="s">
        <v>6745</v>
      </c>
      <c r="E7021" t="s">
        <v>9477</v>
      </c>
      <c r="F7021" t="s">
        <v>9685</v>
      </c>
    </row>
    <row r="7022" spans="1:6" x14ac:dyDescent="0.25">
      <c r="A7022" t="str">
        <f>"400400196528"</f>
        <v>400400196528</v>
      </c>
      <c r="B7022" t="s">
        <v>9686</v>
      </c>
      <c r="C7022" t="s">
        <v>7</v>
      </c>
      <c r="D7022" t="s">
        <v>14</v>
      </c>
      <c r="E7022" t="s">
        <v>9477</v>
      </c>
    </row>
    <row r="7023" spans="1:6" x14ac:dyDescent="0.25">
      <c r="A7023" t="str">
        <f>"401104837195"</f>
        <v>401104837195</v>
      </c>
      <c r="B7023" t="s">
        <v>9687</v>
      </c>
      <c r="C7023" t="s">
        <v>7</v>
      </c>
      <c r="D7023" t="s">
        <v>14</v>
      </c>
      <c r="E7023" t="s">
        <v>9477</v>
      </c>
    </row>
    <row r="7024" spans="1:6" x14ac:dyDescent="0.25">
      <c r="A7024" t="str">
        <f>"402507966090"</f>
        <v>402507966090</v>
      </c>
      <c r="B7024" t="s">
        <v>9688</v>
      </c>
      <c r="C7024" t="s">
        <v>7</v>
      </c>
      <c r="D7024" t="s">
        <v>12</v>
      </c>
      <c r="E7024" t="s">
        <v>9477</v>
      </c>
    </row>
    <row r="7025" spans="1:6" x14ac:dyDescent="0.25">
      <c r="A7025" t="str">
        <f>"4025418492"</f>
        <v>4025418492</v>
      </c>
      <c r="B7025" t="s">
        <v>9689</v>
      </c>
      <c r="C7025" t="s">
        <v>7</v>
      </c>
      <c r="D7025" t="s">
        <v>98</v>
      </c>
      <c r="E7025" t="s">
        <v>9477</v>
      </c>
      <c r="F7025" t="s">
        <v>9690</v>
      </c>
    </row>
    <row r="7026" spans="1:6" x14ac:dyDescent="0.25">
      <c r="A7026" t="str">
        <f>"4025428726"</f>
        <v>4025428726</v>
      </c>
      <c r="B7026" t="s">
        <v>9691</v>
      </c>
      <c r="C7026" t="s">
        <v>7</v>
      </c>
      <c r="D7026" t="s">
        <v>14</v>
      </c>
      <c r="E7026" t="s">
        <v>9477</v>
      </c>
      <c r="F7026" t="s">
        <v>9692</v>
      </c>
    </row>
    <row r="7027" spans="1:6" x14ac:dyDescent="0.25">
      <c r="A7027" t="str">
        <f>"402708195584"</f>
        <v>402708195584</v>
      </c>
      <c r="B7027" t="s">
        <v>9693</v>
      </c>
      <c r="C7027" t="s">
        <v>7</v>
      </c>
      <c r="D7027" t="s">
        <v>14</v>
      </c>
      <c r="E7027" t="s">
        <v>9477</v>
      </c>
    </row>
    <row r="7028" spans="1:6" x14ac:dyDescent="0.25">
      <c r="A7028" t="str">
        <f>"4029054253"</f>
        <v>4029054253</v>
      </c>
      <c r="B7028" t="s">
        <v>9694</v>
      </c>
      <c r="C7028" t="s">
        <v>7</v>
      </c>
      <c r="D7028" t="s">
        <v>12</v>
      </c>
      <c r="E7028" t="s">
        <v>9477</v>
      </c>
      <c r="F7028" t="s">
        <v>9695</v>
      </c>
    </row>
    <row r="7029" spans="1:6" x14ac:dyDescent="0.25">
      <c r="A7029" t="str">
        <f>"320300249960"</f>
        <v>320300249960</v>
      </c>
      <c r="B7029" t="s">
        <v>9696</v>
      </c>
      <c r="C7029" t="s">
        <v>7</v>
      </c>
      <c r="D7029" t="s">
        <v>14</v>
      </c>
      <c r="E7029" t="s">
        <v>9477</v>
      </c>
    </row>
    <row r="7030" spans="1:6" x14ac:dyDescent="0.25">
      <c r="A7030" t="str">
        <f>"252402055716"</f>
        <v>252402055716</v>
      </c>
      <c r="B7030" t="s">
        <v>9697</v>
      </c>
      <c r="C7030" t="s">
        <v>7</v>
      </c>
      <c r="D7030" t="s">
        <v>14</v>
      </c>
      <c r="E7030" t="s">
        <v>9698</v>
      </c>
    </row>
    <row r="7031" spans="1:6" x14ac:dyDescent="0.25">
      <c r="A7031" t="str">
        <f>"253810270255"</f>
        <v>253810270255</v>
      </c>
      <c r="B7031" t="s">
        <v>9699</v>
      </c>
      <c r="C7031" t="s">
        <v>7</v>
      </c>
      <c r="D7031" t="s">
        <v>14</v>
      </c>
      <c r="E7031" t="s">
        <v>9698</v>
      </c>
    </row>
    <row r="7032" spans="1:6" x14ac:dyDescent="0.25">
      <c r="A7032" t="str">
        <f>"4100013321"</f>
        <v>4100013321</v>
      </c>
      <c r="B7032" t="s">
        <v>9700</v>
      </c>
      <c r="C7032" t="s">
        <v>7</v>
      </c>
      <c r="D7032" t="s">
        <v>12</v>
      </c>
      <c r="E7032" t="s">
        <v>9698</v>
      </c>
      <c r="F7032" t="s">
        <v>9701</v>
      </c>
    </row>
    <row r="7033" spans="1:6" x14ac:dyDescent="0.25">
      <c r="A7033" t="str">
        <f>"4100053973"</f>
        <v>4100053973</v>
      </c>
      <c r="B7033" t="s">
        <v>9702</v>
      </c>
      <c r="C7033" t="s">
        <v>7</v>
      </c>
      <c r="D7033" t="s">
        <v>33</v>
      </c>
      <c r="E7033" t="s">
        <v>9698</v>
      </c>
      <c r="F7033" t="s">
        <v>9703</v>
      </c>
    </row>
    <row r="7034" spans="1:6" x14ac:dyDescent="0.25">
      <c r="A7034" t="str">
        <f>"410100071475"</f>
        <v>410100071475</v>
      </c>
      <c r="B7034" t="s">
        <v>9704</v>
      </c>
      <c r="C7034" t="s">
        <v>7</v>
      </c>
      <c r="D7034" t="s">
        <v>14</v>
      </c>
      <c r="E7034" t="s">
        <v>9698</v>
      </c>
    </row>
    <row r="7035" spans="1:6" x14ac:dyDescent="0.25">
      <c r="A7035" t="str">
        <f>"410101105920"</f>
        <v>410101105920</v>
      </c>
      <c r="B7035" t="s">
        <v>9705</v>
      </c>
      <c r="C7035" t="s">
        <v>7</v>
      </c>
      <c r="D7035" t="s">
        <v>33</v>
      </c>
      <c r="E7035" t="s">
        <v>9698</v>
      </c>
    </row>
    <row r="7036" spans="1:6" x14ac:dyDescent="0.25">
      <c r="A7036" t="str">
        <f>"410101753424"</f>
        <v>410101753424</v>
      </c>
      <c r="B7036" t="s">
        <v>9706</v>
      </c>
      <c r="C7036" t="s">
        <v>7</v>
      </c>
      <c r="D7036" t="s">
        <v>33</v>
      </c>
      <c r="E7036" t="s">
        <v>9698</v>
      </c>
    </row>
    <row r="7037" spans="1:6" x14ac:dyDescent="0.25">
      <c r="A7037" t="str">
        <f>"410102357536"</f>
        <v>410102357536</v>
      </c>
      <c r="B7037" t="s">
        <v>9707</v>
      </c>
      <c r="C7037" t="s">
        <v>7</v>
      </c>
      <c r="D7037" t="s">
        <v>14</v>
      </c>
      <c r="E7037" t="s">
        <v>9698</v>
      </c>
    </row>
    <row r="7038" spans="1:6" x14ac:dyDescent="0.25">
      <c r="A7038" t="str">
        <f>"410102411159"</f>
        <v>410102411159</v>
      </c>
      <c r="B7038" t="s">
        <v>9708</v>
      </c>
      <c r="C7038" t="s">
        <v>7</v>
      </c>
      <c r="D7038" t="s">
        <v>12</v>
      </c>
      <c r="E7038" t="s">
        <v>9698</v>
      </c>
    </row>
    <row r="7039" spans="1:6" x14ac:dyDescent="0.25">
      <c r="A7039" t="str">
        <f>"410105686320"</f>
        <v>410105686320</v>
      </c>
      <c r="B7039" t="s">
        <v>9709</v>
      </c>
      <c r="C7039" t="s">
        <v>7</v>
      </c>
      <c r="D7039" t="s">
        <v>14</v>
      </c>
      <c r="E7039" t="s">
        <v>9698</v>
      </c>
    </row>
    <row r="7040" spans="1:6" x14ac:dyDescent="0.25">
      <c r="A7040" t="str">
        <f>"4101118662"</f>
        <v>4101118662</v>
      </c>
      <c r="B7040" t="s">
        <v>9710</v>
      </c>
      <c r="C7040" t="s">
        <v>7</v>
      </c>
      <c r="D7040" t="s">
        <v>33</v>
      </c>
      <c r="E7040" t="s">
        <v>9698</v>
      </c>
      <c r="F7040" t="s">
        <v>9711</v>
      </c>
    </row>
    <row r="7041" spans="1:6" x14ac:dyDescent="0.25">
      <c r="A7041" t="str">
        <f>"4101129907"</f>
        <v>4101129907</v>
      </c>
      <c r="B7041" t="s">
        <v>9712</v>
      </c>
      <c r="C7041" t="s">
        <v>7</v>
      </c>
      <c r="D7041" t="s">
        <v>12</v>
      </c>
      <c r="E7041" t="s">
        <v>9698</v>
      </c>
      <c r="F7041" t="s">
        <v>9713</v>
      </c>
    </row>
    <row r="7042" spans="1:6" x14ac:dyDescent="0.25">
      <c r="A7042" t="str">
        <f>"4101152060"</f>
        <v>4101152060</v>
      </c>
      <c r="B7042" t="s">
        <v>9714</v>
      </c>
      <c r="C7042" t="s">
        <v>7</v>
      </c>
      <c r="D7042" t="s">
        <v>12</v>
      </c>
      <c r="E7042" t="s">
        <v>9698</v>
      </c>
      <c r="F7042" t="s">
        <v>9715</v>
      </c>
    </row>
    <row r="7043" spans="1:6" x14ac:dyDescent="0.25">
      <c r="A7043" t="str">
        <f>"4101152078"</f>
        <v>4101152078</v>
      </c>
      <c r="B7043" t="s">
        <v>9716</v>
      </c>
      <c r="C7043" t="s">
        <v>7</v>
      </c>
      <c r="D7043" t="s">
        <v>12</v>
      </c>
      <c r="E7043" t="s">
        <v>9698</v>
      </c>
      <c r="F7043" t="s">
        <v>9715</v>
      </c>
    </row>
    <row r="7044" spans="1:6" x14ac:dyDescent="0.25">
      <c r="A7044" t="str">
        <f>"410115876200"</f>
        <v>410115876200</v>
      </c>
      <c r="B7044" t="s">
        <v>9717</v>
      </c>
      <c r="C7044" t="s">
        <v>7</v>
      </c>
      <c r="D7044" t="s">
        <v>12</v>
      </c>
      <c r="E7044" t="s">
        <v>9698</v>
      </c>
    </row>
    <row r="7045" spans="1:6" x14ac:dyDescent="0.25">
      <c r="A7045" t="str">
        <f>"4101165334"</f>
        <v>4101165334</v>
      </c>
      <c r="B7045" t="s">
        <v>9718</v>
      </c>
      <c r="C7045" t="s">
        <v>7</v>
      </c>
      <c r="D7045" t="s">
        <v>14</v>
      </c>
      <c r="E7045" t="s">
        <v>9698</v>
      </c>
      <c r="F7045" t="s">
        <v>9719</v>
      </c>
    </row>
    <row r="7046" spans="1:6" x14ac:dyDescent="0.25">
      <c r="A7046" t="str">
        <f>"4101169755"</f>
        <v>4101169755</v>
      </c>
      <c r="B7046" t="s">
        <v>9720</v>
      </c>
      <c r="C7046" t="s">
        <v>7</v>
      </c>
      <c r="D7046" t="s">
        <v>12</v>
      </c>
      <c r="E7046" t="s">
        <v>9698</v>
      </c>
      <c r="F7046" t="s">
        <v>9721</v>
      </c>
    </row>
    <row r="7047" spans="1:6" x14ac:dyDescent="0.25">
      <c r="A7047" t="str">
        <f>"4101194198"</f>
        <v>4101194198</v>
      </c>
      <c r="B7047" t="s">
        <v>9722</v>
      </c>
      <c r="C7047" t="s">
        <v>7</v>
      </c>
      <c r="D7047" t="s">
        <v>14</v>
      </c>
      <c r="E7047" t="s">
        <v>9698</v>
      </c>
      <c r="F7047" t="s">
        <v>9723</v>
      </c>
    </row>
    <row r="7048" spans="1:6" x14ac:dyDescent="0.25">
      <c r="A7048" t="str">
        <f>"410123085594"</f>
        <v>410123085594</v>
      </c>
      <c r="B7048" t="s">
        <v>9724</v>
      </c>
      <c r="C7048" t="s">
        <v>7</v>
      </c>
      <c r="D7048" t="s">
        <v>14</v>
      </c>
      <c r="E7048" t="s">
        <v>9698</v>
      </c>
    </row>
    <row r="7049" spans="1:6" x14ac:dyDescent="0.25">
      <c r="A7049" t="str">
        <f>"410100006638"</f>
        <v>410100006638</v>
      </c>
      <c r="B7049" t="s">
        <v>9725</v>
      </c>
      <c r="C7049" t="s">
        <v>7</v>
      </c>
      <c r="D7049" t="s">
        <v>12</v>
      </c>
      <c r="E7049" t="s">
        <v>9698</v>
      </c>
    </row>
    <row r="7050" spans="1:6" x14ac:dyDescent="0.25">
      <c r="A7050" t="str">
        <f>"410100351698"</f>
        <v>410100351698</v>
      </c>
      <c r="B7050" t="s">
        <v>9726</v>
      </c>
      <c r="C7050" t="s">
        <v>7</v>
      </c>
      <c r="D7050" t="s">
        <v>14</v>
      </c>
      <c r="E7050" t="s">
        <v>9698</v>
      </c>
    </row>
    <row r="7051" spans="1:6" x14ac:dyDescent="0.25">
      <c r="A7051" t="str">
        <f>"410100422081"</f>
        <v>410100422081</v>
      </c>
      <c r="B7051" t="s">
        <v>9727</v>
      </c>
      <c r="C7051" t="s">
        <v>7</v>
      </c>
      <c r="D7051" t="s">
        <v>12</v>
      </c>
      <c r="E7051" t="s">
        <v>9698</v>
      </c>
    </row>
    <row r="7052" spans="1:6" x14ac:dyDescent="0.25">
      <c r="A7052" t="str">
        <f>"410100511461"</f>
        <v>410100511461</v>
      </c>
      <c r="B7052" t="s">
        <v>9728</v>
      </c>
      <c r="C7052" t="s">
        <v>7</v>
      </c>
      <c r="D7052" t="s">
        <v>12</v>
      </c>
      <c r="E7052" t="s">
        <v>9698</v>
      </c>
    </row>
    <row r="7053" spans="1:6" x14ac:dyDescent="0.25">
      <c r="A7053" t="str">
        <f>"410105862939"</f>
        <v>410105862939</v>
      </c>
      <c r="B7053" t="s">
        <v>9729</v>
      </c>
      <c r="C7053" t="s">
        <v>7</v>
      </c>
      <c r="D7053" t="s">
        <v>14</v>
      </c>
      <c r="E7053" t="s">
        <v>9698</v>
      </c>
    </row>
    <row r="7054" spans="1:6" x14ac:dyDescent="0.25">
      <c r="A7054" t="str">
        <f>"410112592426"</f>
        <v>410112592426</v>
      </c>
      <c r="B7054" t="s">
        <v>9730</v>
      </c>
      <c r="C7054" t="s">
        <v>7</v>
      </c>
      <c r="D7054" t="s">
        <v>12</v>
      </c>
      <c r="E7054" t="s">
        <v>9698</v>
      </c>
    </row>
    <row r="7055" spans="1:6" x14ac:dyDescent="0.25">
      <c r="A7055" t="str">
        <f>"410116450542"</f>
        <v>410116450542</v>
      </c>
      <c r="B7055" t="s">
        <v>9731</v>
      </c>
      <c r="C7055" t="s">
        <v>7</v>
      </c>
      <c r="D7055" t="s">
        <v>14</v>
      </c>
      <c r="E7055" t="s">
        <v>9698</v>
      </c>
    </row>
    <row r="7056" spans="1:6" x14ac:dyDescent="0.25">
      <c r="A7056" t="str">
        <f>"4101178887"</f>
        <v>4101178887</v>
      </c>
      <c r="B7056" t="s">
        <v>9732</v>
      </c>
      <c r="C7056" t="s">
        <v>7</v>
      </c>
      <c r="D7056" t="s">
        <v>8</v>
      </c>
      <c r="E7056" t="s">
        <v>9698</v>
      </c>
      <c r="F7056" t="s">
        <v>9733</v>
      </c>
    </row>
    <row r="7057" spans="1:6" x14ac:dyDescent="0.25">
      <c r="A7057" t="str">
        <f>"410120112761"</f>
        <v>410120112761</v>
      </c>
      <c r="B7057" t="s">
        <v>9734</v>
      </c>
      <c r="C7057" t="s">
        <v>7</v>
      </c>
      <c r="D7057" t="s">
        <v>14</v>
      </c>
      <c r="E7057" t="s">
        <v>9698</v>
      </c>
    </row>
    <row r="7058" spans="1:6" x14ac:dyDescent="0.25">
      <c r="A7058" t="str">
        <f>"410123095521"</f>
        <v>410123095521</v>
      </c>
      <c r="B7058" t="s">
        <v>9735</v>
      </c>
      <c r="C7058" t="s">
        <v>7</v>
      </c>
      <c r="D7058" t="s">
        <v>12</v>
      </c>
      <c r="E7058" t="s">
        <v>9698</v>
      </c>
    </row>
    <row r="7059" spans="1:6" x14ac:dyDescent="0.25">
      <c r="A7059" t="str">
        <f>"4100022291"</f>
        <v>4100022291</v>
      </c>
      <c r="B7059" t="s">
        <v>9736</v>
      </c>
      <c r="C7059" t="s">
        <v>7</v>
      </c>
      <c r="D7059" t="s">
        <v>12</v>
      </c>
      <c r="E7059" t="s">
        <v>9698</v>
      </c>
      <c r="F7059" t="s">
        <v>9701</v>
      </c>
    </row>
    <row r="7060" spans="1:6" x14ac:dyDescent="0.25">
      <c r="A7060" t="str">
        <f>"4100051655"</f>
        <v>4100051655</v>
      </c>
      <c r="B7060" t="s">
        <v>9737</v>
      </c>
      <c r="C7060" t="s">
        <v>7</v>
      </c>
      <c r="D7060" t="s">
        <v>12</v>
      </c>
      <c r="E7060" t="s">
        <v>9698</v>
      </c>
      <c r="F7060" t="s">
        <v>9738</v>
      </c>
    </row>
    <row r="7061" spans="1:6" x14ac:dyDescent="0.25">
      <c r="A7061" t="str">
        <f>"4100053243"</f>
        <v>4100053243</v>
      </c>
      <c r="B7061" t="s">
        <v>9739</v>
      </c>
      <c r="C7061" t="s">
        <v>7</v>
      </c>
      <c r="D7061" t="s">
        <v>12</v>
      </c>
      <c r="E7061" t="s">
        <v>9698</v>
      </c>
      <c r="F7061" t="s">
        <v>9740</v>
      </c>
    </row>
    <row r="7062" spans="1:6" x14ac:dyDescent="0.25">
      <c r="A7062" t="str">
        <f>"410100006701"</f>
        <v>410100006701</v>
      </c>
      <c r="B7062" t="s">
        <v>9741</v>
      </c>
      <c r="C7062" t="s">
        <v>7</v>
      </c>
      <c r="D7062" t="s">
        <v>12</v>
      </c>
      <c r="E7062" t="s">
        <v>9698</v>
      </c>
    </row>
    <row r="7063" spans="1:6" x14ac:dyDescent="0.25">
      <c r="A7063" t="str">
        <f>"410100014734"</f>
        <v>410100014734</v>
      </c>
      <c r="B7063" t="s">
        <v>9742</v>
      </c>
      <c r="C7063" t="s">
        <v>7</v>
      </c>
      <c r="D7063" t="s">
        <v>12</v>
      </c>
      <c r="E7063" t="s">
        <v>9698</v>
      </c>
    </row>
    <row r="7064" spans="1:6" x14ac:dyDescent="0.25">
      <c r="A7064" t="str">
        <f>"4101009053"</f>
        <v>4101009053</v>
      </c>
      <c r="B7064" t="s">
        <v>9743</v>
      </c>
      <c r="C7064" t="s">
        <v>7</v>
      </c>
      <c r="D7064" t="s">
        <v>14</v>
      </c>
      <c r="E7064" t="s">
        <v>9698</v>
      </c>
      <c r="F7064" t="s">
        <v>9744</v>
      </c>
    </row>
    <row r="7065" spans="1:6" x14ac:dyDescent="0.25">
      <c r="A7065" t="str">
        <f>"4101085456"</f>
        <v>4101085456</v>
      </c>
      <c r="B7065" t="s">
        <v>9745</v>
      </c>
      <c r="C7065" t="s">
        <v>7</v>
      </c>
      <c r="D7065" t="s">
        <v>12</v>
      </c>
      <c r="E7065" t="s">
        <v>9698</v>
      </c>
      <c r="F7065" t="s">
        <v>9746</v>
      </c>
    </row>
    <row r="7066" spans="1:6" x14ac:dyDescent="0.25">
      <c r="A7066" t="str">
        <f>"4101093979"</f>
        <v>4101093979</v>
      </c>
      <c r="B7066" t="s">
        <v>9747</v>
      </c>
      <c r="C7066" t="s">
        <v>7</v>
      </c>
      <c r="D7066" t="s">
        <v>14</v>
      </c>
      <c r="E7066" t="s">
        <v>9698</v>
      </c>
      <c r="F7066" t="s">
        <v>9701</v>
      </c>
    </row>
    <row r="7067" spans="1:6" x14ac:dyDescent="0.25">
      <c r="A7067" t="str">
        <f>"4101159115"</f>
        <v>4101159115</v>
      </c>
      <c r="B7067" t="s">
        <v>9748</v>
      </c>
      <c r="C7067" t="s">
        <v>7</v>
      </c>
      <c r="D7067" t="s">
        <v>12</v>
      </c>
      <c r="E7067" t="s">
        <v>9698</v>
      </c>
      <c r="F7067" t="s">
        <v>9749</v>
      </c>
    </row>
    <row r="7068" spans="1:6" x14ac:dyDescent="0.25">
      <c r="A7068" t="str">
        <f>"4101191180"</f>
        <v>4101191180</v>
      </c>
      <c r="B7068" t="s">
        <v>9750</v>
      </c>
      <c r="C7068" t="s">
        <v>7</v>
      </c>
      <c r="D7068" t="s">
        <v>12</v>
      </c>
      <c r="E7068" t="s">
        <v>9698</v>
      </c>
      <c r="F7068" t="s">
        <v>9751</v>
      </c>
    </row>
    <row r="7069" spans="1:6" x14ac:dyDescent="0.25">
      <c r="A7069" t="str">
        <f>"4106005447"</f>
        <v>4106005447</v>
      </c>
      <c r="B7069" t="s">
        <v>9752</v>
      </c>
      <c r="C7069" t="s">
        <v>7</v>
      </c>
      <c r="D7069" t="s">
        <v>14</v>
      </c>
      <c r="E7069" t="s">
        <v>9698</v>
      </c>
      <c r="F7069" t="s">
        <v>9753</v>
      </c>
    </row>
    <row r="7070" spans="1:6" x14ac:dyDescent="0.25">
      <c r="A7070" t="str">
        <f>"410200353515"</f>
        <v>410200353515</v>
      </c>
      <c r="B7070" t="s">
        <v>9754</v>
      </c>
      <c r="C7070" t="s">
        <v>7</v>
      </c>
      <c r="D7070" t="s">
        <v>14</v>
      </c>
      <c r="E7070" t="s">
        <v>9698</v>
      </c>
    </row>
    <row r="7071" spans="1:6" x14ac:dyDescent="0.25">
      <c r="A7071" t="str">
        <f>"410400127087"</f>
        <v>410400127087</v>
      </c>
      <c r="B7071" t="s">
        <v>9755</v>
      </c>
      <c r="C7071" t="s">
        <v>7</v>
      </c>
      <c r="D7071" t="s">
        <v>14</v>
      </c>
      <c r="E7071" t="s">
        <v>9698</v>
      </c>
    </row>
    <row r="7072" spans="1:6" x14ac:dyDescent="0.25">
      <c r="A7072" t="str">
        <f>"410500236812"</f>
        <v>410500236812</v>
      </c>
      <c r="B7072" t="s">
        <v>9756</v>
      </c>
      <c r="C7072" t="s">
        <v>7</v>
      </c>
      <c r="D7072" t="s">
        <v>14</v>
      </c>
      <c r="E7072" t="s">
        <v>9698</v>
      </c>
    </row>
    <row r="7073" spans="1:6" x14ac:dyDescent="0.25">
      <c r="A7073" t="str">
        <f>"4105043425"</f>
        <v>4105043425</v>
      </c>
      <c r="B7073" t="s">
        <v>9757</v>
      </c>
      <c r="C7073" t="s">
        <v>7</v>
      </c>
      <c r="D7073" t="s">
        <v>33</v>
      </c>
      <c r="E7073" t="s">
        <v>9698</v>
      </c>
      <c r="F7073" t="s">
        <v>9758</v>
      </c>
    </row>
    <row r="7074" spans="1:6" x14ac:dyDescent="0.25">
      <c r="A7074" t="str">
        <f>"410504847562"</f>
        <v>410504847562</v>
      </c>
      <c r="B7074" t="s">
        <v>9759</v>
      </c>
      <c r="C7074" t="s">
        <v>7</v>
      </c>
      <c r="D7074" t="s">
        <v>12</v>
      </c>
      <c r="E7074" t="s">
        <v>9698</v>
      </c>
    </row>
    <row r="7075" spans="1:6" x14ac:dyDescent="0.25">
      <c r="A7075" t="str">
        <f>"410504949557"</f>
        <v>410504949557</v>
      </c>
      <c r="B7075" t="s">
        <v>9760</v>
      </c>
      <c r="C7075" t="s">
        <v>7</v>
      </c>
      <c r="D7075" t="s">
        <v>14</v>
      </c>
      <c r="E7075" t="s">
        <v>9698</v>
      </c>
    </row>
    <row r="7076" spans="1:6" x14ac:dyDescent="0.25">
      <c r="A7076" t="str">
        <f>"410528605192"</f>
        <v>410528605192</v>
      </c>
      <c r="B7076" t="s">
        <v>9761</v>
      </c>
      <c r="C7076" t="s">
        <v>7</v>
      </c>
      <c r="D7076" t="s">
        <v>12</v>
      </c>
      <c r="E7076" t="s">
        <v>9698</v>
      </c>
    </row>
    <row r="7077" spans="1:6" x14ac:dyDescent="0.25">
      <c r="A7077" t="str">
        <f>"410625376283"</f>
        <v>410625376283</v>
      </c>
      <c r="B7077" t="s">
        <v>9762</v>
      </c>
      <c r="C7077" t="s">
        <v>7</v>
      </c>
      <c r="D7077" t="s">
        <v>14</v>
      </c>
      <c r="E7077" t="s">
        <v>9698</v>
      </c>
    </row>
    <row r="7078" spans="1:6" x14ac:dyDescent="0.25">
      <c r="A7078" t="str">
        <f>"4105000559"</f>
        <v>4105000559</v>
      </c>
      <c r="B7078" t="s">
        <v>9763</v>
      </c>
      <c r="C7078" t="s">
        <v>7</v>
      </c>
      <c r="D7078" t="s">
        <v>14</v>
      </c>
      <c r="E7078" t="s">
        <v>9698</v>
      </c>
      <c r="F7078" t="s">
        <v>9764</v>
      </c>
    </row>
    <row r="7079" spans="1:6" x14ac:dyDescent="0.25">
      <c r="A7079" t="str">
        <f>"410500463759"</f>
        <v>410500463759</v>
      </c>
      <c r="B7079" t="s">
        <v>9765</v>
      </c>
      <c r="C7079" t="s">
        <v>7</v>
      </c>
      <c r="D7079" t="s">
        <v>14</v>
      </c>
      <c r="E7079" t="s">
        <v>9698</v>
      </c>
    </row>
    <row r="7080" spans="1:6" x14ac:dyDescent="0.25">
      <c r="A7080" t="str">
        <f>"410500471397"</f>
        <v>410500471397</v>
      </c>
      <c r="B7080" t="s">
        <v>9766</v>
      </c>
      <c r="C7080" t="s">
        <v>7</v>
      </c>
      <c r="D7080" t="s">
        <v>14</v>
      </c>
      <c r="E7080" t="s">
        <v>9698</v>
      </c>
    </row>
    <row r="7081" spans="1:6" x14ac:dyDescent="0.25">
      <c r="A7081" t="str">
        <f>"410505875756"</f>
        <v>410505875756</v>
      </c>
      <c r="B7081" t="s">
        <v>9767</v>
      </c>
      <c r="C7081" t="s">
        <v>7</v>
      </c>
      <c r="D7081" t="s">
        <v>14</v>
      </c>
      <c r="E7081" t="s">
        <v>9698</v>
      </c>
    </row>
    <row r="7082" spans="1:6" x14ac:dyDescent="0.25">
      <c r="A7082" t="str">
        <f>"410506516220"</f>
        <v>410506516220</v>
      </c>
      <c r="B7082" t="s">
        <v>9768</v>
      </c>
      <c r="C7082" t="s">
        <v>7</v>
      </c>
      <c r="D7082" t="s">
        <v>14</v>
      </c>
      <c r="E7082" t="s">
        <v>9698</v>
      </c>
    </row>
    <row r="7083" spans="1:6" x14ac:dyDescent="0.25">
      <c r="A7083" t="str">
        <f>"410528661197"</f>
        <v>410528661197</v>
      </c>
      <c r="B7083" t="s">
        <v>9769</v>
      </c>
      <c r="C7083" t="s">
        <v>7</v>
      </c>
      <c r="D7083" t="s">
        <v>14</v>
      </c>
      <c r="E7083" t="s">
        <v>9698</v>
      </c>
    </row>
    <row r="7084" spans="1:6" x14ac:dyDescent="0.25">
      <c r="A7084" t="str">
        <f>"410856767301"</f>
        <v>410856767301</v>
      </c>
      <c r="B7084" t="s">
        <v>9770</v>
      </c>
      <c r="C7084" t="s">
        <v>7</v>
      </c>
      <c r="D7084" t="s">
        <v>14</v>
      </c>
      <c r="E7084" t="s">
        <v>9698</v>
      </c>
    </row>
    <row r="7085" spans="1:6" x14ac:dyDescent="0.25">
      <c r="A7085" t="str">
        <f>"246109027475"</f>
        <v>246109027475</v>
      </c>
      <c r="B7085" t="s">
        <v>9771</v>
      </c>
      <c r="C7085" t="s">
        <v>7</v>
      </c>
      <c r="D7085" t="s">
        <v>14</v>
      </c>
      <c r="E7085" t="s">
        <v>9772</v>
      </c>
    </row>
    <row r="7086" spans="1:6" x14ac:dyDescent="0.25">
      <c r="A7086" t="str">
        <f>"245906764090"</f>
        <v>245906764090</v>
      </c>
      <c r="B7086" t="s">
        <v>9773</v>
      </c>
      <c r="C7086" t="s">
        <v>7</v>
      </c>
      <c r="D7086" t="s">
        <v>14</v>
      </c>
      <c r="E7086" t="s">
        <v>9772</v>
      </c>
    </row>
    <row r="7087" spans="1:6" x14ac:dyDescent="0.25">
      <c r="A7087" t="str">
        <f>"421500022921"</f>
        <v>421500022921</v>
      </c>
      <c r="B7087" t="s">
        <v>9774</v>
      </c>
      <c r="C7087" t="s">
        <v>7</v>
      </c>
      <c r="D7087" t="s">
        <v>14</v>
      </c>
      <c r="E7087" t="s">
        <v>9772</v>
      </c>
    </row>
    <row r="7088" spans="1:6" x14ac:dyDescent="0.25">
      <c r="A7088" t="str">
        <f>"421500054306"</f>
        <v>421500054306</v>
      </c>
      <c r="B7088" t="s">
        <v>9775</v>
      </c>
      <c r="C7088" t="s">
        <v>7</v>
      </c>
      <c r="D7088" t="s">
        <v>14</v>
      </c>
      <c r="E7088" t="s">
        <v>9772</v>
      </c>
    </row>
    <row r="7089" spans="1:6" x14ac:dyDescent="0.25">
      <c r="A7089" t="str">
        <f>"421702087745"</f>
        <v>421702087745</v>
      </c>
      <c r="B7089" t="s">
        <v>9776</v>
      </c>
      <c r="C7089" t="s">
        <v>7</v>
      </c>
      <c r="D7089" t="s">
        <v>14</v>
      </c>
      <c r="E7089" t="s">
        <v>9772</v>
      </c>
    </row>
    <row r="7090" spans="1:6" x14ac:dyDescent="0.25">
      <c r="A7090" t="str">
        <f>"4217048100"</f>
        <v>4217048100</v>
      </c>
      <c r="B7090" t="s">
        <v>9777</v>
      </c>
      <c r="C7090" t="s">
        <v>7</v>
      </c>
      <c r="D7090" t="s">
        <v>14</v>
      </c>
      <c r="E7090" t="s">
        <v>9772</v>
      </c>
      <c r="F7090" t="s">
        <v>9778</v>
      </c>
    </row>
    <row r="7091" spans="1:6" x14ac:dyDescent="0.25">
      <c r="A7091" t="str">
        <f>"4217113141"</f>
        <v>4217113141</v>
      </c>
      <c r="B7091" t="s">
        <v>9779</v>
      </c>
      <c r="C7091" t="s">
        <v>7</v>
      </c>
      <c r="D7091" t="s">
        <v>12</v>
      </c>
      <c r="E7091" t="s">
        <v>9772</v>
      </c>
      <c r="F7091" t="s">
        <v>9780</v>
      </c>
    </row>
    <row r="7092" spans="1:6" x14ac:dyDescent="0.25">
      <c r="A7092" t="str">
        <f>"4217131849"</f>
        <v>4217131849</v>
      </c>
      <c r="B7092" t="s">
        <v>9781</v>
      </c>
      <c r="C7092" t="s">
        <v>7</v>
      </c>
      <c r="D7092" t="s">
        <v>14</v>
      </c>
      <c r="E7092" t="s">
        <v>9772</v>
      </c>
      <c r="F7092" t="s">
        <v>9782</v>
      </c>
    </row>
    <row r="7093" spans="1:6" x14ac:dyDescent="0.25">
      <c r="A7093" t="str">
        <f>"4217143820"</f>
        <v>4217143820</v>
      </c>
      <c r="B7093" t="s">
        <v>9783</v>
      </c>
      <c r="C7093" t="s">
        <v>7</v>
      </c>
      <c r="D7093" t="s">
        <v>33</v>
      </c>
      <c r="E7093" t="s">
        <v>9772</v>
      </c>
      <c r="F7093" t="s">
        <v>9784</v>
      </c>
    </row>
    <row r="7094" spans="1:6" x14ac:dyDescent="0.25">
      <c r="A7094" t="str">
        <f>"421715451230"</f>
        <v>421715451230</v>
      </c>
      <c r="B7094" t="s">
        <v>9785</v>
      </c>
      <c r="C7094" t="s">
        <v>7</v>
      </c>
      <c r="D7094" t="s">
        <v>14</v>
      </c>
      <c r="E7094" t="s">
        <v>9772</v>
      </c>
    </row>
    <row r="7095" spans="1:6" x14ac:dyDescent="0.25">
      <c r="A7095" t="str">
        <f>"4217159690"</f>
        <v>4217159690</v>
      </c>
      <c r="B7095" t="s">
        <v>9786</v>
      </c>
      <c r="C7095" t="s">
        <v>7</v>
      </c>
      <c r="D7095" t="s">
        <v>12</v>
      </c>
      <c r="E7095" t="s">
        <v>9772</v>
      </c>
      <c r="F7095" t="s">
        <v>9787</v>
      </c>
    </row>
    <row r="7096" spans="1:6" x14ac:dyDescent="0.25">
      <c r="A7096" t="str">
        <f>"421716139513"</f>
        <v>421716139513</v>
      </c>
      <c r="B7096" t="s">
        <v>9788</v>
      </c>
      <c r="C7096" t="s">
        <v>7</v>
      </c>
      <c r="D7096" t="s">
        <v>14</v>
      </c>
      <c r="E7096" t="s">
        <v>9772</v>
      </c>
    </row>
    <row r="7097" spans="1:6" x14ac:dyDescent="0.25">
      <c r="A7097" t="str">
        <f>"4217203275"</f>
        <v>4217203275</v>
      </c>
      <c r="B7097" t="s">
        <v>9789</v>
      </c>
      <c r="C7097" t="s">
        <v>7</v>
      </c>
      <c r="D7097" t="s">
        <v>14</v>
      </c>
      <c r="E7097" t="s">
        <v>9772</v>
      </c>
      <c r="F7097" t="s">
        <v>9790</v>
      </c>
    </row>
    <row r="7098" spans="1:6" x14ac:dyDescent="0.25">
      <c r="A7098" t="str">
        <f>"4217206420"</f>
        <v>4217206420</v>
      </c>
      <c r="B7098" t="s">
        <v>9791</v>
      </c>
      <c r="C7098" t="s">
        <v>7</v>
      </c>
      <c r="D7098" t="s">
        <v>674</v>
      </c>
      <c r="E7098" t="s">
        <v>9772</v>
      </c>
      <c r="F7098" t="s">
        <v>9792</v>
      </c>
    </row>
    <row r="7099" spans="1:6" x14ac:dyDescent="0.25">
      <c r="A7099" t="str">
        <f>"4217209478"</f>
        <v>4217209478</v>
      </c>
      <c r="B7099" t="s">
        <v>9793</v>
      </c>
      <c r="C7099" t="s">
        <v>7</v>
      </c>
      <c r="D7099" t="s">
        <v>33</v>
      </c>
      <c r="E7099" t="s">
        <v>9772</v>
      </c>
      <c r="F7099" t="s">
        <v>9794</v>
      </c>
    </row>
    <row r="7100" spans="1:6" x14ac:dyDescent="0.25">
      <c r="A7100" t="str">
        <f>"4217210508"</f>
        <v>4217210508</v>
      </c>
      <c r="B7100" t="s">
        <v>9795</v>
      </c>
      <c r="C7100" t="s">
        <v>7</v>
      </c>
      <c r="D7100" t="s">
        <v>33</v>
      </c>
      <c r="E7100" t="s">
        <v>9772</v>
      </c>
      <c r="F7100" t="s">
        <v>9796</v>
      </c>
    </row>
    <row r="7101" spans="1:6" x14ac:dyDescent="0.25">
      <c r="A7101" t="str">
        <f>"4218022401"</f>
        <v>4218022401</v>
      </c>
      <c r="B7101" t="s">
        <v>9797</v>
      </c>
      <c r="C7101" t="s">
        <v>7</v>
      </c>
      <c r="D7101" t="s">
        <v>14</v>
      </c>
      <c r="E7101" t="s">
        <v>9772</v>
      </c>
      <c r="F7101" t="s">
        <v>9798</v>
      </c>
    </row>
    <row r="7102" spans="1:6" x14ac:dyDescent="0.25">
      <c r="A7102" t="str">
        <f>"4220022991"</f>
        <v>4220022991</v>
      </c>
      <c r="B7102" t="s">
        <v>9799</v>
      </c>
      <c r="C7102" t="s">
        <v>7</v>
      </c>
      <c r="D7102" t="s">
        <v>14</v>
      </c>
      <c r="E7102" t="s">
        <v>9772</v>
      </c>
      <c r="F7102" t="s">
        <v>9800</v>
      </c>
    </row>
    <row r="7103" spans="1:6" x14ac:dyDescent="0.25">
      <c r="A7103" t="str">
        <f>"4220034965"</f>
        <v>4220034965</v>
      </c>
      <c r="B7103" t="s">
        <v>9801</v>
      </c>
      <c r="C7103" t="s">
        <v>7</v>
      </c>
      <c r="D7103" t="s">
        <v>14</v>
      </c>
      <c r="E7103" t="s">
        <v>9772</v>
      </c>
      <c r="F7103" t="s">
        <v>9802</v>
      </c>
    </row>
    <row r="7104" spans="1:6" x14ac:dyDescent="0.25">
      <c r="A7104" t="str">
        <f>"4220036306"</f>
        <v>4220036306</v>
      </c>
      <c r="B7104" t="s">
        <v>9803</v>
      </c>
      <c r="C7104" t="s">
        <v>7</v>
      </c>
      <c r="D7104" t="s">
        <v>12</v>
      </c>
      <c r="E7104" t="s">
        <v>9772</v>
      </c>
      <c r="F7104" t="s">
        <v>9780</v>
      </c>
    </row>
    <row r="7105" spans="1:6" x14ac:dyDescent="0.25">
      <c r="A7105" t="str">
        <f>"422007181650"</f>
        <v>422007181650</v>
      </c>
      <c r="B7105" t="s">
        <v>9804</v>
      </c>
      <c r="C7105" t="s">
        <v>7</v>
      </c>
      <c r="D7105" t="s">
        <v>14</v>
      </c>
      <c r="E7105" t="s">
        <v>9772</v>
      </c>
    </row>
    <row r="7106" spans="1:6" x14ac:dyDescent="0.25">
      <c r="A7106" t="str">
        <f>"422100487917"</f>
        <v>422100487917</v>
      </c>
      <c r="B7106" t="s">
        <v>9805</v>
      </c>
      <c r="C7106" t="s">
        <v>7</v>
      </c>
      <c r="D7106" t="s">
        <v>14</v>
      </c>
      <c r="E7106" t="s">
        <v>9772</v>
      </c>
    </row>
    <row r="7107" spans="1:6" x14ac:dyDescent="0.25">
      <c r="A7107" t="str">
        <f>"422203008980"</f>
        <v>422203008980</v>
      </c>
      <c r="B7107" t="s">
        <v>9806</v>
      </c>
      <c r="C7107" t="s">
        <v>7</v>
      </c>
      <c r="D7107" t="s">
        <v>14</v>
      </c>
      <c r="E7107" t="s">
        <v>9772</v>
      </c>
    </row>
    <row r="7108" spans="1:6" x14ac:dyDescent="0.25">
      <c r="A7108" t="str">
        <f>"422210976244"</f>
        <v>422210976244</v>
      </c>
      <c r="B7108" t="s">
        <v>9807</v>
      </c>
      <c r="C7108" t="s">
        <v>7</v>
      </c>
      <c r="D7108" t="s">
        <v>8</v>
      </c>
      <c r="E7108" t="s">
        <v>9772</v>
      </c>
    </row>
    <row r="7109" spans="1:6" x14ac:dyDescent="0.25">
      <c r="A7109" t="str">
        <f>"4223131861"</f>
        <v>4223131861</v>
      </c>
      <c r="B7109" t="s">
        <v>9808</v>
      </c>
      <c r="C7109" t="s">
        <v>7</v>
      </c>
      <c r="D7109" t="s">
        <v>33</v>
      </c>
      <c r="E7109" t="s">
        <v>9772</v>
      </c>
      <c r="F7109" t="s">
        <v>9809</v>
      </c>
    </row>
    <row r="7110" spans="1:6" x14ac:dyDescent="0.25">
      <c r="A7110" t="str">
        <f>"4223134541"</f>
        <v>4223134541</v>
      </c>
      <c r="B7110" t="s">
        <v>9810</v>
      </c>
      <c r="C7110" t="s">
        <v>7</v>
      </c>
      <c r="D7110" t="s">
        <v>14</v>
      </c>
      <c r="E7110" t="s">
        <v>9772</v>
      </c>
      <c r="F7110" t="s">
        <v>9811</v>
      </c>
    </row>
    <row r="7111" spans="1:6" x14ac:dyDescent="0.25">
      <c r="A7111" t="str">
        <f>"422330296297"</f>
        <v>422330296297</v>
      </c>
      <c r="B7111" t="s">
        <v>9812</v>
      </c>
      <c r="C7111" t="s">
        <v>7</v>
      </c>
      <c r="D7111" t="s">
        <v>12</v>
      </c>
      <c r="E7111" t="s">
        <v>9772</v>
      </c>
    </row>
    <row r="7112" spans="1:6" x14ac:dyDescent="0.25">
      <c r="A7112" t="str">
        <f>"422370290340"</f>
        <v>422370290340</v>
      </c>
      <c r="B7112" t="s">
        <v>9813</v>
      </c>
      <c r="C7112" t="s">
        <v>7</v>
      </c>
      <c r="D7112" t="s">
        <v>14</v>
      </c>
      <c r="E7112" t="s">
        <v>9772</v>
      </c>
    </row>
    <row r="7113" spans="1:6" x14ac:dyDescent="0.25">
      <c r="A7113" t="str">
        <f>"422370890588"</f>
        <v>422370890588</v>
      </c>
      <c r="B7113" t="s">
        <v>9814</v>
      </c>
      <c r="C7113" t="s">
        <v>7</v>
      </c>
      <c r="D7113" t="s">
        <v>12</v>
      </c>
      <c r="E7113" t="s">
        <v>9772</v>
      </c>
    </row>
    <row r="7114" spans="1:6" x14ac:dyDescent="0.25">
      <c r="A7114" t="str">
        <f>"422371913196"</f>
        <v>422371913196</v>
      </c>
      <c r="B7114" t="s">
        <v>9815</v>
      </c>
      <c r="C7114" t="s">
        <v>7</v>
      </c>
      <c r="D7114" t="s">
        <v>14</v>
      </c>
      <c r="E7114" t="s">
        <v>9772</v>
      </c>
    </row>
    <row r="7115" spans="1:6" x14ac:dyDescent="0.25">
      <c r="A7115" t="str">
        <f>"422372039020"</f>
        <v>422372039020</v>
      </c>
      <c r="B7115" t="s">
        <v>9816</v>
      </c>
      <c r="C7115" t="s">
        <v>7</v>
      </c>
      <c r="D7115" t="s">
        <v>14</v>
      </c>
      <c r="E7115" t="s">
        <v>9772</v>
      </c>
    </row>
    <row r="7116" spans="1:6" x14ac:dyDescent="0.25">
      <c r="A7116" t="str">
        <f>"422373957216"</f>
        <v>422373957216</v>
      </c>
      <c r="B7116" t="s">
        <v>9817</v>
      </c>
      <c r="C7116" t="s">
        <v>7</v>
      </c>
      <c r="D7116" t="s">
        <v>14</v>
      </c>
      <c r="E7116" t="s">
        <v>9772</v>
      </c>
    </row>
    <row r="7117" spans="1:6" x14ac:dyDescent="0.25">
      <c r="A7117" t="str">
        <f>"422377665422"</f>
        <v>422377665422</v>
      </c>
      <c r="B7117" t="s">
        <v>9818</v>
      </c>
      <c r="C7117" t="s">
        <v>7</v>
      </c>
      <c r="D7117" t="s">
        <v>14</v>
      </c>
      <c r="E7117" t="s">
        <v>9772</v>
      </c>
    </row>
    <row r="7118" spans="1:6" x14ac:dyDescent="0.25">
      <c r="A7118" t="str">
        <f>"422378108400"</f>
        <v>422378108400</v>
      </c>
      <c r="B7118" t="s">
        <v>9819</v>
      </c>
      <c r="C7118" t="s">
        <v>7</v>
      </c>
      <c r="D7118" t="s">
        <v>14</v>
      </c>
      <c r="E7118" t="s">
        <v>9772</v>
      </c>
    </row>
    <row r="7119" spans="1:6" x14ac:dyDescent="0.25">
      <c r="A7119" t="str">
        <f>"422400042482"</f>
        <v>422400042482</v>
      </c>
      <c r="B7119" t="s">
        <v>9820</v>
      </c>
      <c r="C7119" t="s">
        <v>7</v>
      </c>
      <c r="D7119" t="s">
        <v>14</v>
      </c>
      <c r="E7119" t="s">
        <v>9772</v>
      </c>
    </row>
    <row r="7120" spans="1:6" x14ac:dyDescent="0.25">
      <c r="A7120" t="str">
        <f>"422805967775"</f>
        <v>422805967775</v>
      </c>
      <c r="B7120" t="s">
        <v>9821</v>
      </c>
      <c r="C7120" t="s">
        <v>7</v>
      </c>
      <c r="D7120" t="s">
        <v>12</v>
      </c>
      <c r="E7120" t="s">
        <v>9772</v>
      </c>
    </row>
    <row r="7121" spans="1:6" x14ac:dyDescent="0.25">
      <c r="A7121" t="str">
        <f>"422900637784"</f>
        <v>422900637784</v>
      </c>
      <c r="B7121" t="s">
        <v>9822</v>
      </c>
      <c r="C7121" t="s">
        <v>7</v>
      </c>
      <c r="D7121" t="s">
        <v>14</v>
      </c>
      <c r="E7121" t="s">
        <v>9772</v>
      </c>
    </row>
    <row r="7122" spans="1:6" x14ac:dyDescent="0.25">
      <c r="A7122" t="str">
        <f>"422922319898"</f>
        <v>422922319898</v>
      </c>
      <c r="B7122" t="s">
        <v>9823</v>
      </c>
      <c r="C7122" t="s">
        <v>7</v>
      </c>
      <c r="D7122" t="s">
        <v>14</v>
      </c>
      <c r="E7122" t="s">
        <v>9772</v>
      </c>
    </row>
    <row r="7123" spans="1:6" x14ac:dyDescent="0.25">
      <c r="A7123" t="str">
        <f>"423009306480"</f>
        <v>423009306480</v>
      </c>
      <c r="B7123" t="s">
        <v>9824</v>
      </c>
      <c r="C7123" t="s">
        <v>7</v>
      </c>
      <c r="D7123" t="s">
        <v>14</v>
      </c>
      <c r="E7123" t="s">
        <v>9772</v>
      </c>
    </row>
    <row r="7124" spans="1:6" x14ac:dyDescent="0.25">
      <c r="A7124" t="str">
        <f>"423802395786"</f>
        <v>423802395786</v>
      </c>
      <c r="B7124" t="s">
        <v>9825</v>
      </c>
      <c r="C7124" t="s">
        <v>7</v>
      </c>
      <c r="D7124" t="s">
        <v>14</v>
      </c>
      <c r="E7124" t="s">
        <v>9772</v>
      </c>
    </row>
    <row r="7125" spans="1:6" x14ac:dyDescent="0.25">
      <c r="A7125" t="str">
        <f>"424201054783"</f>
        <v>424201054783</v>
      </c>
      <c r="B7125" t="s">
        <v>9826</v>
      </c>
      <c r="C7125" t="s">
        <v>7</v>
      </c>
      <c r="D7125" t="s">
        <v>14</v>
      </c>
      <c r="E7125" t="s">
        <v>9772</v>
      </c>
    </row>
    <row r="7126" spans="1:6" x14ac:dyDescent="0.25">
      <c r="A7126" t="str">
        <f>"424700121876"</f>
        <v>424700121876</v>
      </c>
      <c r="B7126" t="s">
        <v>9827</v>
      </c>
      <c r="C7126" t="s">
        <v>7</v>
      </c>
      <c r="D7126" t="s">
        <v>14</v>
      </c>
      <c r="E7126" t="s">
        <v>9772</v>
      </c>
    </row>
    <row r="7127" spans="1:6" x14ac:dyDescent="0.25">
      <c r="A7127" t="str">
        <f>"424800049574"</f>
        <v>424800049574</v>
      </c>
      <c r="B7127" t="s">
        <v>9828</v>
      </c>
      <c r="C7127" t="s">
        <v>7</v>
      </c>
      <c r="D7127" t="s">
        <v>14</v>
      </c>
      <c r="E7127" t="s">
        <v>9772</v>
      </c>
    </row>
    <row r="7128" spans="1:6" x14ac:dyDescent="0.25">
      <c r="A7128" t="str">
        <f>"425000025270"</f>
        <v>425000025270</v>
      </c>
      <c r="B7128" t="s">
        <v>9829</v>
      </c>
      <c r="C7128" t="s">
        <v>7</v>
      </c>
      <c r="D7128" t="s">
        <v>14</v>
      </c>
      <c r="E7128" t="s">
        <v>9772</v>
      </c>
    </row>
    <row r="7129" spans="1:6" x14ac:dyDescent="0.25">
      <c r="A7129" t="str">
        <f>"4250007662"</f>
        <v>4250007662</v>
      </c>
      <c r="B7129" t="s">
        <v>9830</v>
      </c>
      <c r="C7129" t="s">
        <v>7</v>
      </c>
      <c r="D7129" t="s">
        <v>12</v>
      </c>
      <c r="E7129" t="s">
        <v>9772</v>
      </c>
      <c r="F7129" t="s">
        <v>9831</v>
      </c>
    </row>
    <row r="7130" spans="1:6" x14ac:dyDescent="0.25">
      <c r="A7130" t="str">
        <f>"425004748801"</f>
        <v>425004748801</v>
      </c>
      <c r="B7130" t="s">
        <v>9832</v>
      </c>
      <c r="C7130" t="s">
        <v>7</v>
      </c>
      <c r="D7130" t="s">
        <v>14</v>
      </c>
      <c r="E7130" t="s">
        <v>9772</v>
      </c>
    </row>
    <row r="7131" spans="1:6" x14ac:dyDescent="0.25">
      <c r="A7131" t="str">
        <f>"425201243479"</f>
        <v>425201243479</v>
      </c>
      <c r="B7131" t="s">
        <v>9833</v>
      </c>
      <c r="C7131" t="s">
        <v>7</v>
      </c>
      <c r="D7131" t="s">
        <v>14</v>
      </c>
      <c r="E7131" t="s">
        <v>9772</v>
      </c>
    </row>
    <row r="7132" spans="1:6" x14ac:dyDescent="0.25">
      <c r="A7132" t="str">
        <f>"421700942771"</f>
        <v>421700942771</v>
      </c>
      <c r="B7132" t="s">
        <v>9834</v>
      </c>
      <c r="C7132" t="s">
        <v>7</v>
      </c>
      <c r="D7132" t="s">
        <v>14</v>
      </c>
      <c r="E7132" t="s">
        <v>9772</v>
      </c>
    </row>
    <row r="7133" spans="1:6" x14ac:dyDescent="0.25">
      <c r="A7133" t="str">
        <f>"421700955065"</f>
        <v>421700955065</v>
      </c>
      <c r="B7133" t="s">
        <v>9835</v>
      </c>
      <c r="C7133" t="s">
        <v>7</v>
      </c>
      <c r="D7133" t="s">
        <v>14</v>
      </c>
      <c r="E7133" t="s">
        <v>9772</v>
      </c>
    </row>
    <row r="7134" spans="1:6" x14ac:dyDescent="0.25">
      <c r="A7134" t="str">
        <f>"421700960273"</f>
        <v>421700960273</v>
      </c>
      <c r="B7134" t="s">
        <v>9836</v>
      </c>
      <c r="C7134" t="s">
        <v>7</v>
      </c>
      <c r="D7134" t="s">
        <v>586</v>
      </c>
      <c r="E7134" t="s">
        <v>9772</v>
      </c>
    </row>
    <row r="7135" spans="1:6" x14ac:dyDescent="0.25">
      <c r="A7135" t="str">
        <f>"4217086586"</f>
        <v>4217086586</v>
      </c>
      <c r="B7135" t="s">
        <v>9837</v>
      </c>
      <c r="C7135" t="s">
        <v>7</v>
      </c>
      <c r="D7135" t="s">
        <v>33</v>
      </c>
      <c r="E7135" t="s">
        <v>9772</v>
      </c>
      <c r="F7135" t="s">
        <v>9838</v>
      </c>
    </row>
    <row r="7136" spans="1:6" x14ac:dyDescent="0.25">
      <c r="A7136" t="str">
        <f>"421709039797"</f>
        <v>421709039797</v>
      </c>
      <c r="B7136" t="s">
        <v>9839</v>
      </c>
      <c r="C7136" t="s">
        <v>7</v>
      </c>
      <c r="D7136" t="s">
        <v>14</v>
      </c>
      <c r="E7136" t="s">
        <v>9772</v>
      </c>
    </row>
    <row r="7137" spans="1:6" x14ac:dyDescent="0.25">
      <c r="A7137" t="str">
        <f>"4217108455"</f>
        <v>4217108455</v>
      </c>
      <c r="B7137" t="s">
        <v>8729</v>
      </c>
      <c r="C7137" t="s">
        <v>7</v>
      </c>
      <c r="D7137" t="s">
        <v>14</v>
      </c>
      <c r="E7137" t="s">
        <v>9772</v>
      </c>
      <c r="F7137" t="s">
        <v>9840</v>
      </c>
    </row>
    <row r="7138" spans="1:6" x14ac:dyDescent="0.25">
      <c r="A7138" t="str">
        <f>"4217116760"</f>
        <v>4217116760</v>
      </c>
      <c r="B7138" t="s">
        <v>9841</v>
      </c>
      <c r="C7138" t="s">
        <v>7</v>
      </c>
      <c r="D7138" t="s">
        <v>674</v>
      </c>
      <c r="E7138" t="s">
        <v>9772</v>
      </c>
      <c r="F7138" t="s">
        <v>9842</v>
      </c>
    </row>
    <row r="7139" spans="1:6" x14ac:dyDescent="0.25">
      <c r="A7139" t="str">
        <f>"421712709515"</f>
        <v>421712709515</v>
      </c>
      <c r="B7139" t="s">
        <v>9843</v>
      </c>
      <c r="C7139" t="s">
        <v>7</v>
      </c>
      <c r="D7139" t="s">
        <v>14</v>
      </c>
      <c r="E7139" t="s">
        <v>9772</v>
      </c>
    </row>
    <row r="7140" spans="1:6" x14ac:dyDescent="0.25">
      <c r="A7140" t="str">
        <f>"4217146820"</f>
        <v>4217146820</v>
      </c>
      <c r="B7140" t="s">
        <v>9844</v>
      </c>
      <c r="C7140" t="s">
        <v>7</v>
      </c>
      <c r="D7140" t="s">
        <v>12</v>
      </c>
      <c r="E7140" t="s">
        <v>9772</v>
      </c>
      <c r="F7140" t="s">
        <v>9845</v>
      </c>
    </row>
    <row r="7141" spans="1:6" x14ac:dyDescent="0.25">
      <c r="A7141" t="str">
        <f>"4217148137"</f>
        <v>4217148137</v>
      </c>
      <c r="B7141" t="s">
        <v>9846</v>
      </c>
      <c r="C7141" t="s">
        <v>7</v>
      </c>
      <c r="D7141" t="s">
        <v>12</v>
      </c>
      <c r="E7141" t="s">
        <v>9772</v>
      </c>
      <c r="F7141" t="s">
        <v>9847</v>
      </c>
    </row>
    <row r="7142" spans="1:6" x14ac:dyDescent="0.25">
      <c r="A7142" t="str">
        <f>"421715794043"</f>
        <v>421715794043</v>
      </c>
      <c r="B7142" t="s">
        <v>9848</v>
      </c>
      <c r="C7142" t="s">
        <v>7</v>
      </c>
      <c r="D7142" t="s">
        <v>14</v>
      </c>
      <c r="E7142" t="s">
        <v>9772</v>
      </c>
    </row>
    <row r="7143" spans="1:6" x14ac:dyDescent="0.25">
      <c r="A7143" t="str">
        <f>"4217159379"</f>
        <v>4217159379</v>
      </c>
      <c r="B7143" t="s">
        <v>9849</v>
      </c>
      <c r="C7143" t="s">
        <v>7</v>
      </c>
      <c r="D7143" t="s">
        <v>14</v>
      </c>
      <c r="E7143" t="s">
        <v>9772</v>
      </c>
      <c r="F7143" t="s">
        <v>9850</v>
      </c>
    </row>
    <row r="7144" spans="1:6" x14ac:dyDescent="0.25">
      <c r="A7144" t="str">
        <f>"4217178082"</f>
        <v>4217178082</v>
      </c>
      <c r="B7144" t="s">
        <v>9851</v>
      </c>
      <c r="C7144" t="s">
        <v>7</v>
      </c>
      <c r="D7144" t="s">
        <v>14</v>
      </c>
      <c r="E7144" t="s">
        <v>9772</v>
      </c>
      <c r="F7144" t="s">
        <v>9852</v>
      </c>
    </row>
    <row r="7145" spans="1:6" x14ac:dyDescent="0.25">
      <c r="A7145" t="str">
        <f>"4217183004"</f>
        <v>4217183004</v>
      </c>
      <c r="B7145" t="s">
        <v>9853</v>
      </c>
      <c r="C7145" t="s">
        <v>7</v>
      </c>
      <c r="D7145" t="s">
        <v>12</v>
      </c>
      <c r="E7145" t="s">
        <v>9772</v>
      </c>
      <c r="F7145" t="s">
        <v>9854</v>
      </c>
    </row>
    <row r="7146" spans="1:6" x14ac:dyDescent="0.25">
      <c r="A7146" t="str">
        <f>"4217184054"</f>
        <v>4217184054</v>
      </c>
      <c r="B7146" t="s">
        <v>1386</v>
      </c>
      <c r="C7146" t="s">
        <v>7</v>
      </c>
      <c r="D7146" t="s">
        <v>12</v>
      </c>
      <c r="E7146" t="s">
        <v>9772</v>
      </c>
      <c r="F7146" t="s">
        <v>9855</v>
      </c>
    </row>
    <row r="7147" spans="1:6" x14ac:dyDescent="0.25">
      <c r="A7147" t="str">
        <f>"4217184343"</f>
        <v>4217184343</v>
      </c>
      <c r="B7147" t="s">
        <v>9856</v>
      </c>
      <c r="C7147" t="s">
        <v>7</v>
      </c>
      <c r="D7147" t="s">
        <v>1430</v>
      </c>
      <c r="E7147" t="s">
        <v>9772</v>
      </c>
      <c r="F7147" t="s">
        <v>9857</v>
      </c>
    </row>
    <row r="7148" spans="1:6" x14ac:dyDescent="0.25">
      <c r="A7148" t="str">
        <f>"4218023469"</f>
        <v>4218023469</v>
      </c>
      <c r="B7148" t="s">
        <v>9858</v>
      </c>
      <c r="C7148" t="s">
        <v>7</v>
      </c>
      <c r="D7148" t="s">
        <v>33</v>
      </c>
      <c r="E7148" t="s">
        <v>9772</v>
      </c>
      <c r="F7148" t="s">
        <v>9859</v>
      </c>
    </row>
    <row r="7149" spans="1:6" x14ac:dyDescent="0.25">
      <c r="A7149" t="str">
        <f>"421807365260"</f>
        <v>421807365260</v>
      </c>
      <c r="B7149" t="s">
        <v>9860</v>
      </c>
      <c r="C7149" t="s">
        <v>7</v>
      </c>
      <c r="D7149" t="s">
        <v>14</v>
      </c>
      <c r="E7149" t="s">
        <v>9772</v>
      </c>
    </row>
    <row r="7150" spans="1:6" x14ac:dyDescent="0.25">
      <c r="A7150" t="str">
        <f>"421809725091"</f>
        <v>421809725091</v>
      </c>
      <c r="B7150" t="s">
        <v>9861</v>
      </c>
      <c r="C7150" t="s">
        <v>7</v>
      </c>
      <c r="D7150" t="s">
        <v>14</v>
      </c>
      <c r="E7150" t="s">
        <v>9772</v>
      </c>
    </row>
    <row r="7151" spans="1:6" x14ac:dyDescent="0.25">
      <c r="A7151" t="str">
        <f>"421809901526"</f>
        <v>421809901526</v>
      </c>
      <c r="B7151" t="s">
        <v>9862</v>
      </c>
      <c r="C7151" t="s">
        <v>7</v>
      </c>
      <c r="D7151" t="s">
        <v>12</v>
      </c>
      <c r="E7151" t="s">
        <v>9772</v>
      </c>
    </row>
    <row r="7152" spans="1:6" x14ac:dyDescent="0.25">
      <c r="A7152" t="str">
        <f>"421815938884"</f>
        <v>421815938884</v>
      </c>
      <c r="B7152" t="s">
        <v>9863</v>
      </c>
      <c r="C7152" t="s">
        <v>7</v>
      </c>
      <c r="D7152" t="s">
        <v>14</v>
      </c>
      <c r="E7152" t="s">
        <v>9772</v>
      </c>
    </row>
    <row r="7153" spans="1:6" x14ac:dyDescent="0.25">
      <c r="A7153" t="str">
        <f>"421850003604"</f>
        <v>421850003604</v>
      </c>
      <c r="B7153" t="s">
        <v>9864</v>
      </c>
      <c r="C7153" t="s">
        <v>7</v>
      </c>
      <c r="D7153" t="s">
        <v>14</v>
      </c>
      <c r="E7153" t="s">
        <v>9772</v>
      </c>
    </row>
    <row r="7154" spans="1:6" x14ac:dyDescent="0.25">
      <c r="A7154" t="str">
        <f>"422103190713"</f>
        <v>422103190713</v>
      </c>
      <c r="B7154" t="s">
        <v>9865</v>
      </c>
      <c r="C7154" t="s">
        <v>7</v>
      </c>
      <c r="D7154" t="s">
        <v>14</v>
      </c>
      <c r="E7154" t="s">
        <v>9772</v>
      </c>
    </row>
    <row r="7155" spans="1:6" x14ac:dyDescent="0.25">
      <c r="A7155" t="str">
        <f>"422104945702"</f>
        <v>422104945702</v>
      </c>
      <c r="B7155" t="s">
        <v>9866</v>
      </c>
      <c r="C7155" t="s">
        <v>7</v>
      </c>
      <c r="D7155" t="s">
        <v>33</v>
      </c>
      <c r="E7155" t="s">
        <v>9772</v>
      </c>
    </row>
    <row r="7156" spans="1:6" x14ac:dyDescent="0.25">
      <c r="A7156" t="str">
        <f>"422108422100"</f>
        <v>422108422100</v>
      </c>
      <c r="B7156" t="s">
        <v>9867</v>
      </c>
      <c r="C7156" t="s">
        <v>7</v>
      </c>
      <c r="D7156" t="s">
        <v>14</v>
      </c>
      <c r="E7156" t="s">
        <v>9772</v>
      </c>
    </row>
    <row r="7157" spans="1:6" x14ac:dyDescent="0.25">
      <c r="A7157" t="str">
        <f>"422301652857"</f>
        <v>422301652857</v>
      </c>
      <c r="B7157" t="s">
        <v>9868</v>
      </c>
      <c r="C7157" t="s">
        <v>7</v>
      </c>
      <c r="D7157" t="s">
        <v>14</v>
      </c>
      <c r="E7157" t="s">
        <v>9772</v>
      </c>
    </row>
    <row r="7158" spans="1:6" x14ac:dyDescent="0.25">
      <c r="A7158" t="str">
        <f>"422303071093"</f>
        <v>422303071093</v>
      </c>
      <c r="B7158" t="s">
        <v>9869</v>
      </c>
      <c r="C7158" t="s">
        <v>7</v>
      </c>
      <c r="D7158" t="s">
        <v>14</v>
      </c>
      <c r="E7158" t="s">
        <v>9772</v>
      </c>
    </row>
    <row r="7159" spans="1:6" x14ac:dyDescent="0.25">
      <c r="A7159" t="str">
        <f>"422311627137"</f>
        <v>422311627137</v>
      </c>
      <c r="B7159" t="s">
        <v>9870</v>
      </c>
      <c r="C7159" t="s">
        <v>7</v>
      </c>
      <c r="D7159" t="s">
        <v>14</v>
      </c>
      <c r="E7159" t="s">
        <v>9772</v>
      </c>
    </row>
    <row r="7160" spans="1:6" x14ac:dyDescent="0.25">
      <c r="A7160" t="str">
        <f>"422312270930"</f>
        <v>422312270930</v>
      </c>
      <c r="B7160" t="s">
        <v>9871</v>
      </c>
      <c r="C7160" t="s">
        <v>7</v>
      </c>
      <c r="D7160" t="s">
        <v>14</v>
      </c>
      <c r="E7160" t="s">
        <v>9772</v>
      </c>
    </row>
    <row r="7161" spans="1:6" x14ac:dyDescent="0.25">
      <c r="A7161" t="str">
        <f>"422371567309"</f>
        <v>422371567309</v>
      </c>
      <c r="B7161" t="s">
        <v>9872</v>
      </c>
      <c r="C7161" t="s">
        <v>7</v>
      </c>
      <c r="D7161" t="s">
        <v>14</v>
      </c>
      <c r="E7161" t="s">
        <v>9772</v>
      </c>
    </row>
    <row r="7162" spans="1:6" x14ac:dyDescent="0.25">
      <c r="A7162" t="str">
        <f>"422375002853"</f>
        <v>422375002853</v>
      </c>
      <c r="B7162" t="s">
        <v>9873</v>
      </c>
      <c r="C7162" t="s">
        <v>7</v>
      </c>
      <c r="D7162" t="s">
        <v>14</v>
      </c>
      <c r="E7162" t="s">
        <v>9772</v>
      </c>
    </row>
    <row r="7163" spans="1:6" x14ac:dyDescent="0.25">
      <c r="A7163" t="str">
        <f>"422376552000"</f>
        <v>422376552000</v>
      </c>
      <c r="B7163" t="s">
        <v>9874</v>
      </c>
      <c r="C7163" t="s">
        <v>7</v>
      </c>
      <c r="D7163" t="s">
        <v>14</v>
      </c>
      <c r="E7163" t="s">
        <v>9772</v>
      </c>
    </row>
    <row r="7164" spans="1:6" x14ac:dyDescent="0.25">
      <c r="A7164" t="str">
        <f>"422400062200"</f>
        <v>422400062200</v>
      </c>
      <c r="B7164" t="s">
        <v>9875</v>
      </c>
      <c r="C7164" t="s">
        <v>7</v>
      </c>
      <c r="D7164" t="s">
        <v>14</v>
      </c>
      <c r="E7164" t="s">
        <v>9772</v>
      </c>
    </row>
    <row r="7165" spans="1:6" x14ac:dyDescent="0.25">
      <c r="A7165" t="str">
        <f>"422700165220"</f>
        <v>422700165220</v>
      </c>
      <c r="B7165" t="s">
        <v>9876</v>
      </c>
      <c r="C7165" t="s">
        <v>7</v>
      </c>
      <c r="D7165" t="s">
        <v>14</v>
      </c>
      <c r="E7165" t="s">
        <v>9772</v>
      </c>
    </row>
    <row r="7166" spans="1:6" x14ac:dyDescent="0.25">
      <c r="A7166" t="str">
        <f>"4229005648"</f>
        <v>4229005648</v>
      </c>
      <c r="B7166" t="s">
        <v>9877</v>
      </c>
      <c r="C7166" t="s">
        <v>7</v>
      </c>
      <c r="D7166" t="s">
        <v>33</v>
      </c>
      <c r="E7166" t="s">
        <v>9772</v>
      </c>
      <c r="F7166" t="s">
        <v>9878</v>
      </c>
    </row>
    <row r="7167" spans="1:6" x14ac:dyDescent="0.25">
      <c r="A7167" t="str">
        <f>"422903338013"</f>
        <v>422903338013</v>
      </c>
      <c r="B7167" t="s">
        <v>9879</v>
      </c>
      <c r="C7167" t="s">
        <v>7</v>
      </c>
      <c r="D7167" t="s">
        <v>14</v>
      </c>
      <c r="E7167" t="s">
        <v>9772</v>
      </c>
    </row>
    <row r="7168" spans="1:6" x14ac:dyDescent="0.25">
      <c r="A7168" t="str">
        <f>"422903429976"</f>
        <v>422903429976</v>
      </c>
      <c r="B7168" t="s">
        <v>9880</v>
      </c>
      <c r="C7168" t="s">
        <v>7</v>
      </c>
      <c r="D7168" t="s">
        <v>14</v>
      </c>
      <c r="E7168" t="s">
        <v>9772</v>
      </c>
    </row>
    <row r="7169" spans="1:6" x14ac:dyDescent="0.25">
      <c r="A7169" t="str">
        <f>"423000115635"</f>
        <v>423000115635</v>
      </c>
      <c r="B7169" t="s">
        <v>9881</v>
      </c>
      <c r="C7169" t="s">
        <v>7</v>
      </c>
      <c r="D7169" t="s">
        <v>14</v>
      </c>
      <c r="E7169" t="s">
        <v>9772</v>
      </c>
    </row>
    <row r="7170" spans="1:6" x14ac:dyDescent="0.25">
      <c r="A7170" t="str">
        <f>"423004470856"</f>
        <v>423004470856</v>
      </c>
      <c r="B7170" t="s">
        <v>9882</v>
      </c>
      <c r="C7170" t="s">
        <v>7</v>
      </c>
      <c r="D7170" t="s">
        <v>14</v>
      </c>
      <c r="E7170" t="s">
        <v>9772</v>
      </c>
    </row>
    <row r="7171" spans="1:6" x14ac:dyDescent="0.25">
      <c r="A7171" t="str">
        <f>"423200012500"</f>
        <v>423200012500</v>
      </c>
      <c r="B7171" t="s">
        <v>9883</v>
      </c>
      <c r="C7171" t="s">
        <v>7</v>
      </c>
      <c r="D7171" t="s">
        <v>14</v>
      </c>
      <c r="E7171" t="s">
        <v>9772</v>
      </c>
    </row>
    <row r="7172" spans="1:6" x14ac:dyDescent="0.25">
      <c r="A7172" t="str">
        <f>"4234001215"</f>
        <v>4234001215</v>
      </c>
      <c r="B7172" t="s">
        <v>9884</v>
      </c>
      <c r="C7172" t="s">
        <v>7</v>
      </c>
      <c r="D7172" t="s">
        <v>33</v>
      </c>
      <c r="E7172" t="s">
        <v>9772</v>
      </c>
      <c r="F7172" t="s">
        <v>9885</v>
      </c>
    </row>
    <row r="7173" spans="1:6" x14ac:dyDescent="0.25">
      <c r="A7173" t="str">
        <f>"423501048620"</f>
        <v>423501048620</v>
      </c>
      <c r="B7173" t="s">
        <v>9886</v>
      </c>
      <c r="C7173" t="s">
        <v>7</v>
      </c>
      <c r="D7173" t="s">
        <v>14</v>
      </c>
      <c r="E7173" t="s">
        <v>9772</v>
      </c>
    </row>
    <row r="7174" spans="1:6" x14ac:dyDescent="0.25">
      <c r="A7174" t="str">
        <f>"424000058604"</f>
        <v>424000058604</v>
      </c>
      <c r="B7174" t="s">
        <v>9887</v>
      </c>
      <c r="C7174" t="s">
        <v>7</v>
      </c>
      <c r="D7174" t="s">
        <v>12</v>
      </c>
      <c r="E7174" t="s">
        <v>9772</v>
      </c>
    </row>
    <row r="7175" spans="1:6" x14ac:dyDescent="0.25">
      <c r="A7175" t="str">
        <f>"424003301470"</f>
        <v>424003301470</v>
      </c>
      <c r="B7175" t="s">
        <v>9888</v>
      </c>
      <c r="C7175" t="s">
        <v>7</v>
      </c>
      <c r="D7175" t="s">
        <v>12</v>
      </c>
      <c r="E7175" t="s">
        <v>9772</v>
      </c>
    </row>
    <row r="7176" spans="1:6" x14ac:dyDescent="0.25">
      <c r="A7176" t="str">
        <f>"4246018686"</f>
        <v>4246018686</v>
      </c>
      <c r="B7176" t="s">
        <v>1159</v>
      </c>
      <c r="C7176" t="s">
        <v>7</v>
      </c>
      <c r="D7176" t="s">
        <v>14</v>
      </c>
      <c r="E7176" t="s">
        <v>9772</v>
      </c>
      <c r="F7176" t="s">
        <v>9889</v>
      </c>
    </row>
    <row r="7177" spans="1:6" x14ac:dyDescent="0.25">
      <c r="A7177" t="str">
        <f>"424602506973"</f>
        <v>424602506973</v>
      </c>
      <c r="B7177" t="s">
        <v>9890</v>
      </c>
      <c r="C7177" t="s">
        <v>7</v>
      </c>
      <c r="D7177" t="s">
        <v>14</v>
      </c>
      <c r="E7177" t="s">
        <v>9772</v>
      </c>
    </row>
    <row r="7178" spans="1:6" x14ac:dyDescent="0.25">
      <c r="A7178" t="str">
        <f>"4252007210"</f>
        <v>4252007210</v>
      </c>
      <c r="B7178" t="s">
        <v>9891</v>
      </c>
      <c r="C7178" t="s">
        <v>7</v>
      </c>
      <c r="D7178" t="s">
        <v>14</v>
      </c>
      <c r="E7178" t="s">
        <v>9772</v>
      </c>
      <c r="F7178" t="s">
        <v>9892</v>
      </c>
    </row>
    <row r="7179" spans="1:6" x14ac:dyDescent="0.25">
      <c r="A7179" t="str">
        <f>"4253019151"</f>
        <v>4253019151</v>
      </c>
      <c r="B7179" t="s">
        <v>9893</v>
      </c>
      <c r="C7179" t="s">
        <v>7</v>
      </c>
      <c r="D7179" t="s">
        <v>14</v>
      </c>
      <c r="E7179" t="s">
        <v>9772</v>
      </c>
      <c r="F7179" t="s">
        <v>9894</v>
      </c>
    </row>
    <row r="7180" spans="1:6" x14ac:dyDescent="0.25">
      <c r="A7180" t="str">
        <f>"4253026529"</f>
        <v>4253026529</v>
      </c>
      <c r="B7180" t="s">
        <v>9895</v>
      </c>
      <c r="C7180" t="s">
        <v>7</v>
      </c>
      <c r="D7180" t="s">
        <v>33</v>
      </c>
      <c r="E7180" t="s">
        <v>9772</v>
      </c>
      <c r="F7180" t="s">
        <v>9896</v>
      </c>
    </row>
    <row r="7181" spans="1:6" x14ac:dyDescent="0.25">
      <c r="A7181" t="str">
        <f>"4253043789"</f>
        <v>4253043789</v>
      </c>
      <c r="B7181" t="s">
        <v>755</v>
      </c>
      <c r="C7181" t="s">
        <v>7</v>
      </c>
      <c r="D7181" t="s">
        <v>33</v>
      </c>
      <c r="E7181" t="s">
        <v>9772</v>
      </c>
      <c r="F7181" t="s">
        <v>9897</v>
      </c>
    </row>
    <row r="7182" spans="1:6" x14ac:dyDescent="0.25">
      <c r="A7182" t="str">
        <f>"4253048057"</f>
        <v>4253048057</v>
      </c>
      <c r="B7182" t="s">
        <v>9898</v>
      </c>
      <c r="C7182" t="s">
        <v>7</v>
      </c>
      <c r="D7182" t="s">
        <v>33</v>
      </c>
      <c r="E7182" t="s">
        <v>9772</v>
      </c>
      <c r="F7182" t="s">
        <v>9899</v>
      </c>
    </row>
    <row r="7183" spans="1:6" x14ac:dyDescent="0.25">
      <c r="A7183" t="str">
        <f>"4253050320"</f>
        <v>4253050320</v>
      </c>
      <c r="B7183" t="s">
        <v>9900</v>
      </c>
      <c r="C7183" t="s">
        <v>7</v>
      </c>
      <c r="D7183" t="s">
        <v>14</v>
      </c>
      <c r="E7183" t="s">
        <v>9772</v>
      </c>
      <c r="F7183" t="s">
        <v>9901</v>
      </c>
    </row>
    <row r="7184" spans="1:6" x14ac:dyDescent="0.25">
      <c r="A7184" t="str">
        <f>"4253051356"</f>
        <v>4253051356</v>
      </c>
      <c r="B7184" t="s">
        <v>9902</v>
      </c>
      <c r="C7184" t="s">
        <v>7</v>
      </c>
      <c r="D7184" t="s">
        <v>33</v>
      </c>
      <c r="E7184" t="s">
        <v>9772</v>
      </c>
      <c r="F7184" t="s">
        <v>9903</v>
      </c>
    </row>
    <row r="7185" spans="1:6" x14ac:dyDescent="0.25">
      <c r="A7185" t="str">
        <f>"4253056185"</f>
        <v>4253056185</v>
      </c>
      <c r="B7185" t="s">
        <v>1902</v>
      </c>
      <c r="C7185" t="s">
        <v>7</v>
      </c>
      <c r="D7185" t="s">
        <v>12</v>
      </c>
      <c r="E7185" t="s">
        <v>9772</v>
      </c>
      <c r="F7185" t="s">
        <v>9904</v>
      </c>
    </row>
    <row r="7186" spans="1:6" x14ac:dyDescent="0.25">
      <c r="A7186" t="str">
        <f>"4217154204"</f>
        <v>4217154204</v>
      </c>
      <c r="B7186" t="s">
        <v>9905</v>
      </c>
      <c r="C7186" t="s">
        <v>7</v>
      </c>
      <c r="D7186" t="s">
        <v>33</v>
      </c>
      <c r="E7186" t="s">
        <v>9772</v>
      </c>
      <c r="F7186" t="s">
        <v>9906</v>
      </c>
    </row>
    <row r="7187" spans="1:6" x14ac:dyDescent="0.25">
      <c r="A7187" t="str">
        <f>"4217167940"</f>
        <v>4217167940</v>
      </c>
      <c r="B7187" t="s">
        <v>9907</v>
      </c>
      <c r="C7187" t="s">
        <v>7</v>
      </c>
      <c r="D7187" t="s">
        <v>14</v>
      </c>
      <c r="E7187" t="s">
        <v>9772</v>
      </c>
      <c r="F7187" t="s">
        <v>9908</v>
      </c>
    </row>
    <row r="7188" spans="1:6" x14ac:dyDescent="0.25">
      <c r="A7188" t="str">
        <f>"4217182755"</f>
        <v>4217182755</v>
      </c>
      <c r="B7188" t="s">
        <v>9909</v>
      </c>
      <c r="C7188" t="s">
        <v>7</v>
      </c>
      <c r="D7188" t="s">
        <v>33</v>
      </c>
      <c r="E7188" t="s">
        <v>9772</v>
      </c>
      <c r="F7188" t="s">
        <v>9910</v>
      </c>
    </row>
    <row r="7189" spans="1:6" x14ac:dyDescent="0.25">
      <c r="A7189" t="str">
        <f>"421718772496"</f>
        <v>421718772496</v>
      </c>
      <c r="B7189" t="s">
        <v>9911</v>
      </c>
      <c r="C7189" t="s">
        <v>7</v>
      </c>
      <c r="D7189" t="s">
        <v>12</v>
      </c>
      <c r="E7189" t="s">
        <v>9772</v>
      </c>
    </row>
    <row r="7190" spans="1:6" x14ac:dyDescent="0.25">
      <c r="A7190" t="str">
        <f>"4217191735"</f>
        <v>4217191735</v>
      </c>
      <c r="B7190" t="s">
        <v>9912</v>
      </c>
      <c r="C7190" t="s">
        <v>7</v>
      </c>
      <c r="D7190" t="s">
        <v>33</v>
      </c>
      <c r="E7190" t="s">
        <v>9772</v>
      </c>
      <c r="F7190" t="s">
        <v>9913</v>
      </c>
    </row>
    <row r="7191" spans="1:6" x14ac:dyDescent="0.25">
      <c r="A7191" t="str">
        <f>"4217197279"</f>
        <v>4217197279</v>
      </c>
      <c r="B7191" t="s">
        <v>3838</v>
      </c>
      <c r="C7191" t="s">
        <v>7</v>
      </c>
      <c r="D7191" t="s">
        <v>14</v>
      </c>
      <c r="E7191" t="s">
        <v>9772</v>
      </c>
      <c r="F7191" t="s">
        <v>9914</v>
      </c>
    </row>
    <row r="7192" spans="1:6" x14ac:dyDescent="0.25">
      <c r="A7192" t="str">
        <f>"4217210089"</f>
        <v>4217210089</v>
      </c>
      <c r="B7192" t="s">
        <v>9915</v>
      </c>
      <c r="C7192" t="s">
        <v>7</v>
      </c>
      <c r="D7192" t="s">
        <v>33</v>
      </c>
      <c r="E7192" t="s">
        <v>9772</v>
      </c>
      <c r="F7192" t="s">
        <v>9916</v>
      </c>
    </row>
    <row r="7193" spans="1:6" x14ac:dyDescent="0.25">
      <c r="A7193" t="str">
        <f>"421806699750"</f>
        <v>421806699750</v>
      </c>
      <c r="B7193" t="s">
        <v>9917</v>
      </c>
      <c r="C7193" t="s">
        <v>7</v>
      </c>
      <c r="D7193" t="s">
        <v>12</v>
      </c>
      <c r="E7193" t="s">
        <v>9772</v>
      </c>
    </row>
    <row r="7194" spans="1:6" x14ac:dyDescent="0.25">
      <c r="A7194" t="str">
        <f>"422036274450"</f>
        <v>422036274450</v>
      </c>
      <c r="B7194" t="s">
        <v>9918</v>
      </c>
      <c r="C7194" t="s">
        <v>7</v>
      </c>
      <c r="D7194" t="s">
        <v>14</v>
      </c>
      <c r="E7194" t="s">
        <v>9772</v>
      </c>
    </row>
    <row r="7195" spans="1:6" x14ac:dyDescent="0.25">
      <c r="A7195" t="str">
        <f>"4221016101"</f>
        <v>4221016101</v>
      </c>
      <c r="B7195" t="s">
        <v>9919</v>
      </c>
      <c r="C7195" t="s">
        <v>7</v>
      </c>
      <c r="D7195" t="s">
        <v>33</v>
      </c>
      <c r="E7195" t="s">
        <v>9772</v>
      </c>
      <c r="F7195" t="s">
        <v>9920</v>
      </c>
    </row>
    <row r="7196" spans="1:6" x14ac:dyDescent="0.25">
      <c r="A7196" t="str">
        <f>"422104433430"</f>
        <v>422104433430</v>
      </c>
      <c r="B7196" t="s">
        <v>9921</v>
      </c>
      <c r="C7196" t="s">
        <v>7</v>
      </c>
      <c r="D7196" t="s">
        <v>12</v>
      </c>
      <c r="E7196" t="s">
        <v>9772</v>
      </c>
    </row>
    <row r="7197" spans="1:6" x14ac:dyDescent="0.25">
      <c r="A7197" t="str">
        <f>"422106205397"</f>
        <v>422106205397</v>
      </c>
      <c r="B7197" t="s">
        <v>9922</v>
      </c>
      <c r="C7197" t="s">
        <v>7</v>
      </c>
      <c r="D7197" t="s">
        <v>12</v>
      </c>
      <c r="E7197" t="s">
        <v>9772</v>
      </c>
    </row>
    <row r="7198" spans="1:6" x14ac:dyDescent="0.25">
      <c r="A7198" t="str">
        <f>"422110244800"</f>
        <v>422110244800</v>
      </c>
      <c r="B7198" t="s">
        <v>9923</v>
      </c>
      <c r="C7198" t="s">
        <v>7</v>
      </c>
      <c r="D7198" t="s">
        <v>14</v>
      </c>
      <c r="E7198" t="s">
        <v>9772</v>
      </c>
    </row>
    <row r="7199" spans="1:6" x14ac:dyDescent="0.25">
      <c r="A7199" t="str">
        <f>"4222001316"</f>
        <v>4222001316</v>
      </c>
      <c r="B7199" t="s">
        <v>9924</v>
      </c>
      <c r="C7199" t="s">
        <v>7</v>
      </c>
      <c r="D7199" t="s">
        <v>14</v>
      </c>
      <c r="E7199" t="s">
        <v>9772</v>
      </c>
      <c r="F7199" t="s">
        <v>9925</v>
      </c>
    </row>
    <row r="7200" spans="1:6" x14ac:dyDescent="0.25">
      <c r="A7200" t="str">
        <f>"4223037114"</f>
        <v>4223037114</v>
      </c>
      <c r="B7200" t="s">
        <v>9926</v>
      </c>
      <c r="C7200" t="s">
        <v>7</v>
      </c>
      <c r="D7200" t="s">
        <v>14</v>
      </c>
      <c r="E7200" t="s">
        <v>9772</v>
      </c>
      <c r="F7200" t="s">
        <v>9927</v>
      </c>
    </row>
    <row r="7201" spans="1:6" x14ac:dyDescent="0.25">
      <c r="A7201" t="str">
        <f>"422313554011"</f>
        <v>422313554011</v>
      </c>
      <c r="B7201" t="s">
        <v>9928</v>
      </c>
      <c r="C7201" t="s">
        <v>7</v>
      </c>
      <c r="D7201" t="s">
        <v>14</v>
      </c>
      <c r="E7201" t="s">
        <v>9772</v>
      </c>
    </row>
    <row r="7202" spans="1:6" x14ac:dyDescent="0.25">
      <c r="A7202" t="str">
        <f>"422316386573"</f>
        <v>422316386573</v>
      </c>
      <c r="B7202" t="s">
        <v>9929</v>
      </c>
      <c r="C7202" t="s">
        <v>7</v>
      </c>
      <c r="D7202" t="s">
        <v>14</v>
      </c>
      <c r="E7202" t="s">
        <v>9772</v>
      </c>
    </row>
    <row r="7203" spans="1:6" x14ac:dyDescent="0.25">
      <c r="A7203" t="str">
        <f>"422370151058"</f>
        <v>422370151058</v>
      </c>
      <c r="B7203" t="s">
        <v>9930</v>
      </c>
      <c r="C7203" t="s">
        <v>7</v>
      </c>
      <c r="D7203" t="s">
        <v>14</v>
      </c>
      <c r="E7203" t="s">
        <v>9772</v>
      </c>
    </row>
    <row r="7204" spans="1:6" x14ac:dyDescent="0.25">
      <c r="A7204" t="str">
        <f>"422373466433"</f>
        <v>422373466433</v>
      </c>
      <c r="B7204" t="s">
        <v>9931</v>
      </c>
      <c r="C7204" t="s">
        <v>7</v>
      </c>
      <c r="D7204" t="s">
        <v>14</v>
      </c>
      <c r="E7204" t="s">
        <v>9772</v>
      </c>
    </row>
    <row r="7205" spans="1:6" x14ac:dyDescent="0.25">
      <c r="A7205" t="str">
        <f>"422500093586"</f>
        <v>422500093586</v>
      </c>
      <c r="B7205" t="s">
        <v>9932</v>
      </c>
      <c r="C7205" t="s">
        <v>7</v>
      </c>
      <c r="D7205" t="s">
        <v>12</v>
      </c>
      <c r="E7205" t="s">
        <v>9772</v>
      </c>
    </row>
    <row r="7206" spans="1:6" x14ac:dyDescent="0.25">
      <c r="A7206" t="str">
        <f>"422500303280"</f>
        <v>422500303280</v>
      </c>
      <c r="B7206" t="s">
        <v>9933</v>
      </c>
      <c r="C7206" t="s">
        <v>7</v>
      </c>
      <c r="D7206" t="s">
        <v>14</v>
      </c>
      <c r="E7206" t="s">
        <v>9772</v>
      </c>
    </row>
    <row r="7207" spans="1:6" x14ac:dyDescent="0.25">
      <c r="A7207" t="str">
        <f>"422500562206"</f>
        <v>422500562206</v>
      </c>
      <c r="B7207" t="s">
        <v>9934</v>
      </c>
      <c r="C7207" t="s">
        <v>7</v>
      </c>
      <c r="D7207" t="s">
        <v>12</v>
      </c>
      <c r="E7207" t="s">
        <v>9772</v>
      </c>
    </row>
    <row r="7208" spans="1:6" x14ac:dyDescent="0.25">
      <c r="A7208" t="str">
        <f>"422800093629"</f>
        <v>422800093629</v>
      </c>
      <c r="B7208" t="s">
        <v>9935</v>
      </c>
      <c r="C7208" t="s">
        <v>7</v>
      </c>
      <c r="D7208" t="s">
        <v>14</v>
      </c>
      <c r="E7208" t="s">
        <v>9772</v>
      </c>
    </row>
    <row r="7209" spans="1:6" x14ac:dyDescent="0.25">
      <c r="A7209" t="str">
        <f>"422900060715"</f>
        <v>422900060715</v>
      </c>
      <c r="B7209" t="s">
        <v>9936</v>
      </c>
      <c r="C7209" t="s">
        <v>7</v>
      </c>
      <c r="D7209" t="s">
        <v>14</v>
      </c>
      <c r="E7209" t="s">
        <v>9772</v>
      </c>
    </row>
    <row r="7210" spans="1:6" x14ac:dyDescent="0.25">
      <c r="A7210" t="str">
        <f>"423006140571"</f>
        <v>423006140571</v>
      </c>
      <c r="B7210" t="s">
        <v>9937</v>
      </c>
      <c r="C7210" t="s">
        <v>7</v>
      </c>
      <c r="D7210" t="s">
        <v>12</v>
      </c>
      <c r="E7210" t="s">
        <v>9772</v>
      </c>
    </row>
    <row r="7211" spans="1:6" x14ac:dyDescent="0.25">
      <c r="A7211" t="str">
        <f>"423500024055"</f>
        <v>423500024055</v>
      </c>
      <c r="B7211" t="s">
        <v>9938</v>
      </c>
      <c r="C7211" t="s">
        <v>7</v>
      </c>
      <c r="D7211" t="s">
        <v>14</v>
      </c>
      <c r="E7211" t="s">
        <v>9772</v>
      </c>
    </row>
    <row r="7212" spans="1:6" x14ac:dyDescent="0.25">
      <c r="A7212" t="str">
        <f>"424000177841"</f>
        <v>424000177841</v>
      </c>
      <c r="B7212" t="s">
        <v>9939</v>
      </c>
      <c r="C7212" t="s">
        <v>7</v>
      </c>
      <c r="D7212" t="s">
        <v>12</v>
      </c>
      <c r="E7212" t="s">
        <v>9772</v>
      </c>
    </row>
    <row r="7213" spans="1:6" x14ac:dyDescent="0.25">
      <c r="A7213" t="str">
        <f>"424200022186"</f>
        <v>424200022186</v>
      </c>
      <c r="B7213" t="s">
        <v>9940</v>
      </c>
      <c r="C7213" t="s">
        <v>7</v>
      </c>
      <c r="D7213" t="s">
        <v>14</v>
      </c>
      <c r="E7213" t="s">
        <v>9772</v>
      </c>
    </row>
    <row r="7214" spans="1:6" x14ac:dyDescent="0.25">
      <c r="A7214" t="str">
        <f>"425300638870"</f>
        <v>425300638870</v>
      </c>
      <c r="B7214" t="s">
        <v>9941</v>
      </c>
      <c r="C7214" t="s">
        <v>7</v>
      </c>
      <c r="D7214" t="s">
        <v>14</v>
      </c>
      <c r="E7214" t="s">
        <v>9772</v>
      </c>
    </row>
    <row r="7215" spans="1:6" x14ac:dyDescent="0.25">
      <c r="A7215" t="str">
        <f>"4253020206"</f>
        <v>4253020206</v>
      </c>
      <c r="B7215" t="s">
        <v>9942</v>
      </c>
      <c r="C7215" t="s">
        <v>7</v>
      </c>
      <c r="D7215" t="s">
        <v>463</v>
      </c>
      <c r="E7215" t="s">
        <v>9772</v>
      </c>
      <c r="F7215" t="s">
        <v>9943</v>
      </c>
    </row>
    <row r="7216" spans="1:6" x14ac:dyDescent="0.25">
      <c r="A7216" t="str">
        <f>"4253033903"</f>
        <v>4253033903</v>
      </c>
      <c r="B7216" t="s">
        <v>9944</v>
      </c>
      <c r="C7216" t="s">
        <v>7</v>
      </c>
      <c r="D7216" t="s">
        <v>12</v>
      </c>
      <c r="E7216" t="s">
        <v>9772</v>
      </c>
      <c r="F7216" t="s">
        <v>9945</v>
      </c>
    </row>
    <row r="7217" spans="1:6" x14ac:dyDescent="0.25">
      <c r="A7217" t="str">
        <f>"4253055368"</f>
        <v>4253055368</v>
      </c>
      <c r="B7217" t="s">
        <v>9946</v>
      </c>
      <c r="C7217" t="s">
        <v>7</v>
      </c>
      <c r="D7217" t="s">
        <v>12</v>
      </c>
      <c r="E7217" t="s">
        <v>9772</v>
      </c>
      <c r="F7217" t="s">
        <v>9947</v>
      </c>
    </row>
    <row r="7218" spans="1:6" x14ac:dyDescent="0.25">
      <c r="A7218" t="str">
        <f>"7727192347"</f>
        <v>7727192347</v>
      </c>
      <c r="B7218" t="s">
        <v>9948</v>
      </c>
      <c r="C7218" t="s">
        <v>7</v>
      </c>
      <c r="D7218" t="s">
        <v>33</v>
      </c>
      <c r="E7218" t="s">
        <v>9772</v>
      </c>
      <c r="F7218" t="s">
        <v>9949</v>
      </c>
    </row>
    <row r="7219" spans="1:6" x14ac:dyDescent="0.25">
      <c r="A7219" t="str">
        <f>"5401359124"</f>
        <v>5401359124</v>
      </c>
      <c r="B7219" t="s">
        <v>9950</v>
      </c>
      <c r="C7219" t="s">
        <v>7</v>
      </c>
      <c r="D7219" t="s">
        <v>33</v>
      </c>
      <c r="E7219" t="s">
        <v>9772</v>
      </c>
      <c r="F7219" t="s">
        <v>9951</v>
      </c>
    </row>
    <row r="7220" spans="1:6" x14ac:dyDescent="0.25">
      <c r="A7220" t="str">
        <f>"540963804486"</f>
        <v>540963804486</v>
      </c>
      <c r="B7220" t="s">
        <v>9952</v>
      </c>
      <c r="C7220" t="s">
        <v>7</v>
      </c>
      <c r="D7220" t="s">
        <v>12</v>
      </c>
      <c r="E7220" t="s">
        <v>9772</v>
      </c>
    </row>
    <row r="7221" spans="1:6" x14ac:dyDescent="0.25">
      <c r="A7221" t="str">
        <f>"5407207093"</f>
        <v>5407207093</v>
      </c>
      <c r="B7221" t="s">
        <v>9953</v>
      </c>
      <c r="C7221" t="s">
        <v>7</v>
      </c>
      <c r="D7221" t="s">
        <v>14</v>
      </c>
      <c r="E7221" t="s">
        <v>9772</v>
      </c>
      <c r="F7221" t="s">
        <v>9954</v>
      </c>
    </row>
    <row r="7222" spans="1:6" x14ac:dyDescent="0.25">
      <c r="A7222" t="str">
        <f>"5410145930"</f>
        <v>5410145930</v>
      </c>
      <c r="B7222" t="s">
        <v>9955</v>
      </c>
      <c r="C7222" t="s">
        <v>7</v>
      </c>
      <c r="D7222" t="s">
        <v>33</v>
      </c>
      <c r="E7222" t="s">
        <v>9772</v>
      </c>
      <c r="F7222" t="s">
        <v>9956</v>
      </c>
    </row>
    <row r="7223" spans="1:6" x14ac:dyDescent="0.25">
      <c r="A7223" t="str">
        <f>"220409722490"</f>
        <v>220409722490</v>
      </c>
      <c r="B7223" t="s">
        <v>9957</v>
      </c>
      <c r="C7223" t="s">
        <v>7</v>
      </c>
      <c r="D7223" t="s">
        <v>14</v>
      </c>
      <c r="E7223" t="s">
        <v>9772</v>
      </c>
    </row>
    <row r="7224" spans="1:6" x14ac:dyDescent="0.25">
      <c r="A7224" t="str">
        <f>"550526193463"</f>
        <v>550526193463</v>
      </c>
      <c r="B7224" t="s">
        <v>9958</v>
      </c>
      <c r="C7224" t="s">
        <v>7</v>
      </c>
      <c r="D7224" t="s">
        <v>14</v>
      </c>
      <c r="E7224" t="s">
        <v>9772</v>
      </c>
    </row>
    <row r="7225" spans="1:6" x14ac:dyDescent="0.25">
      <c r="A7225" t="str">
        <f>"381305253487"</f>
        <v>381305253487</v>
      </c>
      <c r="B7225" t="s">
        <v>9959</v>
      </c>
      <c r="C7225" t="s">
        <v>7</v>
      </c>
      <c r="D7225" t="s">
        <v>14</v>
      </c>
      <c r="E7225" t="s">
        <v>9772</v>
      </c>
    </row>
    <row r="7226" spans="1:6" x14ac:dyDescent="0.25">
      <c r="A7226" t="str">
        <f>"4202048348"</f>
        <v>4202048348</v>
      </c>
      <c r="B7226" t="s">
        <v>9960</v>
      </c>
      <c r="C7226" t="s">
        <v>7</v>
      </c>
      <c r="D7226" t="s">
        <v>14</v>
      </c>
      <c r="E7226" t="s">
        <v>9772</v>
      </c>
      <c r="F7226" t="s">
        <v>9961</v>
      </c>
    </row>
    <row r="7227" spans="1:6" x14ac:dyDescent="0.25">
      <c r="A7227" t="str">
        <f>"420514255547"</f>
        <v>420514255547</v>
      </c>
      <c r="B7227" t="s">
        <v>9962</v>
      </c>
      <c r="C7227" t="s">
        <v>7</v>
      </c>
      <c r="D7227" t="s">
        <v>14</v>
      </c>
      <c r="E7227" t="s">
        <v>9772</v>
      </c>
    </row>
    <row r="7228" spans="1:6" x14ac:dyDescent="0.25">
      <c r="A7228" t="str">
        <f>"4205201386"</f>
        <v>4205201386</v>
      </c>
      <c r="B7228" t="s">
        <v>9963</v>
      </c>
      <c r="C7228" t="s">
        <v>7</v>
      </c>
      <c r="D7228" t="s">
        <v>12</v>
      </c>
      <c r="E7228" t="s">
        <v>9772</v>
      </c>
      <c r="F7228" t="s">
        <v>9964</v>
      </c>
    </row>
    <row r="7229" spans="1:6" x14ac:dyDescent="0.25">
      <c r="A7229" t="str">
        <f>"421705617648"</f>
        <v>421705617648</v>
      </c>
      <c r="B7229" t="s">
        <v>9965</v>
      </c>
      <c r="C7229" t="s">
        <v>7</v>
      </c>
      <c r="D7229" t="s">
        <v>14</v>
      </c>
      <c r="E7229" t="s">
        <v>9772</v>
      </c>
    </row>
    <row r="7230" spans="1:6" x14ac:dyDescent="0.25">
      <c r="A7230" t="str">
        <f>"4217202634"</f>
        <v>4217202634</v>
      </c>
      <c r="B7230" t="s">
        <v>9966</v>
      </c>
      <c r="C7230" t="s">
        <v>7</v>
      </c>
      <c r="D7230" t="s">
        <v>674</v>
      </c>
      <c r="E7230" t="s">
        <v>9772</v>
      </c>
      <c r="F7230" t="s">
        <v>9967</v>
      </c>
    </row>
    <row r="7231" spans="1:6" x14ac:dyDescent="0.25">
      <c r="A7231" t="str">
        <f>"421800007297"</f>
        <v>421800007297</v>
      </c>
      <c r="B7231" t="s">
        <v>9968</v>
      </c>
      <c r="C7231" t="s">
        <v>7</v>
      </c>
      <c r="D7231" t="s">
        <v>14</v>
      </c>
      <c r="E7231" t="s">
        <v>9772</v>
      </c>
    </row>
    <row r="7232" spans="1:6" x14ac:dyDescent="0.25">
      <c r="A7232" t="str">
        <f>"421812784386"</f>
        <v>421812784386</v>
      </c>
      <c r="B7232" t="s">
        <v>9969</v>
      </c>
      <c r="C7232" t="s">
        <v>7</v>
      </c>
      <c r="D7232" t="s">
        <v>14</v>
      </c>
      <c r="E7232" t="s">
        <v>9772</v>
      </c>
    </row>
    <row r="7233" spans="1:6" x14ac:dyDescent="0.25">
      <c r="A7233" t="str">
        <f>"421816000917"</f>
        <v>421816000917</v>
      </c>
      <c r="B7233" t="s">
        <v>9970</v>
      </c>
      <c r="C7233" t="s">
        <v>7</v>
      </c>
      <c r="D7233" t="s">
        <v>14</v>
      </c>
      <c r="E7233" t="s">
        <v>9772</v>
      </c>
    </row>
    <row r="7234" spans="1:6" x14ac:dyDescent="0.25">
      <c r="A7234" t="str">
        <f>"422316510703"</f>
        <v>422316510703</v>
      </c>
      <c r="B7234" t="s">
        <v>9971</v>
      </c>
      <c r="C7234" t="s">
        <v>7</v>
      </c>
      <c r="D7234" t="s">
        <v>14</v>
      </c>
      <c r="E7234" t="s">
        <v>9772</v>
      </c>
    </row>
    <row r="7235" spans="1:6" x14ac:dyDescent="0.25">
      <c r="A7235" t="str">
        <f>"422500237220"</f>
        <v>422500237220</v>
      </c>
      <c r="B7235" t="s">
        <v>9972</v>
      </c>
      <c r="C7235" t="s">
        <v>7</v>
      </c>
      <c r="D7235" t="s">
        <v>14</v>
      </c>
      <c r="E7235" t="s">
        <v>9772</v>
      </c>
    </row>
    <row r="7236" spans="1:6" x14ac:dyDescent="0.25">
      <c r="A7236" t="str">
        <f>"423085186209"</f>
        <v>423085186209</v>
      </c>
      <c r="B7236" t="s">
        <v>9973</v>
      </c>
      <c r="C7236" t="s">
        <v>7</v>
      </c>
      <c r="D7236" t="s">
        <v>14</v>
      </c>
      <c r="E7236" t="s">
        <v>9772</v>
      </c>
    </row>
    <row r="7237" spans="1:6" x14ac:dyDescent="0.25">
      <c r="A7237" t="str">
        <f>"4234009415"</f>
        <v>4234009415</v>
      </c>
      <c r="B7237" t="s">
        <v>9974</v>
      </c>
      <c r="C7237" t="s">
        <v>7</v>
      </c>
      <c r="D7237" t="s">
        <v>14</v>
      </c>
      <c r="E7237" t="s">
        <v>9772</v>
      </c>
      <c r="F7237" t="s">
        <v>9975</v>
      </c>
    </row>
    <row r="7238" spans="1:6" x14ac:dyDescent="0.25">
      <c r="A7238" t="str">
        <f>"423902031221"</f>
        <v>423902031221</v>
      </c>
      <c r="B7238" t="s">
        <v>9976</v>
      </c>
      <c r="C7238" t="s">
        <v>7</v>
      </c>
      <c r="D7238" t="s">
        <v>14</v>
      </c>
      <c r="E7238" t="s">
        <v>9772</v>
      </c>
    </row>
    <row r="7239" spans="1:6" x14ac:dyDescent="0.25">
      <c r="A7239" t="str">
        <f>"4240006483"</f>
        <v>4240006483</v>
      </c>
      <c r="B7239" t="s">
        <v>9977</v>
      </c>
      <c r="C7239" t="s">
        <v>7</v>
      </c>
      <c r="D7239" t="s">
        <v>12</v>
      </c>
      <c r="E7239" t="s">
        <v>9772</v>
      </c>
      <c r="F7239" t="s">
        <v>9978</v>
      </c>
    </row>
    <row r="7240" spans="1:6" x14ac:dyDescent="0.25">
      <c r="A7240" t="str">
        <f>"424601036605"</f>
        <v>424601036605</v>
      </c>
      <c r="B7240" t="s">
        <v>9979</v>
      </c>
      <c r="C7240" t="s">
        <v>7</v>
      </c>
      <c r="D7240" t="s">
        <v>14</v>
      </c>
      <c r="E7240" t="s">
        <v>9772</v>
      </c>
    </row>
    <row r="7241" spans="1:6" x14ac:dyDescent="0.25">
      <c r="A7241" t="str">
        <f>"4250012398"</f>
        <v>4250012398</v>
      </c>
      <c r="B7241" t="s">
        <v>9980</v>
      </c>
      <c r="C7241" t="s">
        <v>7</v>
      </c>
      <c r="D7241" t="s">
        <v>33</v>
      </c>
      <c r="E7241" t="s">
        <v>9772</v>
      </c>
      <c r="F7241" t="s">
        <v>9981</v>
      </c>
    </row>
    <row r="7242" spans="1:6" x14ac:dyDescent="0.25">
      <c r="A7242" t="str">
        <f>"4253038901"</f>
        <v>4253038901</v>
      </c>
      <c r="B7242" t="s">
        <v>9982</v>
      </c>
      <c r="C7242" t="s">
        <v>7</v>
      </c>
      <c r="D7242" t="s">
        <v>33</v>
      </c>
      <c r="E7242" t="s">
        <v>9772</v>
      </c>
      <c r="F7242" t="s">
        <v>9983</v>
      </c>
    </row>
    <row r="7243" spans="1:6" x14ac:dyDescent="0.25">
      <c r="A7243" t="str">
        <f>"4253048787"</f>
        <v>4253048787</v>
      </c>
      <c r="B7243" t="s">
        <v>9984</v>
      </c>
      <c r="C7243" t="s">
        <v>7</v>
      </c>
      <c r="D7243" t="s">
        <v>14</v>
      </c>
      <c r="E7243" t="s">
        <v>9772</v>
      </c>
      <c r="F7243" t="s">
        <v>9985</v>
      </c>
    </row>
    <row r="7244" spans="1:6" x14ac:dyDescent="0.25">
      <c r="A7244" t="str">
        <f>"165034658503"</f>
        <v>165034658503</v>
      </c>
      <c r="B7244" t="s">
        <v>9986</v>
      </c>
      <c r="C7244" t="s">
        <v>7</v>
      </c>
      <c r="D7244" t="s">
        <v>14</v>
      </c>
      <c r="E7244" t="s">
        <v>9772</v>
      </c>
    </row>
    <row r="7245" spans="1:6" x14ac:dyDescent="0.25">
      <c r="A7245" t="str">
        <f>"4202026697"</f>
        <v>4202026697</v>
      </c>
      <c r="B7245" t="s">
        <v>9987</v>
      </c>
      <c r="C7245" t="s">
        <v>7</v>
      </c>
      <c r="D7245" t="s">
        <v>14</v>
      </c>
      <c r="E7245" t="s">
        <v>9772</v>
      </c>
      <c r="F7245" t="s">
        <v>9988</v>
      </c>
    </row>
    <row r="7246" spans="1:6" x14ac:dyDescent="0.25">
      <c r="A7246" t="str">
        <f>"420400018743"</f>
        <v>420400018743</v>
      </c>
      <c r="B7246" t="s">
        <v>9989</v>
      </c>
      <c r="C7246" t="s">
        <v>7</v>
      </c>
      <c r="D7246" t="s">
        <v>14</v>
      </c>
      <c r="E7246" t="s">
        <v>9772</v>
      </c>
    </row>
    <row r="7247" spans="1:6" x14ac:dyDescent="0.25">
      <c r="A7247" t="str">
        <f>"420401432121"</f>
        <v>420401432121</v>
      </c>
      <c r="B7247" t="s">
        <v>9990</v>
      </c>
      <c r="C7247" t="s">
        <v>7</v>
      </c>
      <c r="D7247" t="s">
        <v>14</v>
      </c>
      <c r="E7247" t="s">
        <v>9772</v>
      </c>
    </row>
    <row r="7248" spans="1:6" x14ac:dyDescent="0.25">
      <c r="A7248" t="str">
        <f>"420402801910"</f>
        <v>420402801910</v>
      </c>
      <c r="B7248" t="s">
        <v>9991</v>
      </c>
      <c r="C7248" t="s">
        <v>7</v>
      </c>
      <c r="D7248" t="s">
        <v>14</v>
      </c>
      <c r="E7248" t="s">
        <v>9772</v>
      </c>
    </row>
    <row r="7249" spans="1:6" x14ac:dyDescent="0.25">
      <c r="A7249" t="str">
        <f>"420404196867"</f>
        <v>420404196867</v>
      </c>
      <c r="B7249" t="s">
        <v>9992</v>
      </c>
      <c r="C7249" t="s">
        <v>7</v>
      </c>
      <c r="D7249" t="s">
        <v>14</v>
      </c>
      <c r="E7249" t="s">
        <v>9772</v>
      </c>
    </row>
    <row r="7250" spans="1:6" x14ac:dyDescent="0.25">
      <c r="A7250" t="str">
        <f>"420499079848"</f>
        <v>420499079848</v>
      </c>
      <c r="B7250" t="s">
        <v>9993</v>
      </c>
      <c r="C7250" t="s">
        <v>7</v>
      </c>
      <c r="D7250" t="s">
        <v>14</v>
      </c>
      <c r="E7250" t="s">
        <v>9772</v>
      </c>
    </row>
    <row r="7251" spans="1:6" x14ac:dyDescent="0.25">
      <c r="A7251" t="str">
        <f>"420499769954"</f>
        <v>420499769954</v>
      </c>
      <c r="B7251" t="s">
        <v>9994</v>
      </c>
      <c r="C7251" t="s">
        <v>7</v>
      </c>
      <c r="D7251" t="s">
        <v>14</v>
      </c>
      <c r="E7251" t="s">
        <v>9772</v>
      </c>
    </row>
    <row r="7252" spans="1:6" x14ac:dyDescent="0.25">
      <c r="A7252" t="str">
        <f>"420505038803"</f>
        <v>420505038803</v>
      </c>
      <c r="B7252" t="s">
        <v>9995</v>
      </c>
      <c r="C7252" t="s">
        <v>7</v>
      </c>
      <c r="D7252" t="s">
        <v>12</v>
      </c>
      <c r="E7252" t="s">
        <v>9772</v>
      </c>
    </row>
    <row r="7253" spans="1:6" x14ac:dyDescent="0.25">
      <c r="A7253" t="str">
        <f>"4205089254"</f>
        <v>4205089254</v>
      </c>
      <c r="B7253" t="s">
        <v>9996</v>
      </c>
      <c r="C7253" t="s">
        <v>7</v>
      </c>
      <c r="D7253" t="s">
        <v>12</v>
      </c>
      <c r="E7253" t="s">
        <v>9772</v>
      </c>
      <c r="F7253" t="s">
        <v>9997</v>
      </c>
    </row>
    <row r="7254" spans="1:6" x14ac:dyDescent="0.25">
      <c r="A7254" t="str">
        <f>"420511129784"</f>
        <v>420511129784</v>
      </c>
      <c r="B7254" t="s">
        <v>9998</v>
      </c>
      <c r="C7254" t="s">
        <v>7</v>
      </c>
      <c r="D7254" t="s">
        <v>14</v>
      </c>
      <c r="E7254" t="s">
        <v>9772</v>
      </c>
    </row>
    <row r="7255" spans="1:6" x14ac:dyDescent="0.25">
      <c r="A7255" t="str">
        <f>"420512223780"</f>
        <v>420512223780</v>
      </c>
      <c r="B7255" t="s">
        <v>9999</v>
      </c>
      <c r="C7255" t="s">
        <v>7</v>
      </c>
      <c r="D7255" t="s">
        <v>12</v>
      </c>
      <c r="E7255" t="s">
        <v>9772</v>
      </c>
    </row>
    <row r="7256" spans="1:6" x14ac:dyDescent="0.25">
      <c r="A7256" t="str">
        <f>"4205168330"</f>
        <v>4205168330</v>
      </c>
      <c r="B7256" t="s">
        <v>10000</v>
      </c>
      <c r="C7256" t="s">
        <v>7</v>
      </c>
      <c r="D7256" t="s">
        <v>33</v>
      </c>
      <c r="E7256" t="s">
        <v>9772</v>
      </c>
      <c r="F7256" t="s">
        <v>10001</v>
      </c>
    </row>
    <row r="7257" spans="1:6" x14ac:dyDescent="0.25">
      <c r="A7257" t="str">
        <f>"4205170642"</f>
        <v>4205170642</v>
      </c>
      <c r="B7257" t="s">
        <v>10002</v>
      </c>
      <c r="C7257" t="s">
        <v>7</v>
      </c>
      <c r="D7257" t="s">
        <v>14</v>
      </c>
      <c r="E7257" t="s">
        <v>9772</v>
      </c>
      <c r="F7257" t="s">
        <v>10003</v>
      </c>
    </row>
    <row r="7258" spans="1:6" x14ac:dyDescent="0.25">
      <c r="A7258" t="str">
        <f>"420518080425"</f>
        <v>420518080425</v>
      </c>
      <c r="B7258" t="s">
        <v>10004</v>
      </c>
      <c r="C7258" t="s">
        <v>7</v>
      </c>
      <c r="D7258" t="s">
        <v>14</v>
      </c>
      <c r="E7258" t="s">
        <v>9772</v>
      </c>
    </row>
    <row r="7259" spans="1:6" x14ac:dyDescent="0.25">
      <c r="A7259" t="str">
        <f>"4205206546"</f>
        <v>4205206546</v>
      </c>
      <c r="B7259" t="s">
        <v>10005</v>
      </c>
      <c r="C7259" t="s">
        <v>7</v>
      </c>
      <c r="D7259" t="s">
        <v>14</v>
      </c>
      <c r="E7259" t="s">
        <v>9772</v>
      </c>
      <c r="F7259" t="s">
        <v>10006</v>
      </c>
    </row>
    <row r="7260" spans="1:6" x14ac:dyDescent="0.25">
      <c r="A7260" t="str">
        <f>"4205209321"</f>
        <v>4205209321</v>
      </c>
      <c r="B7260" t="s">
        <v>10007</v>
      </c>
      <c r="C7260" t="s">
        <v>7</v>
      </c>
      <c r="D7260" t="s">
        <v>14</v>
      </c>
      <c r="E7260" t="s">
        <v>9772</v>
      </c>
      <c r="F7260" t="s">
        <v>10008</v>
      </c>
    </row>
    <row r="7261" spans="1:6" x14ac:dyDescent="0.25">
      <c r="A7261" t="str">
        <f>"420523459829"</f>
        <v>420523459829</v>
      </c>
      <c r="B7261" t="s">
        <v>10009</v>
      </c>
      <c r="C7261" t="s">
        <v>7</v>
      </c>
      <c r="D7261" t="s">
        <v>14</v>
      </c>
      <c r="E7261" t="s">
        <v>9772</v>
      </c>
    </row>
    <row r="7262" spans="1:6" x14ac:dyDescent="0.25">
      <c r="A7262" t="str">
        <f>"4205236413"</f>
        <v>4205236413</v>
      </c>
      <c r="B7262" t="s">
        <v>10010</v>
      </c>
      <c r="C7262" t="s">
        <v>7</v>
      </c>
      <c r="D7262" t="s">
        <v>14</v>
      </c>
      <c r="E7262" t="s">
        <v>9772</v>
      </c>
      <c r="F7262" t="s">
        <v>10011</v>
      </c>
    </row>
    <row r="7263" spans="1:6" x14ac:dyDescent="0.25">
      <c r="A7263" t="str">
        <f>"4205289630"</f>
        <v>4205289630</v>
      </c>
      <c r="B7263" t="s">
        <v>10012</v>
      </c>
      <c r="C7263" t="s">
        <v>7</v>
      </c>
      <c r="D7263" t="s">
        <v>12</v>
      </c>
      <c r="E7263" t="s">
        <v>9772</v>
      </c>
      <c r="F7263" t="s">
        <v>10013</v>
      </c>
    </row>
    <row r="7264" spans="1:6" x14ac:dyDescent="0.25">
      <c r="A7264" t="str">
        <f>"4205301461"</f>
        <v>4205301461</v>
      </c>
      <c r="B7264" t="s">
        <v>10014</v>
      </c>
      <c r="C7264" t="s">
        <v>7</v>
      </c>
      <c r="D7264" t="s">
        <v>14</v>
      </c>
      <c r="E7264" t="s">
        <v>9772</v>
      </c>
      <c r="F7264" t="s">
        <v>10015</v>
      </c>
    </row>
    <row r="7265" spans="1:6" x14ac:dyDescent="0.25">
      <c r="A7265" t="str">
        <f>"420530577083"</f>
        <v>420530577083</v>
      </c>
      <c r="B7265" t="s">
        <v>10016</v>
      </c>
      <c r="C7265" t="s">
        <v>7</v>
      </c>
      <c r="D7265" t="s">
        <v>14</v>
      </c>
      <c r="E7265" t="s">
        <v>9772</v>
      </c>
    </row>
    <row r="7266" spans="1:6" x14ac:dyDescent="0.25">
      <c r="A7266" t="str">
        <f>"4205330021"</f>
        <v>4205330021</v>
      </c>
      <c r="B7266" t="s">
        <v>10017</v>
      </c>
      <c r="C7266" t="s">
        <v>7</v>
      </c>
      <c r="D7266" t="s">
        <v>14</v>
      </c>
      <c r="E7266" t="s">
        <v>9772</v>
      </c>
      <c r="F7266" t="s">
        <v>10018</v>
      </c>
    </row>
    <row r="7267" spans="1:6" x14ac:dyDescent="0.25">
      <c r="A7267" t="str">
        <f>"4205352145"</f>
        <v>4205352145</v>
      </c>
      <c r="B7267" t="s">
        <v>10019</v>
      </c>
      <c r="C7267" t="s">
        <v>7</v>
      </c>
      <c r="D7267" t="s">
        <v>14</v>
      </c>
      <c r="E7267" t="s">
        <v>9772</v>
      </c>
      <c r="F7267" t="s">
        <v>10020</v>
      </c>
    </row>
    <row r="7268" spans="1:6" x14ac:dyDescent="0.25">
      <c r="A7268" t="str">
        <f>"4205355499"</f>
        <v>4205355499</v>
      </c>
      <c r="B7268" t="s">
        <v>3266</v>
      </c>
      <c r="C7268" t="s">
        <v>7</v>
      </c>
      <c r="D7268" t="s">
        <v>12</v>
      </c>
      <c r="E7268" t="s">
        <v>9772</v>
      </c>
      <c r="F7268" t="s">
        <v>10021</v>
      </c>
    </row>
    <row r="7269" spans="1:6" x14ac:dyDescent="0.25">
      <c r="A7269" t="str">
        <f>"4205359045"</f>
        <v>4205359045</v>
      </c>
      <c r="B7269" t="s">
        <v>10022</v>
      </c>
      <c r="C7269" t="s">
        <v>7</v>
      </c>
      <c r="D7269" t="s">
        <v>14</v>
      </c>
      <c r="E7269" t="s">
        <v>9772</v>
      </c>
      <c r="F7269" t="s">
        <v>10023</v>
      </c>
    </row>
    <row r="7270" spans="1:6" x14ac:dyDescent="0.25">
      <c r="A7270" t="str">
        <f>"4205359550"</f>
        <v>4205359550</v>
      </c>
      <c r="B7270" t="s">
        <v>10024</v>
      </c>
      <c r="C7270" t="s">
        <v>7</v>
      </c>
      <c r="D7270" t="s">
        <v>14</v>
      </c>
      <c r="E7270" t="s">
        <v>9772</v>
      </c>
      <c r="F7270" t="s">
        <v>10025</v>
      </c>
    </row>
    <row r="7271" spans="1:6" x14ac:dyDescent="0.25">
      <c r="A7271" t="str">
        <f>"4205373603"</f>
        <v>4205373603</v>
      </c>
      <c r="B7271" t="s">
        <v>10026</v>
      </c>
      <c r="C7271" t="s">
        <v>7</v>
      </c>
      <c r="D7271" t="s">
        <v>14</v>
      </c>
      <c r="E7271" t="s">
        <v>9772</v>
      </c>
      <c r="F7271" t="s">
        <v>10027</v>
      </c>
    </row>
    <row r="7272" spans="1:6" x14ac:dyDescent="0.25">
      <c r="A7272" t="str">
        <f>"4205381509"</f>
        <v>4205381509</v>
      </c>
      <c r="B7272" t="s">
        <v>10028</v>
      </c>
      <c r="C7272" t="s">
        <v>7</v>
      </c>
      <c r="D7272" t="s">
        <v>33</v>
      </c>
      <c r="E7272" t="s">
        <v>9772</v>
      </c>
      <c r="F7272" t="s">
        <v>10029</v>
      </c>
    </row>
    <row r="7273" spans="1:6" x14ac:dyDescent="0.25">
      <c r="A7273" t="str">
        <f>"4205387780"</f>
        <v>4205387780</v>
      </c>
      <c r="B7273" t="s">
        <v>1832</v>
      </c>
      <c r="C7273" t="s">
        <v>7</v>
      </c>
      <c r="D7273" t="s">
        <v>33</v>
      </c>
      <c r="E7273" t="s">
        <v>9772</v>
      </c>
      <c r="F7273" t="s">
        <v>10030</v>
      </c>
    </row>
    <row r="7274" spans="1:6" x14ac:dyDescent="0.25">
      <c r="A7274" t="str">
        <f>"420540031737"</f>
        <v>420540031737</v>
      </c>
      <c r="B7274" t="s">
        <v>10031</v>
      </c>
      <c r="C7274" t="s">
        <v>7</v>
      </c>
      <c r="D7274" t="s">
        <v>12</v>
      </c>
      <c r="E7274" t="s">
        <v>9772</v>
      </c>
    </row>
    <row r="7275" spans="1:6" x14ac:dyDescent="0.25">
      <c r="A7275" t="str">
        <f>"420541993818"</f>
        <v>420541993818</v>
      </c>
      <c r="B7275" t="s">
        <v>10032</v>
      </c>
      <c r="C7275" t="s">
        <v>7</v>
      </c>
      <c r="D7275" t="s">
        <v>12</v>
      </c>
      <c r="E7275" t="s">
        <v>9772</v>
      </c>
    </row>
    <row r="7276" spans="1:6" x14ac:dyDescent="0.25">
      <c r="A7276" t="str">
        <f>"4205422794"</f>
        <v>4205422794</v>
      </c>
      <c r="B7276" t="s">
        <v>10033</v>
      </c>
      <c r="C7276" t="s">
        <v>7</v>
      </c>
      <c r="D7276" t="s">
        <v>463</v>
      </c>
      <c r="E7276" t="s">
        <v>9772</v>
      </c>
      <c r="F7276" t="s">
        <v>10034</v>
      </c>
    </row>
    <row r="7277" spans="1:6" x14ac:dyDescent="0.25">
      <c r="A7277" t="str">
        <f>"420546056689"</f>
        <v>420546056689</v>
      </c>
      <c r="B7277" t="s">
        <v>10035</v>
      </c>
      <c r="C7277" t="s">
        <v>7</v>
      </c>
      <c r="D7277" t="s">
        <v>14</v>
      </c>
      <c r="E7277" t="s">
        <v>9772</v>
      </c>
    </row>
    <row r="7278" spans="1:6" x14ac:dyDescent="0.25">
      <c r="A7278" t="str">
        <f>"420554112249"</f>
        <v>420554112249</v>
      </c>
      <c r="B7278" t="s">
        <v>10036</v>
      </c>
      <c r="C7278" t="s">
        <v>7</v>
      </c>
      <c r="D7278" t="s">
        <v>12</v>
      </c>
      <c r="E7278" t="s">
        <v>9772</v>
      </c>
    </row>
    <row r="7279" spans="1:6" x14ac:dyDescent="0.25">
      <c r="A7279" t="str">
        <f>"420800062200"</f>
        <v>420800062200</v>
      </c>
      <c r="B7279" t="s">
        <v>10037</v>
      </c>
      <c r="C7279" t="s">
        <v>7</v>
      </c>
      <c r="D7279" t="s">
        <v>12</v>
      </c>
      <c r="E7279" t="s">
        <v>9772</v>
      </c>
    </row>
    <row r="7280" spans="1:6" x14ac:dyDescent="0.25">
      <c r="A7280" t="str">
        <f>"420800093978"</f>
        <v>420800093978</v>
      </c>
      <c r="B7280" t="s">
        <v>10038</v>
      </c>
      <c r="C7280" t="s">
        <v>7</v>
      </c>
      <c r="D7280" t="s">
        <v>14</v>
      </c>
      <c r="E7280" t="s">
        <v>9772</v>
      </c>
    </row>
    <row r="7281" spans="1:6" x14ac:dyDescent="0.25">
      <c r="A7281" t="str">
        <f>"420900387280"</f>
        <v>420900387280</v>
      </c>
      <c r="B7281" t="s">
        <v>10039</v>
      </c>
      <c r="C7281" t="s">
        <v>7</v>
      </c>
      <c r="D7281" t="s">
        <v>14</v>
      </c>
      <c r="E7281" t="s">
        <v>9772</v>
      </c>
    </row>
    <row r="7282" spans="1:6" x14ac:dyDescent="0.25">
      <c r="A7282" t="str">
        <f>"421102904071"</f>
        <v>421102904071</v>
      </c>
      <c r="B7282" t="s">
        <v>10040</v>
      </c>
      <c r="C7282" t="s">
        <v>7</v>
      </c>
      <c r="D7282" t="s">
        <v>14</v>
      </c>
      <c r="E7282" t="s">
        <v>9772</v>
      </c>
    </row>
    <row r="7283" spans="1:6" x14ac:dyDescent="0.25">
      <c r="A7283" t="str">
        <f>"421200182709"</f>
        <v>421200182709</v>
      </c>
      <c r="B7283" t="s">
        <v>10041</v>
      </c>
      <c r="C7283" t="s">
        <v>7</v>
      </c>
      <c r="D7283" t="s">
        <v>14</v>
      </c>
      <c r="E7283" t="s">
        <v>9772</v>
      </c>
    </row>
    <row r="7284" spans="1:6" x14ac:dyDescent="0.25">
      <c r="A7284" t="str">
        <f>"421200302533"</f>
        <v>421200302533</v>
      </c>
      <c r="B7284" t="s">
        <v>10042</v>
      </c>
      <c r="C7284" t="s">
        <v>7</v>
      </c>
      <c r="D7284" t="s">
        <v>14</v>
      </c>
      <c r="E7284" t="s">
        <v>9772</v>
      </c>
    </row>
    <row r="7285" spans="1:6" x14ac:dyDescent="0.25">
      <c r="A7285" t="str">
        <f>"4212008168"</f>
        <v>4212008168</v>
      </c>
      <c r="B7285" t="s">
        <v>10043</v>
      </c>
      <c r="C7285" t="s">
        <v>7</v>
      </c>
      <c r="D7285" t="s">
        <v>14</v>
      </c>
      <c r="E7285" t="s">
        <v>9772</v>
      </c>
      <c r="F7285" t="s">
        <v>10044</v>
      </c>
    </row>
    <row r="7286" spans="1:6" x14ac:dyDescent="0.25">
      <c r="A7286" t="str">
        <f>"421201004868"</f>
        <v>421201004868</v>
      </c>
      <c r="B7286" t="s">
        <v>10045</v>
      </c>
      <c r="C7286" t="s">
        <v>7</v>
      </c>
      <c r="D7286" t="s">
        <v>12</v>
      </c>
      <c r="E7286" t="s">
        <v>9772</v>
      </c>
    </row>
    <row r="7287" spans="1:6" x14ac:dyDescent="0.25">
      <c r="A7287" t="str">
        <f>"421203111022"</f>
        <v>421203111022</v>
      </c>
      <c r="B7287" t="s">
        <v>10046</v>
      </c>
      <c r="C7287" t="s">
        <v>7</v>
      </c>
      <c r="D7287" t="s">
        <v>14</v>
      </c>
      <c r="E7287" t="s">
        <v>9772</v>
      </c>
    </row>
    <row r="7288" spans="1:6" x14ac:dyDescent="0.25">
      <c r="A7288" t="str">
        <f>"4212040563"</f>
        <v>4212040563</v>
      </c>
      <c r="B7288" t="s">
        <v>10047</v>
      </c>
      <c r="C7288" t="s">
        <v>7</v>
      </c>
      <c r="D7288" t="s">
        <v>14</v>
      </c>
      <c r="E7288" t="s">
        <v>9772</v>
      </c>
      <c r="F7288" t="s">
        <v>10048</v>
      </c>
    </row>
    <row r="7289" spans="1:6" x14ac:dyDescent="0.25">
      <c r="A7289" t="str">
        <f>"421205439926"</f>
        <v>421205439926</v>
      </c>
      <c r="B7289" t="s">
        <v>10049</v>
      </c>
      <c r="C7289" t="s">
        <v>7</v>
      </c>
      <c r="D7289" t="s">
        <v>14</v>
      </c>
      <c r="E7289" t="s">
        <v>9772</v>
      </c>
    </row>
    <row r="7290" spans="1:6" x14ac:dyDescent="0.25">
      <c r="A7290" t="str">
        <f>"421208168199"</f>
        <v>421208168199</v>
      </c>
      <c r="B7290" t="s">
        <v>10050</v>
      </c>
      <c r="C7290" t="s">
        <v>7</v>
      </c>
      <c r="D7290" t="s">
        <v>12</v>
      </c>
      <c r="E7290" t="s">
        <v>9772</v>
      </c>
    </row>
    <row r="7291" spans="1:6" x14ac:dyDescent="0.25">
      <c r="A7291" t="str">
        <f>"421212229454"</f>
        <v>421212229454</v>
      </c>
      <c r="B7291" t="s">
        <v>10051</v>
      </c>
      <c r="C7291" t="s">
        <v>7</v>
      </c>
      <c r="D7291" t="s">
        <v>14</v>
      </c>
      <c r="E7291" t="s">
        <v>9772</v>
      </c>
    </row>
    <row r="7292" spans="1:6" x14ac:dyDescent="0.25">
      <c r="A7292" t="str">
        <f>"421400226600"</f>
        <v>421400226600</v>
      </c>
      <c r="B7292" t="s">
        <v>10052</v>
      </c>
      <c r="C7292" t="s">
        <v>7</v>
      </c>
      <c r="D7292" t="s">
        <v>14</v>
      </c>
      <c r="E7292" t="s">
        <v>9772</v>
      </c>
    </row>
    <row r="7293" spans="1:6" x14ac:dyDescent="0.25">
      <c r="A7293" t="str">
        <f>"421409017023"</f>
        <v>421409017023</v>
      </c>
      <c r="B7293" t="s">
        <v>10053</v>
      </c>
      <c r="C7293" t="s">
        <v>7</v>
      </c>
      <c r="D7293" t="s">
        <v>14</v>
      </c>
      <c r="E7293" t="s">
        <v>9772</v>
      </c>
    </row>
    <row r="7294" spans="1:6" x14ac:dyDescent="0.25">
      <c r="A7294" t="str">
        <f>"420104148284"</f>
        <v>420104148284</v>
      </c>
      <c r="B7294" t="s">
        <v>10054</v>
      </c>
      <c r="C7294" t="s">
        <v>7</v>
      </c>
      <c r="D7294" t="s">
        <v>12</v>
      </c>
      <c r="E7294" t="s">
        <v>9772</v>
      </c>
    </row>
    <row r="7295" spans="1:6" x14ac:dyDescent="0.25">
      <c r="A7295" t="str">
        <f>"420106174586"</f>
        <v>420106174586</v>
      </c>
      <c r="B7295" t="s">
        <v>10055</v>
      </c>
      <c r="C7295" t="s">
        <v>7</v>
      </c>
      <c r="D7295" t="s">
        <v>14</v>
      </c>
      <c r="E7295" t="s">
        <v>9772</v>
      </c>
    </row>
    <row r="7296" spans="1:6" x14ac:dyDescent="0.25">
      <c r="A7296" t="str">
        <f>"420204092701"</f>
        <v>420204092701</v>
      </c>
      <c r="B7296" t="s">
        <v>10056</v>
      </c>
      <c r="C7296" t="s">
        <v>7</v>
      </c>
      <c r="D7296" t="s">
        <v>12</v>
      </c>
      <c r="E7296" t="s">
        <v>9772</v>
      </c>
    </row>
    <row r="7297" spans="1:6" x14ac:dyDescent="0.25">
      <c r="A7297" t="str">
        <f>"420207741143"</f>
        <v>420207741143</v>
      </c>
      <c r="B7297" t="s">
        <v>10057</v>
      </c>
      <c r="C7297" t="s">
        <v>7</v>
      </c>
      <c r="D7297" t="s">
        <v>14</v>
      </c>
      <c r="E7297" t="s">
        <v>9772</v>
      </c>
    </row>
    <row r="7298" spans="1:6" x14ac:dyDescent="0.25">
      <c r="A7298" t="str">
        <f>"420298239058"</f>
        <v>420298239058</v>
      </c>
      <c r="B7298" t="s">
        <v>10058</v>
      </c>
      <c r="C7298" t="s">
        <v>7</v>
      </c>
      <c r="D7298" t="s">
        <v>14</v>
      </c>
      <c r="E7298" t="s">
        <v>9772</v>
      </c>
    </row>
    <row r="7299" spans="1:6" x14ac:dyDescent="0.25">
      <c r="A7299" t="str">
        <f>"420503439729"</f>
        <v>420503439729</v>
      </c>
      <c r="B7299" t="s">
        <v>10059</v>
      </c>
      <c r="C7299" t="s">
        <v>7</v>
      </c>
      <c r="D7299" t="s">
        <v>14</v>
      </c>
      <c r="E7299" t="s">
        <v>9772</v>
      </c>
    </row>
    <row r="7300" spans="1:6" x14ac:dyDescent="0.25">
      <c r="A7300" t="str">
        <f>"4205042136"</f>
        <v>4205042136</v>
      </c>
      <c r="B7300" t="s">
        <v>10060</v>
      </c>
      <c r="C7300" t="s">
        <v>7</v>
      </c>
      <c r="D7300" t="s">
        <v>12</v>
      </c>
      <c r="E7300" t="s">
        <v>9772</v>
      </c>
      <c r="F7300" t="s">
        <v>10061</v>
      </c>
    </row>
    <row r="7301" spans="1:6" x14ac:dyDescent="0.25">
      <c r="A7301" t="str">
        <f>"420507767907"</f>
        <v>420507767907</v>
      </c>
      <c r="B7301" t="s">
        <v>10062</v>
      </c>
      <c r="C7301" t="s">
        <v>7</v>
      </c>
      <c r="D7301" t="s">
        <v>14</v>
      </c>
      <c r="E7301" t="s">
        <v>9772</v>
      </c>
    </row>
    <row r="7302" spans="1:6" x14ac:dyDescent="0.25">
      <c r="A7302" t="str">
        <f>"4205101039"</f>
        <v>4205101039</v>
      </c>
      <c r="B7302" t="s">
        <v>10063</v>
      </c>
      <c r="C7302" t="s">
        <v>7</v>
      </c>
      <c r="D7302" t="s">
        <v>14</v>
      </c>
      <c r="E7302" t="s">
        <v>9772</v>
      </c>
      <c r="F7302" t="s">
        <v>10064</v>
      </c>
    </row>
    <row r="7303" spans="1:6" x14ac:dyDescent="0.25">
      <c r="A7303" t="str">
        <f>"4205101769"</f>
        <v>4205101769</v>
      </c>
      <c r="B7303" t="s">
        <v>10065</v>
      </c>
      <c r="C7303" t="s">
        <v>7</v>
      </c>
      <c r="D7303" t="s">
        <v>33</v>
      </c>
      <c r="E7303" t="s">
        <v>9772</v>
      </c>
      <c r="F7303" t="s">
        <v>10066</v>
      </c>
    </row>
    <row r="7304" spans="1:6" x14ac:dyDescent="0.25">
      <c r="A7304" t="str">
        <f>"420512170640"</f>
        <v>420512170640</v>
      </c>
      <c r="B7304" t="s">
        <v>10067</v>
      </c>
      <c r="C7304" t="s">
        <v>7</v>
      </c>
      <c r="D7304" t="s">
        <v>14</v>
      </c>
      <c r="E7304" t="s">
        <v>9772</v>
      </c>
    </row>
    <row r="7305" spans="1:6" x14ac:dyDescent="0.25">
      <c r="A7305" t="str">
        <f>"4205125520"</f>
        <v>4205125520</v>
      </c>
      <c r="B7305" t="s">
        <v>10068</v>
      </c>
      <c r="C7305" t="s">
        <v>7</v>
      </c>
      <c r="D7305" t="s">
        <v>463</v>
      </c>
      <c r="E7305" t="s">
        <v>9772</v>
      </c>
      <c r="F7305" t="s">
        <v>10069</v>
      </c>
    </row>
    <row r="7306" spans="1:6" x14ac:dyDescent="0.25">
      <c r="A7306" t="str">
        <f>"420512910292"</f>
        <v>420512910292</v>
      </c>
      <c r="B7306" t="s">
        <v>10070</v>
      </c>
      <c r="C7306" t="s">
        <v>7</v>
      </c>
      <c r="D7306" t="s">
        <v>463</v>
      </c>
      <c r="E7306" t="s">
        <v>9772</v>
      </c>
    </row>
    <row r="7307" spans="1:6" x14ac:dyDescent="0.25">
      <c r="A7307" t="str">
        <f>"4205155965"</f>
        <v>4205155965</v>
      </c>
      <c r="B7307" t="s">
        <v>10071</v>
      </c>
      <c r="C7307" t="s">
        <v>7</v>
      </c>
      <c r="D7307" t="s">
        <v>14</v>
      </c>
      <c r="E7307" t="s">
        <v>9772</v>
      </c>
      <c r="F7307" t="s">
        <v>10072</v>
      </c>
    </row>
    <row r="7308" spans="1:6" x14ac:dyDescent="0.25">
      <c r="A7308" t="str">
        <f>"420515926438"</f>
        <v>420515926438</v>
      </c>
      <c r="B7308" t="s">
        <v>10073</v>
      </c>
      <c r="C7308" t="s">
        <v>7</v>
      </c>
      <c r="D7308" t="s">
        <v>14</v>
      </c>
      <c r="E7308" t="s">
        <v>9772</v>
      </c>
    </row>
    <row r="7309" spans="1:6" x14ac:dyDescent="0.25">
      <c r="A7309" t="str">
        <f>"4205189379"</f>
        <v>4205189379</v>
      </c>
      <c r="B7309" t="s">
        <v>10074</v>
      </c>
      <c r="C7309" t="s">
        <v>7</v>
      </c>
      <c r="D7309" t="s">
        <v>14</v>
      </c>
      <c r="E7309" t="s">
        <v>9772</v>
      </c>
      <c r="F7309" t="s">
        <v>10075</v>
      </c>
    </row>
    <row r="7310" spans="1:6" x14ac:dyDescent="0.25">
      <c r="A7310" t="str">
        <f>"420519099250"</f>
        <v>420519099250</v>
      </c>
      <c r="B7310" t="s">
        <v>10076</v>
      </c>
      <c r="C7310" t="s">
        <v>7</v>
      </c>
      <c r="D7310" t="s">
        <v>12</v>
      </c>
      <c r="E7310" t="s">
        <v>9772</v>
      </c>
    </row>
    <row r="7311" spans="1:6" x14ac:dyDescent="0.25">
      <c r="A7311" t="str">
        <f>"420523988710"</f>
        <v>420523988710</v>
      </c>
      <c r="B7311" t="s">
        <v>10077</v>
      </c>
      <c r="C7311" t="s">
        <v>7</v>
      </c>
      <c r="D7311" t="s">
        <v>14</v>
      </c>
      <c r="E7311" t="s">
        <v>9772</v>
      </c>
    </row>
    <row r="7312" spans="1:6" x14ac:dyDescent="0.25">
      <c r="A7312" t="str">
        <f>"4205274507"</f>
        <v>4205274507</v>
      </c>
      <c r="B7312" t="s">
        <v>2697</v>
      </c>
      <c r="C7312" t="s">
        <v>7</v>
      </c>
      <c r="D7312" t="s">
        <v>33</v>
      </c>
      <c r="E7312" t="s">
        <v>9772</v>
      </c>
      <c r="F7312" t="s">
        <v>10078</v>
      </c>
    </row>
    <row r="7313" spans="1:6" x14ac:dyDescent="0.25">
      <c r="A7313" t="str">
        <f>"420528690300"</f>
        <v>420528690300</v>
      </c>
      <c r="B7313" t="s">
        <v>10079</v>
      </c>
      <c r="C7313" t="s">
        <v>7</v>
      </c>
      <c r="D7313" t="s">
        <v>14</v>
      </c>
      <c r="E7313" t="s">
        <v>9772</v>
      </c>
    </row>
    <row r="7314" spans="1:6" x14ac:dyDescent="0.25">
      <c r="A7314" t="str">
        <f>"4205305113"</f>
        <v>4205305113</v>
      </c>
      <c r="B7314" t="s">
        <v>10080</v>
      </c>
      <c r="C7314" t="s">
        <v>7</v>
      </c>
      <c r="D7314" t="s">
        <v>14</v>
      </c>
      <c r="E7314" t="s">
        <v>9772</v>
      </c>
      <c r="F7314" t="s">
        <v>10081</v>
      </c>
    </row>
    <row r="7315" spans="1:6" x14ac:dyDescent="0.25">
      <c r="A7315" t="str">
        <f>"420532455323"</f>
        <v>420532455323</v>
      </c>
      <c r="B7315" t="s">
        <v>10082</v>
      </c>
      <c r="C7315" t="s">
        <v>7</v>
      </c>
      <c r="D7315" t="s">
        <v>14</v>
      </c>
      <c r="E7315" t="s">
        <v>9772</v>
      </c>
    </row>
    <row r="7316" spans="1:6" x14ac:dyDescent="0.25">
      <c r="A7316" t="str">
        <f>"4205327558"</f>
        <v>4205327558</v>
      </c>
      <c r="B7316" t="s">
        <v>10083</v>
      </c>
      <c r="C7316" t="s">
        <v>7</v>
      </c>
      <c r="D7316" t="s">
        <v>33</v>
      </c>
      <c r="E7316" t="s">
        <v>9772</v>
      </c>
      <c r="F7316" t="s">
        <v>10084</v>
      </c>
    </row>
    <row r="7317" spans="1:6" x14ac:dyDescent="0.25">
      <c r="A7317" t="str">
        <f>"4205351938"</f>
        <v>4205351938</v>
      </c>
      <c r="B7317" t="s">
        <v>10085</v>
      </c>
      <c r="C7317" t="s">
        <v>7</v>
      </c>
      <c r="D7317" t="s">
        <v>33</v>
      </c>
      <c r="E7317" t="s">
        <v>9772</v>
      </c>
      <c r="F7317" t="s">
        <v>10086</v>
      </c>
    </row>
    <row r="7318" spans="1:6" x14ac:dyDescent="0.25">
      <c r="A7318" t="str">
        <f>"4205371740"</f>
        <v>4205371740</v>
      </c>
      <c r="B7318" t="s">
        <v>10087</v>
      </c>
      <c r="C7318" t="s">
        <v>7</v>
      </c>
      <c r="D7318" t="s">
        <v>12</v>
      </c>
      <c r="E7318" t="s">
        <v>9772</v>
      </c>
      <c r="F7318" t="s">
        <v>10088</v>
      </c>
    </row>
    <row r="7319" spans="1:6" x14ac:dyDescent="0.25">
      <c r="A7319" t="str">
        <f>"420538377304"</f>
        <v>420538377304</v>
      </c>
      <c r="B7319" t="s">
        <v>10089</v>
      </c>
      <c r="C7319" t="s">
        <v>7</v>
      </c>
      <c r="D7319" t="s">
        <v>14</v>
      </c>
      <c r="E7319" t="s">
        <v>9772</v>
      </c>
    </row>
    <row r="7320" spans="1:6" x14ac:dyDescent="0.25">
      <c r="A7320" t="str">
        <f>"4205388889"</f>
        <v>4205388889</v>
      </c>
      <c r="B7320" t="s">
        <v>10090</v>
      </c>
      <c r="C7320" t="s">
        <v>7</v>
      </c>
      <c r="D7320" t="s">
        <v>12</v>
      </c>
      <c r="E7320" t="s">
        <v>9772</v>
      </c>
      <c r="F7320" t="s">
        <v>10091</v>
      </c>
    </row>
    <row r="7321" spans="1:6" x14ac:dyDescent="0.25">
      <c r="A7321" t="str">
        <f>"4205391031"</f>
        <v>4205391031</v>
      </c>
      <c r="B7321" t="s">
        <v>10092</v>
      </c>
      <c r="C7321" t="s">
        <v>7</v>
      </c>
      <c r="D7321" t="s">
        <v>14</v>
      </c>
      <c r="E7321" t="s">
        <v>9772</v>
      </c>
      <c r="F7321" t="s">
        <v>10093</v>
      </c>
    </row>
    <row r="7322" spans="1:6" x14ac:dyDescent="0.25">
      <c r="A7322" t="str">
        <f>"4205401868"</f>
        <v>4205401868</v>
      </c>
      <c r="B7322" t="s">
        <v>10094</v>
      </c>
      <c r="C7322" t="s">
        <v>7</v>
      </c>
      <c r="D7322" t="s">
        <v>33</v>
      </c>
      <c r="E7322" t="s">
        <v>9772</v>
      </c>
      <c r="F7322" t="s">
        <v>10095</v>
      </c>
    </row>
    <row r="7323" spans="1:6" x14ac:dyDescent="0.25">
      <c r="A7323" t="str">
        <f>"4205410686"</f>
        <v>4205410686</v>
      </c>
      <c r="B7323" t="s">
        <v>10096</v>
      </c>
      <c r="C7323" t="s">
        <v>7</v>
      </c>
      <c r="D7323" t="s">
        <v>14</v>
      </c>
      <c r="E7323" t="s">
        <v>9772</v>
      </c>
      <c r="F7323" t="s">
        <v>10097</v>
      </c>
    </row>
    <row r="7324" spans="1:6" x14ac:dyDescent="0.25">
      <c r="A7324" t="str">
        <f>"420541692673"</f>
        <v>420541692673</v>
      </c>
      <c r="B7324" t="s">
        <v>10098</v>
      </c>
      <c r="C7324" t="s">
        <v>7</v>
      </c>
      <c r="D7324" t="s">
        <v>28</v>
      </c>
      <c r="E7324" t="s">
        <v>9772</v>
      </c>
    </row>
    <row r="7325" spans="1:6" x14ac:dyDescent="0.25">
      <c r="A7325" t="str">
        <f>"420547860204"</f>
        <v>420547860204</v>
      </c>
      <c r="B7325" t="s">
        <v>10099</v>
      </c>
      <c r="C7325" t="s">
        <v>7</v>
      </c>
      <c r="D7325" t="s">
        <v>12</v>
      </c>
      <c r="E7325" t="s">
        <v>9772</v>
      </c>
    </row>
    <row r="7326" spans="1:6" x14ac:dyDescent="0.25">
      <c r="A7326" t="str">
        <f>"420551037593"</f>
        <v>420551037593</v>
      </c>
      <c r="B7326" t="s">
        <v>10100</v>
      </c>
      <c r="C7326" t="s">
        <v>7</v>
      </c>
      <c r="D7326" t="s">
        <v>14</v>
      </c>
      <c r="E7326" t="s">
        <v>9772</v>
      </c>
    </row>
    <row r="7327" spans="1:6" x14ac:dyDescent="0.25">
      <c r="A7327" t="str">
        <f>"420701323525"</f>
        <v>420701323525</v>
      </c>
      <c r="B7327" t="s">
        <v>10101</v>
      </c>
      <c r="C7327" t="s">
        <v>7</v>
      </c>
      <c r="D7327" t="s">
        <v>14</v>
      </c>
      <c r="E7327" t="s">
        <v>9772</v>
      </c>
    </row>
    <row r="7328" spans="1:6" x14ac:dyDescent="0.25">
      <c r="A7328" t="str">
        <f>"4207046369"</f>
        <v>4207046369</v>
      </c>
      <c r="B7328" t="s">
        <v>10102</v>
      </c>
      <c r="C7328" t="s">
        <v>7</v>
      </c>
      <c r="D7328" t="s">
        <v>14</v>
      </c>
      <c r="E7328" t="s">
        <v>9772</v>
      </c>
      <c r="F7328" t="s">
        <v>10103</v>
      </c>
    </row>
    <row r="7329" spans="1:6" x14ac:dyDescent="0.25">
      <c r="A7329" t="str">
        <f>"421100718390"</f>
        <v>421100718390</v>
      </c>
      <c r="B7329" t="s">
        <v>10104</v>
      </c>
      <c r="C7329" t="s">
        <v>7</v>
      </c>
      <c r="D7329" t="s">
        <v>14</v>
      </c>
      <c r="E7329" t="s">
        <v>9772</v>
      </c>
    </row>
    <row r="7330" spans="1:6" x14ac:dyDescent="0.25">
      <c r="A7330" t="str">
        <f>"4211014419"</f>
        <v>4211014419</v>
      </c>
      <c r="B7330" t="s">
        <v>10105</v>
      </c>
      <c r="C7330" t="s">
        <v>7</v>
      </c>
      <c r="D7330" t="s">
        <v>14</v>
      </c>
      <c r="E7330" t="s">
        <v>9772</v>
      </c>
      <c r="F7330" t="s">
        <v>10106</v>
      </c>
    </row>
    <row r="7331" spans="1:6" x14ac:dyDescent="0.25">
      <c r="A7331" t="str">
        <f>"421201344857"</f>
        <v>421201344857</v>
      </c>
      <c r="B7331" t="s">
        <v>10107</v>
      </c>
      <c r="C7331" t="s">
        <v>7</v>
      </c>
      <c r="D7331" t="s">
        <v>14</v>
      </c>
      <c r="E7331" t="s">
        <v>9772</v>
      </c>
    </row>
    <row r="7332" spans="1:6" x14ac:dyDescent="0.25">
      <c r="A7332" t="str">
        <f>"421212691323"</f>
        <v>421212691323</v>
      </c>
      <c r="B7332" t="s">
        <v>10108</v>
      </c>
      <c r="C7332" t="s">
        <v>7</v>
      </c>
      <c r="D7332" t="s">
        <v>12</v>
      </c>
      <c r="E7332" t="s">
        <v>9772</v>
      </c>
    </row>
    <row r="7333" spans="1:6" x14ac:dyDescent="0.25">
      <c r="A7333" t="str">
        <f>"421214290260"</f>
        <v>421214290260</v>
      </c>
      <c r="B7333" t="s">
        <v>10109</v>
      </c>
      <c r="C7333" t="s">
        <v>7</v>
      </c>
      <c r="D7333" t="s">
        <v>12</v>
      </c>
      <c r="E7333" t="s">
        <v>9772</v>
      </c>
    </row>
    <row r="7334" spans="1:6" x14ac:dyDescent="0.25">
      <c r="A7334" t="str">
        <f>"421215640408"</f>
        <v>421215640408</v>
      </c>
      <c r="B7334" t="s">
        <v>10110</v>
      </c>
      <c r="C7334" t="s">
        <v>7</v>
      </c>
      <c r="D7334" t="s">
        <v>14</v>
      </c>
      <c r="E7334" t="s">
        <v>9772</v>
      </c>
    </row>
    <row r="7335" spans="1:6" x14ac:dyDescent="0.25">
      <c r="A7335" t="str">
        <f>"421307020242"</f>
        <v>421307020242</v>
      </c>
      <c r="B7335" t="s">
        <v>10111</v>
      </c>
      <c r="C7335" t="s">
        <v>7</v>
      </c>
      <c r="D7335" t="s">
        <v>14</v>
      </c>
      <c r="E7335" t="s">
        <v>9772</v>
      </c>
    </row>
    <row r="7336" spans="1:6" x14ac:dyDescent="0.25">
      <c r="A7336" t="str">
        <f>"4214000608"</f>
        <v>4214000608</v>
      </c>
      <c r="B7336" t="s">
        <v>10112</v>
      </c>
      <c r="C7336" t="s">
        <v>7</v>
      </c>
      <c r="D7336" t="s">
        <v>674</v>
      </c>
      <c r="E7336" t="s">
        <v>9772</v>
      </c>
      <c r="F7336" t="s">
        <v>10113</v>
      </c>
    </row>
    <row r="7337" spans="1:6" x14ac:dyDescent="0.25">
      <c r="A7337" t="str">
        <f>"4214039651"</f>
        <v>4214039651</v>
      </c>
      <c r="B7337" t="s">
        <v>10114</v>
      </c>
      <c r="C7337" t="s">
        <v>7</v>
      </c>
      <c r="D7337" t="s">
        <v>12</v>
      </c>
      <c r="E7337" t="s">
        <v>9772</v>
      </c>
      <c r="F7337" t="s">
        <v>10115</v>
      </c>
    </row>
    <row r="7338" spans="1:6" x14ac:dyDescent="0.25">
      <c r="A7338" t="str">
        <f>"421411496447"</f>
        <v>421411496447</v>
      </c>
      <c r="B7338" t="s">
        <v>10116</v>
      </c>
      <c r="C7338" t="s">
        <v>7</v>
      </c>
      <c r="D7338" t="s">
        <v>14</v>
      </c>
      <c r="E7338" t="s">
        <v>9772</v>
      </c>
    </row>
    <row r="7339" spans="1:6" x14ac:dyDescent="0.25">
      <c r="A7339" t="str">
        <f>"421500063780"</f>
        <v>421500063780</v>
      </c>
      <c r="B7339" t="s">
        <v>10117</v>
      </c>
      <c r="C7339" t="s">
        <v>7</v>
      </c>
      <c r="D7339" t="s">
        <v>14</v>
      </c>
      <c r="E7339" t="s">
        <v>9772</v>
      </c>
    </row>
    <row r="7340" spans="1:6" x14ac:dyDescent="0.25">
      <c r="A7340" t="str">
        <f>"421500117556"</f>
        <v>421500117556</v>
      </c>
      <c r="B7340" t="s">
        <v>10118</v>
      </c>
      <c r="C7340" t="s">
        <v>7</v>
      </c>
      <c r="D7340" t="s">
        <v>14</v>
      </c>
      <c r="E7340" t="s">
        <v>9772</v>
      </c>
    </row>
    <row r="7341" spans="1:6" x14ac:dyDescent="0.25">
      <c r="A7341" t="str">
        <f>"421700348173"</f>
        <v>421700348173</v>
      </c>
      <c r="B7341" t="s">
        <v>10119</v>
      </c>
      <c r="C7341" t="s">
        <v>7</v>
      </c>
      <c r="D7341" t="s">
        <v>14</v>
      </c>
      <c r="E7341" t="s">
        <v>9772</v>
      </c>
    </row>
    <row r="7342" spans="1:6" x14ac:dyDescent="0.25">
      <c r="A7342" t="str">
        <f>"4217023794"</f>
        <v>4217023794</v>
      </c>
      <c r="B7342" t="s">
        <v>10120</v>
      </c>
      <c r="C7342" t="s">
        <v>7</v>
      </c>
      <c r="D7342" t="s">
        <v>14</v>
      </c>
      <c r="E7342" t="s">
        <v>9772</v>
      </c>
      <c r="F7342" t="s">
        <v>10121</v>
      </c>
    </row>
    <row r="7343" spans="1:6" x14ac:dyDescent="0.25">
      <c r="A7343" t="str">
        <f>"4217052731"</f>
        <v>4217052731</v>
      </c>
      <c r="B7343" t="s">
        <v>10122</v>
      </c>
      <c r="C7343" t="s">
        <v>7</v>
      </c>
      <c r="D7343" t="s">
        <v>463</v>
      </c>
      <c r="E7343" t="s">
        <v>9772</v>
      </c>
      <c r="F7343" t="s">
        <v>10123</v>
      </c>
    </row>
    <row r="7344" spans="1:6" x14ac:dyDescent="0.25">
      <c r="A7344" t="str">
        <f>"4217077662"</f>
        <v>4217077662</v>
      </c>
      <c r="B7344" t="s">
        <v>10124</v>
      </c>
      <c r="C7344" t="s">
        <v>7</v>
      </c>
      <c r="D7344" t="s">
        <v>14</v>
      </c>
      <c r="E7344" t="s">
        <v>9772</v>
      </c>
      <c r="F7344" t="s">
        <v>10125</v>
      </c>
    </row>
    <row r="7345" spans="1:6" x14ac:dyDescent="0.25">
      <c r="A7345" t="str">
        <f>"4217128927"</f>
        <v>4217128927</v>
      </c>
      <c r="B7345" t="s">
        <v>10126</v>
      </c>
      <c r="C7345" t="s">
        <v>7</v>
      </c>
      <c r="D7345" t="s">
        <v>12</v>
      </c>
      <c r="E7345" t="s">
        <v>9772</v>
      </c>
      <c r="F7345" t="s">
        <v>10127</v>
      </c>
    </row>
    <row r="7346" spans="1:6" x14ac:dyDescent="0.25">
      <c r="A7346" t="str">
        <f>"4217140931"</f>
        <v>4217140931</v>
      </c>
      <c r="B7346" t="s">
        <v>10128</v>
      </c>
      <c r="C7346" t="s">
        <v>7</v>
      </c>
      <c r="D7346" t="s">
        <v>33</v>
      </c>
      <c r="E7346" t="s">
        <v>9772</v>
      </c>
      <c r="F7346" t="s">
        <v>9842</v>
      </c>
    </row>
    <row r="7347" spans="1:6" x14ac:dyDescent="0.25">
      <c r="A7347" t="str">
        <f>"4217143442"</f>
        <v>4217143442</v>
      </c>
      <c r="B7347" t="s">
        <v>10129</v>
      </c>
      <c r="C7347" t="s">
        <v>7</v>
      </c>
      <c r="D7347" t="s">
        <v>8</v>
      </c>
      <c r="E7347" t="s">
        <v>9772</v>
      </c>
      <c r="F7347" t="s">
        <v>10130</v>
      </c>
    </row>
    <row r="7348" spans="1:6" x14ac:dyDescent="0.25">
      <c r="A7348" t="str">
        <f>"420100032401"</f>
        <v>420100032401</v>
      </c>
      <c r="B7348" t="s">
        <v>10131</v>
      </c>
      <c r="C7348" t="s">
        <v>7</v>
      </c>
      <c r="D7348" t="s">
        <v>14</v>
      </c>
      <c r="E7348" t="s">
        <v>9772</v>
      </c>
    </row>
    <row r="7349" spans="1:6" x14ac:dyDescent="0.25">
      <c r="A7349" t="str">
        <f>"420100127981"</f>
        <v>420100127981</v>
      </c>
      <c r="B7349" t="s">
        <v>10132</v>
      </c>
      <c r="C7349" t="s">
        <v>7</v>
      </c>
      <c r="D7349" t="s">
        <v>14</v>
      </c>
      <c r="E7349" t="s">
        <v>9772</v>
      </c>
    </row>
    <row r="7350" spans="1:6" x14ac:dyDescent="0.25">
      <c r="A7350" t="str">
        <f>"420100987560"</f>
        <v>420100987560</v>
      </c>
      <c r="B7350" t="s">
        <v>10133</v>
      </c>
      <c r="C7350" t="s">
        <v>7</v>
      </c>
      <c r="D7350" t="s">
        <v>14</v>
      </c>
      <c r="E7350" t="s">
        <v>9772</v>
      </c>
    </row>
    <row r="7351" spans="1:6" x14ac:dyDescent="0.25">
      <c r="A7351" t="str">
        <f>"420200371359"</f>
        <v>420200371359</v>
      </c>
      <c r="B7351" t="s">
        <v>10134</v>
      </c>
      <c r="C7351" t="s">
        <v>7</v>
      </c>
      <c r="D7351" t="s">
        <v>14</v>
      </c>
      <c r="E7351" t="s">
        <v>9772</v>
      </c>
    </row>
    <row r="7352" spans="1:6" x14ac:dyDescent="0.25">
      <c r="A7352" t="str">
        <f>"420200499800"</f>
        <v>420200499800</v>
      </c>
      <c r="B7352" t="s">
        <v>10135</v>
      </c>
      <c r="C7352" t="s">
        <v>7</v>
      </c>
      <c r="D7352" t="s">
        <v>14</v>
      </c>
      <c r="E7352" t="s">
        <v>9772</v>
      </c>
    </row>
    <row r="7353" spans="1:6" x14ac:dyDescent="0.25">
      <c r="A7353" t="str">
        <f>"420208848227"</f>
        <v>420208848227</v>
      </c>
      <c r="B7353" t="s">
        <v>10136</v>
      </c>
      <c r="C7353" t="s">
        <v>7</v>
      </c>
      <c r="D7353" t="s">
        <v>14</v>
      </c>
      <c r="E7353" t="s">
        <v>9772</v>
      </c>
    </row>
    <row r="7354" spans="1:6" x14ac:dyDescent="0.25">
      <c r="A7354" t="str">
        <f>"420214456348"</f>
        <v>420214456348</v>
      </c>
      <c r="B7354" t="s">
        <v>10137</v>
      </c>
      <c r="C7354" t="s">
        <v>7</v>
      </c>
      <c r="D7354" t="s">
        <v>14</v>
      </c>
      <c r="E7354" t="s">
        <v>9772</v>
      </c>
    </row>
    <row r="7355" spans="1:6" x14ac:dyDescent="0.25">
      <c r="A7355" t="str">
        <f>"420500092878"</f>
        <v>420500092878</v>
      </c>
      <c r="B7355" t="s">
        <v>10138</v>
      </c>
      <c r="C7355" t="s">
        <v>7</v>
      </c>
      <c r="D7355" t="s">
        <v>33</v>
      </c>
      <c r="E7355" t="s">
        <v>9772</v>
      </c>
    </row>
    <row r="7356" spans="1:6" x14ac:dyDescent="0.25">
      <c r="A7356" t="str">
        <f>"420503994850"</f>
        <v>420503994850</v>
      </c>
      <c r="B7356" t="s">
        <v>10139</v>
      </c>
      <c r="C7356" t="s">
        <v>7</v>
      </c>
      <c r="D7356" t="s">
        <v>14</v>
      </c>
      <c r="E7356" t="s">
        <v>9772</v>
      </c>
    </row>
    <row r="7357" spans="1:6" x14ac:dyDescent="0.25">
      <c r="A7357" t="str">
        <f>"420508603852"</f>
        <v>420508603852</v>
      </c>
      <c r="B7357" t="s">
        <v>10140</v>
      </c>
      <c r="C7357" t="s">
        <v>7</v>
      </c>
      <c r="D7357" t="s">
        <v>14</v>
      </c>
      <c r="E7357" t="s">
        <v>9772</v>
      </c>
    </row>
    <row r="7358" spans="1:6" x14ac:dyDescent="0.25">
      <c r="A7358" t="str">
        <f>"4205107665"</f>
        <v>4205107665</v>
      </c>
      <c r="B7358" t="s">
        <v>10141</v>
      </c>
      <c r="C7358" t="s">
        <v>7</v>
      </c>
      <c r="D7358" t="s">
        <v>146</v>
      </c>
      <c r="E7358" t="s">
        <v>9772</v>
      </c>
      <c r="F7358" t="s">
        <v>10142</v>
      </c>
    </row>
    <row r="7359" spans="1:6" x14ac:dyDescent="0.25">
      <c r="A7359" t="str">
        <f>"420515236642"</f>
        <v>420515236642</v>
      </c>
      <c r="B7359" t="s">
        <v>10143</v>
      </c>
      <c r="C7359" t="s">
        <v>7</v>
      </c>
      <c r="D7359" t="s">
        <v>12</v>
      </c>
      <c r="E7359" t="s">
        <v>9772</v>
      </c>
    </row>
    <row r="7360" spans="1:6" x14ac:dyDescent="0.25">
      <c r="A7360" t="str">
        <f>"420515557861"</f>
        <v>420515557861</v>
      </c>
      <c r="B7360" t="s">
        <v>10144</v>
      </c>
      <c r="C7360" t="s">
        <v>7</v>
      </c>
      <c r="D7360" t="s">
        <v>12</v>
      </c>
      <c r="E7360" t="s">
        <v>9772</v>
      </c>
    </row>
    <row r="7361" spans="1:6" x14ac:dyDescent="0.25">
      <c r="A7361" t="str">
        <f>"420516990651"</f>
        <v>420516990651</v>
      </c>
      <c r="B7361" t="s">
        <v>10145</v>
      </c>
      <c r="C7361" t="s">
        <v>7</v>
      </c>
      <c r="D7361" t="s">
        <v>33</v>
      </c>
      <c r="E7361" t="s">
        <v>9772</v>
      </c>
    </row>
    <row r="7362" spans="1:6" x14ac:dyDescent="0.25">
      <c r="A7362" t="str">
        <f>"420517193144"</f>
        <v>420517193144</v>
      </c>
      <c r="B7362" t="s">
        <v>10146</v>
      </c>
      <c r="C7362" t="s">
        <v>7</v>
      </c>
      <c r="D7362" t="s">
        <v>14</v>
      </c>
      <c r="E7362" t="s">
        <v>9772</v>
      </c>
    </row>
    <row r="7363" spans="1:6" x14ac:dyDescent="0.25">
      <c r="A7363" t="str">
        <f>"4205180908"</f>
        <v>4205180908</v>
      </c>
      <c r="B7363" t="s">
        <v>10147</v>
      </c>
      <c r="C7363" t="s">
        <v>7</v>
      </c>
      <c r="D7363" t="s">
        <v>14</v>
      </c>
      <c r="E7363" t="s">
        <v>9772</v>
      </c>
      <c r="F7363" t="s">
        <v>10148</v>
      </c>
    </row>
    <row r="7364" spans="1:6" x14ac:dyDescent="0.25">
      <c r="A7364" t="str">
        <f>"4205198535"</f>
        <v>4205198535</v>
      </c>
      <c r="B7364" t="s">
        <v>10149</v>
      </c>
      <c r="C7364" t="s">
        <v>7</v>
      </c>
      <c r="D7364" t="s">
        <v>12</v>
      </c>
      <c r="E7364" t="s">
        <v>9772</v>
      </c>
      <c r="F7364" t="s">
        <v>10150</v>
      </c>
    </row>
    <row r="7365" spans="1:6" x14ac:dyDescent="0.25">
      <c r="A7365" t="str">
        <f>"4205206560"</f>
        <v>4205206560</v>
      </c>
      <c r="B7365" t="s">
        <v>10151</v>
      </c>
      <c r="C7365" t="s">
        <v>7</v>
      </c>
      <c r="D7365" t="s">
        <v>14</v>
      </c>
      <c r="E7365" t="s">
        <v>9772</v>
      </c>
      <c r="F7365" t="s">
        <v>10152</v>
      </c>
    </row>
    <row r="7366" spans="1:6" x14ac:dyDescent="0.25">
      <c r="A7366" t="str">
        <f>"4205235385"</f>
        <v>4205235385</v>
      </c>
      <c r="B7366" t="s">
        <v>2266</v>
      </c>
      <c r="C7366" t="s">
        <v>7</v>
      </c>
      <c r="D7366" t="s">
        <v>33</v>
      </c>
      <c r="E7366" t="s">
        <v>9772</v>
      </c>
      <c r="F7366" t="s">
        <v>10153</v>
      </c>
    </row>
    <row r="7367" spans="1:6" x14ac:dyDescent="0.25">
      <c r="A7367" t="str">
        <f>"420524424716"</f>
        <v>420524424716</v>
      </c>
      <c r="B7367" t="s">
        <v>10154</v>
      </c>
      <c r="C7367" t="s">
        <v>7</v>
      </c>
      <c r="D7367" t="s">
        <v>14</v>
      </c>
      <c r="E7367" t="s">
        <v>9772</v>
      </c>
    </row>
    <row r="7368" spans="1:6" x14ac:dyDescent="0.25">
      <c r="A7368" t="str">
        <f>"420524827176"</f>
        <v>420524827176</v>
      </c>
      <c r="B7368" t="s">
        <v>10155</v>
      </c>
      <c r="C7368" t="s">
        <v>7</v>
      </c>
      <c r="D7368" t="s">
        <v>14</v>
      </c>
      <c r="E7368" t="s">
        <v>9772</v>
      </c>
    </row>
    <row r="7369" spans="1:6" x14ac:dyDescent="0.25">
      <c r="A7369" t="str">
        <f>"4205265735"</f>
        <v>4205265735</v>
      </c>
      <c r="B7369" t="s">
        <v>10156</v>
      </c>
      <c r="C7369" t="s">
        <v>7</v>
      </c>
      <c r="D7369" t="s">
        <v>33</v>
      </c>
      <c r="E7369" t="s">
        <v>9772</v>
      </c>
      <c r="F7369" t="s">
        <v>10157</v>
      </c>
    </row>
    <row r="7370" spans="1:6" x14ac:dyDescent="0.25">
      <c r="A7370" t="str">
        <f>"4205286750"</f>
        <v>4205286750</v>
      </c>
      <c r="B7370" t="s">
        <v>10158</v>
      </c>
      <c r="C7370" t="s">
        <v>7</v>
      </c>
      <c r="D7370" t="s">
        <v>14</v>
      </c>
      <c r="E7370" t="s">
        <v>9772</v>
      </c>
      <c r="F7370" t="s">
        <v>10159</v>
      </c>
    </row>
    <row r="7371" spans="1:6" x14ac:dyDescent="0.25">
      <c r="A7371" t="str">
        <f>"4205334883"</f>
        <v>4205334883</v>
      </c>
      <c r="B7371" t="s">
        <v>10160</v>
      </c>
      <c r="C7371" t="s">
        <v>7</v>
      </c>
      <c r="D7371" t="s">
        <v>33</v>
      </c>
      <c r="E7371" t="s">
        <v>9772</v>
      </c>
      <c r="F7371" t="s">
        <v>10161</v>
      </c>
    </row>
    <row r="7372" spans="1:6" x14ac:dyDescent="0.25">
      <c r="A7372" t="str">
        <f>"4205361870"</f>
        <v>4205361870</v>
      </c>
      <c r="B7372" t="s">
        <v>10162</v>
      </c>
      <c r="C7372" t="s">
        <v>7</v>
      </c>
      <c r="D7372" t="s">
        <v>12</v>
      </c>
      <c r="E7372" t="s">
        <v>9772</v>
      </c>
      <c r="F7372" t="s">
        <v>10163</v>
      </c>
    </row>
    <row r="7373" spans="1:6" x14ac:dyDescent="0.25">
      <c r="A7373" t="str">
        <f>"420536576706"</f>
        <v>420536576706</v>
      </c>
      <c r="B7373" t="s">
        <v>10164</v>
      </c>
      <c r="C7373" t="s">
        <v>7</v>
      </c>
      <c r="D7373" t="s">
        <v>12</v>
      </c>
      <c r="E7373" t="s">
        <v>9772</v>
      </c>
    </row>
    <row r="7374" spans="1:6" x14ac:dyDescent="0.25">
      <c r="A7374" t="str">
        <f>"4205378055"</f>
        <v>4205378055</v>
      </c>
      <c r="B7374" t="s">
        <v>10165</v>
      </c>
      <c r="C7374" t="s">
        <v>7</v>
      </c>
      <c r="D7374" t="s">
        <v>33</v>
      </c>
      <c r="E7374" t="s">
        <v>9772</v>
      </c>
      <c r="F7374" t="s">
        <v>10166</v>
      </c>
    </row>
    <row r="7375" spans="1:6" x14ac:dyDescent="0.25">
      <c r="A7375" t="str">
        <f>"420538552563"</f>
        <v>420538552563</v>
      </c>
      <c r="B7375" t="s">
        <v>10167</v>
      </c>
      <c r="C7375" t="s">
        <v>7</v>
      </c>
      <c r="D7375" t="s">
        <v>14</v>
      </c>
      <c r="E7375" t="s">
        <v>9772</v>
      </c>
    </row>
    <row r="7376" spans="1:6" x14ac:dyDescent="0.25">
      <c r="A7376" t="str">
        <f>"420539118567"</f>
        <v>420539118567</v>
      </c>
      <c r="B7376" t="s">
        <v>10168</v>
      </c>
      <c r="C7376" t="s">
        <v>7</v>
      </c>
      <c r="D7376" t="s">
        <v>14</v>
      </c>
      <c r="E7376" t="s">
        <v>9772</v>
      </c>
    </row>
    <row r="7377" spans="1:6" x14ac:dyDescent="0.25">
      <c r="A7377" t="str">
        <f>"4205417000"</f>
        <v>4205417000</v>
      </c>
      <c r="B7377" t="s">
        <v>10126</v>
      </c>
      <c r="C7377" t="s">
        <v>7</v>
      </c>
      <c r="D7377" t="s">
        <v>12</v>
      </c>
      <c r="E7377" t="s">
        <v>9772</v>
      </c>
      <c r="F7377" t="s">
        <v>10169</v>
      </c>
    </row>
    <row r="7378" spans="1:6" x14ac:dyDescent="0.25">
      <c r="A7378" t="str">
        <f>"4205423090"</f>
        <v>4205423090</v>
      </c>
      <c r="B7378" t="s">
        <v>10170</v>
      </c>
      <c r="C7378" t="s">
        <v>7</v>
      </c>
      <c r="D7378" t="s">
        <v>33</v>
      </c>
      <c r="E7378" t="s">
        <v>9772</v>
      </c>
      <c r="F7378" t="s">
        <v>10171</v>
      </c>
    </row>
    <row r="7379" spans="1:6" x14ac:dyDescent="0.25">
      <c r="A7379" t="str">
        <f>"4205425918"</f>
        <v>4205425918</v>
      </c>
      <c r="B7379" t="s">
        <v>5561</v>
      </c>
      <c r="C7379" t="s">
        <v>7</v>
      </c>
      <c r="D7379" t="s">
        <v>12</v>
      </c>
      <c r="E7379" t="s">
        <v>9772</v>
      </c>
      <c r="F7379" t="s">
        <v>10172</v>
      </c>
    </row>
    <row r="7380" spans="1:6" x14ac:dyDescent="0.25">
      <c r="A7380" t="str">
        <f>"420590716990"</f>
        <v>420590716990</v>
      </c>
      <c r="B7380" t="s">
        <v>10173</v>
      </c>
      <c r="C7380" t="s">
        <v>7</v>
      </c>
      <c r="D7380" t="s">
        <v>14</v>
      </c>
      <c r="E7380" t="s">
        <v>9772</v>
      </c>
    </row>
    <row r="7381" spans="1:6" x14ac:dyDescent="0.25">
      <c r="A7381" t="str">
        <f>"420600394103"</f>
        <v>420600394103</v>
      </c>
      <c r="B7381" t="s">
        <v>10174</v>
      </c>
      <c r="C7381" t="s">
        <v>7</v>
      </c>
      <c r="D7381" t="s">
        <v>14</v>
      </c>
      <c r="E7381" t="s">
        <v>9772</v>
      </c>
    </row>
    <row r="7382" spans="1:6" x14ac:dyDescent="0.25">
      <c r="A7382" t="str">
        <f>"4207046062"</f>
        <v>4207046062</v>
      </c>
      <c r="B7382" t="s">
        <v>10175</v>
      </c>
      <c r="C7382" t="s">
        <v>7</v>
      </c>
      <c r="D7382" t="s">
        <v>14</v>
      </c>
      <c r="E7382" t="s">
        <v>9772</v>
      </c>
      <c r="F7382" t="s">
        <v>10018</v>
      </c>
    </row>
    <row r="7383" spans="1:6" x14ac:dyDescent="0.25">
      <c r="A7383" t="str">
        <f>"421100313147"</f>
        <v>421100313147</v>
      </c>
      <c r="B7383" t="s">
        <v>10176</v>
      </c>
      <c r="C7383" t="s">
        <v>7</v>
      </c>
      <c r="D7383" t="s">
        <v>14</v>
      </c>
      <c r="E7383" t="s">
        <v>9772</v>
      </c>
    </row>
    <row r="7384" spans="1:6" x14ac:dyDescent="0.25">
      <c r="A7384" t="str">
        <f>"421100733920"</f>
        <v>421100733920</v>
      </c>
      <c r="B7384" t="s">
        <v>10177</v>
      </c>
      <c r="C7384" t="s">
        <v>7</v>
      </c>
      <c r="D7384" t="s">
        <v>14</v>
      </c>
      <c r="E7384" t="s">
        <v>9772</v>
      </c>
    </row>
    <row r="7385" spans="1:6" x14ac:dyDescent="0.25">
      <c r="A7385" t="str">
        <f>"421200277196"</f>
        <v>421200277196</v>
      </c>
      <c r="B7385" t="s">
        <v>10178</v>
      </c>
      <c r="C7385" t="s">
        <v>7</v>
      </c>
      <c r="D7385" t="s">
        <v>14</v>
      </c>
      <c r="E7385" t="s">
        <v>9772</v>
      </c>
    </row>
    <row r="7386" spans="1:6" x14ac:dyDescent="0.25">
      <c r="A7386" t="str">
        <f>"4212032604"</f>
        <v>4212032604</v>
      </c>
      <c r="B7386" t="s">
        <v>10179</v>
      </c>
      <c r="C7386" t="s">
        <v>7</v>
      </c>
      <c r="D7386" t="s">
        <v>14</v>
      </c>
      <c r="E7386" t="s">
        <v>9772</v>
      </c>
      <c r="F7386" t="s">
        <v>10180</v>
      </c>
    </row>
    <row r="7387" spans="1:6" x14ac:dyDescent="0.25">
      <c r="A7387" t="str">
        <f>"421215304036"</f>
        <v>421215304036</v>
      </c>
      <c r="B7387" t="s">
        <v>10181</v>
      </c>
      <c r="C7387" t="s">
        <v>7</v>
      </c>
      <c r="D7387" t="s">
        <v>14</v>
      </c>
      <c r="E7387" t="s">
        <v>9772</v>
      </c>
    </row>
    <row r="7388" spans="1:6" x14ac:dyDescent="0.25">
      <c r="A7388" t="str">
        <f>"421300099807"</f>
        <v>421300099807</v>
      </c>
      <c r="B7388" t="s">
        <v>10182</v>
      </c>
      <c r="C7388" t="s">
        <v>7</v>
      </c>
      <c r="D7388" t="s">
        <v>14</v>
      </c>
      <c r="E7388" t="s">
        <v>9772</v>
      </c>
    </row>
    <row r="7389" spans="1:6" x14ac:dyDescent="0.25">
      <c r="A7389" t="str">
        <f>"421406725099"</f>
        <v>421406725099</v>
      </c>
      <c r="B7389" t="s">
        <v>10183</v>
      </c>
      <c r="C7389" t="s">
        <v>7</v>
      </c>
      <c r="D7389" t="s">
        <v>14</v>
      </c>
      <c r="E7389" t="s">
        <v>9772</v>
      </c>
    </row>
    <row r="7390" spans="1:6" x14ac:dyDescent="0.25">
      <c r="A7390" t="str">
        <f>"421500873062"</f>
        <v>421500873062</v>
      </c>
      <c r="B7390" t="s">
        <v>10184</v>
      </c>
      <c r="C7390" t="s">
        <v>7</v>
      </c>
      <c r="D7390" t="s">
        <v>14</v>
      </c>
      <c r="E7390" t="s">
        <v>9772</v>
      </c>
    </row>
    <row r="7391" spans="1:6" x14ac:dyDescent="0.25">
      <c r="A7391" t="str">
        <f>"421502024530"</f>
        <v>421502024530</v>
      </c>
      <c r="B7391" t="s">
        <v>10185</v>
      </c>
      <c r="C7391" t="s">
        <v>7</v>
      </c>
      <c r="D7391" t="s">
        <v>14</v>
      </c>
      <c r="E7391" t="s">
        <v>9772</v>
      </c>
    </row>
    <row r="7392" spans="1:6" x14ac:dyDescent="0.25">
      <c r="A7392" t="str">
        <f>"421503027798"</f>
        <v>421503027798</v>
      </c>
      <c r="B7392" t="s">
        <v>10186</v>
      </c>
      <c r="C7392" t="s">
        <v>7</v>
      </c>
      <c r="D7392" t="s">
        <v>14</v>
      </c>
      <c r="E7392" t="s">
        <v>9772</v>
      </c>
    </row>
    <row r="7393" spans="1:6" x14ac:dyDescent="0.25">
      <c r="A7393" t="str">
        <f>"430201280630"</f>
        <v>430201280630</v>
      </c>
      <c r="B7393" t="s">
        <v>10187</v>
      </c>
      <c r="C7393" t="s">
        <v>7</v>
      </c>
      <c r="D7393" t="s">
        <v>14</v>
      </c>
      <c r="E7393" t="s">
        <v>10188</v>
      </c>
    </row>
    <row r="7394" spans="1:6" x14ac:dyDescent="0.25">
      <c r="A7394" t="str">
        <f>"4303002893"</f>
        <v>4303002893</v>
      </c>
      <c r="B7394" t="s">
        <v>10189</v>
      </c>
      <c r="C7394" t="s">
        <v>7</v>
      </c>
      <c r="D7394" t="s">
        <v>14</v>
      </c>
      <c r="E7394" t="s">
        <v>10188</v>
      </c>
      <c r="F7394" t="s">
        <v>10190</v>
      </c>
    </row>
    <row r="7395" spans="1:6" x14ac:dyDescent="0.25">
      <c r="A7395" t="str">
        <f>"430301396740"</f>
        <v>430301396740</v>
      </c>
      <c r="B7395" t="s">
        <v>10191</v>
      </c>
      <c r="C7395" t="s">
        <v>7</v>
      </c>
      <c r="D7395" t="s">
        <v>14</v>
      </c>
      <c r="E7395" t="s">
        <v>10188</v>
      </c>
    </row>
    <row r="7396" spans="1:6" x14ac:dyDescent="0.25">
      <c r="A7396" t="str">
        <f>"4305002296"</f>
        <v>4305002296</v>
      </c>
      <c r="B7396" t="s">
        <v>10192</v>
      </c>
      <c r="C7396" t="s">
        <v>7</v>
      </c>
      <c r="D7396" t="s">
        <v>14</v>
      </c>
      <c r="E7396" t="s">
        <v>10188</v>
      </c>
      <c r="F7396" t="s">
        <v>10193</v>
      </c>
    </row>
    <row r="7397" spans="1:6" x14ac:dyDescent="0.25">
      <c r="A7397" t="str">
        <f>"430600857936"</f>
        <v>430600857936</v>
      </c>
      <c r="B7397" t="s">
        <v>10194</v>
      </c>
      <c r="C7397" t="s">
        <v>7</v>
      </c>
      <c r="D7397" t="s">
        <v>14</v>
      </c>
      <c r="E7397" t="s">
        <v>10188</v>
      </c>
    </row>
    <row r="7398" spans="1:6" x14ac:dyDescent="0.25">
      <c r="A7398" t="str">
        <f>"430701670042"</f>
        <v>430701670042</v>
      </c>
      <c r="B7398" t="s">
        <v>10195</v>
      </c>
      <c r="C7398" t="s">
        <v>7</v>
      </c>
      <c r="D7398" t="s">
        <v>14</v>
      </c>
      <c r="E7398" t="s">
        <v>10188</v>
      </c>
    </row>
    <row r="7399" spans="1:6" x14ac:dyDescent="0.25">
      <c r="A7399" t="str">
        <f>"430704783132"</f>
        <v>430704783132</v>
      </c>
      <c r="B7399" t="s">
        <v>10196</v>
      </c>
      <c r="C7399" t="s">
        <v>7</v>
      </c>
      <c r="D7399" t="s">
        <v>14</v>
      </c>
      <c r="E7399" t="s">
        <v>10188</v>
      </c>
    </row>
    <row r="7400" spans="1:6" x14ac:dyDescent="0.25">
      <c r="A7400" t="str">
        <f>"430200077674"</f>
        <v>430200077674</v>
      </c>
      <c r="B7400" t="s">
        <v>10197</v>
      </c>
      <c r="C7400" t="s">
        <v>7</v>
      </c>
      <c r="D7400" t="s">
        <v>14</v>
      </c>
      <c r="E7400" t="s">
        <v>10188</v>
      </c>
    </row>
    <row r="7401" spans="1:6" x14ac:dyDescent="0.25">
      <c r="A7401" t="str">
        <f>"430201161495"</f>
        <v>430201161495</v>
      </c>
      <c r="B7401" t="s">
        <v>10198</v>
      </c>
      <c r="C7401" t="s">
        <v>7</v>
      </c>
      <c r="D7401" t="s">
        <v>14</v>
      </c>
      <c r="E7401" t="s">
        <v>10188</v>
      </c>
    </row>
    <row r="7402" spans="1:6" x14ac:dyDescent="0.25">
      <c r="A7402" t="str">
        <f>"430500016030"</f>
        <v>430500016030</v>
      </c>
      <c r="B7402" t="s">
        <v>10199</v>
      </c>
      <c r="C7402" t="s">
        <v>7</v>
      </c>
      <c r="D7402" t="s">
        <v>14</v>
      </c>
      <c r="E7402" t="s">
        <v>10188</v>
      </c>
    </row>
    <row r="7403" spans="1:6" x14ac:dyDescent="0.25">
      <c r="A7403" t="str">
        <f>"4305005794"</f>
        <v>4305005794</v>
      </c>
      <c r="B7403" t="s">
        <v>10200</v>
      </c>
      <c r="C7403" t="s">
        <v>7</v>
      </c>
      <c r="D7403" t="s">
        <v>12</v>
      </c>
      <c r="E7403" t="s">
        <v>10188</v>
      </c>
      <c r="F7403" t="s">
        <v>10201</v>
      </c>
    </row>
    <row r="7404" spans="1:6" x14ac:dyDescent="0.25">
      <c r="A7404" t="str">
        <f>"430501993110"</f>
        <v>430501993110</v>
      </c>
      <c r="B7404" t="s">
        <v>10202</v>
      </c>
      <c r="C7404" t="s">
        <v>7</v>
      </c>
      <c r="D7404" t="s">
        <v>14</v>
      </c>
      <c r="E7404" t="s">
        <v>10188</v>
      </c>
    </row>
    <row r="7405" spans="1:6" x14ac:dyDescent="0.25">
      <c r="A7405" t="str">
        <f>"431100026290"</f>
        <v>431100026290</v>
      </c>
      <c r="B7405" t="s">
        <v>10203</v>
      </c>
      <c r="C7405" t="s">
        <v>7</v>
      </c>
      <c r="D7405" t="s">
        <v>14</v>
      </c>
      <c r="E7405" t="s">
        <v>10188</v>
      </c>
    </row>
    <row r="7406" spans="1:6" x14ac:dyDescent="0.25">
      <c r="A7406" t="str">
        <f>"431100478138"</f>
        <v>431100478138</v>
      </c>
      <c r="B7406" t="s">
        <v>10204</v>
      </c>
      <c r="C7406" t="s">
        <v>7</v>
      </c>
      <c r="D7406" t="s">
        <v>14</v>
      </c>
      <c r="E7406" t="s">
        <v>10188</v>
      </c>
    </row>
    <row r="7407" spans="1:6" x14ac:dyDescent="0.25">
      <c r="A7407" t="str">
        <f>"431200132817"</f>
        <v>431200132817</v>
      </c>
      <c r="B7407" t="s">
        <v>10205</v>
      </c>
      <c r="C7407" t="s">
        <v>7</v>
      </c>
      <c r="D7407" t="s">
        <v>14</v>
      </c>
      <c r="E7407" t="s">
        <v>10188</v>
      </c>
    </row>
    <row r="7408" spans="1:6" x14ac:dyDescent="0.25">
      <c r="A7408" t="str">
        <f>"430701828201"</f>
        <v>430701828201</v>
      </c>
      <c r="B7408" t="s">
        <v>10206</v>
      </c>
      <c r="C7408" t="s">
        <v>7</v>
      </c>
      <c r="D7408" t="s">
        <v>14</v>
      </c>
      <c r="E7408" t="s">
        <v>10188</v>
      </c>
    </row>
    <row r="7409" spans="1:6" x14ac:dyDescent="0.25">
      <c r="A7409" t="str">
        <f>"430705901780"</f>
        <v>430705901780</v>
      </c>
      <c r="B7409" t="s">
        <v>10207</v>
      </c>
      <c r="C7409" t="s">
        <v>7</v>
      </c>
      <c r="D7409" t="s">
        <v>14</v>
      </c>
      <c r="E7409" t="s">
        <v>10188</v>
      </c>
    </row>
    <row r="7410" spans="1:6" x14ac:dyDescent="0.25">
      <c r="A7410" t="str">
        <f>"432201458203"</f>
        <v>432201458203</v>
      </c>
      <c r="B7410" t="s">
        <v>10208</v>
      </c>
      <c r="C7410" t="s">
        <v>7</v>
      </c>
      <c r="D7410" t="s">
        <v>14</v>
      </c>
      <c r="E7410" t="s">
        <v>10188</v>
      </c>
    </row>
    <row r="7411" spans="1:6" x14ac:dyDescent="0.25">
      <c r="A7411" t="str">
        <f>"432500944434"</f>
        <v>432500944434</v>
      </c>
      <c r="B7411" t="s">
        <v>10209</v>
      </c>
      <c r="C7411" t="s">
        <v>7</v>
      </c>
      <c r="D7411" t="s">
        <v>33</v>
      </c>
      <c r="E7411" t="s">
        <v>10188</v>
      </c>
    </row>
    <row r="7412" spans="1:6" x14ac:dyDescent="0.25">
      <c r="A7412" t="str">
        <f>"4329015632"</f>
        <v>4329015632</v>
      </c>
      <c r="B7412" t="s">
        <v>10210</v>
      </c>
      <c r="C7412" t="s">
        <v>7</v>
      </c>
      <c r="D7412" t="s">
        <v>14</v>
      </c>
      <c r="E7412" t="s">
        <v>10188</v>
      </c>
      <c r="F7412" t="s">
        <v>10211</v>
      </c>
    </row>
    <row r="7413" spans="1:6" x14ac:dyDescent="0.25">
      <c r="A7413" t="str">
        <f>"4331002694"</f>
        <v>4331002694</v>
      </c>
      <c r="B7413" t="s">
        <v>10212</v>
      </c>
      <c r="C7413" t="s">
        <v>7</v>
      </c>
      <c r="D7413" t="s">
        <v>14</v>
      </c>
      <c r="E7413" t="s">
        <v>10188</v>
      </c>
      <c r="F7413" t="s">
        <v>10213</v>
      </c>
    </row>
    <row r="7414" spans="1:6" x14ac:dyDescent="0.25">
      <c r="A7414" t="str">
        <f>"433100579147"</f>
        <v>433100579147</v>
      </c>
      <c r="B7414" t="s">
        <v>10214</v>
      </c>
      <c r="C7414" t="s">
        <v>7</v>
      </c>
      <c r="D7414" t="s">
        <v>14</v>
      </c>
      <c r="E7414" t="s">
        <v>10188</v>
      </c>
    </row>
    <row r="7415" spans="1:6" x14ac:dyDescent="0.25">
      <c r="A7415" t="str">
        <f>"433802336272"</f>
        <v>433802336272</v>
      </c>
      <c r="B7415" t="s">
        <v>10215</v>
      </c>
      <c r="C7415" t="s">
        <v>7</v>
      </c>
      <c r="D7415" t="s">
        <v>14</v>
      </c>
      <c r="E7415" t="s">
        <v>10188</v>
      </c>
    </row>
    <row r="7416" spans="1:6" x14ac:dyDescent="0.25">
      <c r="A7416" t="str">
        <f>"433901671948"</f>
        <v>433901671948</v>
      </c>
      <c r="B7416" t="s">
        <v>10216</v>
      </c>
      <c r="C7416" t="s">
        <v>7</v>
      </c>
      <c r="D7416" t="s">
        <v>14</v>
      </c>
      <c r="E7416" t="s">
        <v>10188</v>
      </c>
    </row>
    <row r="7417" spans="1:6" x14ac:dyDescent="0.25">
      <c r="A7417" t="str">
        <f>"433903887406"</f>
        <v>433903887406</v>
      </c>
      <c r="B7417" t="s">
        <v>10217</v>
      </c>
      <c r="C7417" t="s">
        <v>7</v>
      </c>
      <c r="D7417" t="s">
        <v>14</v>
      </c>
      <c r="E7417" t="s">
        <v>10188</v>
      </c>
    </row>
    <row r="7418" spans="1:6" x14ac:dyDescent="0.25">
      <c r="A7418" t="str">
        <f>"4341000350"</f>
        <v>4341000350</v>
      </c>
      <c r="B7418" t="s">
        <v>10218</v>
      </c>
      <c r="C7418" t="s">
        <v>7</v>
      </c>
      <c r="D7418" t="s">
        <v>14</v>
      </c>
      <c r="E7418" t="s">
        <v>10188</v>
      </c>
      <c r="F7418" t="s">
        <v>10219</v>
      </c>
    </row>
    <row r="7419" spans="1:6" x14ac:dyDescent="0.25">
      <c r="A7419" t="str">
        <f>"434100303454"</f>
        <v>434100303454</v>
      </c>
      <c r="B7419" t="s">
        <v>10220</v>
      </c>
      <c r="C7419" t="s">
        <v>7</v>
      </c>
      <c r="D7419" t="s">
        <v>14</v>
      </c>
      <c r="E7419" t="s">
        <v>10188</v>
      </c>
    </row>
    <row r="7420" spans="1:6" x14ac:dyDescent="0.25">
      <c r="A7420" t="str">
        <f>"434500233515"</f>
        <v>434500233515</v>
      </c>
      <c r="B7420" t="s">
        <v>10221</v>
      </c>
      <c r="C7420" t="s">
        <v>7</v>
      </c>
      <c r="D7420" t="s">
        <v>12</v>
      </c>
      <c r="E7420" t="s">
        <v>10188</v>
      </c>
    </row>
    <row r="7421" spans="1:6" x14ac:dyDescent="0.25">
      <c r="A7421" t="str">
        <f>"4345218848"</f>
        <v>4345218848</v>
      </c>
      <c r="B7421" t="s">
        <v>10222</v>
      </c>
      <c r="C7421" t="s">
        <v>7</v>
      </c>
      <c r="D7421" t="s">
        <v>14</v>
      </c>
      <c r="E7421" t="s">
        <v>10188</v>
      </c>
      <c r="F7421" t="s">
        <v>10223</v>
      </c>
    </row>
    <row r="7422" spans="1:6" x14ac:dyDescent="0.25">
      <c r="A7422" t="str">
        <f>"434522394121"</f>
        <v>434522394121</v>
      </c>
      <c r="B7422" t="s">
        <v>10224</v>
      </c>
      <c r="C7422" t="s">
        <v>7</v>
      </c>
      <c r="D7422" t="s">
        <v>33</v>
      </c>
      <c r="E7422" t="s">
        <v>10188</v>
      </c>
    </row>
    <row r="7423" spans="1:6" x14ac:dyDescent="0.25">
      <c r="A7423" t="str">
        <f>"4345236660"</f>
        <v>4345236660</v>
      </c>
      <c r="B7423" t="s">
        <v>10225</v>
      </c>
      <c r="C7423" t="s">
        <v>7</v>
      </c>
      <c r="D7423" t="s">
        <v>14</v>
      </c>
      <c r="E7423" t="s">
        <v>10188</v>
      </c>
      <c r="F7423" t="s">
        <v>10226</v>
      </c>
    </row>
    <row r="7424" spans="1:6" x14ac:dyDescent="0.25">
      <c r="A7424" t="str">
        <f>"4345244904"</f>
        <v>4345244904</v>
      </c>
      <c r="B7424" t="s">
        <v>10227</v>
      </c>
      <c r="C7424" t="s">
        <v>7</v>
      </c>
      <c r="D7424" t="s">
        <v>14</v>
      </c>
      <c r="E7424" t="s">
        <v>10188</v>
      </c>
      <c r="F7424" t="s">
        <v>10228</v>
      </c>
    </row>
    <row r="7425" spans="1:6" x14ac:dyDescent="0.25">
      <c r="A7425" t="str">
        <f>"4345305554"</f>
        <v>4345305554</v>
      </c>
      <c r="B7425" t="s">
        <v>10229</v>
      </c>
      <c r="C7425" t="s">
        <v>7</v>
      </c>
      <c r="D7425" t="s">
        <v>14</v>
      </c>
      <c r="E7425" t="s">
        <v>10188</v>
      </c>
      <c r="F7425" t="s">
        <v>10230</v>
      </c>
    </row>
    <row r="7426" spans="1:6" x14ac:dyDescent="0.25">
      <c r="A7426" t="str">
        <f>"4345327438"</f>
        <v>4345327438</v>
      </c>
      <c r="B7426" t="s">
        <v>10231</v>
      </c>
      <c r="C7426" t="s">
        <v>7</v>
      </c>
      <c r="D7426" t="s">
        <v>12</v>
      </c>
      <c r="E7426" t="s">
        <v>10188</v>
      </c>
      <c r="F7426" t="s">
        <v>10232</v>
      </c>
    </row>
    <row r="7427" spans="1:6" x14ac:dyDescent="0.25">
      <c r="A7427" t="str">
        <f>"4345363690"</f>
        <v>4345363690</v>
      </c>
      <c r="B7427" t="s">
        <v>10233</v>
      </c>
      <c r="C7427" t="s">
        <v>7</v>
      </c>
      <c r="D7427" t="s">
        <v>12</v>
      </c>
      <c r="E7427" t="s">
        <v>10188</v>
      </c>
      <c r="F7427" t="s">
        <v>10230</v>
      </c>
    </row>
    <row r="7428" spans="1:6" x14ac:dyDescent="0.25">
      <c r="A7428" t="str">
        <f>"4345374477"</f>
        <v>4345374477</v>
      </c>
      <c r="B7428" t="s">
        <v>10234</v>
      </c>
      <c r="C7428" t="s">
        <v>7</v>
      </c>
      <c r="D7428" t="s">
        <v>674</v>
      </c>
      <c r="E7428" t="s">
        <v>10188</v>
      </c>
      <c r="F7428" t="s">
        <v>10235</v>
      </c>
    </row>
    <row r="7429" spans="1:6" x14ac:dyDescent="0.25">
      <c r="A7429" t="str">
        <f>"434538149301"</f>
        <v>434538149301</v>
      </c>
      <c r="B7429" t="s">
        <v>10236</v>
      </c>
      <c r="C7429" t="s">
        <v>7</v>
      </c>
      <c r="D7429" t="s">
        <v>12</v>
      </c>
      <c r="E7429" t="s">
        <v>10188</v>
      </c>
    </row>
    <row r="7430" spans="1:6" x14ac:dyDescent="0.25">
      <c r="A7430" t="str">
        <f>"434539321795"</f>
        <v>434539321795</v>
      </c>
      <c r="B7430" t="s">
        <v>10237</v>
      </c>
      <c r="C7430" t="s">
        <v>7</v>
      </c>
      <c r="D7430" t="s">
        <v>14</v>
      </c>
      <c r="E7430" t="s">
        <v>10188</v>
      </c>
    </row>
    <row r="7431" spans="1:6" x14ac:dyDescent="0.25">
      <c r="A7431" t="str">
        <f>"4345399859"</f>
        <v>4345399859</v>
      </c>
      <c r="B7431" t="s">
        <v>10238</v>
      </c>
      <c r="C7431" t="s">
        <v>7</v>
      </c>
      <c r="D7431" t="s">
        <v>12</v>
      </c>
      <c r="E7431" t="s">
        <v>10188</v>
      </c>
      <c r="F7431" t="s">
        <v>10239</v>
      </c>
    </row>
    <row r="7432" spans="1:6" x14ac:dyDescent="0.25">
      <c r="A7432" t="str">
        <f>"4345405823"</f>
        <v>4345405823</v>
      </c>
      <c r="B7432" t="s">
        <v>10240</v>
      </c>
      <c r="C7432" t="s">
        <v>7</v>
      </c>
      <c r="D7432" t="s">
        <v>463</v>
      </c>
      <c r="E7432" t="s">
        <v>10188</v>
      </c>
      <c r="F7432" t="s">
        <v>10241</v>
      </c>
    </row>
    <row r="7433" spans="1:6" x14ac:dyDescent="0.25">
      <c r="A7433" t="str">
        <f>"434541431065"</f>
        <v>434541431065</v>
      </c>
      <c r="B7433" t="s">
        <v>10242</v>
      </c>
      <c r="C7433" t="s">
        <v>7</v>
      </c>
      <c r="D7433" t="s">
        <v>12</v>
      </c>
      <c r="E7433" t="s">
        <v>10188</v>
      </c>
    </row>
    <row r="7434" spans="1:6" x14ac:dyDescent="0.25">
      <c r="A7434" t="str">
        <f>"4345420980"</f>
        <v>4345420980</v>
      </c>
      <c r="B7434" t="s">
        <v>4141</v>
      </c>
      <c r="C7434" t="s">
        <v>7</v>
      </c>
      <c r="D7434" t="s">
        <v>33</v>
      </c>
      <c r="E7434" t="s">
        <v>10188</v>
      </c>
      <c r="F7434" t="s">
        <v>10243</v>
      </c>
    </row>
    <row r="7435" spans="1:6" x14ac:dyDescent="0.25">
      <c r="A7435" t="str">
        <f>"4345429976"</f>
        <v>4345429976</v>
      </c>
      <c r="B7435" t="s">
        <v>10244</v>
      </c>
      <c r="C7435" t="s">
        <v>7</v>
      </c>
      <c r="D7435" t="s">
        <v>12</v>
      </c>
      <c r="E7435" t="s">
        <v>10188</v>
      </c>
      <c r="F7435" t="s">
        <v>10232</v>
      </c>
    </row>
    <row r="7436" spans="1:6" x14ac:dyDescent="0.25">
      <c r="A7436" t="str">
        <f>"4345433274"</f>
        <v>4345433274</v>
      </c>
      <c r="B7436" t="s">
        <v>10245</v>
      </c>
      <c r="C7436" t="s">
        <v>7</v>
      </c>
      <c r="D7436" t="s">
        <v>12</v>
      </c>
      <c r="E7436" t="s">
        <v>10188</v>
      </c>
      <c r="F7436" t="s">
        <v>10246</v>
      </c>
    </row>
    <row r="7437" spans="1:6" x14ac:dyDescent="0.25">
      <c r="A7437" t="str">
        <f>"434544185202"</f>
        <v>434544185202</v>
      </c>
      <c r="B7437" t="s">
        <v>10247</v>
      </c>
      <c r="C7437" t="s">
        <v>7</v>
      </c>
      <c r="D7437" t="s">
        <v>14</v>
      </c>
      <c r="E7437" t="s">
        <v>10188</v>
      </c>
    </row>
    <row r="7438" spans="1:6" x14ac:dyDescent="0.25">
      <c r="A7438" t="str">
        <f>"4345449690"</f>
        <v>4345449690</v>
      </c>
      <c r="B7438" t="s">
        <v>10248</v>
      </c>
      <c r="C7438" t="s">
        <v>7</v>
      </c>
      <c r="D7438" t="s">
        <v>33</v>
      </c>
      <c r="E7438" t="s">
        <v>10188</v>
      </c>
      <c r="F7438" t="s">
        <v>10249</v>
      </c>
    </row>
    <row r="7439" spans="1:6" x14ac:dyDescent="0.25">
      <c r="A7439" t="str">
        <f>"4345460920"</f>
        <v>4345460920</v>
      </c>
      <c r="B7439" t="s">
        <v>10250</v>
      </c>
      <c r="C7439" t="s">
        <v>7</v>
      </c>
      <c r="D7439" t="s">
        <v>98</v>
      </c>
      <c r="E7439" t="s">
        <v>10188</v>
      </c>
      <c r="F7439" t="s">
        <v>10251</v>
      </c>
    </row>
    <row r="7440" spans="1:6" x14ac:dyDescent="0.25">
      <c r="A7440" t="str">
        <f>"4345461666"</f>
        <v>4345461666</v>
      </c>
      <c r="B7440" t="s">
        <v>10252</v>
      </c>
      <c r="C7440" t="s">
        <v>7</v>
      </c>
      <c r="D7440" t="s">
        <v>14</v>
      </c>
      <c r="E7440" t="s">
        <v>10188</v>
      </c>
      <c r="F7440" t="s">
        <v>10253</v>
      </c>
    </row>
    <row r="7441" spans="1:6" x14ac:dyDescent="0.25">
      <c r="A7441" t="str">
        <f>"434546852437"</f>
        <v>434546852437</v>
      </c>
      <c r="B7441" t="s">
        <v>10254</v>
      </c>
      <c r="C7441" t="s">
        <v>7</v>
      </c>
      <c r="D7441" t="s">
        <v>14</v>
      </c>
      <c r="E7441" t="s">
        <v>10188</v>
      </c>
    </row>
    <row r="7442" spans="1:6" x14ac:dyDescent="0.25">
      <c r="A7442" t="str">
        <f>"4345475517"</f>
        <v>4345475517</v>
      </c>
      <c r="B7442" t="s">
        <v>10255</v>
      </c>
      <c r="C7442" t="s">
        <v>7</v>
      </c>
      <c r="D7442" t="s">
        <v>8</v>
      </c>
      <c r="E7442" t="s">
        <v>10188</v>
      </c>
      <c r="F7442" t="s">
        <v>10256</v>
      </c>
    </row>
    <row r="7443" spans="1:6" x14ac:dyDescent="0.25">
      <c r="A7443" t="str">
        <f>"434547841004"</f>
        <v>434547841004</v>
      </c>
      <c r="B7443" t="s">
        <v>10257</v>
      </c>
      <c r="C7443" t="s">
        <v>7</v>
      </c>
      <c r="D7443" t="s">
        <v>14</v>
      </c>
      <c r="E7443" t="s">
        <v>10188</v>
      </c>
    </row>
    <row r="7444" spans="1:6" x14ac:dyDescent="0.25">
      <c r="A7444" t="str">
        <f>"434562660309"</f>
        <v>434562660309</v>
      </c>
      <c r="B7444" t="s">
        <v>10258</v>
      </c>
      <c r="C7444" t="s">
        <v>7</v>
      </c>
      <c r="D7444" t="s">
        <v>14</v>
      </c>
      <c r="E7444" t="s">
        <v>10188</v>
      </c>
    </row>
    <row r="7445" spans="1:6" x14ac:dyDescent="0.25">
      <c r="A7445" t="str">
        <f>"434600058105"</f>
        <v>434600058105</v>
      </c>
      <c r="B7445" t="s">
        <v>10259</v>
      </c>
      <c r="C7445" t="s">
        <v>7</v>
      </c>
      <c r="D7445" t="s">
        <v>14</v>
      </c>
      <c r="E7445" t="s">
        <v>10188</v>
      </c>
    </row>
    <row r="7446" spans="1:6" x14ac:dyDescent="0.25">
      <c r="A7446" t="str">
        <f>"434600742033"</f>
        <v>434600742033</v>
      </c>
      <c r="B7446" t="s">
        <v>10260</v>
      </c>
      <c r="C7446" t="s">
        <v>7</v>
      </c>
      <c r="D7446" t="s">
        <v>33</v>
      </c>
      <c r="E7446" t="s">
        <v>10188</v>
      </c>
    </row>
    <row r="7447" spans="1:6" x14ac:dyDescent="0.25">
      <c r="A7447" t="str">
        <f>"434601431295"</f>
        <v>434601431295</v>
      </c>
      <c r="B7447" t="s">
        <v>10261</v>
      </c>
      <c r="C7447" t="s">
        <v>7</v>
      </c>
      <c r="D7447" t="s">
        <v>12</v>
      </c>
      <c r="E7447" t="s">
        <v>10188</v>
      </c>
    </row>
    <row r="7448" spans="1:6" x14ac:dyDescent="0.25">
      <c r="A7448" t="str">
        <f>"4346041826"</f>
        <v>4346041826</v>
      </c>
      <c r="B7448" t="s">
        <v>10262</v>
      </c>
      <c r="C7448" t="s">
        <v>7</v>
      </c>
      <c r="D7448" t="s">
        <v>33</v>
      </c>
      <c r="E7448" t="s">
        <v>10188</v>
      </c>
      <c r="F7448" t="s">
        <v>10263</v>
      </c>
    </row>
    <row r="7449" spans="1:6" x14ac:dyDescent="0.25">
      <c r="A7449" t="str">
        <f>"4346043608"</f>
        <v>4346043608</v>
      </c>
      <c r="B7449" t="s">
        <v>10264</v>
      </c>
      <c r="C7449" t="s">
        <v>7</v>
      </c>
      <c r="D7449" t="s">
        <v>14</v>
      </c>
      <c r="E7449" t="s">
        <v>10188</v>
      </c>
      <c r="F7449" t="s">
        <v>10265</v>
      </c>
    </row>
    <row r="7450" spans="1:6" x14ac:dyDescent="0.25">
      <c r="A7450" t="str">
        <f>"4346052828"</f>
        <v>4346052828</v>
      </c>
      <c r="B7450" t="s">
        <v>10266</v>
      </c>
      <c r="C7450" t="s">
        <v>7</v>
      </c>
      <c r="D7450" t="s">
        <v>33</v>
      </c>
      <c r="E7450" t="s">
        <v>10188</v>
      </c>
      <c r="F7450" t="s">
        <v>10267</v>
      </c>
    </row>
    <row r="7451" spans="1:6" x14ac:dyDescent="0.25">
      <c r="A7451" t="str">
        <f>"434700728152"</f>
        <v>434700728152</v>
      </c>
      <c r="B7451" t="s">
        <v>10268</v>
      </c>
      <c r="C7451" t="s">
        <v>7</v>
      </c>
      <c r="D7451" t="s">
        <v>12</v>
      </c>
      <c r="E7451" t="s">
        <v>10188</v>
      </c>
    </row>
    <row r="7452" spans="1:6" x14ac:dyDescent="0.25">
      <c r="A7452" t="str">
        <f>"434700818984"</f>
        <v>434700818984</v>
      </c>
      <c r="B7452" t="s">
        <v>10269</v>
      </c>
      <c r="C7452" t="s">
        <v>7</v>
      </c>
      <c r="D7452" t="s">
        <v>14</v>
      </c>
      <c r="E7452" t="s">
        <v>10188</v>
      </c>
    </row>
    <row r="7453" spans="1:6" x14ac:dyDescent="0.25">
      <c r="A7453" t="str">
        <f>"4309007062"</f>
        <v>4309007062</v>
      </c>
      <c r="B7453" t="s">
        <v>10270</v>
      </c>
      <c r="C7453" t="s">
        <v>7</v>
      </c>
      <c r="D7453" t="s">
        <v>14</v>
      </c>
      <c r="E7453" t="s">
        <v>10188</v>
      </c>
      <c r="F7453" t="s">
        <v>10271</v>
      </c>
    </row>
    <row r="7454" spans="1:6" x14ac:dyDescent="0.25">
      <c r="A7454" t="str">
        <f>"430901847770"</f>
        <v>430901847770</v>
      </c>
      <c r="B7454" t="s">
        <v>10272</v>
      </c>
      <c r="C7454" t="s">
        <v>7</v>
      </c>
      <c r="D7454" t="s">
        <v>14</v>
      </c>
      <c r="E7454" t="s">
        <v>10188</v>
      </c>
    </row>
    <row r="7455" spans="1:6" x14ac:dyDescent="0.25">
      <c r="A7455" t="str">
        <f>"4311000272"</f>
        <v>4311000272</v>
      </c>
      <c r="B7455" t="s">
        <v>10273</v>
      </c>
      <c r="C7455" t="s">
        <v>7</v>
      </c>
      <c r="D7455" t="s">
        <v>14</v>
      </c>
      <c r="E7455" t="s">
        <v>10188</v>
      </c>
      <c r="F7455" t="s">
        <v>10274</v>
      </c>
    </row>
    <row r="7456" spans="1:6" x14ac:dyDescent="0.25">
      <c r="A7456" t="str">
        <f>"431201910690"</f>
        <v>431201910690</v>
      </c>
      <c r="B7456" t="s">
        <v>10275</v>
      </c>
      <c r="C7456" t="s">
        <v>7</v>
      </c>
      <c r="D7456" t="s">
        <v>33</v>
      </c>
      <c r="E7456" t="s">
        <v>10188</v>
      </c>
    </row>
    <row r="7457" spans="1:6" x14ac:dyDescent="0.25">
      <c r="A7457" t="str">
        <f>"431209989204"</f>
        <v>431209989204</v>
      </c>
      <c r="B7457" t="s">
        <v>10276</v>
      </c>
      <c r="C7457" t="s">
        <v>7</v>
      </c>
      <c r="D7457" t="s">
        <v>14</v>
      </c>
      <c r="E7457" t="s">
        <v>10188</v>
      </c>
    </row>
    <row r="7458" spans="1:6" x14ac:dyDescent="0.25">
      <c r="A7458" t="str">
        <f>"4312128282"</f>
        <v>4312128282</v>
      </c>
      <c r="B7458" t="s">
        <v>10277</v>
      </c>
      <c r="C7458" t="s">
        <v>7</v>
      </c>
      <c r="D7458" t="s">
        <v>146</v>
      </c>
      <c r="E7458" t="s">
        <v>10188</v>
      </c>
      <c r="F7458" t="s">
        <v>10278</v>
      </c>
    </row>
    <row r="7459" spans="1:6" x14ac:dyDescent="0.25">
      <c r="A7459" t="str">
        <f>"4312140219"</f>
        <v>4312140219</v>
      </c>
      <c r="B7459" t="s">
        <v>10279</v>
      </c>
      <c r="C7459" t="s">
        <v>7</v>
      </c>
      <c r="D7459" t="s">
        <v>12</v>
      </c>
      <c r="E7459" t="s">
        <v>10188</v>
      </c>
      <c r="F7459" t="s">
        <v>10280</v>
      </c>
    </row>
    <row r="7460" spans="1:6" x14ac:dyDescent="0.25">
      <c r="A7460" t="str">
        <f>"4312146820"</f>
        <v>4312146820</v>
      </c>
      <c r="B7460" t="s">
        <v>10281</v>
      </c>
      <c r="C7460" t="s">
        <v>7</v>
      </c>
      <c r="D7460" t="s">
        <v>33</v>
      </c>
      <c r="E7460" t="s">
        <v>10188</v>
      </c>
      <c r="F7460" t="s">
        <v>10282</v>
      </c>
    </row>
    <row r="7461" spans="1:6" x14ac:dyDescent="0.25">
      <c r="A7461" t="str">
        <f>"431310681094"</f>
        <v>431310681094</v>
      </c>
      <c r="B7461" t="s">
        <v>10283</v>
      </c>
      <c r="C7461" t="s">
        <v>7</v>
      </c>
      <c r="D7461" t="s">
        <v>14</v>
      </c>
      <c r="E7461" t="s">
        <v>10188</v>
      </c>
    </row>
    <row r="7462" spans="1:6" x14ac:dyDescent="0.25">
      <c r="A7462" t="str">
        <f>"431311283191"</f>
        <v>431311283191</v>
      </c>
      <c r="B7462" t="s">
        <v>10284</v>
      </c>
      <c r="C7462" t="s">
        <v>7</v>
      </c>
      <c r="D7462" t="s">
        <v>14</v>
      </c>
      <c r="E7462" t="s">
        <v>10188</v>
      </c>
    </row>
    <row r="7463" spans="1:6" x14ac:dyDescent="0.25">
      <c r="A7463" t="str">
        <f>"431400927641"</f>
        <v>431400927641</v>
      </c>
      <c r="B7463" t="s">
        <v>10285</v>
      </c>
      <c r="C7463" t="s">
        <v>7</v>
      </c>
      <c r="D7463" t="s">
        <v>12</v>
      </c>
      <c r="E7463" t="s">
        <v>10188</v>
      </c>
    </row>
    <row r="7464" spans="1:6" x14ac:dyDescent="0.25">
      <c r="A7464" t="str">
        <f>"431401923819"</f>
        <v>431401923819</v>
      </c>
      <c r="B7464" t="s">
        <v>10286</v>
      </c>
      <c r="C7464" t="s">
        <v>7</v>
      </c>
      <c r="D7464" t="s">
        <v>12</v>
      </c>
      <c r="E7464" t="s">
        <v>10188</v>
      </c>
    </row>
    <row r="7465" spans="1:6" x14ac:dyDescent="0.25">
      <c r="A7465" t="str">
        <f>"431600055839"</f>
        <v>431600055839</v>
      </c>
      <c r="B7465" t="s">
        <v>10287</v>
      </c>
      <c r="C7465" t="s">
        <v>7</v>
      </c>
      <c r="D7465" t="s">
        <v>14</v>
      </c>
      <c r="E7465" t="s">
        <v>10188</v>
      </c>
    </row>
    <row r="7466" spans="1:6" x14ac:dyDescent="0.25">
      <c r="A7466" t="str">
        <f>"432101311912"</f>
        <v>432101311912</v>
      </c>
      <c r="B7466" t="s">
        <v>10288</v>
      </c>
      <c r="C7466" t="s">
        <v>7</v>
      </c>
      <c r="D7466" t="s">
        <v>14</v>
      </c>
      <c r="E7466" t="s">
        <v>10188</v>
      </c>
    </row>
    <row r="7467" spans="1:6" x14ac:dyDescent="0.25">
      <c r="A7467" t="str">
        <f>"432102078458"</f>
        <v>432102078458</v>
      </c>
      <c r="B7467" t="s">
        <v>10289</v>
      </c>
      <c r="C7467" t="s">
        <v>7</v>
      </c>
      <c r="D7467" t="s">
        <v>14</v>
      </c>
      <c r="E7467" t="s">
        <v>10188</v>
      </c>
    </row>
    <row r="7468" spans="1:6" x14ac:dyDescent="0.25">
      <c r="A7468" t="str">
        <f>"432200003034"</f>
        <v>432200003034</v>
      </c>
      <c r="B7468" t="s">
        <v>10290</v>
      </c>
      <c r="C7468" t="s">
        <v>7</v>
      </c>
      <c r="D7468" t="s">
        <v>14</v>
      </c>
      <c r="E7468" t="s">
        <v>10188</v>
      </c>
    </row>
    <row r="7469" spans="1:6" x14ac:dyDescent="0.25">
      <c r="A7469" t="str">
        <f>"432200832112"</f>
        <v>432200832112</v>
      </c>
      <c r="B7469" t="s">
        <v>10291</v>
      </c>
      <c r="C7469" t="s">
        <v>7</v>
      </c>
      <c r="D7469" t="s">
        <v>14</v>
      </c>
      <c r="E7469" t="s">
        <v>10188</v>
      </c>
    </row>
    <row r="7470" spans="1:6" x14ac:dyDescent="0.25">
      <c r="A7470" t="str">
        <f>"432300001979"</f>
        <v>432300001979</v>
      </c>
      <c r="B7470" t="s">
        <v>10292</v>
      </c>
      <c r="C7470" t="s">
        <v>7</v>
      </c>
      <c r="D7470" t="s">
        <v>14</v>
      </c>
      <c r="E7470" t="s">
        <v>10188</v>
      </c>
    </row>
    <row r="7471" spans="1:6" x14ac:dyDescent="0.25">
      <c r="A7471" t="str">
        <f>"432400898858"</f>
        <v>432400898858</v>
      </c>
      <c r="B7471" t="s">
        <v>10293</v>
      </c>
      <c r="C7471" t="s">
        <v>7</v>
      </c>
      <c r="D7471" t="s">
        <v>12</v>
      </c>
      <c r="E7471" t="s">
        <v>10188</v>
      </c>
    </row>
    <row r="7472" spans="1:6" x14ac:dyDescent="0.25">
      <c r="A7472" t="str">
        <f>"432800155448"</f>
        <v>432800155448</v>
      </c>
      <c r="B7472" t="s">
        <v>10294</v>
      </c>
      <c r="C7472" t="s">
        <v>7</v>
      </c>
      <c r="D7472" t="s">
        <v>14</v>
      </c>
      <c r="E7472" t="s">
        <v>10188</v>
      </c>
    </row>
    <row r="7473" spans="1:6" x14ac:dyDescent="0.25">
      <c r="A7473" t="str">
        <f>"432905220461"</f>
        <v>432905220461</v>
      </c>
      <c r="B7473" t="s">
        <v>10295</v>
      </c>
      <c r="C7473" t="s">
        <v>7</v>
      </c>
      <c r="D7473" t="s">
        <v>14</v>
      </c>
      <c r="E7473" t="s">
        <v>10188</v>
      </c>
    </row>
    <row r="7474" spans="1:6" x14ac:dyDescent="0.25">
      <c r="A7474" t="str">
        <f>"433001131403"</f>
        <v>433001131403</v>
      </c>
      <c r="B7474" t="s">
        <v>10296</v>
      </c>
      <c r="C7474" t="s">
        <v>7</v>
      </c>
      <c r="D7474" t="s">
        <v>14</v>
      </c>
      <c r="E7474" t="s">
        <v>10188</v>
      </c>
    </row>
    <row r="7475" spans="1:6" x14ac:dyDescent="0.25">
      <c r="A7475" t="str">
        <f>"433400004894"</f>
        <v>433400004894</v>
      </c>
      <c r="B7475" t="s">
        <v>10297</v>
      </c>
      <c r="C7475" t="s">
        <v>7</v>
      </c>
      <c r="D7475" t="s">
        <v>14</v>
      </c>
      <c r="E7475" t="s">
        <v>10188</v>
      </c>
    </row>
    <row r="7476" spans="1:6" x14ac:dyDescent="0.25">
      <c r="A7476" t="str">
        <f>"433601672468"</f>
        <v>433601672468</v>
      </c>
      <c r="B7476" t="s">
        <v>10298</v>
      </c>
      <c r="C7476" t="s">
        <v>7</v>
      </c>
      <c r="D7476" t="s">
        <v>14</v>
      </c>
      <c r="E7476" t="s">
        <v>10188</v>
      </c>
    </row>
    <row r="7477" spans="1:6" x14ac:dyDescent="0.25">
      <c r="A7477" t="str">
        <f>"433802213577"</f>
        <v>433802213577</v>
      </c>
      <c r="B7477" t="s">
        <v>10299</v>
      </c>
      <c r="C7477" t="s">
        <v>7</v>
      </c>
      <c r="D7477" t="s">
        <v>12</v>
      </c>
      <c r="E7477" t="s">
        <v>10188</v>
      </c>
    </row>
    <row r="7478" spans="1:6" x14ac:dyDescent="0.25">
      <c r="A7478" t="str">
        <f>"433802407903"</f>
        <v>433802407903</v>
      </c>
      <c r="B7478" t="s">
        <v>10300</v>
      </c>
      <c r="C7478" t="s">
        <v>7</v>
      </c>
      <c r="D7478" t="s">
        <v>14</v>
      </c>
      <c r="E7478" t="s">
        <v>10188</v>
      </c>
    </row>
    <row r="7479" spans="1:6" x14ac:dyDescent="0.25">
      <c r="A7479" t="str">
        <f>"433802526058"</f>
        <v>433802526058</v>
      </c>
      <c r="B7479" t="s">
        <v>10301</v>
      </c>
      <c r="C7479" t="s">
        <v>7</v>
      </c>
      <c r="D7479" t="s">
        <v>14</v>
      </c>
      <c r="E7479" t="s">
        <v>10188</v>
      </c>
    </row>
    <row r="7480" spans="1:6" x14ac:dyDescent="0.25">
      <c r="A7480" t="str">
        <f>"433900177454"</f>
        <v>433900177454</v>
      </c>
      <c r="B7480" t="s">
        <v>10302</v>
      </c>
      <c r="C7480" t="s">
        <v>7</v>
      </c>
      <c r="D7480" t="s">
        <v>14</v>
      </c>
      <c r="E7480" t="s">
        <v>10188</v>
      </c>
    </row>
    <row r="7481" spans="1:6" x14ac:dyDescent="0.25">
      <c r="A7481" t="str">
        <f>"433901470536"</f>
        <v>433901470536</v>
      </c>
      <c r="B7481" t="s">
        <v>10303</v>
      </c>
      <c r="C7481" t="s">
        <v>7</v>
      </c>
      <c r="D7481" t="s">
        <v>14</v>
      </c>
      <c r="E7481" t="s">
        <v>10188</v>
      </c>
    </row>
    <row r="7482" spans="1:6" x14ac:dyDescent="0.25">
      <c r="A7482" t="str">
        <f>"434100312681"</f>
        <v>434100312681</v>
      </c>
      <c r="B7482" t="s">
        <v>10304</v>
      </c>
      <c r="C7482" t="s">
        <v>7</v>
      </c>
      <c r="D7482" t="s">
        <v>14</v>
      </c>
      <c r="E7482" t="s">
        <v>10188</v>
      </c>
    </row>
    <row r="7483" spans="1:6" x14ac:dyDescent="0.25">
      <c r="A7483" t="str">
        <f>"434100528786"</f>
        <v>434100528786</v>
      </c>
      <c r="B7483" t="s">
        <v>10305</v>
      </c>
      <c r="C7483" t="s">
        <v>7</v>
      </c>
      <c r="D7483" t="s">
        <v>14</v>
      </c>
      <c r="E7483" t="s">
        <v>10188</v>
      </c>
    </row>
    <row r="7484" spans="1:6" x14ac:dyDescent="0.25">
      <c r="A7484" t="str">
        <f>"434200137585"</f>
        <v>434200137585</v>
      </c>
      <c r="B7484" t="s">
        <v>10306</v>
      </c>
      <c r="C7484" t="s">
        <v>7</v>
      </c>
      <c r="D7484" t="s">
        <v>14</v>
      </c>
      <c r="E7484" t="s">
        <v>10188</v>
      </c>
    </row>
    <row r="7485" spans="1:6" x14ac:dyDescent="0.25">
      <c r="A7485" t="str">
        <f>"434500232007"</f>
        <v>434500232007</v>
      </c>
      <c r="B7485" t="s">
        <v>10307</v>
      </c>
      <c r="C7485" t="s">
        <v>7</v>
      </c>
      <c r="D7485" t="s">
        <v>14</v>
      </c>
      <c r="E7485" t="s">
        <v>10188</v>
      </c>
    </row>
    <row r="7486" spans="1:6" x14ac:dyDescent="0.25">
      <c r="A7486" t="str">
        <f>"434500316987"</f>
        <v>434500316987</v>
      </c>
      <c r="B7486" t="s">
        <v>10308</v>
      </c>
      <c r="C7486" t="s">
        <v>7</v>
      </c>
      <c r="D7486" t="s">
        <v>12</v>
      </c>
      <c r="E7486" t="s">
        <v>10188</v>
      </c>
    </row>
    <row r="7487" spans="1:6" x14ac:dyDescent="0.25">
      <c r="A7487" t="str">
        <f>"4345113147"</f>
        <v>4345113147</v>
      </c>
      <c r="B7487" t="s">
        <v>10309</v>
      </c>
      <c r="C7487" t="s">
        <v>7</v>
      </c>
      <c r="D7487" t="s">
        <v>33</v>
      </c>
      <c r="E7487" t="s">
        <v>10188</v>
      </c>
      <c r="F7487" t="s">
        <v>10310</v>
      </c>
    </row>
    <row r="7488" spans="1:6" x14ac:dyDescent="0.25">
      <c r="A7488" t="str">
        <f>"4345135077"</f>
        <v>4345135077</v>
      </c>
      <c r="B7488" t="s">
        <v>10311</v>
      </c>
      <c r="C7488" t="s">
        <v>7</v>
      </c>
      <c r="D7488" t="s">
        <v>14</v>
      </c>
      <c r="E7488" t="s">
        <v>10188</v>
      </c>
      <c r="F7488" t="s">
        <v>10312</v>
      </c>
    </row>
    <row r="7489" spans="1:6" x14ac:dyDescent="0.25">
      <c r="A7489" t="str">
        <f>"4345140060"</f>
        <v>4345140060</v>
      </c>
      <c r="B7489" t="s">
        <v>10313</v>
      </c>
      <c r="C7489" t="s">
        <v>7</v>
      </c>
      <c r="D7489" t="s">
        <v>14</v>
      </c>
      <c r="E7489" t="s">
        <v>10188</v>
      </c>
      <c r="F7489" t="s">
        <v>10314</v>
      </c>
    </row>
    <row r="7490" spans="1:6" x14ac:dyDescent="0.25">
      <c r="A7490" t="str">
        <f>"4345146329"</f>
        <v>4345146329</v>
      </c>
      <c r="B7490" t="s">
        <v>10315</v>
      </c>
      <c r="C7490" t="s">
        <v>7</v>
      </c>
      <c r="D7490" t="s">
        <v>12</v>
      </c>
      <c r="E7490" t="s">
        <v>10188</v>
      </c>
      <c r="F7490" t="s">
        <v>10316</v>
      </c>
    </row>
    <row r="7491" spans="1:6" x14ac:dyDescent="0.25">
      <c r="A7491" t="str">
        <f>"434522394690"</f>
        <v>434522394690</v>
      </c>
      <c r="B7491" t="s">
        <v>10317</v>
      </c>
      <c r="C7491" t="s">
        <v>7</v>
      </c>
      <c r="D7491" t="s">
        <v>14</v>
      </c>
      <c r="E7491" t="s">
        <v>10188</v>
      </c>
    </row>
    <row r="7492" spans="1:6" x14ac:dyDescent="0.25">
      <c r="A7492" t="str">
        <f>"434523731115"</f>
        <v>434523731115</v>
      </c>
      <c r="B7492" t="s">
        <v>10318</v>
      </c>
      <c r="C7492" t="s">
        <v>7</v>
      </c>
      <c r="D7492" t="s">
        <v>33</v>
      </c>
      <c r="E7492" t="s">
        <v>10188</v>
      </c>
    </row>
    <row r="7493" spans="1:6" x14ac:dyDescent="0.25">
      <c r="A7493" t="str">
        <f>"434527958438"</f>
        <v>434527958438</v>
      </c>
      <c r="B7493" t="s">
        <v>10319</v>
      </c>
      <c r="C7493" t="s">
        <v>7</v>
      </c>
      <c r="D7493" t="s">
        <v>14</v>
      </c>
      <c r="E7493" t="s">
        <v>10188</v>
      </c>
    </row>
    <row r="7494" spans="1:6" x14ac:dyDescent="0.25">
      <c r="A7494" t="str">
        <f>"4345342789"</f>
        <v>4345342789</v>
      </c>
      <c r="B7494" t="s">
        <v>10320</v>
      </c>
      <c r="C7494" t="s">
        <v>7</v>
      </c>
      <c r="D7494" t="s">
        <v>14</v>
      </c>
      <c r="E7494" t="s">
        <v>10188</v>
      </c>
      <c r="F7494" t="s">
        <v>10321</v>
      </c>
    </row>
    <row r="7495" spans="1:6" x14ac:dyDescent="0.25">
      <c r="A7495" t="str">
        <f>"4345350927"</f>
        <v>4345350927</v>
      </c>
      <c r="B7495" t="s">
        <v>10322</v>
      </c>
      <c r="C7495" t="s">
        <v>7</v>
      </c>
      <c r="D7495" t="s">
        <v>33</v>
      </c>
      <c r="E7495" t="s">
        <v>10188</v>
      </c>
      <c r="F7495" t="s">
        <v>10323</v>
      </c>
    </row>
    <row r="7496" spans="1:6" x14ac:dyDescent="0.25">
      <c r="A7496" t="str">
        <f>"434535213164"</f>
        <v>434535213164</v>
      </c>
      <c r="B7496" t="s">
        <v>10324</v>
      </c>
      <c r="C7496" t="s">
        <v>7</v>
      </c>
      <c r="D7496" t="s">
        <v>14</v>
      </c>
      <c r="E7496" t="s">
        <v>10188</v>
      </c>
    </row>
    <row r="7497" spans="1:6" x14ac:dyDescent="0.25">
      <c r="A7497" t="str">
        <f>"4345360347"</f>
        <v>4345360347</v>
      </c>
      <c r="B7497" t="s">
        <v>10325</v>
      </c>
      <c r="C7497" t="s">
        <v>7</v>
      </c>
      <c r="D7497" t="s">
        <v>14</v>
      </c>
      <c r="E7497" t="s">
        <v>10188</v>
      </c>
      <c r="F7497" t="s">
        <v>10326</v>
      </c>
    </row>
    <row r="7498" spans="1:6" x14ac:dyDescent="0.25">
      <c r="A7498" t="str">
        <f>"434537218055"</f>
        <v>434537218055</v>
      </c>
      <c r="B7498" t="s">
        <v>10327</v>
      </c>
      <c r="C7498" t="s">
        <v>7</v>
      </c>
      <c r="D7498" t="s">
        <v>14</v>
      </c>
      <c r="E7498" t="s">
        <v>10188</v>
      </c>
    </row>
    <row r="7499" spans="1:6" x14ac:dyDescent="0.25">
      <c r="A7499" t="str">
        <f>"4345377703"</f>
        <v>4345377703</v>
      </c>
      <c r="B7499" t="s">
        <v>10328</v>
      </c>
      <c r="C7499" t="s">
        <v>7</v>
      </c>
      <c r="D7499" t="s">
        <v>8</v>
      </c>
      <c r="E7499" t="s">
        <v>10188</v>
      </c>
      <c r="F7499" t="s">
        <v>10329</v>
      </c>
    </row>
    <row r="7500" spans="1:6" x14ac:dyDescent="0.25">
      <c r="A7500" t="str">
        <f>"4345393254"</f>
        <v>4345393254</v>
      </c>
      <c r="B7500" t="s">
        <v>10330</v>
      </c>
      <c r="C7500" t="s">
        <v>7</v>
      </c>
      <c r="D7500" t="s">
        <v>33</v>
      </c>
      <c r="E7500" t="s">
        <v>10188</v>
      </c>
      <c r="F7500" t="s">
        <v>10331</v>
      </c>
    </row>
    <row r="7501" spans="1:6" x14ac:dyDescent="0.25">
      <c r="A7501" t="str">
        <f>"4345463014"</f>
        <v>4345463014</v>
      </c>
      <c r="B7501" t="s">
        <v>10332</v>
      </c>
      <c r="C7501" t="s">
        <v>7</v>
      </c>
      <c r="D7501" t="s">
        <v>14</v>
      </c>
      <c r="E7501" t="s">
        <v>10188</v>
      </c>
      <c r="F7501" t="s">
        <v>10333</v>
      </c>
    </row>
    <row r="7502" spans="1:6" x14ac:dyDescent="0.25">
      <c r="A7502" t="str">
        <f>"4345468936"</f>
        <v>4345468936</v>
      </c>
      <c r="B7502" t="s">
        <v>10334</v>
      </c>
      <c r="C7502" t="s">
        <v>7</v>
      </c>
      <c r="D7502" t="s">
        <v>33</v>
      </c>
      <c r="E7502" t="s">
        <v>10188</v>
      </c>
      <c r="F7502" t="s">
        <v>10335</v>
      </c>
    </row>
    <row r="7503" spans="1:6" x14ac:dyDescent="0.25">
      <c r="A7503" t="str">
        <f>"4345482391"</f>
        <v>4345482391</v>
      </c>
      <c r="B7503" t="s">
        <v>10336</v>
      </c>
      <c r="C7503" t="s">
        <v>7</v>
      </c>
      <c r="D7503" t="s">
        <v>33</v>
      </c>
      <c r="E7503" t="s">
        <v>10188</v>
      </c>
      <c r="F7503" t="s">
        <v>10337</v>
      </c>
    </row>
    <row r="7504" spans="1:6" x14ac:dyDescent="0.25">
      <c r="A7504" t="str">
        <f>"4345489809"</f>
        <v>4345489809</v>
      </c>
      <c r="B7504" t="s">
        <v>10338</v>
      </c>
      <c r="C7504" t="s">
        <v>7</v>
      </c>
      <c r="D7504" t="s">
        <v>14</v>
      </c>
      <c r="E7504" t="s">
        <v>10188</v>
      </c>
      <c r="F7504" t="s">
        <v>10339</v>
      </c>
    </row>
    <row r="7505" spans="1:6" x14ac:dyDescent="0.25">
      <c r="A7505" t="str">
        <f>"4345503450"</f>
        <v>4345503450</v>
      </c>
      <c r="B7505" t="s">
        <v>10340</v>
      </c>
      <c r="C7505" t="s">
        <v>7</v>
      </c>
      <c r="D7505" t="s">
        <v>33</v>
      </c>
      <c r="E7505" t="s">
        <v>10188</v>
      </c>
      <c r="F7505" t="s">
        <v>10341</v>
      </c>
    </row>
    <row r="7506" spans="1:6" x14ac:dyDescent="0.25">
      <c r="A7506" t="str">
        <f>"4345518136"</f>
        <v>4345518136</v>
      </c>
      <c r="B7506" t="s">
        <v>1808</v>
      </c>
      <c r="C7506" t="s">
        <v>7</v>
      </c>
      <c r="D7506" t="s">
        <v>33</v>
      </c>
      <c r="E7506" t="s">
        <v>10188</v>
      </c>
      <c r="F7506" t="s">
        <v>10342</v>
      </c>
    </row>
    <row r="7507" spans="1:6" x14ac:dyDescent="0.25">
      <c r="A7507" t="str">
        <f>"4345525775"</f>
        <v>4345525775</v>
      </c>
      <c r="B7507" t="s">
        <v>10343</v>
      </c>
      <c r="C7507" t="s">
        <v>7</v>
      </c>
      <c r="D7507" t="s">
        <v>33</v>
      </c>
      <c r="E7507" t="s">
        <v>10188</v>
      </c>
      <c r="F7507" t="s">
        <v>10344</v>
      </c>
    </row>
    <row r="7508" spans="1:6" x14ac:dyDescent="0.25">
      <c r="A7508" t="str">
        <f>"434562906993"</f>
        <v>434562906993</v>
      </c>
      <c r="B7508" t="s">
        <v>10345</v>
      </c>
      <c r="C7508" t="s">
        <v>7</v>
      </c>
      <c r="D7508" t="s">
        <v>14</v>
      </c>
      <c r="E7508" t="s">
        <v>10188</v>
      </c>
    </row>
    <row r="7509" spans="1:6" x14ac:dyDescent="0.25">
      <c r="A7509" t="str">
        <f>"434579761062"</f>
        <v>434579761062</v>
      </c>
      <c r="B7509" t="s">
        <v>10346</v>
      </c>
      <c r="C7509" t="s">
        <v>7</v>
      </c>
      <c r="D7509" t="s">
        <v>14</v>
      </c>
      <c r="E7509" t="s">
        <v>10188</v>
      </c>
    </row>
    <row r="7510" spans="1:6" x14ac:dyDescent="0.25">
      <c r="A7510" t="str">
        <f>"434582459020"</f>
        <v>434582459020</v>
      </c>
      <c r="B7510" t="s">
        <v>10347</v>
      </c>
      <c r="C7510" t="s">
        <v>7</v>
      </c>
      <c r="D7510" t="s">
        <v>14</v>
      </c>
      <c r="E7510" t="s">
        <v>10188</v>
      </c>
    </row>
    <row r="7511" spans="1:6" x14ac:dyDescent="0.25">
      <c r="A7511" t="str">
        <f>"434586486120"</f>
        <v>434586486120</v>
      </c>
      <c r="B7511" t="s">
        <v>10348</v>
      </c>
      <c r="C7511" t="s">
        <v>7</v>
      </c>
      <c r="D7511" t="s">
        <v>12</v>
      </c>
      <c r="E7511" t="s">
        <v>10188</v>
      </c>
    </row>
    <row r="7512" spans="1:6" x14ac:dyDescent="0.25">
      <c r="A7512" t="str">
        <f>"434589458481"</f>
        <v>434589458481</v>
      </c>
      <c r="B7512" t="s">
        <v>10349</v>
      </c>
      <c r="C7512" t="s">
        <v>7</v>
      </c>
      <c r="D7512" t="s">
        <v>12</v>
      </c>
      <c r="E7512" t="s">
        <v>10188</v>
      </c>
    </row>
    <row r="7513" spans="1:6" x14ac:dyDescent="0.25">
      <c r="A7513" t="str">
        <f>"434601320468"</f>
        <v>434601320468</v>
      </c>
      <c r="B7513" t="s">
        <v>10350</v>
      </c>
      <c r="C7513" t="s">
        <v>7</v>
      </c>
      <c r="D7513" t="s">
        <v>12</v>
      </c>
      <c r="E7513" t="s">
        <v>10188</v>
      </c>
    </row>
    <row r="7514" spans="1:6" x14ac:dyDescent="0.25">
      <c r="A7514" t="str">
        <f>"4346033173"</f>
        <v>4346033173</v>
      </c>
      <c r="B7514" t="s">
        <v>10351</v>
      </c>
      <c r="C7514" t="s">
        <v>7</v>
      </c>
      <c r="D7514" t="s">
        <v>33</v>
      </c>
      <c r="E7514" t="s">
        <v>10188</v>
      </c>
      <c r="F7514" t="s">
        <v>10352</v>
      </c>
    </row>
    <row r="7515" spans="1:6" x14ac:dyDescent="0.25">
      <c r="A7515" t="str">
        <f>"434800295209"</f>
        <v>434800295209</v>
      </c>
      <c r="B7515" t="s">
        <v>10353</v>
      </c>
      <c r="C7515" t="s">
        <v>7</v>
      </c>
      <c r="D7515" t="s">
        <v>14</v>
      </c>
      <c r="E7515" t="s">
        <v>10188</v>
      </c>
    </row>
    <row r="7516" spans="1:6" x14ac:dyDescent="0.25">
      <c r="A7516" t="str">
        <f>"4348003456"</f>
        <v>4348003456</v>
      </c>
      <c r="B7516" t="s">
        <v>10354</v>
      </c>
      <c r="C7516" t="s">
        <v>7</v>
      </c>
      <c r="D7516" t="s">
        <v>14</v>
      </c>
      <c r="E7516" t="s">
        <v>10188</v>
      </c>
      <c r="F7516" t="s">
        <v>10232</v>
      </c>
    </row>
    <row r="7517" spans="1:6" x14ac:dyDescent="0.25">
      <c r="A7517" t="str">
        <f>"4312120283"</f>
        <v>4312120283</v>
      </c>
      <c r="B7517" t="s">
        <v>510</v>
      </c>
      <c r="C7517" t="s">
        <v>7</v>
      </c>
      <c r="D7517" t="s">
        <v>14</v>
      </c>
      <c r="E7517" t="s">
        <v>10188</v>
      </c>
      <c r="F7517" t="s">
        <v>10355</v>
      </c>
    </row>
    <row r="7518" spans="1:6" x14ac:dyDescent="0.25">
      <c r="A7518" t="str">
        <f>"431401545620"</f>
        <v>431401545620</v>
      </c>
      <c r="B7518" t="s">
        <v>10356</v>
      </c>
      <c r="C7518" t="s">
        <v>7</v>
      </c>
      <c r="D7518" t="s">
        <v>14</v>
      </c>
      <c r="E7518" t="s">
        <v>10188</v>
      </c>
    </row>
    <row r="7519" spans="1:6" x14ac:dyDescent="0.25">
      <c r="A7519" t="str">
        <f>"431500578962"</f>
        <v>431500578962</v>
      </c>
      <c r="B7519" t="s">
        <v>10357</v>
      </c>
      <c r="C7519" t="s">
        <v>7</v>
      </c>
      <c r="D7519" t="s">
        <v>14</v>
      </c>
      <c r="E7519" t="s">
        <v>10188</v>
      </c>
    </row>
    <row r="7520" spans="1:6" x14ac:dyDescent="0.25">
      <c r="A7520" t="str">
        <f>"4317005069"</f>
        <v>4317005069</v>
      </c>
      <c r="B7520" t="s">
        <v>10358</v>
      </c>
      <c r="C7520" t="s">
        <v>7</v>
      </c>
      <c r="D7520" t="s">
        <v>14</v>
      </c>
      <c r="E7520" t="s">
        <v>10188</v>
      </c>
      <c r="F7520" t="s">
        <v>10359</v>
      </c>
    </row>
    <row r="7521" spans="1:6" x14ac:dyDescent="0.25">
      <c r="A7521" t="str">
        <f>"431701335529"</f>
        <v>431701335529</v>
      </c>
      <c r="B7521" t="s">
        <v>10360</v>
      </c>
      <c r="C7521" t="s">
        <v>7</v>
      </c>
      <c r="D7521" t="s">
        <v>14</v>
      </c>
      <c r="E7521" t="s">
        <v>10188</v>
      </c>
    </row>
    <row r="7522" spans="1:6" x14ac:dyDescent="0.25">
      <c r="A7522" t="str">
        <f>"431702052072"</f>
        <v>431702052072</v>
      </c>
      <c r="B7522" t="s">
        <v>10361</v>
      </c>
      <c r="C7522" t="s">
        <v>7</v>
      </c>
      <c r="D7522" t="s">
        <v>12</v>
      </c>
      <c r="E7522" t="s">
        <v>10188</v>
      </c>
    </row>
    <row r="7523" spans="1:6" x14ac:dyDescent="0.25">
      <c r="A7523" t="str">
        <f>"431702916935"</f>
        <v>431702916935</v>
      </c>
      <c r="B7523" t="s">
        <v>10362</v>
      </c>
      <c r="C7523" t="s">
        <v>7</v>
      </c>
      <c r="D7523" t="s">
        <v>14</v>
      </c>
      <c r="E7523" t="s">
        <v>10188</v>
      </c>
    </row>
    <row r="7524" spans="1:6" x14ac:dyDescent="0.25">
      <c r="A7524" t="str">
        <f>"431800034890"</f>
        <v>431800034890</v>
      </c>
      <c r="B7524" t="s">
        <v>10363</v>
      </c>
      <c r="C7524" t="s">
        <v>7</v>
      </c>
      <c r="D7524" t="s">
        <v>14</v>
      </c>
      <c r="E7524" t="s">
        <v>10188</v>
      </c>
    </row>
    <row r="7525" spans="1:6" x14ac:dyDescent="0.25">
      <c r="A7525" t="str">
        <f>"4321000472"</f>
        <v>4321000472</v>
      </c>
      <c r="B7525" t="s">
        <v>10364</v>
      </c>
      <c r="C7525" t="s">
        <v>7</v>
      </c>
      <c r="D7525" t="s">
        <v>14</v>
      </c>
      <c r="E7525" t="s">
        <v>10188</v>
      </c>
      <c r="F7525" t="s">
        <v>10365</v>
      </c>
    </row>
    <row r="7526" spans="1:6" x14ac:dyDescent="0.25">
      <c r="A7526" t="str">
        <f>"432102101403"</f>
        <v>432102101403</v>
      </c>
      <c r="B7526" t="s">
        <v>10366</v>
      </c>
      <c r="C7526" t="s">
        <v>7</v>
      </c>
      <c r="D7526" t="s">
        <v>14</v>
      </c>
      <c r="E7526" t="s">
        <v>10188</v>
      </c>
    </row>
    <row r="7527" spans="1:6" x14ac:dyDescent="0.25">
      <c r="A7527" t="str">
        <f>"4322000718"</f>
        <v>4322000718</v>
      </c>
      <c r="B7527" t="s">
        <v>10367</v>
      </c>
      <c r="C7527" t="s">
        <v>7</v>
      </c>
      <c r="D7527" t="s">
        <v>14</v>
      </c>
      <c r="E7527" t="s">
        <v>10188</v>
      </c>
      <c r="F7527" t="s">
        <v>10368</v>
      </c>
    </row>
    <row r="7528" spans="1:6" x14ac:dyDescent="0.25">
      <c r="A7528" t="str">
        <f>"432400403368"</f>
        <v>432400403368</v>
      </c>
      <c r="B7528" t="s">
        <v>10369</v>
      </c>
      <c r="C7528" t="s">
        <v>7</v>
      </c>
      <c r="D7528" t="s">
        <v>14</v>
      </c>
      <c r="E7528" t="s">
        <v>10188</v>
      </c>
    </row>
    <row r="7529" spans="1:6" x14ac:dyDescent="0.25">
      <c r="A7529" t="str">
        <f>"432401422250"</f>
        <v>432401422250</v>
      </c>
      <c r="B7529" t="s">
        <v>10370</v>
      </c>
      <c r="C7529" t="s">
        <v>7</v>
      </c>
      <c r="D7529" t="s">
        <v>14</v>
      </c>
      <c r="E7529" t="s">
        <v>10188</v>
      </c>
    </row>
    <row r="7530" spans="1:6" x14ac:dyDescent="0.25">
      <c r="A7530" t="str">
        <f>"432501349149"</f>
        <v>432501349149</v>
      </c>
      <c r="B7530" t="s">
        <v>10371</v>
      </c>
      <c r="C7530" t="s">
        <v>7</v>
      </c>
      <c r="D7530" t="s">
        <v>14</v>
      </c>
      <c r="E7530" t="s">
        <v>10188</v>
      </c>
    </row>
    <row r="7531" spans="1:6" x14ac:dyDescent="0.25">
      <c r="A7531" t="str">
        <f>"432900043339"</f>
        <v>432900043339</v>
      </c>
      <c r="B7531" t="s">
        <v>10372</v>
      </c>
      <c r="C7531" t="s">
        <v>7</v>
      </c>
      <c r="D7531" t="s">
        <v>14</v>
      </c>
      <c r="E7531" t="s">
        <v>10188</v>
      </c>
    </row>
    <row r="7532" spans="1:6" x14ac:dyDescent="0.25">
      <c r="A7532" t="str">
        <f>"432906324015"</f>
        <v>432906324015</v>
      </c>
      <c r="B7532" t="s">
        <v>10373</v>
      </c>
      <c r="C7532" t="s">
        <v>7</v>
      </c>
      <c r="D7532" t="s">
        <v>14</v>
      </c>
      <c r="E7532" t="s">
        <v>10188</v>
      </c>
    </row>
    <row r="7533" spans="1:6" x14ac:dyDescent="0.25">
      <c r="A7533" t="str">
        <f>"433000129218"</f>
        <v>433000129218</v>
      </c>
      <c r="B7533" t="s">
        <v>10374</v>
      </c>
      <c r="C7533" t="s">
        <v>7</v>
      </c>
      <c r="D7533" t="s">
        <v>14</v>
      </c>
      <c r="E7533" t="s">
        <v>10188</v>
      </c>
    </row>
    <row r="7534" spans="1:6" x14ac:dyDescent="0.25">
      <c r="A7534" t="str">
        <f>"433002336499"</f>
        <v>433002336499</v>
      </c>
      <c r="B7534" t="s">
        <v>10375</v>
      </c>
      <c r="C7534" t="s">
        <v>7</v>
      </c>
      <c r="D7534" t="s">
        <v>14</v>
      </c>
      <c r="E7534" t="s">
        <v>10188</v>
      </c>
    </row>
    <row r="7535" spans="1:6" x14ac:dyDescent="0.25">
      <c r="A7535" t="str">
        <f>"433300227400"</f>
        <v>433300227400</v>
      </c>
      <c r="B7535" t="s">
        <v>10376</v>
      </c>
      <c r="C7535" t="s">
        <v>7</v>
      </c>
      <c r="D7535" t="s">
        <v>14</v>
      </c>
      <c r="E7535" t="s">
        <v>10188</v>
      </c>
    </row>
    <row r="7536" spans="1:6" x14ac:dyDescent="0.25">
      <c r="A7536" t="str">
        <f>"433402802296"</f>
        <v>433402802296</v>
      </c>
      <c r="B7536" t="s">
        <v>10377</v>
      </c>
      <c r="C7536" t="s">
        <v>7</v>
      </c>
      <c r="D7536" t="s">
        <v>33</v>
      </c>
      <c r="E7536" t="s">
        <v>10188</v>
      </c>
    </row>
    <row r="7537" spans="1:6" x14ac:dyDescent="0.25">
      <c r="A7537" t="str">
        <f>"433402910510"</f>
        <v>433402910510</v>
      </c>
      <c r="B7537" t="s">
        <v>10378</v>
      </c>
      <c r="C7537" t="s">
        <v>7</v>
      </c>
      <c r="D7537" t="s">
        <v>14</v>
      </c>
      <c r="E7537" t="s">
        <v>10188</v>
      </c>
    </row>
    <row r="7538" spans="1:6" x14ac:dyDescent="0.25">
      <c r="A7538" t="str">
        <f>"433500281161"</f>
        <v>433500281161</v>
      </c>
      <c r="B7538" t="s">
        <v>10379</v>
      </c>
      <c r="C7538" t="s">
        <v>7</v>
      </c>
      <c r="D7538" t="s">
        <v>14</v>
      </c>
      <c r="E7538" t="s">
        <v>10188</v>
      </c>
    </row>
    <row r="7539" spans="1:6" x14ac:dyDescent="0.25">
      <c r="A7539" t="str">
        <f>"433700001012"</f>
        <v>433700001012</v>
      </c>
      <c r="B7539" t="s">
        <v>10380</v>
      </c>
      <c r="C7539" t="s">
        <v>7</v>
      </c>
      <c r="D7539" t="s">
        <v>14</v>
      </c>
      <c r="E7539" t="s">
        <v>10188</v>
      </c>
    </row>
    <row r="7540" spans="1:6" x14ac:dyDescent="0.25">
      <c r="A7540" t="str">
        <f>"433802560468"</f>
        <v>433802560468</v>
      </c>
      <c r="B7540" t="s">
        <v>10381</v>
      </c>
      <c r="C7540" t="s">
        <v>7</v>
      </c>
      <c r="D7540" t="s">
        <v>14</v>
      </c>
      <c r="E7540" t="s">
        <v>10188</v>
      </c>
    </row>
    <row r="7541" spans="1:6" x14ac:dyDescent="0.25">
      <c r="A7541" t="str">
        <f>"434300031247"</f>
        <v>434300031247</v>
      </c>
      <c r="B7541" t="s">
        <v>10382</v>
      </c>
      <c r="C7541" t="s">
        <v>7</v>
      </c>
      <c r="D7541" t="s">
        <v>14</v>
      </c>
      <c r="E7541" t="s">
        <v>10188</v>
      </c>
    </row>
    <row r="7542" spans="1:6" x14ac:dyDescent="0.25">
      <c r="A7542" t="str">
        <f>"434500177814"</f>
        <v>434500177814</v>
      </c>
      <c r="B7542" t="s">
        <v>10383</v>
      </c>
      <c r="C7542" t="s">
        <v>7</v>
      </c>
      <c r="D7542" t="s">
        <v>14</v>
      </c>
      <c r="E7542" t="s">
        <v>10188</v>
      </c>
    </row>
    <row r="7543" spans="1:6" x14ac:dyDescent="0.25">
      <c r="A7543" t="str">
        <f>"4345058538"</f>
        <v>4345058538</v>
      </c>
      <c r="B7543" t="s">
        <v>10384</v>
      </c>
      <c r="C7543" t="s">
        <v>7</v>
      </c>
      <c r="D7543" t="s">
        <v>33</v>
      </c>
      <c r="E7543" t="s">
        <v>10188</v>
      </c>
      <c r="F7543" t="s">
        <v>10385</v>
      </c>
    </row>
    <row r="7544" spans="1:6" x14ac:dyDescent="0.25">
      <c r="A7544" t="str">
        <f>"4345138751"</f>
        <v>4345138751</v>
      </c>
      <c r="B7544" t="s">
        <v>10386</v>
      </c>
      <c r="C7544" t="s">
        <v>7</v>
      </c>
      <c r="D7544" t="s">
        <v>14</v>
      </c>
      <c r="E7544" t="s">
        <v>10188</v>
      </c>
      <c r="F7544" t="s">
        <v>10387</v>
      </c>
    </row>
    <row r="7545" spans="1:6" x14ac:dyDescent="0.25">
      <c r="A7545" t="str">
        <f>"4345218767"</f>
        <v>4345218767</v>
      </c>
      <c r="B7545" t="s">
        <v>10388</v>
      </c>
      <c r="C7545" t="s">
        <v>7</v>
      </c>
      <c r="D7545" t="s">
        <v>33</v>
      </c>
      <c r="E7545" t="s">
        <v>10188</v>
      </c>
      <c r="F7545" t="s">
        <v>10389</v>
      </c>
    </row>
    <row r="7546" spans="1:6" x14ac:dyDescent="0.25">
      <c r="A7546" t="str">
        <f>"4345228557"</f>
        <v>4345228557</v>
      </c>
      <c r="B7546" t="s">
        <v>6920</v>
      </c>
      <c r="C7546" t="s">
        <v>7</v>
      </c>
      <c r="D7546" t="s">
        <v>33</v>
      </c>
      <c r="E7546" t="s">
        <v>10188</v>
      </c>
      <c r="F7546" t="s">
        <v>10230</v>
      </c>
    </row>
    <row r="7547" spans="1:6" x14ac:dyDescent="0.25">
      <c r="A7547" t="str">
        <f>"4345251796"</f>
        <v>4345251796</v>
      </c>
      <c r="B7547" t="s">
        <v>10390</v>
      </c>
      <c r="C7547" t="s">
        <v>7</v>
      </c>
      <c r="D7547" t="s">
        <v>33</v>
      </c>
      <c r="E7547" t="s">
        <v>10188</v>
      </c>
      <c r="F7547" t="s">
        <v>10391</v>
      </c>
    </row>
    <row r="7548" spans="1:6" x14ac:dyDescent="0.25">
      <c r="A7548" t="str">
        <f>"4345262371"</f>
        <v>4345262371</v>
      </c>
      <c r="B7548" t="s">
        <v>10392</v>
      </c>
      <c r="C7548" t="s">
        <v>7</v>
      </c>
      <c r="D7548" t="s">
        <v>33</v>
      </c>
      <c r="E7548" t="s">
        <v>10188</v>
      </c>
      <c r="F7548" t="s">
        <v>10393</v>
      </c>
    </row>
    <row r="7549" spans="1:6" x14ac:dyDescent="0.25">
      <c r="A7549" t="str">
        <f>"4345384612"</f>
        <v>4345384612</v>
      </c>
      <c r="B7549" t="s">
        <v>10394</v>
      </c>
      <c r="C7549" t="s">
        <v>7</v>
      </c>
      <c r="D7549" t="s">
        <v>28</v>
      </c>
      <c r="E7549" t="s">
        <v>10188</v>
      </c>
      <c r="F7549" t="s">
        <v>10329</v>
      </c>
    </row>
    <row r="7550" spans="1:6" x14ac:dyDescent="0.25">
      <c r="A7550" t="str">
        <f>"434546361196"</f>
        <v>434546361196</v>
      </c>
      <c r="B7550" t="s">
        <v>10395</v>
      </c>
      <c r="C7550" t="s">
        <v>7</v>
      </c>
      <c r="D7550" t="s">
        <v>14</v>
      </c>
      <c r="E7550" t="s">
        <v>10188</v>
      </c>
    </row>
    <row r="7551" spans="1:6" x14ac:dyDescent="0.25">
      <c r="A7551" t="str">
        <f>"434546948266"</f>
        <v>434546948266</v>
      </c>
      <c r="B7551" t="s">
        <v>10396</v>
      </c>
      <c r="C7551" t="s">
        <v>7</v>
      </c>
      <c r="D7551" t="s">
        <v>14</v>
      </c>
      <c r="E7551" t="s">
        <v>10188</v>
      </c>
    </row>
    <row r="7552" spans="1:6" x14ac:dyDescent="0.25">
      <c r="A7552" t="str">
        <f>"434547428799"</f>
        <v>434547428799</v>
      </c>
      <c r="B7552" t="s">
        <v>10397</v>
      </c>
      <c r="C7552" t="s">
        <v>7</v>
      </c>
      <c r="D7552" t="s">
        <v>14</v>
      </c>
      <c r="E7552" t="s">
        <v>10188</v>
      </c>
    </row>
    <row r="7553" spans="1:6" x14ac:dyDescent="0.25">
      <c r="A7553" t="str">
        <f>"434548103031"</f>
        <v>434548103031</v>
      </c>
      <c r="B7553" t="s">
        <v>10398</v>
      </c>
      <c r="C7553" t="s">
        <v>7</v>
      </c>
      <c r="D7553" t="s">
        <v>12</v>
      </c>
      <c r="E7553" t="s">
        <v>10188</v>
      </c>
    </row>
    <row r="7554" spans="1:6" x14ac:dyDescent="0.25">
      <c r="A7554" t="str">
        <f>"4345492382"</f>
        <v>4345492382</v>
      </c>
      <c r="B7554" t="s">
        <v>10399</v>
      </c>
      <c r="C7554" t="s">
        <v>7</v>
      </c>
      <c r="D7554" t="s">
        <v>33</v>
      </c>
      <c r="E7554" t="s">
        <v>10188</v>
      </c>
      <c r="F7554" t="s">
        <v>10400</v>
      </c>
    </row>
    <row r="7555" spans="1:6" x14ac:dyDescent="0.25">
      <c r="A7555" t="str">
        <f>"434549813098"</f>
        <v>434549813098</v>
      </c>
      <c r="B7555" t="s">
        <v>10401</v>
      </c>
      <c r="C7555" t="s">
        <v>7</v>
      </c>
      <c r="D7555" t="s">
        <v>14</v>
      </c>
      <c r="E7555" t="s">
        <v>10188</v>
      </c>
    </row>
    <row r="7556" spans="1:6" x14ac:dyDescent="0.25">
      <c r="A7556" t="str">
        <f>"434550179158"</f>
        <v>434550179158</v>
      </c>
      <c r="B7556" t="s">
        <v>10402</v>
      </c>
      <c r="C7556" t="s">
        <v>7</v>
      </c>
      <c r="D7556" t="s">
        <v>14</v>
      </c>
      <c r="E7556" t="s">
        <v>10188</v>
      </c>
    </row>
    <row r="7557" spans="1:6" x14ac:dyDescent="0.25">
      <c r="A7557" t="str">
        <f>"434550254260"</f>
        <v>434550254260</v>
      </c>
      <c r="B7557" t="s">
        <v>10403</v>
      </c>
      <c r="C7557" t="s">
        <v>7</v>
      </c>
      <c r="D7557" t="s">
        <v>8</v>
      </c>
      <c r="E7557" t="s">
        <v>10188</v>
      </c>
    </row>
    <row r="7558" spans="1:6" x14ac:dyDescent="0.25">
      <c r="A7558" t="str">
        <f>"4345508508"</f>
        <v>4345508508</v>
      </c>
      <c r="B7558" t="s">
        <v>10404</v>
      </c>
      <c r="C7558" t="s">
        <v>7</v>
      </c>
      <c r="D7558" t="s">
        <v>33</v>
      </c>
      <c r="E7558" t="s">
        <v>10188</v>
      </c>
      <c r="F7558" t="s">
        <v>10405</v>
      </c>
    </row>
    <row r="7559" spans="1:6" x14ac:dyDescent="0.25">
      <c r="A7559" t="str">
        <f>"4345520054"</f>
        <v>4345520054</v>
      </c>
      <c r="B7559" t="s">
        <v>2204</v>
      </c>
      <c r="C7559" t="s">
        <v>7</v>
      </c>
      <c r="D7559" t="s">
        <v>12</v>
      </c>
      <c r="E7559" t="s">
        <v>10188</v>
      </c>
      <c r="F7559" t="s">
        <v>10406</v>
      </c>
    </row>
    <row r="7560" spans="1:6" x14ac:dyDescent="0.25">
      <c r="A7560" t="str">
        <f>"4345530292"</f>
        <v>4345530292</v>
      </c>
      <c r="B7560" t="s">
        <v>10407</v>
      </c>
      <c r="C7560" t="s">
        <v>7</v>
      </c>
      <c r="D7560" t="s">
        <v>12</v>
      </c>
      <c r="E7560" t="s">
        <v>10188</v>
      </c>
      <c r="F7560" t="s">
        <v>10408</v>
      </c>
    </row>
    <row r="7561" spans="1:6" x14ac:dyDescent="0.25">
      <c r="A7561" t="str">
        <f>"4345533381"</f>
        <v>4345533381</v>
      </c>
      <c r="B7561" t="s">
        <v>6241</v>
      </c>
      <c r="C7561" t="s">
        <v>7</v>
      </c>
      <c r="D7561" t="s">
        <v>12</v>
      </c>
      <c r="E7561" t="s">
        <v>10188</v>
      </c>
      <c r="F7561" t="s">
        <v>10409</v>
      </c>
    </row>
    <row r="7562" spans="1:6" x14ac:dyDescent="0.25">
      <c r="A7562" t="str">
        <f>"4345536921"</f>
        <v>4345536921</v>
      </c>
      <c r="B7562" t="s">
        <v>8667</v>
      </c>
      <c r="C7562" t="s">
        <v>7</v>
      </c>
      <c r="D7562" t="s">
        <v>33</v>
      </c>
      <c r="E7562" t="s">
        <v>10188</v>
      </c>
      <c r="F7562" t="s">
        <v>10410</v>
      </c>
    </row>
    <row r="7563" spans="1:6" x14ac:dyDescent="0.25">
      <c r="A7563" t="str">
        <f>"434562243827"</f>
        <v>434562243827</v>
      </c>
      <c r="B7563" t="s">
        <v>10411</v>
      </c>
      <c r="C7563" t="s">
        <v>7</v>
      </c>
      <c r="D7563" t="s">
        <v>14</v>
      </c>
      <c r="E7563" t="s">
        <v>10188</v>
      </c>
    </row>
    <row r="7564" spans="1:6" x14ac:dyDescent="0.25">
      <c r="A7564" t="str">
        <f>"434584834245"</f>
        <v>434584834245</v>
      </c>
      <c r="B7564" t="s">
        <v>10412</v>
      </c>
      <c r="C7564" t="s">
        <v>7</v>
      </c>
      <c r="D7564" t="s">
        <v>14</v>
      </c>
      <c r="E7564" t="s">
        <v>10188</v>
      </c>
    </row>
    <row r="7565" spans="1:6" x14ac:dyDescent="0.25">
      <c r="A7565" t="str">
        <f>"434587496749"</f>
        <v>434587496749</v>
      </c>
      <c r="B7565" t="s">
        <v>10413</v>
      </c>
      <c r="C7565" t="s">
        <v>7</v>
      </c>
      <c r="D7565" t="s">
        <v>12</v>
      </c>
      <c r="E7565" t="s">
        <v>10188</v>
      </c>
    </row>
    <row r="7566" spans="1:6" x14ac:dyDescent="0.25">
      <c r="A7566" t="str">
        <f>"434587712781"</f>
        <v>434587712781</v>
      </c>
      <c r="B7566" t="s">
        <v>10414</v>
      </c>
      <c r="C7566" t="s">
        <v>7</v>
      </c>
      <c r="D7566" t="s">
        <v>12</v>
      </c>
      <c r="E7566" t="s">
        <v>10188</v>
      </c>
    </row>
    <row r="7567" spans="1:6" x14ac:dyDescent="0.25">
      <c r="A7567" t="str">
        <f>"434587988589"</f>
        <v>434587988589</v>
      </c>
      <c r="B7567" t="s">
        <v>10415</v>
      </c>
      <c r="C7567" t="s">
        <v>7</v>
      </c>
      <c r="D7567" t="s">
        <v>12</v>
      </c>
      <c r="E7567" t="s">
        <v>10188</v>
      </c>
    </row>
    <row r="7568" spans="1:6" x14ac:dyDescent="0.25">
      <c r="A7568" t="str">
        <f>"434588791377"</f>
        <v>434588791377</v>
      </c>
      <c r="B7568" t="s">
        <v>10416</v>
      </c>
      <c r="C7568" t="s">
        <v>7</v>
      </c>
      <c r="D7568" t="s">
        <v>14</v>
      </c>
      <c r="E7568" t="s">
        <v>10188</v>
      </c>
    </row>
    <row r="7569" spans="1:6" x14ac:dyDescent="0.25">
      <c r="A7569" t="str">
        <f>"434591922598"</f>
        <v>434591922598</v>
      </c>
      <c r="B7569" t="s">
        <v>10417</v>
      </c>
      <c r="C7569" t="s">
        <v>7</v>
      </c>
      <c r="D7569" t="s">
        <v>33</v>
      </c>
      <c r="E7569" t="s">
        <v>10188</v>
      </c>
    </row>
    <row r="7570" spans="1:6" x14ac:dyDescent="0.25">
      <c r="A7570" t="str">
        <f>"434600472563"</f>
        <v>434600472563</v>
      </c>
      <c r="B7570" t="s">
        <v>10418</v>
      </c>
      <c r="C7570" t="s">
        <v>7</v>
      </c>
      <c r="D7570" t="s">
        <v>14</v>
      </c>
      <c r="E7570" t="s">
        <v>10188</v>
      </c>
    </row>
    <row r="7571" spans="1:6" x14ac:dyDescent="0.25">
      <c r="A7571" t="str">
        <f>"434700406902"</f>
        <v>434700406902</v>
      </c>
      <c r="B7571" t="s">
        <v>10419</v>
      </c>
      <c r="C7571" t="s">
        <v>7</v>
      </c>
      <c r="D7571" t="s">
        <v>12</v>
      </c>
      <c r="E7571" t="s">
        <v>10188</v>
      </c>
    </row>
    <row r="7572" spans="1:6" x14ac:dyDescent="0.25">
      <c r="A7572" t="str">
        <f>"4347004591"</f>
        <v>4347004591</v>
      </c>
      <c r="B7572" t="s">
        <v>10420</v>
      </c>
      <c r="C7572" t="s">
        <v>7</v>
      </c>
      <c r="D7572" t="s">
        <v>12</v>
      </c>
      <c r="E7572" t="s">
        <v>10188</v>
      </c>
      <c r="F7572" t="s">
        <v>10421</v>
      </c>
    </row>
    <row r="7573" spans="1:6" x14ac:dyDescent="0.25">
      <c r="A7573" t="str">
        <f>"430201641999"</f>
        <v>430201641999</v>
      </c>
      <c r="B7573" t="s">
        <v>10422</v>
      </c>
      <c r="C7573" t="s">
        <v>7</v>
      </c>
      <c r="D7573" t="s">
        <v>14</v>
      </c>
      <c r="E7573" t="s">
        <v>10188</v>
      </c>
    </row>
    <row r="7574" spans="1:6" x14ac:dyDescent="0.25">
      <c r="A7574" t="str">
        <f>"431207869198"</f>
        <v>431207869198</v>
      </c>
      <c r="B7574" t="s">
        <v>10423</v>
      </c>
      <c r="C7574" t="s">
        <v>7</v>
      </c>
      <c r="D7574" t="s">
        <v>12</v>
      </c>
      <c r="E7574" t="s">
        <v>10188</v>
      </c>
    </row>
    <row r="7575" spans="1:6" x14ac:dyDescent="0.25">
      <c r="A7575" t="str">
        <f>"433800140612"</f>
        <v>433800140612</v>
      </c>
      <c r="B7575" t="s">
        <v>10424</v>
      </c>
      <c r="C7575" t="s">
        <v>7</v>
      </c>
      <c r="D7575" t="s">
        <v>14</v>
      </c>
      <c r="E7575" t="s">
        <v>10188</v>
      </c>
    </row>
    <row r="7576" spans="1:6" x14ac:dyDescent="0.25">
      <c r="A7576" t="str">
        <f>"4345022919"</f>
        <v>4345022919</v>
      </c>
      <c r="B7576" t="s">
        <v>10425</v>
      </c>
      <c r="C7576" t="s">
        <v>7</v>
      </c>
      <c r="D7576" t="s">
        <v>33</v>
      </c>
      <c r="E7576" t="s">
        <v>10188</v>
      </c>
      <c r="F7576" t="s">
        <v>10426</v>
      </c>
    </row>
    <row r="7577" spans="1:6" x14ac:dyDescent="0.25">
      <c r="A7577" t="str">
        <f>"4345367021"</f>
        <v>4345367021</v>
      </c>
      <c r="B7577" t="s">
        <v>10427</v>
      </c>
      <c r="C7577" t="s">
        <v>7</v>
      </c>
      <c r="D7577" t="s">
        <v>12</v>
      </c>
      <c r="E7577" t="s">
        <v>10188</v>
      </c>
      <c r="F7577" t="s">
        <v>10428</v>
      </c>
    </row>
    <row r="7578" spans="1:6" x14ac:dyDescent="0.25">
      <c r="A7578" t="str">
        <f>"434538515220"</f>
        <v>434538515220</v>
      </c>
      <c r="B7578" t="s">
        <v>10429</v>
      </c>
      <c r="C7578" t="s">
        <v>7</v>
      </c>
      <c r="D7578" t="s">
        <v>12</v>
      </c>
      <c r="E7578" t="s">
        <v>10188</v>
      </c>
    </row>
    <row r="7579" spans="1:6" x14ac:dyDescent="0.25">
      <c r="A7579" t="str">
        <f>"434543288830"</f>
        <v>434543288830</v>
      </c>
      <c r="B7579" t="s">
        <v>10430</v>
      </c>
      <c r="C7579" t="s">
        <v>7</v>
      </c>
      <c r="D7579" t="s">
        <v>14</v>
      </c>
      <c r="E7579" t="s">
        <v>10188</v>
      </c>
    </row>
    <row r="7580" spans="1:6" x14ac:dyDescent="0.25">
      <c r="A7580" t="str">
        <f>"4348037110"</f>
        <v>4348037110</v>
      </c>
      <c r="B7580" t="s">
        <v>10431</v>
      </c>
      <c r="C7580" t="s">
        <v>7</v>
      </c>
      <c r="D7580" t="s">
        <v>14</v>
      </c>
      <c r="E7580" t="s">
        <v>10188</v>
      </c>
      <c r="F7580" t="s">
        <v>10432</v>
      </c>
    </row>
    <row r="7581" spans="1:6" x14ac:dyDescent="0.25">
      <c r="A7581" t="str">
        <f>"440107197677"</f>
        <v>440107197677</v>
      </c>
      <c r="B7581" t="s">
        <v>10433</v>
      </c>
      <c r="C7581" t="s">
        <v>7</v>
      </c>
      <c r="D7581" t="s">
        <v>14</v>
      </c>
      <c r="E7581" t="s">
        <v>10434</v>
      </c>
    </row>
    <row r="7582" spans="1:6" x14ac:dyDescent="0.25">
      <c r="A7582" t="str">
        <f>"4401194505"</f>
        <v>4401194505</v>
      </c>
      <c r="B7582" t="s">
        <v>10435</v>
      </c>
      <c r="C7582" t="s">
        <v>7</v>
      </c>
      <c r="D7582" t="s">
        <v>14</v>
      </c>
      <c r="E7582" t="s">
        <v>10434</v>
      </c>
      <c r="F7582" t="s">
        <v>10436</v>
      </c>
    </row>
    <row r="7583" spans="1:6" x14ac:dyDescent="0.25">
      <c r="A7583" t="str">
        <f>"440501066305"</f>
        <v>440501066305</v>
      </c>
      <c r="B7583" t="s">
        <v>10437</v>
      </c>
      <c r="C7583" t="s">
        <v>7</v>
      </c>
      <c r="D7583" t="s">
        <v>12</v>
      </c>
      <c r="E7583" t="s">
        <v>10434</v>
      </c>
    </row>
    <row r="7584" spans="1:6" x14ac:dyDescent="0.25">
      <c r="A7584" t="str">
        <f>"4414002793"</f>
        <v>4414002793</v>
      </c>
      <c r="B7584" t="s">
        <v>10438</v>
      </c>
      <c r="C7584" t="s">
        <v>7</v>
      </c>
      <c r="D7584" t="s">
        <v>14</v>
      </c>
      <c r="E7584" t="s">
        <v>10434</v>
      </c>
      <c r="F7584" t="s">
        <v>10439</v>
      </c>
    </row>
    <row r="7585" spans="1:6" x14ac:dyDescent="0.25">
      <c r="A7585" t="str">
        <f>"443101625650"</f>
        <v>443101625650</v>
      </c>
      <c r="B7585" t="s">
        <v>10440</v>
      </c>
      <c r="C7585" t="s">
        <v>7</v>
      </c>
      <c r="D7585" t="s">
        <v>14</v>
      </c>
      <c r="E7585" t="s">
        <v>10434</v>
      </c>
    </row>
    <row r="7586" spans="1:6" x14ac:dyDescent="0.25">
      <c r="A7586" t="str">
        <f>"4400002754"</f>
        <v>4400002754</v>
      </c>
      <c r="B7586" t="s">
        <v>10441</v>
      </c>
      <c r="C7586" t="s">
        <v>7</v>
      </c>
      <c r="D7586" t="s">
        <v>14</v>
      </c>
      <c r="E7586" t="s">
        <v>10434</v>
      </c>
      <c r="F7586" t="s">
        <v>10442</v>
      </c>
    </row>
    <row r="7587" spans="1:6" x14ac:dyDescent="0.25">
      <c r="A7587" t="str">
        <f>"4400005096"</f>
        <v>4400005096</v>
      </c>
      <c r="B7587" t="s">
        <v>10443</v>
      </c>
      <c r="C7587" t="s">
        <v>7</v>
      </c>
      <c r="D7587" t="s">
        <v>14</v>
      </c>
      <c r="E7587" t="s">
        <v>10434</v>
      </c>
      <c r="F7587" t="s">
        <v>10444</v>
      </c>
    </row>
    <row r="7588" spans="1:6" x14ac:dyDescent="0.25">
      <c r="A7588" t="str">
        <f>"4400015640"</f>
        <v>4400015640</v>
      </c>
      <c r="B7588" t="s">
        <v>10445</v>
      </c>
      <c r="C7588" t="s">
        <v>7</v>
      </c>
      <c r="D7588" t="s">
        <v>14</v>
      </c>
      <c r="E7588" t="s">
        <v>10434</v>
      </c>
      <c r="F7588" t="s">
        <v>10446</v>
      </c>
    </row>
    <row r="7589" spans="1:6" x14ac:dyDescent="0.25">
      <c r="A7589" t="str">
        <f>"4400019275"</f>
        <v>4400019275</v>
      </c>
      <c r="B7589" t="s">
        <v>10447</v>
      </c>
      <c r="C7589" t="s">
        <v>7</v>
      </c>
      <c r="D7589" t="s">
        <v>14</v>
      </c>
      <c r="E7589" t="s">
        <v>10434</v>
      </c>
      <c r="F7589" t="s">
        <v>10448</v>
      </c>
    </row>
    <row r="7590" spans="1:6" x14ac:dyDescent="0.25">
      <c r="A7590" t="str">
        <f>"4400021210"</f>
        <v>4400021210</v>
      </c>
      <c r="B7590" t="s">
        <v>10449</v>
      </c>
      <c r="C7590" t="s">
        <v>7</v>
      </c>
      <c r="D7590" t="s">
        <v>14</v>
      </c>
      <c r="E7590" t="s">
        <v>10434</v>
      </c>
      <c r="F7590" t="s">
        <v>10450</v>
      </c>
    </row>
    <row r="7591" spans="1:6" x14ac:dyDescent="0.25">
      <c r="A7591" t="str">
        <f>"4400008731"</f>
        <v>4400008731</v>
      </c>
      <c r="B7591" t="s">
        <v>10451</v>
      </c>
      <c r="C7591" t="s">
        <v>7</v>
      </c>
      <c r="D7591" t="s">
        <v>14</v>
      </c>
      <c r="E7591" t="s">
        <v>10434</v>
      </c>
      <c r="F7591" t="s">
        <v>10452</v>
      </c>
    </row>
    <row r="7592" spans="1:6" x14ac:dyDescent="0.25">
      <c r="A7592" t="str">
        <f>"440100461989"</f>
        <v>440100461989</v>
      </c>
      <c r="B7592" t="s">
        <v>10453</v>
      </c>
      <c r="C7592" t="s">
        <v>7</v>
      </c>
      <c r="D7592" t="s">
        <v>8</v>
      </c>
      <c r="E7592" t="s">
        <v>10434</v>
      </c>
    </row>
    <row r="7593" spans="1:6" x14ac:dyDescent="0.25">
      <c r="A7593" t="str">
        <f>"440101234844"</f>
        <v>440101234844</v>
      </c>
      <c r="B7593" t="s">
        <v>10454</v>
      </c>
      <c r="C7593" t="s">
        <v>7</v>
      </c>
      <c r="D7593" t="s">
        <v>14</v>
      </c>
      <c r="E7593" t="s">
        <v>10434</v>
      </c>
    </row>
    <row r="7594" spans="1:6" x14ac:dyDescent="0.25">
      <c r="A7594" t="str">
        <f>"440102973781"</f>
        <v>440102973781</v>
      </c>
      <c r="B7594" t="s">
        <v>10455</v>
      </c>
      <c r="C7594" t="s">
        <v>7</v>
      </c>
      <c r="D7594" t="s">
        <v>12</v>
      </c>
      <c r="E7594" t="s">
        <v>10434</v>
      </c>
    </row>
    <row r="7595" spans="1:6" x14ac:dyDescent="0.25">
      <c r="A7595" t="str">
        <f>"440104672772"</f>
        <v>440104672772</v>
      </c>
      <c r="B7595" t="s">
        <v>10456</v>
      </c>
      <c r="C7595" t="s">
        <v>7</v>
      </c>
      <c r="D7595" t="s">
        <v>14</v>
      </c>
      <c r="E7595" t="s">
        <v>10434</v>
      </c>
    </row>
    <row r="7596" spans="1:6" x14ac:dyDescent="0.25">
      <c r="A7596" t="str">
        <f>"440105628695"</f>
        <v>440105628695</v>
      </c>
      <c r="B7596" t="s">
        <v>10457</v>
      </c>
      <c r="C7596" t="s">
        <v>7</v>
      </c>
      <c r="D7596" t="s">
        <v>14</v>
      </c>
      <c r="E7596" t="s">
        <v>10434</v>
      </c>
    </row>
    <row r="7597" spans="1:6" x14ac:dyDescent="0.25">
      <c r="A7597" t="str">
        <f>"440105804340"</f>
        <v>440105804340</v>
      </c>
      <c r="B7597" t="s">
        <v>10458</v>
      </c>
      <c r="C7597" t="s">
        <v>7</v>
      </c>
      <c r="D7597" t="s">
        <v>12</v>
      </c>
      <c r="E7597" t="s">
        <v>10434</v>
      </c>
    </row>
    <row r="7598" spans="1:6" x14ac:dyDescent="0.25">
      <c r="A7598" t="str">
        <f>"4400002472"</f>
        <v>4400002472</v>
      </c>
      <c r="B7598" t="s">
        <v>10459</v>
      </c>
      <c r="C7598" t="s">
        <v>7</v>
      </c>
      <c r="D7598" t="s">
        <v>14</v>
      </c>
      <c r="E7598" t="s">
        <v>10434</v>
      </c>
      <c r="F7598" t="s">
        <v>10460</v>
      </c>
    </row>
    <row r="7599" spans="1:6" x14ac:dyDescent="0.25">
      <c r="A7599" t="str">
        <f>"4400008403"</f>
        <v>4400008403</v>
      </c>
      <c r="B7599" t="s">
        <v>10461</v>
      </c>
      <c r="C7599" t="s">
        <v>7</v>
      </c>
      <c r="D7599" t="s">
        <v>14</v>
      </c>
      <c r="E7599" t="s">
        <v>10434</v>
      </c>
      <c r="F7599" t="s">
        <v>10462</v>
      </c>
    </row>
    <row r="7600" spans="1:6" x14ac:dyDescent="0.25">
      <c r="A7600" t="str">
        <f>"4400017736"</f>
        <v>4400017736</v>
      </c>
      <c r="B7600" t="s">
        <v>10463</v>
      </c>
      <c r="C7600" t="s">
        <v>7</v>
      </c>
      <c r="D7600" t="s">
        <v>14</v>
      </c>
      <c r="E7600" t="s">
        <v>10434</v>
      </c>
      <c r="F7600" t="s">
        <v>10464</v>
      </c>
    </row>
    <row r="7601" spans="1:6" x14ac:dyDescent="0.25">
      <c r="A7601" t="str">
        <f>"4401000693"</f>
        <v>4401000693</v>
      </c>
      <c r="B7601" t="s">
        <v>10465</v>
      </c>
      <c r="C7601" t="s">
        <v>7</v>
      </c>
      <c r="D7601" t="s">
        <v>12</v>
      </c>
      <c r="E7601" t="s">
        <v>10434</v>
      </c>
      <c r="F7601" t="s">
        <v>10466</v>
      </c>
    </row>
    <row r="7602" spans="1:6" x14ac:dyDescent="0.25">
      <c r="A7602" t="str">
        <f>"440101030150"</f>
        <v>440101030150</v>
      </c>
      <c r="B7602" t="s">
        <v>10467</v>
      </c>
      <c r="C7602" t="s">
        <v>7</v>
      </c>
      <c r="D7602" t="s">
        <v>14</v>
      </c>
      <c r="E7602" t="s">
        <v>10434</v>
      </c>
    </row>
    <row r="7603" spans="1:6" x14ac:dyDescent="0.25">
      <c r="A7603" t="str">
        <f>"4401104999"</f>
        <v>4401104999</v>
      </c>
      <c r="B7603" t="s">
        <v>10468</v>
      </c>
      <c r="C7603" t="s">
        <v>7</v>
      </c>
      <c r="D7603" t="s">
        <v>12</v>
      </c>
      <c r="E7603" t="s">
        <v>10434</v>
      </c>
      <c r="F7603" t="s">
        <v>10469</v>
      </c>
    </row>
    <row r="7604" spans="1:6" x14ac:dyDescent="0.25">
      <c r="A7604" t="str">
        <f>"4401109500"</f>
        <v>4401109500</v>
      </c>
      <c r="B7604" t="s">
        <v>10470</v>
      </c>
      <c r="C7604" t="s">
        <v>7</v>
      </c>
      <c r="D7604" t="s">
        <v>14</v>
      </c>
      <c r="E7604" t="s">
        <v>10434</v>
      </c>
      <c r="F7604" t="s">
        <v>10471</v>
      </c>
    </row>
    <row r="7605" spans="1:6" x14ac:dyDescent="0.25">
      <c r="A7605" t="str">
        <f>"4401110784"</f>
        <v>4401110784</v>
      </c>
      <c r="B7605" t="s">
        <v>1218</v>
      </c>
      <c r="C7605" t="s">
        <v>7</v>
      </c>
      <c r="D7605" t="s">
        <v>14</v>
      </c>
      <c r="E7605" t="s">
        <v>10434</v>
      </c>
      <c r="F7605" t="s">
        <v>10472</v>
      </c>
    </row>
    <row r="7606" spans="1:6" x14ac:dyDescent="0.25">
      <c r="A7606" t="str">
        <f>"4401111442"</f>
        <v>4401111442</v>
      </c>
      <c r="B7606" t="s">
        <v>10473</v>
      </c>
      <c r="C7606" t="s">
        <v>7</v>
      </c>
      <c r="D7606" t="s">
        <v>12</v>
      </c>
      <c r="E7606" t="s">
        <v>10434</v>
      </c>
      <c r="F7606" t="s">
        <v>10474</v>
      </c>
    </row>
    <row r="7607" spans="1:6" x14ac:dyDescent="0.25">
      <c r="A7607" t="str">
        <f>"440114149057"</f>
        <v>440114149057</v>
      </c>
      <c r="B7607" t="s">
        <v>10475</v>
      </c>
      <c r="C7607" t="s">
        <v>7</v>
      </c>
      <c r="D7607" t="s">
        <v>14</v>
      </c>
      <c r="E7607" t="s">
        <v>10434</v>
      </c>
    </row>
    <row r="7608" spans="1:6" x14ac:dyDescent="0.25">
      <c r="A7608" t="str">
        <f>"4401151075"</f>
        <v>4401151075</v>
      </c>
      <c r="B7608" t="s">
        <v>2919</v>
      </c>
      <c r="C7608" t="s">
        <v>7</v>
      </c>
      <c r="D7608" t="s">
        <v>14</v>
      </c>
      <c r="E7608" t="s">
        <v>10434</v>
      </c>
      <c r="F7608" t="s">
        <v>10476</v>
      </c>
    </row>
    <row r="7609" spans="1:6" x14ac:dyDescent="0.25">
      <c r="A7609" t="str">
        <f>"4401156242"</f>
        <v>4401156242</v>
      </c>
      <c r="B7609" t="s">
        <v>10477</v>
      </c>
      <c r="C7609" t="s">
        <v>7</v>
      </c>
      <c r="D7609" t="s">
        <v>28</v>
      </c>
      <c r="E7609" t="s">
        <v>10434</v>
      </c>
      <c r="F7609" t="s">
        <v>10478</v>
      </c>
    </row>
    <row r="7610" spans="1:6" x14ac:dyDescent="0.25">
      <c r="A7610" t="str">
        <f>"4401160908"</f>
        <v>4401160908</v>
      </c>
      <c r="B7610" t="s">
        <v>10479</v>
      </c>
      <c r="C7610" t="s">
        <v>7</v>
      </c>
      <c r="D7610" t="s">
        <v>33</v>
      </c>
      <c r="E7610" t="s">
        <v>10434</v>
      </c>
      <c r="F7610" t="s">
        <v>10480</v>
      </c>
    </row>
    <row r="7611" spans="1:6" x14ac:dyDescent="0.25">
      <c r="A7611" t="str">
        <f>"4401166120"</f>
        <v>4401166120</v>
      </c>
      <c r="B7611" t="s">
        <v>10481</v>
      </c>
      <c r="C7611" t="s">
        <v>7</v>
      </c>
      <c r="D7611" t="s">
        <v>14</v>
      </c>
      <c r="E7611" t="s">
        <v>10434</v>
      </c>
      <c r="F7611" t="s">
        <v>10482</v>
      </c>
    </row>
    <row r="7612" spans="1:6" x14ac:dyDescent="0.25">
      <c r="A7612" t="str">
        <f>"4401167565"</f>
        <v>4401167565</v>
      </c>
      <c r="B7612" t="s">
        <v>10483</v>
      </c>
      <c r="C7612" t="s">
        <v>7</v>
      </c>
      <c r="D7612" t="s">
        <v>33</v>
      </c>
      <c r="E7612" t="s">
        <v>10434</v>
      </c>
      <c r="F7612" t="s">
        <v>10484</v>
      </c>
    </row>
    <row r="7613" spans="1:6" x14ac:dyDescent="0.25">
      <c r="A7613" t="str">
        <f>"440117917733"</f>
        <v>440117917733</v>
      </c>
      <c r="B7613" t="s">
        <v>10485</v>
      </c>
      <c r="C7613" t="s">
        <v>7</v>
      </c>
      <c r="D7613" t="s">
        <v>14</v>
      </c>
      <c r="E7613" t="s">
        <v>10434</v>
      </c>
    </row>
    <row r="7614" spans="1:6" x14ac:dyDescent="0.25">
      <c r="A7614" t="str">
        <f>"4401180830"</f>
        <v>4401180830</v>
      </c>
      <c r="B7614" t="s">
        <v>10486</v>
      </c>
      <c r="C7614" t="s">
        <v>7</v>
      </c>
      <c r="D7614" t="s">
        <v>14</v>
      </c>
      <c r="E7614" t="s">
        <v>10434</v>
      </c>
      <c r="F7614" t="s">
        <v>10487</v>
      </c>
    </row>
    <row r="7615" spans="1:6" x14ac:dyDescent="0.25">
      <c r="A7615" t="str">
        <f>"4401197136"</f>
        <v>4401197136</v>
      </c>
      <c r="B7615" t="s">
        <v>10488</v>
      </c>
      <c r="C7615" t="s">
        <v>7</v>
      </c>
      <c r="D7615" t="s">
        <v>14</v>
      </c>
      <c r="E7615" t="s">
        <v>10434</v>
      </c>
      <c r="F7615" t="s">
        <v>10489</v>
      </c>
    </row>
    <row r="7616" spans="1:6" x14ac:dyDescent="0.25">
      <c r="A7616" t="str">
        <f>"440120549021"</f>
        <v>440120549021</v>
      </c>
      <c r="B7616" t="s">
        <v>10490</v>
      </c>
      <c r="C7616" t="s">
        <v>7</v>
      </c>
      <c r="D7616" t="s">
        <v>14</v>
      </c>
      <c r="E7616" t="s">
        <v>10434</v>
      </c>
    </row>
    <row r="7617" spans="1:6" x14ac:dyDescent="0.25">
      <c r="A7617" t="str">
        <f>"440121564463"</f>
        <v>440121564463</v>
      </c>
      <c r="B7617" t="s">
        <v>10491</v>
      </c>
      <c r="C7617" t="s">
        <v>7</v>
      </c>
      <c r="D7617" t="s">
        <v>12</v>
      </c>
      <c r="E7617" t="s">
        <v>10434</v>
      </c>
    </row>
    <row r="7618" spans="1:6" x14ac:dyDescent="0.25">
      <c r="A7618" t="str">
        <f>"440128977727"</f>
        <v>440128977727</v>
      </c>
      <c r="B7618" t="s">
        <v>10492</v>
      </c>
      <c r="C7618" t="s">
        <v>7</v>
      </c>
      <c r="D7618" t="s">
        <v>14</v>
      </c>
      <c r="E7618" t="s">
        <v>10434</v>
      </c>
    </row>
    <row r="7619" spans="1:6" x14ac:dyDescent="0.25">
      <c r="A7619" t="str">
        <f>"4402006514"</f>
        <v>4402006514</v>
      </c>
      <c r="B7619" t="s">
        <v>10493</v>
      </c>
      <c r="C7619" t="s">
        <v>7</v>
      </c>
      <c r="D7619" t="s">
        <v>33</v>
      </c>
      <c r="E7619" t="s">
        <v>10434</v>
      </c>
      <c r="F7619" t="s">
        <v>10494</v>
      </c>
    </row>
    <row r="7620" spans="1:6" x14ac:dyDescent="0.25">
      <c r="A7620" t="str">
        <f>"4402008487"</f>
        <v>4402008487</v>
      </c>
      <c r="B7620" t="s">
        <v>10495</v>
      </c>
      <c r="C7620" t="s">
        <v>7</v>
      </c>
      <c r="D7620" t="s">
        <v>14</v>
      </c>
      <c r="E7620" t="s">
        <v>10434</v>
      </c>
      <c r="F7620" t="s">
        <v>10496</v>
      </c>
    </row>
    <row r="7621" spans="1:6" x14ac:dyDescent="0.25">
      <c r="A7621" t="str">
        <f>"4405003536"</f>
        <v>4405003536</v>
      </c>
      <c r="B7621" t="s">
        <v>10497</v>
      </c>
      <c r="C7621" t="s">
        <v>7</v>
      </c>
      <c r="D7621" t="s">
        <v>14</v>
      </c>
      <c r="E7621" t="s">
        <v>10434</v>
      </c>
      <c r="F7621" t="s">
        <v>10498</v>
      </c>
    </row>
    <row r="7622" spans="1:6" x14ac:dyDescent="0.25">
      <c r="A7622" t="str">
        <f>"440502497400"</f>
        <v>440502497400</v>
      </c>
      <c r="B7622" t="s">
        <v>10499</v>
      </c>
      <c r="C7622" t="s">
        <v>7</v>
      </c>
      <c r="D7622" t="s">
        <v>14</v>
      </c>
      <c r="E7622" t="s">
        <v>10434</v>
      </c>
    </row>
    <row r="7623" spans="1:6" x14ac:dyDescent="0.25">
      <c r="A7623" t="str">
        <f>"440503011333"</f>
        <v>440503011333</v>
      </c>
      <c r="B7623" t="s">
        <v>10500</v>
      </c>
      <c r="C7623" t="s">
        <v>7</v>
      </c>
      <c r="D7623" t="s">
        <v>14</v>
      </c>
      <c r="E7623" t="s">
        <v>10434</v>
      </c>
    </row>
    <row r="7624" spans="1:6" x14ac:dyDescent="0.25">
      <c r="A7624" t="str">
        <f>"440601655079"</f>
        <v>440601655079</v>
      </c>
      <c r="B7624" t="s">
        <v>10501</v>
      </c>
      <c r="C7624" t="s">
        <v>7</v>
      </c>
      <c r="D7624" t="s">
        <v>14</v>
      </c>
      <c r="E7624" t="s">
        <v>10434</v>
      </c>
    </row>
    <row r="7625" spans="1:6" x14ac:dyDescent="0.25">
      <c r="A7625" t="str">
        <f>"440601778480"</f>
        <v>440601778480</v>
      </c>
      <c r="B7625" t="s">
        <v>10502</v>
      </c>
      <c r="C7625" t="s">
        <v>7</v>
      </c>
      <c r="D7625" t="s">
        <v>14</v>
      </c>
      <c r="E7625" t="s">
        <v>10434</v>
      </c>
    </row>
    <row r="7626" spans="1:6" x14ac:dyDescent="0.25">
      <c r="A7626" t="str">
        <f>"441200008090"</f>
        <v>441200008090</v>
      </c>
      <c r="B7626" t="s">
        <v>10503</v>
      </c>
      <c r="C7626" t="s">
        <v>7</v>
      </c>
      <c r="D7626" t="s">
        <v>14</v>
      </c>
      <c r="E7626" t="s">
        <v>10434</v>
      </c>
    </row>
    <row r="7627" spans="1:6" x14ac:dyDescent="0.25">
      <c r="A7627" t="str">
        <f>"4414017006"</f>
        <v>4414017006</v>
      </c>
      <c r="B7627" t="s">
        <v>10504</v>
      </c>
      <c r="C7627" t="s">
        <v>7</v>
      </c>
      <c r="D7627" t="s">
        <v>14</v>
      </c>
      <c r="E7627" t="s">
        <v>10434</v>
      </c>
      <c r="F7627" t="s">
        <v>10505</v>
      </c>
    </row>
    <row r="7628" spans="1:6" x14ac:dyDescent="0.25">
      <c r="A7628" t="str">
        <f>"441403736867"</f>
        <v>441403736867</v>
      </c>
      <c r="B7628" t="s">
        <v>10506</v>
      </c>
      <c r="C7628" t="s">
        <v>7</v>
      </c>
      <c r="D7628" t="s">
        <v>14</v>
      </c>
      <c r="E7628" t="s">
        <v>10434</v>
      </c>
    </row>
    <row r="7629" spans="1:6" x14ac:dyDescent="0.25">
      <c r="A7629" t="str">
        <f>"441404680494"</f>
        <v>441404680494</v>
      </c>
      <c r="B7629" t="s">
        <v>10507</v>
      </c>
      <c r="C7629" t="s">
        <v>7</v>
      </c>
      <c r="D7629" t="s">
        <v>33</v>
      </c>
      <c r="E7629" t="s">
        <v>10434</v>
      </c>
    </row>
    <row r="7630" spans="1:6" x14ac:dyDescent="0.25">
      <c r="A7630" t="str">
        <f>"441501207406"</f>
        <v>441501207406</v>
      </c>
      <c r="B7630" t="s">
        <v>10508</v>
      </c>
      <c r="C7630" t="s">
        <v>7</v>
      </c>
      <c r="D7630" t="s">
        <v>14</v>
      </c>
      <c r="E7630" t="s">
        <v>10434</v>
      </c>
    </row>
    <row r="7631" spans="1:6" x14ac:dyDescent="0.25">
      <c r="A7631" t="str">
        <f>"442000017808"</f>
        <v>442000017808</v>
      </c>
      <c r="B7631" t="s">
        <v>10509</v>
      </c>
      <c r="C7631" t="s">
        <v>7</v>
      </c>
      <c r="D7631" t="s">
        <v>14</v>
      </c>
      <c r="E7631" t="s">
        <v>10434</v>
      </c>
    </row>
    <row r="7632" spans="1:6" x14ac:dyDescent="0.25">
      <c r="A7632" t="str">
        <f>"442701460670"</f>
        <v>442701460670</v>
      </c>
      <c r="B7632" t="s">
        <v>10510</v>
      </c>
      <c r="C7632" t="s">
        <v>7</v>
      </c>
      <c r="D7632" t="s">
        <v>14</v>
      </c>
      <c r="E7632" t="s">
        <v>10434</v>
      </c>
    </row>
    <row r="7633" spans="1:6" x14ac:dyDescent="0.25">
      <c r="A7633" t="str">
        <f>"442701752697"</f>
        <v>442701752697</v>
      </c>
      <c r="B7633" t="s">
        <v>10511</v>
      </c>
      <c r="C7633" t="s">
        <v>7</v>
      </c>
      <c r="D7633" t="s">
        <v>12</v>
      </c>
      <c r="E7633" t="s">
        <v>10434</v>
      </c>
    </row>
    <row r="7634" spans="1:6" x14ac:dyDescent="0.25">
      <c r="A7634" t="str">
        <f>"442900650499"</f>
        <v>442900650499</v>
      </c>
      <c r="B7634" t="s">
        <v>10512</v>
      </c>
      <c r="C7634" t="s">
        <v>7</v>
      </c>
      <c r="D7634" t="s">
        <v>14</v>
      </c>
      <c r="E7634" t="s">
        <v>10434</v>
      </c>
    </row>
    <row r="7635" spans="1:6" x14ac:dyDescent="0.25">
      <c r="A7635" t="str">
        <f>"442900972591"</f>
        <v>442900972591</v>
      </c>
      <c r="B7635" t="s">
        <v>10513</v>
      </c>
      <c r="C7635" t="s">
        <v>7</v>
      </c>
      <c r="D7635" t="s">
        <v>14</v>
      </c>
      <c r="E7635" t="s">
        <v>10434</v>
      </c>
    </row>
    <row r="7636" spans="1:6" x14ac:dyDescent="0.25">
      <c r="A7636" t="str">
        <f>"444200048684"</f>
        <v>444200048684</v>
      </c>
      <c r="B7636" t="s">
        <v>10514</v>
      </c>
      <c r="C7636" t="s">
        <v>7</v>
      </c>
      <c r="D7636" t="s">
        <v>14</v>
      </c>
      <c r="E7636" t="s">
        <v>10434</v>
      </c>
    </row>
    <row r="7637" spans="1:6" x14ac:dyDescent="0.25">
      <c r="A7637" t="str">
        <f>"444200216307"</f>
        <v>444200216307</v>
      </c>
      <c r="B7637" t="s">
        <v>10515</v>
      </c>
      <c r="C7637" t="s">
        <v>7</v>
      </c>
      <c r="D7637" t="s">
        <v>12</v>
      </c>
      <c r="E7637" t="s">
        <v>10434</v>
      </c>
    </row>
    <row r="7638" spans="1:6" x14ac:dyDescent="0.25">
      <c r="A7638" t="str">
        <f>"440100084748"</f>
        <v>440100084748</v>
      </c>
      <c r="B7638" t="s">
        <v>10516</v>
      </c>
      <c r="C7638" t="s">
        <v>7</v>
      </c>
      <c r="D7638" t="s">
        <v>14</v>
      </c>
      <c r="E7638" t="s">
        <v>10434</v>
      </c>
    </row>
    <row r="7639" spans="1:6" x14ac:dyDescent="0.25">
      <c r="A7639" t="str">
        <f>"440104006282"</f>
        <v>440104006282</v>
      </c>
      <c r="B7639" t="s">
        <v>10517</v>
      </c>
      <c r="C7639" t="s">
        <v>7</v>
      </c>
      <c r="D7639" t="s">
        <v>14</v>
      </c>
      <c r="E7639" t="s">
        <v>10434</v>
      </c>
    </row>
    <row r="7640" spans="1:6" x14ac:dyDescent="0.25">
      <c r="A7640" t="str">
        <f>"440105169434"</f>
        <v>440105169434</v>
      </c>
      <c r="B7640" t="s">
        <v>10518</v>
      </c>
      <c r="C7640" t="s">
        <v>7</v>
      </c>
      <c r="D7640" t="s">
        <v>14</v>
      </c>
      <c r="E7640" t="s">
        <v>10434</v>
      </c>
    </row>
    <row r="7641" spans="1:6" x14ac:dyDescent="0.25">
      <c r="A7641" t="str">
        <f>"440109439385"</f>
        <v>440109439385</v>
      </c>
      <c r="B7641" t="s">
        <v>10519</v>
      </c>
      <c r="C7641" t="s">
        <v>7</v>
      </c>
      <c r="D7641" t="s">
        <v>14</v>
      </c>
      <c r="E7641" t="s">
        <v>10434</v>
      </c>
    </row>
    <row r="7642" spans="1:6" x14ac:dyDescent="0.25">
      <c r="A7642" t="str">
        <f>"4401094885"</f>
        <v>4401094885</v>
      </c>
      <c r="B7642" t="s">
        <v>10520</v>
      </c>
      <c r="C7642" t="s">
        <v>7</v>
      </c>
      <c r="D7642" t="s">
        <v>14</v>
      </c>
      <c r="E7642" t="s">
        <v>10434</v>
      </c>
      <c r="F7642" t="s">
        <v>10521</v>
      </c>
    </row>
    <row r="7643" spans="1:6" x14ac:dyDescent="0.25">
      <c r="A7643" t="str">
        <f>"4401094892"</f>
        <v>4401094892</v>
      </c>
      <c r="B7643" t="s">
        <v>10522</v>
      </c>
      <c r="C7643" t="s">
        <v>7</v>
      </c>
      <c r="D7643" t="s">
        <v>14</v>
      </c>
      <c r="E7643" t="s">
        <v>10434</v>
      </c>
      <c r="F7643" t="s">
        <v>10523</v>
      </c>
    </row>
    <row r="7644" spans="1:6" x14ac:dyDescent="0.25">
      <c r="A7644" t="str">
        <f>"4401101405"</f>
        <v>4401101405</v>
      </c>
      <c r="B7644" t="s">
        <v>10524</v>
      </c>
      <c r="C7644" t="s">
        <v>7</v>
      </c>
      <c r="D7644" t="s">
        <v>14</v>
      </c>
      <c r="E7644" t="s">
        <v>10434</v>
      </c>
      <c r="F7644" t="s">
        <v>10525</v>
      </c>
    </row>
    <row r="7645" spans="1:6" x14ac:dyDescent="0.25">
      <c r="A7645" t="str">
        <f>"4401109210"</f>
        <v>4401109210</v>
      </c>
      <c r="B7645" t="s">
        <v>10526</v>
      </c>
      <c r="C7645" t="s">
        <v>7</v>
      </c>
      <c r="D7645" t="s">
        <v>14</v>
      </c>
      <c r="E7645" t="s">
        <v>10434</v>
      </c>
      <c r="F7645" t="s">
        <v>10527</v>
      </c>
    </row>
    <row r="7646" spans="1:6" x14ac:dyDescent="0.25">
      <c r="A7646" t="str">
        <f>"4401109228"</f>
        <v>4401109228</v>
      </c>
      <c r="B7646" t="s">
        <v>10528</v>
      </c>
      <c r="C7646" t="s">
        <v>7</v>
      </c>
      <c r="D7646" t="s">
        <v>14</v>
      </c>
      <c r="E7646" t="s">
        <v>10434</v>
      </c>
      <c r="F7646" t="s">
        <v>10529</v>
      </c>
    </row>
    <row r="7647" spans="1:6" x14ac:dyDescent="0.25">
      <c r="A7647" t="str">
        <f>"4401109235"</f>
        <v>4401109235</v>
      </c>
      <c r="B7647" t="s">
        <v>10530</v>
      </c>
      <c r="C7647" t="s">
        <v>7</v>
      </c>
      <c r="D7647" t="s">
        <v>14</v>
      </c>
      <c r="E7647" t="s">
        <v>10434</v>
      </c>
      <c r="F7647" t="s">
        <v>10531</v>
      </c>
    </row>
    <row r="7648" spans="1:6" x14ac:dyDescent="0.25">
      <c r="A7648" t="str">
        <f>"4401130773"</f>
        <v>4401130773</v>
      </c>
      <c r="B7648" t="s">
        <v>10532</v>
      </c>
      <c r="C7648" t="s">
        <v>7</v>
      </c>
      <c r="D7648" t="s">
        <v>14</v>
      </c>
      <c r="E7648" t="s">
        <v>10434</v>
      </c>
      <c r="F7648" t="s">
        <v>10533</v>
      </c>
    </row>
    <row r="7649" spans="1:6" x14ac:dyDescent="0.25">
      <c r="A7649" t="str">
        <f>"440113123641"</f>
        <v>440113123641</v>
      </c>
      <c r="B7649" t="s">
        <v>10534</v>
      </c>
      <c r="C7649" t="s">
        <v>7</v>
      </c>
      <c r="D7649" t="s">
        <v>14</v>
      </c>
      <c r="E7649" t="s">
        <v>10434</v>
      </c>
    </row>
    <row r="7650" spans="1:6" x14ac:dyDescent="0.25">
      <c r="A7650" t="str">
        <f>"440113926663"</f>
        <v>440113926663</v>
      </c>
      <c r="B7650" t="s">
        <v>10535</v>
      </c>
      <c r="C7650" t="s">
        <v>7</v>
      </c>
      <c r="D7650" t="s">
        <v>12</v>
      </c>
      <c r="E7650" t="s">
        <v>10434</v>
      </c>
    </row>
    <row r="7651" spans="1:6" x14ac:dyDescent="0.25">
      <c r="A7651" t="str">
        <f>"4401144889"</f>
        <v>4401144889</v>
      </c>
      <c r="B7651" t="s">
        <v>10536</v>
      </c>
      <c r="C7651" t="s">
        <v>7</v>
      </c>
      <c r="D7651" t="s">
        <v>12</v>
      </c>
      <c r="E7651" t="s">
        <v>10434</v>
      </c>
      <c r="F7651" t="s">
        <v>10537</v>
      </c>
    </row>
    <row r="7652" spans="1:6" x14ac:dyDescent="0.25">
      <c r="A7652" t="str">
        <f>"4401147199"</f>
        <v>4401147199</v>
      </c>
      <c r="B7652" t="s">
        <v>10538</v>
      </c>
      <c r="C7652" t="s">
        <v>7</v>
      </c>
      <c r="D7652" t="s">
        <v>33</v>
      </c>
      <c r="E7652" t="s">
        <v>10434</v>
      </c>
      <c r="F7652" t="s">
        <v>10539</v>
      </c>
    </row>
    <row r="7653" spans="1:6" x14ac:dyDescent="0.25">
      <c r="A7653" t="str">
        <f>"4401156845"</f>
        <v>4401156845</v>
      </c>
      <c r="B7653" t="s">
        <v>1380</v>
      </c>
      <c r="C7653" t="s">
        <v>7</v>
      </c>
      <c r="D7653" t="s">
        <v>33</v>
      </c>
      <c r="E7653" t="s">
        <v>10434</v>
      </c>
      <c r="F7653" t="s">
        <v>10540</v>
      </c>
    </row>
    <row r="7654" spans="1:6" x14ac:dyDescent="0.25">
      <c r="A7654" t="str">
        <f>"4401177806"</f>
        <v>4401177806</v>
      </c>
      <c r="B7654" t="s">
        <v>10541</v>
      </c>
      <c r="C7654" t="s">
        <v>7</v>
      </c>
      <c r="D7654" t="s">
        <v>14</v>
      </c>
      <c r="E7654" t="s">
        <v>10434</v>
      </c>
      <c r="F7654" t="s">
        <v>10542</v>
      </c>
    </row>
    <row r="7655" spans="1:6" x14ac:dyDescent="0.25">
      <c r="A7655" t="str">
        <f>"4401182482"</f>
        <v>4401182482</v>
      </c>
      <c r="B7655" t="s">
        <v>10543</v>
      </c>
      <c r="C7655" t="s">
        <v>7</v>
      </c>
      <c r="D7655" t="s">
        <v>14</v>
      </c>
      <c r="E7655" t="s">
        <v>10434</v>
      </c>
      <c r="F7655" t="s">
        <v>10544</v>
      </c>
    </row>
    <row r="7656" spans="1:6" x14ac:dyDescent="0.25">
      <c r="A7656" t="str">
        <f>"440118289915"</f>
        <v>440118289915</v>
      </c>
      <c r="B7656" t="s">
        <v>10545</v>
      </c>
      <c r="C7656" t="s">
        <v>7</v>
      </c>
      <c r="D7656" t="s">
        <v>14</v>
      </c>
      <c r="E7656" t="s">
        <v>10434</v>
      </c>
    </row>
    <row r="7657" spans="1:6" x14ac:dyDescent="0.25">
      <c r="A7657" t="str">
        <f>"440119275513"</f>
        <v>440119275513</v>
      </c>
      <c r="B7657" t="s">
        <v>10546</v>
      </c>
      <c r="C7657" t="s">
        <v>7</v>
      </c>
      <c r="D7657" t="s">
        <v>12</v>
      </c>
      <c r="E7657" t="s">
        <v>10434</v>
      </c>
    </row>
    <row r="7658" spans="1:6" x14ac:dyDescent="0.25">
      <c r="A7658" t="str">
        <f>"440119377360"</f>
        <v>440119377360</v>
      </c>
      <c r="B7658" t="s">
        <v>10547</v>
      </c>
      <c r="C7658" t="s">
        <v>7</v>
      </c>
      <c r="D7658" t="s">
        <v>12</v>
      </c>
      <c r="E7658" t="s">
        <v>10434</v>
      </c>
    </row>
    <row r="7659" spans="1:6" x14ac:dyDescent="0.25">
      <c r="A7659" t="str">
        <f>"4401194209"</f>
        <v>4401194209</v>
      </c>
      <c r="B7659" t="s">
        <v>10548</v>
      </c>
      <c r="C7659" t="s">
        <v>7</v>
      </c>
      <c r="D7659" t="s">
        <v>14</v>
      </c>
      <c r="E7659" t="s">
        <v>10434</v>
      </c>
      <c r="F7659" t="s">
        <v>10549</v>
      </c>
    </row>
    <row r="7660" spans="1:6" x14ac:dyDescent="0.25">
      <c r="A7660" t="str">
        <f>"440119615520"</f>
        <v>440119615520</v>
      </c>
      <c r="B7660" t="s">
        <v>10550</v>
      </c>
      <c r="C7660" t="s">
        <v>7</v>
      </c>
      <c r="D7660" t="s">
        <v>14</v>
      </c>
      <c r="E7660" t="s">
        <v>10434</v>
      </c>
    </row>
    <row r="7661" spans="1:6" x14ac:dyDescent="0.25">
      <c r="A7661" t="str">
        <f>"440124519638"</f>
        <v>440124519638</v>
      </c>
      <c r="B7661" t="s">
        <v>10551</v>
      </c>
      <c r="C7661" t="s">
        <v>7</v>
      </c>
      <c r="D7661" t="s">
        <v>14</v>
      </c>
      <c r="E7661" t="s">
        <v>10434</v>
      </c>
    </row>
    <row r="7662" spans="1:6" x14ac:dyDescent="0.25">
      <c r="A7662" t="str">
        <f>"440128238839"</f>
        <v>440128238839</v>
      </c>
      <c r="B7662" t="s">
        <v>10552</v>
      </c>
      <c r="C7662" t="s">
        <v>7</v>
      </c>
      <c r="D7662" t="s">
        <v>14</v>
      </c>
      <c r="E7662" t="s">
        <v>10434</v>
      </c>
    </row>
    <row r="7663" spans="1:6" x14ac:dyDescent="0.25">
      <c r="A7663" t="str">
        <f>"440132200387"</f>
        <v>440132200387</v>
      </c>
      <c r="B7663" t="s">
        <v>10553</v>
      </c>
      <c r="C7663" t="s">
        <v>7</v>
      </c>
      <c r="D7663" t="s">
        <v>14</v>
      </c>
      <c r="E7663" t="s">
        <v>10434</v>
      </c>
    </row>
    <row r="7664" spans="1:6" x14ac:dyDescent="0.25">
      <c r="A7664" t="str">
        <f>"4402000209"</f>
        <v>4402000209</v>
      </c>
      <c r="B7664" t="s">
        <v>10554</v>
      </c>
      <c r="C7664" t="s">
        <v>7</v>
      </c>
      <c r="D7664" t="s">
        <v>98</v>
      </c>
      <c r="E7664" t="s">
        <v>10434</v>
      </c>
      <c r="F7664" t="s">
        <v>10494</v>
      </c>
    </row>
    <row r="7665" spans="1:6" x14ac:dyDescent="0.25">
      <c r="A7665" t="str">
        <f>"440400728792"</f>
        <v>440400728792</v>
      </c>
      <c r="B7665" t="s">
        <v>10555</v>
      </c>
      <c r="C7665" t="s">
        <v>7</v>
      </c>
      <c r="D7665" t="s">
        <v>14</v>
      </c>
      <c r="E7665" t="s">
        <v>10434</v>
      </c>
    </row>
    <row r="7666" spans="1:6" x14ac:dyDescent="0.25">
      <c r="A7666" t="str">
        <f>"440502726699"</f>
        <v>440502726699</v>
      </c>
      <c r="B7666" t="s">
        <v>10556</v>
      </c>
      <c r="C7666" t="s">
        <v>7</v>
      </c>
      <c r="D7666" t="s">
        <v>14</v>
      </c>
      <c r="E7666" t="s">
        <v>10434</v>
      </c>
    </row>
    <row r="7667" spans="1:6" x14ac:dyDescent="0.25">
      <c r="A7667" t="str">
        <f>"440504348499"</f>
        <v>440504348499</v>
      </c>
      <c r="B7667" t="s">
        <v>10557</v>
      </c>
      <c r="C7667" t="s">
        <v>7</v>
      </c>
      <c r="D7667" t="s">
        <v>14</v>
      </c>
      <c r="E7667" t="s">
        <v>10434</v>
      </c>
    </row>
    <row r="7668" spans="1:6" x14ac:dyDescent="0.25">
      <c r="A7668" t="str">
        <f>"440601899491"</f>
        <v>440601899491</v>
      </c>
      <c r="B7668" t="s">
        <v>10558</v>
      </c>
      <c r="C7668" t="s">
        <v>7</v>
      </c>
      <c r="D7668" t="s">
        <v>14</v>
      </c>
      <c r="E7668" t="s">
        <v>10434</v>
      </c>
    </row>
    <row r="7669" spans="1:6" x14ac:dyDescent="0.25">
      <c r="A7669" t="str">
        <f>"440700282420"</f>
        <v>440700282420</v>
      </c>
      <c r="B7669" t="s">
        <v>10559</v>
      </c>
      <c r="C7669" t="s">
        <v>7</v>
      </c>
      <c r="D7669" t="s">
        <v>14</v>
      </c>
      <c r="E7669" t="s">
        <v>10434</v>
      </c>
    </row>
    <row r="7670" spans="1:6" x14ac:dyDescent="0.25">
      <c r="A7670" t="str">
        <f>"4407012751"</f>
        <v>4407012751</v>
      </c>
      <c r="B7670" t="s">
        <v>10560</v>
      </c>
      <c r="C7670" t="s">
        <v>7</v>
      </c>
      <c r="D7670" t="s">
        <v>14</v>
      </c>
      <c r="E7670" t="s">
        <v>10434</v>
      </c>
      <c r="F7670" t="s">
        <v>10561</v>
      </c>
    </row>
    <row r="7671" spans="1:6" x14ac:dyDescent="0.25">
      <c r="A7671" t="str">
        <f>"4407014290"</f>
        <v>4407014290</v>
      </c>
      <c r="B7671" t="s">
        <v>10562</v>
      </c>
      <c r="C7671" t="s">
        <v>7</v>
      </c>
      <c r="D7671" t="s">
        <v>12</v>
      </c>
      <c r="E7671" t="s">
        <v>10434</v>
      </c>
      <c r="F7671" t="s">
        <v>10563</v>
      </c>
    </row>
    <row r="7672" spans="1:6" x14ac:dyDescent="0.25">
      <c r="A7672" t="str">
        <f>"441401798804"</f>
        <v>441401798804</v>
      </c>
      <c r="B7672" t="s">
        <v>10564</v>
      </c>
      <c r="C7672" t="s">
        <v>7</v>
      </c>
      <c r="D7672" t="s">
        <v>14</v>
      </c>
      <c r="E7672" t="s">
        <v>10434</v>
      </c>
    </row>
    <row r="7673" spans="1:6" x14ac:dyDescent="0.25">
      <c r="A7673" t="str">
        <f>"441403069229"</f>
        <v>441403069229</v>
      </c>
      <c r="B7673" t="s">
        <v>10565</v>
      </c>
      <c r="C7673" t="s">
        <v>7</v>
      </c>
      <c r="D7673" t="s">
        <v>14</v>
      </c>
      <c r="E7673" t="s">
        <v>10434</v>
      </c>
    </row>
    <row r="7674" spans="1:6" x14ac:dyDescent="0.25">
      <c r="A7674" t="str">
        <f>"441503871732"</f>
        <v>441503871732</v>
      </c>
      <c r="B7674" t="s">
        <v>10566</v>
      </c>
      <c r="C7674" t="s">
        <v>7</v>
      </c>
      <c r="D7674" t="s">
        <v>14</v>
      </c>
      <c r="E7674" t="s">
        <v>10434</v>
      </c>
    </row>
    <row r="7675" spans="1:6" x14ac:dyDescent="0.25">
      <c r="A7675" t="str">
        <f>"442000489582"</f>
        <v>442000489582</v>
      </c>
      <c r="B7675" t="s">
        <v>10567</v>
      </c>
      <c r="C7675" t="s">
        <v>7</v>
      </c>
      <c r="D7675" t="s">
        <v>12</v>
      </c>
      <c r="E7675" t="s">
        <v>10434</v>
      </c>
    </row>
    <row r="7676" spans="1:6" x14ac:dyDescent="0.25">
      <c r="A7676" t="str">
        <f>"442100343690"</f>
        <v>442100343690</v>
      </c>
      <c r="B7676" t="s">
        <v>10568</v>
      </c>
      <c r="C7676" t="s">
        <v>7</v>
      </c>
      <c r="D7676" t="s">
        <v>14</v>
      </c>
      <c r="E7676" t="s">
        <v>10434</v>
      </c>
    </row>
    <row r="7677" spans="1:6" x14ac:dyDescent="0.25">
      <c r="A7677" t="str">
        <f>"442100579695"</f>
        <v>442100579695</v>
      </c>
      <c r="B7677" t="s">
        <v>10569</v>
      </c>
      <c r="C7677" t="s">
        <v>7</v>
      </c>
      <c r="D7677" t="s">
        <v>14</v>
      </c>
      <c r="E7677" t="s">
        <v>10434</v>
      </c>
    </row>
    <row r="7678" spans="1:6" x14ac:dyDescent="0.25">
      <c r="A7678" t="str">
        <f>"442100674525"</f>
        <v>442100674525</v>
      </c>
      <c r="B7678" t="s">
        <v>10570</v>
      </c>
      <c r="C7678" t="s">
        <v>7</v>
      </c>
      <c r="D7678" t="s">
        <v>14</v>
      </c>
      <c r="E7678" t="s">
        <v>10434</v>
      </c>
    </row>
    <row r="7679" spans="1:6" x14ac:dyDescent="0.25">
      <c r="A7679" t="str">
        <f>"442600405129"</f>
        <v>442600405129</v>
      </c>
      <c r="B7679" t="s">
        <v>10571</v>
      </c>
      <c r="C7679" t="s">
        <v>7</v>
      </c>
      <c r="D7679" t="s">
        <v>14</v>
      </c>
      <c r="E7679" t="s">
        <v>10434</v>
      </c>
    </row>
    <row r="7680" spans="1:6" x14ac:dyDescent="0.25">
      <c r="A7680" t="str">
        <f>"442900167891"</f>
        <v>442900167891</v>
      </c>
      <c r="B7680" t="s">
        <v>10572</v>
      </c>
      <c r="C7680" t="s">
        <v>7</v>
      </c>
      <c r="D7680" t="s">
        <v>14</v>
      </c>
      <c r="E7680" t="s">
        <v>10434</v>
      </c>
    </row>
    <row r="7681" spans="1:6" x14ac:dyDescent="0.25">
      <c r="A7681" t="str">
        <f>"444200009050"</f>
        <v>444200009050</v>
      </c>
      <c r="B7681" t="s">
        <v>10573</v>
      </c>
      <c r="C7681" t="s">
        <v>7</v>
      </c>
      <c r="D7681" t="s">
        <v>12</v>
      </c>
      <c r="E7681" t="s">
        <v>10434</v>
      </c>
    </row>
    <row r="7682" spans="1:6" x14ac:dyDescent="0.25">
      <c r="A7682" t="str">
        <f>"444200105653"</f>
        <v>444200105653</v>
      </c>
      <c r="B7682" t="s">
        <v>10574</v>
      </c>
      <c r="C7682" t="s">
        <v>7</v>
      </c>
      <c r="D7682" t="s">
        <v>14</v>
      </c>
      <c r="E7682" t="s">
        <v>10434</v>
      </c>
    </row>
    <row r="7683" spans="1:6" x14ac:dyDescent="0.25">
      <c r="A7683" t="str">
        <f>"444200540335"</f>
        <v>444200540335</v>
      </c>
      <c r="B7683" t="s">
        <v>10575</v>
      </c>
      <c r="C7683" t="s">
        <v>7</v>
      </c>
      <c r="D7683" t="s">
        <v>14</v>
      </c>
      <c r="E7683" t="s">
        <v>10434</v>
      </c>
    </row>
    <row r="7684" spans="1:6" x14ac:dyDescent="0.25">
      <c r="A7684" t="str">
        <f>"444300023098"</f>
        <v>444300023098</v>
      </c>
      <c r="B7684" t="s">
        <v>10576</v>
      </c>
      <c r="C7684" t="s">
        <v>7</v>
      </c>
      <c r="D7684" t="s">
        <v>14</v>
      </c>
      <c r="E7684" t="s">
        <v>10434</v>
      </c>
    </row>
    <row r="7685" spans="1:6" x14ac:dyDescent="0.25">
      <c r="A7685" t="str">
        <f>"444300242854"</f>
        <v>444300242854</v>
      </c>
      <c r="B7685" t="s">
        <v>10577</v>
      </c>
      <c r="C7685" t="s">
        <v>7</v>
      </c>
      <c r="D7685" t="s">
        <v>12</v>
      </c>
      <c r="E7685" t="s">
        <v>10434</v>
      </c>
    </row>
    <row r="7686" spans="1:6" x14ac:dyDescent="0.25">
      <c r="A7686" t="str">
        <f>"444400342683"</f>
        <v>444400342683</v>
      </c>
      <c r="B7686" t="s">
        <v>10578</v>
      </c>
      <c r="C7686" t="s">
        <v>7</v>
      </c>
      <c r="D7686" t="s">
        <v>14</v>
      </c>
      <c r="E7686" t="s">
        <v>10434</v>
      </c>
    </row>
    <row r="7687" spans="1:6" x14ac:dyDescent="0.25">
      <c r="A7687" t="str">
        <f>"440107236502"</f>
        <v>440107236502</v>
      </c>
      <c r="B7687" t="s">
        <v>10579</v>
      </c>
      <c r="C7687" t="s">
        <v>7</v>
      </c>
      <c r="D7687" t="s">
        <v>14</v>
      </c>
      <c r="E7687" t="s">
        <v>10434</v>
      </c>
    </row>
    <row r="7688" spans="1:6" x14ac:dyDescent="0.25">
      <c r="A7688" t="str">
        <f>"440107423005"</f>
        <v>440107423005</v>
      </c>
      <c r="B7688" t="s">
        <v>10580</v>
      </c>
      <c r="C7688" t="s">
        <v>7</v>
      </c>
      <c r="D7688" t="s">
        <v>14</v>
      </c>
      <c r="E7688" t="s">
        <v>10434</v>
      </c>
    </row>
    <row r="7689" spans="1:6" x14ac:dyDescent="0.25">
      <c r="A7689" t="str">
        <f>"440108034805"</f>
        <v>440108034805</v>
      </c>
      <c r="B7689" t="s">
        <v>10581</v>
      </c>
      <c r="C7689" t="s">
        <v>7</v>
      </c>
      <c r="D7689" t="s">
        <v>14</v>
      </c>
      <c r="E7689" t="s">
        <v>10434</v>
      </c>
    </row>
    <row r="7690" spans="1:6" x14ac:dyDescent="0.25">
      <c r="A7690" t="str">
        <f>"440109337538"</f>
        <v>440109337538</v>
      </c>
      <c r="B7690" t="s">
        <v>10582</v>
      </c>
      <c r="C7690" t="s">
        <v>7</v>
      </c>
      <c r="D7690" t="s">
        <v>14</v>
      </c>
      <c r="E7690" t="s">
        <v>10434</v>
      </c>
    </row>
    <row r="7691" spans="1:6" x14ac:dyDescent="0.25">
      <c r="A7691" t="str">
        <f>"440111573733"</f>
        <v>440111573733</v>
      </c>
      <c r="B7691" t="s">
        <v>10583</v>
      </c>
      <c r="C7691" t="s">
        <v>7</v>
      </c>
      <c r="D7691" t="s">
        <v>14</v>
      </c>
      <c r="E7691" t="s">
        <v>10434</v>
      </c>
    </row>
    <row r="7692" spans="1:6" x14ac:dyDescent="0.25">
      <c r="A7692" t="str">
        <f>"4401132410"</f>
        <v>4401132410</v>
      </c>
      <c r="B7692" t="s">
        <v>10584</v>
      </c>
      <c r="C7692" t="s">
        <v>7</v>
      </c>
      <c r="D7692" t="s">
        <v>14</v>
      </c>
      <c r="E7692" t="s">
        <v>10434</v>
      </c>
      <c r="F7692" t="s">
        <v>10585</v>
      </c>
    </row>
    <row r="7693" spans="1:6" x14ac:dyDescent="0.25">
      <c r="A7693" t="str">
        <f>"440113520141"</f>
        <v>440113520141</v>
      </c>
      <c r="B7693" t="s">
        <v>10586</v>
      </c>
      <c r="C7693" t="s">
        <v>7</v>
      </c>
      <c r="D7693" t="s">
        <v>14</v>
      </c>
      <c r="E7693" t="s">
        <v>10434</v>
      </c>
    </row>
    <row r="7694" spans="1:6" x14ac:dyDescent="0.25">
      <c r="A7694" t="str">
        <f>"4401165092"</f>
        <v>4401165092</v>
      </c>
      <c r="B7694" t="s">
        <v>10587</v>
      </c>
      <c r="C7694" t="s">
        <v>7</v>
      </c>
      <c r="D7694" t="s">
        <v>14</v>
      </c>
      <c r="E7694" t="s">
        <v>10434</v>
      </c>
      <c r="F7694" t="s">
        <v>10588</v>
      </c>
    </row>
    <row r="7695" spans="1:6" x14ac:dyDescent="0.25">
      <c r="A7695" t="str">
        <f>"4401170938"</f>
        <v>4401170938</v>
      </c>
      <c r="B7695" t="s">
        <v>10589</v>
      </c>
      <c r="C7695" t="s">
        <v>7</v>
      </c>
      <c r="D7695" t="s">
        <v>14</v>
      </c>
      <c r="E7695" t="s">
        <v>10434</v>
      </c>
      <c r="F7695" t="s">
        <v>10590</v>
      </c>
    </row>
    <row r="7696" spans="1:6" x14ac:dyDescent="0.25">
      <c r="A7696" t="str">
        <f>"4401178768"</f>
        <v>4401178768</v>
      </c>
      <c r="B7696" t="s">
        <v>10591</v>
      </c>
      <c r="C7696" t="s">
        <v>7</v>
      </c>
      <c r="D7696" t="s">
        <v>12</v>
      </c>
      <c r="E7696" t="s">
        <v>10434</v>
      </c>
      <c r="F7696" t="s">
        <v>10592</v>
      </c>
    </row>
    <row r="7697" spans="1:6" x14ac:dyDescent="0.25">
      <c r="A7697" t="str">
        <f>"4401188117"</f>
        <v>4401188117</v>
      </c>
      <c r="B7697" t="s">
        <v>10593</v>
      </c>
      <c r="C7697" t="s">
        <v>7</v>
      </c>
      <c r="D7697" t="s">
        <v>33</v>
      </c>
      <c r="E7697" t="s">
        <v>10434</v>
      </c>
      <c r="F7697" t="s">
        <v>10594</v>
      </c>
    </row>
    <row r="7698" spans="1:6" x14ac:dyDescent="0.25">
      <c r="A7698" t="str">
        <f>"440122030545"</f>
        <v>440122030545</v>
      </c>
      <c r="B7698" t="s">
        <v>10595</v>
      </c>
      <c r="C7698" t="s">
        <v>7</v>
      </c>
      <c r="D7698" t="s">
        <v>14</v>
      </c>
      <c r="E7698" t="s">
        <v>10434</v>
      </c>
    </row>
    <row r="7699" spans="1:6" x14ac:dyDescent="0.25">
      <c r="A7699" t="str">
        <f>"440130609488"</f>
        <v>440130609488</v>
      </c>
      <c r="B7699" t="s">
        <v>10596</v>
      </c>
      <c r="C7699" t="s">
        <v>7</v>
      </c>
      <c r="D7699" t="s">
        <v>14</v>
      </c>
      <c r="E7699" t="s">
        <v>10434</v>
      </c>
    </row>
    <row r="7700" spans="1:6" x14ac:dyDescent="0.25">
      <c r="A7700" t="str">
        <f>"440203235702"</f>
        <v>440203235702</v>
      </c>
      <c r="B7700" t="s">
        <v>10597</v>
      </c>
      <c r="C7700" t="s">
        <v>7</v>
      </c>
      <c r="D7700" t="s">
        <v>14</v>
      </c>
      <c r="E7700" t="s">
        <v>10434</v>
      </c>
    </row>
    <row r="7701" spans="1:6" x14ac:dyDescent="0.25">
      <c r="A7701" t="str">
        <f>"440300751332"</f>
        <v>440300751332</v>
      </c>
      <c r="B7701" t="s">
        <v>10598</v>
      </c>
      <c r="C7701" t="s">
        <v>7</v>
      </c>
      <c r="D7701" t="s">
        <v>14</v>
      </c>
      <c r="E7701" t="s">
        <v>10434</v>
      </c>
    </row>
    <row r="7702" spans="1:6" x14ac:dyDescent="0.25">
      <c r="A7702" t="str">
        <f>"440400241381"</f>
        <v>440400241381</v>
      </c>
      <c r="B7702" t="s">
        <v>10599</v>
      </c>
      <c r="C7702" t="s">
        <v>7</v>
      </c>
      <c r="D7702" t="s">
        <v>14</v>
      </c>
      <c r="E7702" t="s">
        <v>10434</v>
      </c>
    </row>
    <row r="7703" spans="1:6" x14ac:dyDescent="0.25">
      <c r="A7703" t="str">
        <f>"440401846608"</f>
        <v>440401846608</v>
      </c>
      <c r="B7703" t="s">
        <v>10600</v>
      </c>
      <c r="C7703" t="s">
        <v>7</v>
      </c>
      <c r="D7703" t="s">
        <v>12</v>
      </c>
      <c r="E7703" t="s">
        <v>10434</v>
      </c>
    </row>
    <row r="7704" spans="1:6" x14ac:dyDescent="0.25">
      <c r="A7704" t="str">
        <f>"4407007423"</f>
        <v>4407007423</v>
      </c>
      <c r="B7704" t="s">
        <v>10601</v>
      </c>
      <c r="C7704" t="s">
        <v>7</v>
      </c>
      <c r="D7704" t="s">
        <v>14</v>
      </c>
      <c r="E7704" t="s">
        <v>10434</v>
      </c>
      <c r="F7704" t="s">
        <v>10602</v>
      </c>
    </row>
    <row r="7705" spans="1:6" x14ac:dyDescent="0.25">
      <c r="A7705" t="str">
        <f>"4407011490"</f>
        <v>4407011490</v>
      </c>
      <c r="B7705" t="s">
        <v>10603</v>
      </c>
      <c r="C7705" t="s">
        <v>7</v>
      </c>
      <c r="D7705" t="s">
        <v>14</v>
      </c>
      <c r="E7705" t="s">
        <v>10434</v>
      </c>
      <c r="F7705" t="s">
        <v>10604</v>
      </c>
    </row>
    <row r="7706" spans="1:6" x14ac:dyDescent="0.25">
      <c r="A7706" t="str">
        <f>"440702644806"</f>
        <v>440702644806</v>
      </c>
      <c r="B7706" t="s">
        <v>10605</v>
      </c>
      <c r="C7706" t="s">
        <v>7</v>
      </c>
      <c r="D7706" t="s">
        <v>14</v>
      </c>
      <c r="E7706" t="s">
        <v>10434</v>
      </c>
    </row>
    <row r="7707" spans="1:6" x14ac:dyDescent="0.25">
      <c r="A7707" t="str">
        <f>"440800472834"</f>
        <v>440800472834</v>
      </c>
      <c r="B7707" t="s">
        <v>10606</v>
      </c>
      <c r="C7707" t="s">
        <v>7</v>
      </c>
      <c r="D7707" t="s">
        <v>12</v>
      </c>
      <c r="E7707" t="s">
        <v>10434</v>
      </c>
    </row>
    <row r="7708" spans="1:6" x14ac:dyDescent="0.25">
      <c r="A7708" t="str">
        <f>"4414011910"</f>
        <v>4414011910</v>
      </c>
      <c r="B7708" t="s">
        <v>10607</v>
      </c>
      <c r="C7708" t="s">
        <v>7</v>
      </c>
      <c r="D7708" t="s">
        <v>14</v>
      </c>
      <c r="E7708" t="s">
        <v>10434</v>
      </c>
      <c r="F7708" t="s">
        <v>10608</v>
      </c>
    </row>
    <row r="7709" spans="1:6" x14ac:dyDescent="0.25">
      <c r="A7709" t="str">
        <f>"441403941182"</f>
        <v>441403941182</v>
      </c>
      <c r="B7709" t="s">
        <v>10609</v>
      </c>
      <c r="C7709" t="s">
        <v>7</v>
      </c>
      <c r="D7709" t="s">
        <v>14</v>
      </c>
      <c r="E7709" t="s">
        <v>10434</v>
      </c>
    </row>
    <row r="7710" spans="1:6" x14ac:dyDescent="0.25">
      <c r="A7710" t="str">
        <f>"441404891209"</f>
        <v>441404891209</v>
      </c>
      <c r="B7710" t="s">
        <v>10610</v>
      </c>
      <c r="C7710" t="s">
        <v>7</v>
      </c>
      <c r="D7710" t="s">
        <v>14</v>
      </c>
      <c r="E7710" t="s">
        <v>10434</v>
      </c>
    </row>
    <row r="7711" spans="1:6" x14ac:dyDescent="0.25">
      <c r="A7711" t="str">
        <f>"441501795821"</f>
        <v>441501795821</v>
      </c>
      <c r="B7711" t="s">
        <v>10611</v>
      </c>
      <c r="C7711" t="s">
        <v>7</v>
      </c>
      <c r="D7711" t="s">
        <v>14</v>
      </c>
      <c r="E7711" t="s">
        <v>10434</v>
      </c>
    </row>
    <row r="7712" spans="1:6" x14ac:dyDescent="0.25">
      <c r="A7712" t="str">
        <f>"441503283089"</f>
        <v>441503283089</v>
      </c>
      <c r="B7712" t="s">
        <v>10612</v>
      </c>
      <c r="C7712" t="s">
        <v>7</v>
      </c>
      <c r="D7712" t="s">
        <v>8</v>
      </c>
      <c r="E7712" t="s">
        <v>10434</v>
      </c>
    </row>
    <row r="7713" spans="1:6" x14ac:dyDescent="0.25">
      <c r="A7713" t="str">
        <f>"442300010190"</f>
        <v>442300010190</v>
      </c>
      <c r="B7713" t="s">
        <v>10613</v>
      </c>
      <c r="C7713" t="s">
        <v>7</v>
      </c>
      <c r="D7713" t="s">
        <v>14</v>
      </c>
      <c r="E7713" t="s">
        <v>10434</v>
      </c>
    </row>
    <row r="7714" spans="1:6" x14ac:dyDescent="0.25">
      <c r="A7714" t="str">
        <f>"443700097705"</f>
        <v>443700097705</v>
      </c>
      <c r="B7714" t="s">
        <v>10614</v>
      </c>
      <c r="C7714" t="s">
        <v>7</v>
      </c>
      <c r="D7714" t="s">
        <v>12</v>
      </c>
      <c r="E7714" t="s">
        <v>10434</v>
      </c>
    </row>
    <row r="7715" spans="1:6" x14ac:dyDescent="0.25">
      <c r="A7715" t="str">
        <f>"4442017985"</f>
        <v>4442017985</v>
      </c>
      <c r="B7715" t="s">
        <v>10615</v>
      </c>
      <c r="C7715" t="s">
        <v>7</v>
      </c>
      <c r="D7715" t="s">
        <v>14</v>
      </c>
      <c r="E7715" t="s">
        <v>10434</v>
      </c>
      <c r="F7715" t="s">
        <v>10616</v>
      </c>
    </row>
    <row r="7716" spans="1:6" x14ac:dyDescent="0.25">
      <c r="A7716" t="str">
        <f>"4443020349"</f>
        <v>4443020349</v>
      </c>
      <c r="B7716" t="s">
        <v>10617</v>
      </c>
      <c r="C7716" t="s">
        <v>7</v>
      </c>
      <c r="D7716" t="s">
        <v>14</v>
      </c>
      <c r="E7716" t="s">
        <v>10434</v>
      </c>
      <c r="F7716" t="s">
        <v>10618</v>
      </c>
    </row>
    <row r="7717" spans="1:6" x14ac:dyDescent="0.25">
      <c r="A7717" t="str">
        <f>"182908129976"</f>
        <v>182908129976</v>
      </c>
      <c r="B7717" t="s">
        <v>10619</v>
      </c>
      <c r="C7717" t="s">
        <v>7</v>
      </c>
      <c r="D7717" t="s">
        <v>14</v>
      </c>
      <c r="E7717" t="s">
        <v>10434</v>
      </c>
    </row>
    <row r="7718" spans="1:6" x14ac:dyDescent="0.25">
      <c r="A7718" t="str">
        <f>"370222372203"</f>
        <v>370222372203</v>
      </c>
      <c r="B7718" t="s">
        <v>10620</v>
      </c>
      <c r="C7718" t="s">
        <v>7</v>
      </c>
      <c r="D7718" t="s">
        <v>14</v>
      </c>
      <c r="E7718" t="s">
        <v>10434</v>
      </c>
    </row>
    <row r="7719" spans="1:6" x14ac:dyDescent="0.25">
      <c r="A7719" t="str">
        <f>"3701047965"</f>
        <v>3701047965</v>
      </c>
      <c r="B7719" t="s">
        <v>4141</v>
      </c>
      <c r="C7719" t="s">
        <v>7</v>
      </c>
      <c r="D7719" t="s">
        <v>14</v>
      </c>
      <c r="E7719" t="s">
        <v>10434</v>
      </c>
      <c r="F7719" t="s">
        <v>10621</v>
      </c>
    </row>
    <row r="7720" spans="1:6" x14ac:dyDescent="0.25">
      <c r="A7720" t="str">
        <f>"3703018649"</f>
        <v>3703018649</v>
      </c>
      <c r="B7720" t="s">
        <v>10622</v>
      </c>
      <c r="C7720" t="s">
        <v>7</v>
      </c>
      <c r="D7720" t="s">
        <v>14</v>
      </c>
      <c r="E7720" t="s">
        <v>10434</v>
      </c>
      <c r="F7720" t="s">
        <v>10623</v>
      </c>
    </row>
    <row r="7721" spans="1:6" x14ac:dyDescent="0.25">
      <c r="A7721" t="str">
        <f>"3702688094"</f>
        <v>3702688094</v>
      </c>
      <c r="B7721" t="s">
        <v>10624</v>
      </c>
      <c r="C7721" t="s">
        <v>7</v>
      </c>
      <c r="D7721" t="s">
        <v>14</v>
      </c>
      <c r="E7721" t="s">
        <v>10434</v>
      </c>
      <c r="F7721" t="s">
        <v>10625</v>
      </c>
    </row>
    <row r="7722" spans="1:6" x14ac:dyDescent="0.25">
      <c r="A7722" t="str">
        <f>"3706019753"</f>
        <v>3706019753</v>
      </c>
      <c r="B7722" t="s">
        <v>2741</v>
      </c>
      <c r="C7722" t="s">
        <v>7</v>
      </c>
      <c r="D7722" t="s">
        <v>14</v>
      </c>
      <c r="E7722" t="s">
        <v>10434</v>
      </c>
      <c r="F7722" t="s">
        <v>10626</v>
      </c>
    </row>
    <row r="7723" spans="1:6" x14ac:dyDescent="0.25">
      <c r="A7723" t="str">
        <f>"7604260580"</f>
        <v>7604260580</v>
      </c>
      <c r="B7723" t="s">
        <v>10627</v>
      </c>
      <c r="C7723" t="s">
        <v>7</v>
      </c>
      <c r="D7723" t="s">
        <v>14</v>
      </c>
      <c r="E7723" t="s">
        <v>10434</v>
      </c>
      <c r="F7723" t="s">
        <v>10628</v>
      </c>
    </row>
    <row r="7724" spans="1:6" x14ac:dyDescent="0.25">
      <c r="A7724" t="str">
        <f>"7723829554"</f>
        <v>7723829554</v>
      </c>
      <c r="B7724" t="s">
        <v>10629</v>
      </c>
      <c r="C7724" t="s">
        <v>7</v>
      </c>
      <c r="D7724" t="s">
        <v>33</v>
      </c>
      <c r="E7724" t="s">
        <v>10434</v>
      </c>
      <c r="F7724" t="s">
        <v>10630</v>
      </c>
    </row>
    <row r="7725" spans="1:6" x14ac:dyDescent="0.25">
      <c r="A7725" t="str">
        <f>"4400017817"</f>
        <v>4400017817</v>
      </c>
      <c r="B7725" t="s">
        <v>10631</v>
      </c>
      <c r="C7725" t="s">
        <v>7</v>
      </c>
      <c r="D7725" t="s">
        <v>14</v>
      </c>
      <c r="E7725" t="s">
        <v>10434</v>
      </c>
      <c r="F7725" t="s">
        <v>10632</v>
      </c>
    </row>
    <row r="7726" spans="1:6" x14ac:dyDescent="0.25">
      <c r="A7726" t="str">
        <f>"440102150153"</f>
        <v>440102150153</v>
      </c>
      <c r="B7726" t="s">
        <v>10633</v>
      </c>
      <c r="C7726" t="s">
        <v>7</v>
      </c>
      <c r="D7726" t="s">
        <v>12</v>
      </c>
      <c r="E7726" t="s">
        <v>10434</v>
      </c>
    </row>
    <row r="7727" spans="1:6" x14ac:dyDescent="0.25">
      <c r="A7727" t="str">
        <f>"440103251387"</f>
        <v>440103251387</v>
      </c>
      <c r="B7727" t="s">
        <v>10634</v>
      </c>
      <c r="C7727" t="s">
        <v>7</v>
      </c>
      <c r="D7727" t="s">
        <v>14</v>
      </c>
      <c r="E7727" t="s">
        <v>10434</v>
      </c>
    </row>
    <row r="7728" spans="1:6" x14ac:dyDescent="0.25">
      <c r="A7728" t="str">
        <f>"440105147529"</f>
        <v>440105147529</v>
      </c>
      <c r="B7728" t="s">
        <v>10635</v>
      </c>
      <c r="C7728" t="s">
        <v>7</v>
      </c>
      <c r="D7728" t="s">
        <v>14</v>
      </c>
      <c r="E7728" t="s">
        <v>10434</v>
      </c>
    </row>
    <row r="7729" spans="1:6" x14ac:dyDescent="0.25">
      <c r="A7729" t="str">
        <f>"440106559229"</f>
        <v>440106559229</v>
      </c>
      <c r="B7729" t="s">
        <v>10636</v>
      </c>
      <c r="C7729" t="s">
        <v>7</v>
      </c>
      <c r="D7729" t="s">
        <v>14</v>
      </c>
      <c r="E7729" t="s">
        <v>10434</v>
      </c>
    </row>
    <row r="7730" spans="1:6" x14ac:dyDescent="0.25">
      <c r="A7730" t="str">
        <f>"511301317525"</f>
        <v>511301317525</v>
      </c>
      <c r="B7730" t="s">
        <v>10637</v>
      </c>
      <c r="C7730" t="s">
        <v>7</v>
      </c>
      <c r="D7730" t="s">
        <v>14</v>
      </c>
      <c r="E7730" t="s">
        <v>10434</v>
      </c>
    </row>
    <row r="7731" spans="1:6" x14ac:dyDescent="0.25">
      <c r="A7731" t="str">
        <f>"4500007499"</f>
        <v>4500007499</v>
      </c>
      <c r="B7731" t="s">
        <v>10638</v>
      </c>
      <c r="C7731" t="s">
        <v>7</v>
      </c>
      <c r="D7731" t="s">
        <v>33</v>
      </c>
      <c r="E7731" t="s">
        <v>10639</v>
      </c>
      <c r="F7731" t="s">
        <v>10640</v>
      </c>
    </row>
    <row r="7732" spans="1:6" x14ac:dyDescent="0.25">
      <c r="A7732" t="str">
        <f>"450201457784"</f>
        <v>450201457784</v>
      </c>
      <c r="B7732" t="s">
        <v>10641</v>
      </c>
      <c r="C7732" t="s">
        <v>7</v>
      </c>
      <c r="D7732" t="s">
        <v>14</v>
      </c>
      <c r="E7732" t="s">
        <v>10639</v>
      </c>
    </row>
    <row r="7733" spans="1:6" x14ac:dyDescent="0.25">
      <c r="A7733" t="str">
        <f>"451002235348"</f>
        <v>451002235348</v>
      </c>
      <c r="B7733" t="s">
        <v>10642</v>
      </c>
      <c r="C7733" t="s">
        <v>7</v>
      </c>
      <c r="D7733" t="s">
        <v>14</v>
      </c>
      <c r="E7733" t="s">
        <v>10639</v>
      </c>
    </row>
    <row r="7734" spans="1:6" x14ac:dyDescent="0.25">
      <c r="A7734" t="str">
        <f>"452200013892"</f>
        <v>452200013892</v>
      </c>
      <c r="B7734" t="s">
        <v>10643</v>
      </c>
      <c r="C7734" t="s">
        <v>7</v>
      </c>
      <c r="D7734" t="s">
        <v>12</v>
      </c>
      <c r="E7734" t="s">
        <v>10639</v>
      </c>
    </row>
    <row r="7735" spans="1:6" x14ac:dyDescent="0.25">
      <c r="A7735" t="str">
        <f>"452600459392"</f>
        <v>452600459392</v>
      </c>
      <c r="B7735" t="s">
        <v>10644</v>
      </c>
      <c r="C7735" t="s">
        <v>7</v>
      </c>
      <c r="D7735" t="s">
        <v>14</v>
      </c>
      <c r="E7735" t="s">
        <v>10639</v>
      </c>
    </row>
    <row r="7736" spans="1:6" x14ac:dyDescent="0.25">
      <c r="A7736" t="str">
        <f>"4500002780"</f>
        <v>4500002780</v>
      </c>
      <c r="B7736" t="s">
        <v>10645</v>
      </c>
      <c r="C7736" t="s">
        <v>7</v>
      </c>
      <c r="D7736" t="s">
        <v>14</v>
      </c>
      <c r="E7736" t="s">
        <v>10639</v>
      </c>
      <c r="F7736" t="s">
        <v>10646</v>
      </c>
    </row>
    <row r="7737" spans="1:6" x14ac:dyDescent="0.25">
      <c r="A7737" t="str">
        <f>"450100284013"</f>
        <v>450100284013</v>
      </c>
      <c r="B7737" t="s">
        <v>10647</v>
      </c>
      <c r="C7737" t="s">
        <v>7</v>
      </c>
      <c r="D7737" t="s">
        <v>14</v>
      </c>
      <c r="E7737" t="s">
        <v>10639</v>
      </c>
    </row>
    <row r="7738" spans="1:6" x14ac:dyDescent="0.25">
      <c r="A7738" t="str">
        <f>"450100588861"</f>
        <v>450100588861</v>
      </c>
      <c r="B7738" t="s">
        <v>10648</v>
      </c>
      <c r="C7738" t="s">
        <v>7</v>
      </c>
      <c r="D7738" t="s">
        <v>14</v>
      </c>
      <c r="E7738" t="s">
        <v>10639</v>
      </c>
    </row>
    <row r="7739" spans="1:6" x14ac:dyDescent="0.25">
      <c r="A7739" t="str">
        <f>"450100672707"</f>
        <v>450100672707</v>
      </c>
      <c r="B7739" t="s">
        <v>10649</v>
      </c>
      <c r="C7739" t="s">
        <v>7</v>
      </c>
      <c r="D7739" t="s">
        <v>14</v>
      </c>
      <c r="E7739" t="s">
        <v>10639</v>
      </c>
    </row>
    <row r="7740" spans="1:6" x14ac:dyDescent="0.25">
      <c r="A7740" t="str">
        <f>"450100761481"</f>
        <v>450100761481</v>
      </c>
      <c r="B7740" t="s">
        <v>10650</v>
      </c>
      <c r="C7740" t="s">
        <v>7</v>
      </c>
      <c r="D7740" t="s">
        <v>14</v>
      </c>
      <c r="E7740" t="s">
        <v>10639</v>
      </c>
    </row>
    <row r="7741" spans="1:6" x14ac:dyDescent="0.25">
      <c r="A7741" t="str">
        <f>"450101510353"</f>
        <v>450101510353</v>
      </c>
      <c r="B7741" t="s">
        <v>10651</v>
      </c>
      <c r="C7741" t="s">
        <v>7</v>
      </c>
      <c r="D7741" t="s">
        <v>12</v>
      </c>
      <c r="E7741" t="s">
        <v>10639</v>
      </c>
    </row>
    <row r="7742" spans="1:6" x14ac:dyDescent="0.25">
      <c r="A7742" t="str">
        <f>"450103748506"</f>
        <v>450103748506</v>
      </c>
      <c r="B7742" t="s">
        <v>10652</v>
      </c>
      <c r="C7742" t="s">
        <v>7</v>
      </c>
      <c r="D7742" t="s">
        <v>14</v>
      </c>
      <c r="E7742" t="s">
        <v>10639</v>
      </c>
    </row>
    <row r="7743" spans="1:6" x14ac:dyDescent="0.25">
      <c r="A7743" t="str">
        <f>"450107127637"</f>
        <v>450107127637</v>
      </c>
      <c r="B7743" t="s">
        <v>10653</v>
      </c>
      <c r="C7743" t="s">
        <v>7</v>
      </c>
      <c r="D7743" t="s">
        <v>14</v>
      </c>
      <c r="E7743" t="s">
        <v>10639</v>
      </c>
    </row>
    <row r="7744" spans="1:6" x14ac:dyDescent="0.25">
      <c r="A7744" t="str">
        <f>"4501089649"</f>
        <v>4501089649</v>
      </c>
      <c r="B7744" t="s">
        <v>10654</v>
      </c>
      <c r="C7744" t="s">
        <v>7</v>
      </c>
      <c r="D7744" t="s">
        <v>12</v>
      </c>
      <c r="E7744" t="s">
        <v>10639</v>
      </c>
      <c r="F7744" t="s">
        <v>10655</v>
      </c>
    </row>
    <row r="7745" spans="1:6" x14ac:dyDescent="0.25">
      <c r="A7745" t="str">
        <f>"4501134267"</f>
        <v>4501134267</v>
      </c>
      <c r="B7745" t="s">
        <v>10656</v>
      </c>
      <c r="C7745" t="s">
        <v>7</v>
      </c>
      <c r="D7745" t="s">
        <v>12</v>
      </c>
      <c r="E7745" t="s">
        <v>10639</v>
      </c>
      <c r="F7745" t="s">
        <v>10657</v>
      </c>
    </row>
    <row r="7746" spans="1:6" x14ac:dyDescent="0.25">
      <c r="A7746" t="str">
        <f>"4501204115"</f>
        <v>4501204115</v>
      </c>
      <c r="B7746" t="s">
        <v>5837</v>
      </c>
      <c r="C7746" t="s">
        <v>7</v>
      </c>
      <c r="D7746" t="s">
        <v>33</v>
      </c>
      <c r="E7746" t="s">
        <v>10639</v>
      </c>
      <c r="F7746" t="s">
        <v>10658</v>
      </c>
    </row>
    <row r="7747" spans="1:6" x14ac:dyDescent="0.25">
      <c r="A7747" t="str">
        <f>"4501210782"</f>
        <v>4501210782</v>
      </c>
      <c r="B7747" t="s">
        <v>10659</v>
      </c>
      <c r="C7747" t="s">
        <v>7</v>
      </c>
      <c r="D7747" t="s">
        <v>12</v>
      </c>
      <c r="E7747" t="s">
        <v>10639</v>
      </c>
      <c r="F7747" t="s">
        <v>10660</v>
      </c>
    </row>
    <row r="7748" spans="1:6" x14ac:dyDescent="0.25">
      <c r="A7748" t="str">
        <f>"4501220950"</f>
        <v>4501220950</v>
      </c>
      <c r="B7748" t="s">
        <v>10661</v>
      </c>
      <c r="C7748" t="s">
        <v>7</v>
      </c>
      <c r="D7748" t="s">
        <v>14</v>
      </c>
      <c r="E7748" t="s">
        <v>10639</v>
      </c>
      <c r="F7748" t="s">
        <v>10662</v>
      </c>
    </row>
    <row r="7749" spans="1:6" x14ac:dyDescent="0.25">
      <c r="A7749" t="str">
        <f>"450130431723"</f>
        <v>450130431723</v>
      </c>
      <c r="B7749" t="s">
        <v>10663</v>
      </c>
      <c r="C7749" t="s">
        <v>7</v>
      </c>
      <c r="D7749" t="s">
        <v>14</v>
      </c>
      <c r="E7749" t="s">
        <v>10639</v>
      </c>
    </row>
    <row r="7750" spans="1:6" x14ac:dyDescent="0.25">
      <c r="A7750" t="str">
        <f>"450131773134"</f>
        <v>450131773134</v>
      </c>
      <c r="B7750" t="s">
        <v>10664</v>
      </c>
      <c r="C7750" t="s">
        <v>7</v>
      </c>
      <c r="D7750" t="s">
        <v>14</v>
      </c>
      <c r="E7750" t="s">
        <v>10639</v>
      </c>
    </row>
    <row r="7751" spans="1:6" x14ac:dyDescent="0.25">
      <c r="A7751" t="str">
        <f>"450133189809"</f>
        <v>450133189809</v>
      </c>
      <c r="B7751" t="s">
        <v>10665</v>
      </c>
      <c r="C7751" t="s">
        <v>7</v>
      </c>
      <c r="D7751" t="s">
        <v>14</v>
      </c>
      <c r="E7751" t="s">
        <v>10639</v>
      </c>
    </row>
    <row r="7752" spans="1:6" x14ac:dyDescent="0.25">
      <c r="A7752" t="str">
        <f>"450141647192"</f>
        <v>450141647192</v>
      </c>
      <c r="B7752" t="s">
        <v>10666</v>
      </c>
      <c r="C7752" t="s">
        <v>7</v>
      </c>
      <c r="D7752" t="s">
        <v>14</v>
      </c>
      <c r="E7752" t="s">
        <v>10639</v>
      </c>
    </row>
    <row r="7753" spans="1:6" x14ac:dyDescent="0.25">
      <c r="A7753" t="str">
        <f>"450144939147"</f>
        <v>450144939147</v>
      </c>
      <c r="B7753" t="s">
        <v>10667</v>
      </c>
      <c r="C7753" t="s">
        <v>7</v>
      </c>
      <c r="D7753" t="s">
        <v>14</v>
      </c>
      <c r="E7753" t="s">
        <v>10639</v>
      </c>
    </row>
    <row r="7754" spans="1:6" x14ac:dyDescent="0.25">
      <c r="A7754" t="str">
        <f>"450146225109"</f>
        <v>450146225109</v>
      </c>
      <c r="B7754" t="s">
        <v>10668</v>
      </c>
      <c r="C7754" t="s">
        <v>7</v>
      </c>
      <c r="D7754" t="s">
        <v>14</v>
      </c>
      <c r="E7754" t="s">
        <v>10639</v>
      </c>
    </row>
    <row r="7755" spans="1:6" x14ac:dyDescent="0.25">
      <c r="A7755" t="str">
        <f>"450200102595"</f>
        <v>450200102595</v>
      </c>
      <c r="B7755" t="s">
        <v>10669</v>
      </c>
      <c r="C7755" t="s">
        <v>7</v>
      </c>
      <c r="D7755" t="s">
        <v>14</v>
      </c>
      <c r="E7755" t="s">
        <v>10639</v>
      </c>
    </row>
    <row r="7756" spans="1:6" x14ac:dyDescent="0.25">
      <c r="A7756" t="str">
        <f>"450200538230"</f>
        <v>450200538230</v>
      </c>
      <c r="B7756" t="s">
        <v>10670</v>
      </c>
      <c r="C7756" t="s">
        <v>7</v>
      </c>
      <c r="D7756" t="s">
        <v>12</v>
      </c>
      <c r="E7756" t="s">
        <v>10639</v>
      </c>
    </row>
    <row r="7757" spans="1:6" x14ac:dyDescent="0.25">
      <c r="A7757" t="str">
        <f>"4502015689"</f>
        <v>4502015689</v>
      </c>
      <c r="B7757" t="s">
        <v>3248</v>
      </c>
      <c r="C7757" t="s">
        <v>7</v>
      </c>
      <c r="D7757" t="s">
        <v>14</v>
      </c>
      <c r="E7757" t="s">
        <v>10639</v>
      </c>
      <c r="F7757" t="s">
        <v>10671</v>
      </c>
    </row>
    <row r="7758" spans="1:6" x14ac:dyDescent="0.25">
      <c r="A7758" t="str">
        <f>"450501403500"</f>
        <v>450501403500</v>
      </c>
      <c r="B7758" t="s">
        <v>10672</v>
      </c>
      <c r="C7758" t="s">
        <v>7</v>
      </c>
      <c r="D7758" t="s">
        <v>14</v>
      </c>
      <c r="E7758" t="s">
        <v>10639</v>
      </c>
    </row>
    <row r="7759" spans="1:6" x14ac:dyDescent="0.25">
      <c r="A7759" t="str">
        <f>"450602808863"</f>
        <v>450602808863</v>
      </c>
      <c r="B7759" t="s">
        <v>10673</v>
      </c>
      <c r="C7759" t="s">
        <v>7</v>
      </c>
      <c r="D7759" t="s">
        <v>14</v>
      </c>
      <c r="E7759" t="s">
        <v>10639</v>
      </c>
    </row>
    <row r="7760" spans="1:6" x14ac:dyDescent="0.25">
      <c r="A7760" t="str">
        <f>"4508010006"</f>
        <v>4508010006</v>
      </c>
      <c r="B7760" t="s">
        <v>450</v>
      </c>
      <c r="C7760" t="s">
        <v>7</v>
      </c>
      <c r="D7760" t="s">
        <v>14</v>
      </c>
      <c r="E7760" t="s">
        <v>10639</v>
      </c>
      <c r="F7760" t="s">
        <v>10674</v>
      </c>
    </row>
    <row r="7761" spans="1:6" x14ac:dyDescent="0.25">
      <c r="A7761" t="str">
        <f>"450900058550"</f>
        <v>450900058550</v>
      </c>
      <c r="B7761" t="s">
        <v>10675</v>
      </c>
      <c r="C7761" t="s">
        <v>7</v>
      </c>
      <c r="D7761" t="s">
        <v>14</v>
      </c>
      <c r="E7761" t="s">
        <v>10639</v>
      </c>
    </row>
    <row r="7762" spans="1:6" x14ac:dyDescent="0.25">
      <c r="A7762" t="str">
        <f>"4500003600"</f>
        <v>4500003600</v>
      </c>
      <c r="B7762" t="s">
        <v>10676</v>
      </c>
      <c r="C7762" t="s">
        <v>7</v>
      </c>
      <c r="D7762" t="s">
        <v>98</v>
      </c>
      <c r="E7762" t="s">
        <v>10639</v>
      </c>
      <c r="F7762" t="s">
        <v>10677</v>
      </c>
    </row>
    <row r="7763" spans="1:6" x14ac:dyDescent="0.25">
      <c r="A7763" t="str">
        <f>"450101693788"</f>
        <v>450101693788</v>
      </c>
      <c r="B7763" t="s">
        <v>10678</v>
      </c>
      <c r="C7763" t="s">
        <v>7</v>
      </c>
      <c r="D7763" t="s">
        <v>14</v>
      </c>
      <c r="E7763" t="s">
        <v>10639</v>
      </c>
    </row>
    <row r="7764" spans="1:6" x14ac:dyDescent="0.25">
      <c r="A7764" t="str">
        <f>"450102662768"</f>
        <v>450102662768</v>
      </c>
      <c r="B7764" t="s">
        <v>10679</v>
      </c>
      <c r="C7764" t="s">
        <v>7</v>
      </c>
      <c r="D7764" t="s">
        <v>14</v>
      </c>
      <c r="E7764" t="s">
        <v>10639</v>
      </c>
    </row>
    <row r="7765" spans="1:6" x14ac:dyDescent="0.25">
      <c r="A7765" t="str">
        <f>"450102671032"</f>
        <v>450102671032</v>
      </c>
      <c r="B7765" t="s">
        <v>10680</v>
      </c>
      <c r="C7765" t="s">
        <v>7</v>
      </c>
      <c r="D7765" t="s">
        <v>14</v>
      </c>
      <c r="E7765" t="s">
        <v>10639</v>
      </c>
    </row>
    <row r="7766" spans="1:6" x14ac:dyDescent="0.25">
      <c r="A7766" t="str">
        <f>"450107055975"</f>
        <v>450107055975</v>
      </c>
      <c r="B7766" t="s">
        <v>10681</v>
      </c>
      <c r="C7766" t="s">
        <v>7</v>
      </c>
      <c r="D7766" t="s">
        <v>14</v>
      </c>
      <c r="E7766" t="s">
        <v>10639</v>
      </c>
    </row>
    <row r="7767" spans="1:6" x14ac:dyDescent="0.25">
      <c r="A7767" t="str">
        <f>"4501209032"</f>
        <v>4501209032</v>
      </c>
      <c r="B7767" t="s">
        <v>10682</v>
      </c>
      <c r="C7767" t="s">
        <v>7</v>
      </c>
      <c r="D7767" t="s">
        <v>14</v>
      </c>
      <c r="E7767" t="s">
        <v>10639</v>
      </c>
      <c r="F7767" t="s">
        <v>10683</v>
      </c>
    </row>
    <row r="7768" spans="1:6" x14ac:dyDescent="0.25">
      <c r="A7768" t="str">
        <f>"4501216897"</f>
        <v>4501216897</v>
      </c>
      <c r="B7768" t="s">
        <v>10684</v>
      </c>
      <c r="C7768" t="s">
        <v>7</v>
      </c>
      <c r="D7768" t="s">
        <v>14</v>
      </c>
      <c r="E7768" t="s">
        <v>10639</v>
      </c>
      <c r="F7768" t="s">
        <v>10685</v>
      </c>
    </row>
    <row r="7769" spans="1:6" x14ac:dyDescent="0.25">
      <c r="A7769" t="str">
        <f>"4501220371"</f>
        <v>4501220371</v>
      </c>
      <c r="B7769" t="s">
        <v>10686</v>
      </c>
      <c r="C7769" t="s">
        <v>7</v>
      </c>
      <c r="D7769" t="s">
        <v>14</v>
      </c>
      <c r="E7769" t="s">
        <v>10639</v>
      </c>
      <c r="F7769" t="s">
        <v>10687</v>
      </c>
    </row>
    <row r="7770" spans="1:6" x14ac:dyDescent="0.25">
      <c r="A7770" t="str">
        <f>"4501221760"</f>
        <v>4501221760</v>
      </c>
      <c r="B7770" t="s">
        <v>4449</v>
      </c>
      <c r="C7770" t="s">
        <v>7</v>
      </c>
      <c r="D7770" t="s">
        <v>14</v>
      </c>
      <c r="E7770" t="s">
        <v>10639</v>
      </c>
      <c r="F7770" t="s">
        <v>10688</v>
      </c>
    </row>
    <row r="7771" spans="1:6" x14ac:dyDescent="0.25">
      <c r="A7771" t="str">
        <f>"4501225725"</f>
        <v>4501225725</v>
      </c>
      <c r="B7771" t="s">
        <v>10689</v>
      </c>
      <c r="C7771" t="s">
        <v>7</v>
      </c>
      <c r="D7771" t="s">
        <v>12</v>
      </c>
      <c r="E7771" t="s">
        <v>10639</v>
      </c>
      <c r="F7771" t="s">
        <v>10690</v>
      </c>
    </row>
    <row r="7772" spans="1:6" x14ac:dyDescent="0.25">
      <c r="A7772" t="str">
        <f>"450126758846"</f>
        <v>450126758846</v>
      </c>
      <c r="B7772" t="s">
        <v>10691</v>
      </c>
      <c r="C7772" t="s">
        <v>7</v>
      </c>
      <c r="D7772" t="s">
        <v>14</v>
      </c>
      <c r="E7772" t="s">
        <v>10639</v>
      </c>
    </row>
    <row r="7773" spans="1:6" x14ac:dyDescent="0.25">
      <c r="A7773" t="str">
        <f>"450132831036"</f>
        <v>450132831036</v>
      </c>
      <c r="B7773" t="s">
        <v>10692</v>
      </c>
      <c r="C7773" t="s">
        <v>7</v>
      </c>
      <c r="D7773" t="s">
        <v>14</v>
      </c>
      <c r="E7773" t="s">
        <v>10639</v>
      </c>
    </row>
    <row r="7774" spans="1:6" x14ac:dyDescent="0.25">
      <c r="A7774" t="str">
        <f>"450133315651"</f>
        <v>450133315651</v>
      </c>
      <c r="B7774" t="s">
        <v>10693</v>
      </c>
      <c r="C7774" t="s">
        <v>7</v>
      </c>
      <c r="D7774" t="s">
        <v>12</v>
      </c>
      <c r="E7774" t="s">
        <v>10639</v>
      </c>
    </row>
    <row r="7775" spans="1:6" x14ac:dyDescent="0.25">
      <c r="A7775" t="str">
        <f>"450140734205"</f>
        <v>450140734205</v>
      </c>
      <c r="B7775" t="s">
        <v>10694</v>
      </c>
      <c r="C7775" t="s">
        <v>7</v>
      </c>
      <c r="D7775" t="s">
        <v>14</v>
      </c>
      <c r="E7775" t="s">
        <v>10639</v>
      </c>
    </row>
    <row r="7776" spans="1:6" x14ac:dyDescent="0.25">
      <c r="A7776" t="str">
        <f>"450141997687"</f>
        <v>450141997687</v>
      </c>
      <c r="B7776" t="s">
        <v>10695</v>
      </c>
      <c r="C7776" t="s">
        <v>7</v>
      </c>
      <c r="D7776" t="s">
        <v>14</v>
      </c>
      <c r="E7776" t="s">
        <v>10639</v>
      </c>
    </row>
    <row r="7777" spans="1:6" x14ac:dyDescent="0.25">
      <c r="A7777" t="str">
        <f>"450143718748"</f>
        <v>450143718748</v>
      </c>
      <c r="B7777" t="s">
        <v>10696</v>
      </c>
      <c r="C7777" t="s">
        <v>7</v>
      </c>
      <c r="D7777" t="s">
        <v>14</v>
      </c>
      <c r="E7777" t="s">
        <v>10639</v>
      </c>
    </row>
    <row r="7778" spans="1:6" x14ac:dyDescent="0.25">
      <c r="A7778" t="str">
        <f>"450144248862"</f>
        <v>450144248862</v>
      </c>
      <c r="B7778" t="s">
        <v>10697</v>
      </c>
      <c r="C7778" t="s">
        <v>7</v>
      </c>
      <c r="D7778" t="s">
        <v>14</v>
      </c>
      <c r="E7778" t="s">
        <v>10639</v>
      </c>
    </row>
    <row r="7779" spans="1:6" x14ac:dyDescent="0.25">
      <c r="A7779" t="str">
        <f>"450146255689"</f>
        <v>450146255689</v>
      </c>
      <c r="B7779" t="s">
        <v>10698</v>
      </c>
      <c r="C7779" t="s">
        <v>7</v>
      </c>
      <c r="D7779" t="s">
        <v>12</v>
      </c>
      <c r="E7779" t="s">
        <v>10639</v>
      </c>
    </row>
    <row r="7780" spans="1:6" x14ac:dyDescent="0.25">
      <c r="A7780" t="str">
        <f>"450162901876"</f>
        <v>450162901876</v>
      </c>
      <c r="B7780" t="s">
        <v>10699</v>
      </c>
      <c r="C7780" t="s">
        <v>7</v>
      </c>
      <c r="D7780" t="s">
        <v>14</v>
      </c>
      <c r="E7780" t="s">
        <v>10639</v>
      </c>
    </row>
    <row r="7781" spans="1:6" x14ac:dyDescent="0.25">
      <c r="A7781" t="str">
        <f>"450200187550"</f>
        <v>450200187550</v>
      </c>
      <c r="B7781" t="s">
        <v>10700</v>
      </c>
      <c r="C7781" t="s">
        <v>7</v>
      </c>
      <c r="D7781" t="s">
        <v>14</v>
      </c>
      <c r="E7781" t="s">
        <v>10639</v>
      </c>
    </row>
    <row r="7782" spans="1:6" x14ac:dyDescent="0.25">
      <c r="A7782" t="str">
        <f>"4502019595"</f>
        <v>4502019595</v>
      </c>
      <c r="B7782" t="s">
        <v>10701</v>
      </c>
      <c r="C7782" t="s">
        <v>7</v>
      </c>
      <c r="D7782" t="s">
        <v>14</v>
      </c>
      <c r="E7782" t="s">
        <v>10639</v>
      </c>
      <c r="F7782" t="s">
        <v>10702</v>
      </c>
    </row>
    <row r="7783" spans="1:6" x14ac:dyDescent="0.25">
      <c r="A7783" t="str">
        <f>"450600121183"</f>
        <v>450600121183</v>
      </c>
      <c r="B7783" t="s">
        <v>10703</v>
      </c>
      <c r="C7783" t="s">
        <v>7</v>
      </c>
      <c r="D7783" t="s">
        <v>14</v>
      </c>
      <c r="E7783" t="s">
        <v>10639</v>
      </c>
    </row>
    <row r="7784" spans="1:6" x14ac:dyDescent="0.25">
      <c r="A7784" t="str">
        <f>"450600797084"</f>
        <v>450600797084</v>
      </c>
      <c r="B7784" t="s">
        <v>10704</v>
      </c>
      <c r="C7784" t="s">
        <v>7</v>
      </c>
      <c r="D7784" t="s">
        <v>14</v>
      </c>
      <c r="E7784" t="s">
        <v>10639</v>
      </c>
    </row>
    <row r="7785" spans="1:6" x14ac:dyDescent="0.25">
      <c r="A7785" t="str">
        <f>"450800785583"</f>
        <v>450800785583</v>
      </c>
      <c r="B7785" t="s">
        <v>10705</v>
      </c>
      <c r="C7785" t="s">
        <v>7</v>
      </c>
      <c r="D7785" t="s">
        <v>14</v>
      </c>
      <c r="E7785" t="s">
        <v>10639</v>
      </c>
    </row>
    <row r="7786" spans="1:6" x14ac:dyDescent="0.25">
      <c r="A7786" t="str">
        <f>"450902100430"</f>
        <v>450902100430</v>
      </c>
      <c r="B7786" t="s">
        <v>10706</v>
      </c>
      <c r="C7786" t="s">
        <v>7</v>
      </c>
      <c r="D7786" t="s">
        <v>14</v>
      </c>
      <c r="E7786" t="s">
        <v>10639</v>
      </c>
    </row>
    <row r="7787" spans="1:6" x14ac:dyDescent="0.25">
      <c r="A7787" t="str">
        <f>"450902435926"</f>
        <v>450902435926</v>
      </c>
      <c r="B7787" t="s">
        <v>10707</v>
      </c>
      <c r="C7787" t="s">
        <v>7</v>
      </c>
      <c r="D7787" t="s">
        <v>12</v>
      </c>
      <c r="E7787" t="s">
        <v>10639</v>
      </c>
    </row>
    <row r="7788" spans="1:6" x14ac:dyDescent="0.25">
      <c r="A7788" t="str">
        <f>"4510028339"</f>
        <v>4510028339</v>
      </c>
      <c r="B7788" t="s">
        <v>9808</v>
      </c>
      <c r="C7788" t="s">
        <v>7</v>
      </c>
      <c r="D7788" t="s">
        <v>14</v>
      </c>
      <c r="E7788" t="s">
        <v>10639</v>
      </c>
      <c r="F7788" t="s">
        <v>10708</v>
      </c>
    </row>
    <row r="7789" spans="1:6" x14ac:dyDescent="0.25">
      <c r="A7789" t="str">
        <f>"4500000013"</f>
        <v>4500000013</v>
      </c>
      <c r="B7789" t="s">
        <v>10709</v>
      </c>
      <c r="C7789" t="s">
        <v>7</v>
      </c>
      <c r="D7789" t="s">
        <v>14</v>
      </c>
      <c r="E7789" t="s">
        <v>10639</v>
      </c>
      <c r="F7789" t="s">
        <v>10710</v>
      </c>
    </row>
    <row r="7790" spans="1:6" x14ac:dyDescent="0.25">
      <c r="A7790" t="str">
        <f>"4501000129"</f>
        <v>4501000129</v>
      </c>
      <c r="B7790" t="s">
        <v>10711</v>
      </c>
      <c r="C7790" t="s">
        <v>7</v>
      </c>
      <c r="D7790" t="s">
        <v>14</v>
      </c>
      <c r="E7790" t="s">
        <v>10639</v>
      </c>
      <c r="F7790" t="s">
        <v>10712</v>
      </c>
    </row>
    <row r="7791" spans="1:6" x14ac:dyDescent="0.25">
      <c r="A7791" t="str">
        <f>"450103773855"</f>
        <v>450103773855</v>
      </c>
      <c r="B7791" t="s">
        <v>10713</v>
      </c>
      <c r="C7791" t="s">
        <v>7</v>
      </c>
      <c r="D7791" t="s">
        <v>12</v>
      </c>
      <c r="E7791" t="s">
        <v>10639</v>
      </c>
    </row>
    <row r="7792" spans="1:6" x14ac:dyDescent="0.25">
      <c r="A7792" t="str">
        <f>"4501086775"</f>
        <v>4501086775</v>
      </c>
      <c r="B7792" t="s">
        <v>10714</v>
      </c>
      <c r="C7792" t="s">
        <v>7</v>
      </c>
      <c r="D7792" t="s">
        <v>12</v>
      </c>
      <c r="E7792" t="s">
        <v>10639</v>
      </c>
      <c r="F7792" t="s">
        <v>10715</v>
      </c>
    </row>
    <row r="7793" spans="1:6" x14ac:dyDescent="0.25">
      <c r="A7793" t="str">
        <f>"450110245905"</f>
        <v>450110245905</v>
      </c>
      <c r="B7793" t="s">
        <v>10716</v>
      </c>
      <c r="C7793" t="s">
        <v>7</v>
      </c>
      <c r="D7793" t="s">
        <v>14</v>
      </c>
      <c r="E7793" t="s">
        <v>10639</v>
      </c>
    </row>
    <row r="7794" spans="1:6" x14ac:dyDescent="0.25">
      <c r="A7794" t="str">
        <f>"4501169630"</f>
        <v>4501169630</v>
      </c>
      <c r="B7794" t="s">
        <v>10717</v>
      </c>
      <c r="C7794" t="s">
        <v>7</v>
      </c>
      <c r="D7794" t="s">
        <v>14</v>
      </c>
      <c r="E7794" t="s">
        <v>10639</v>
      </c>
      <c r="F7794" t="s">
        <v>10718</v>
      </c>
    </row>
    <row r="7795" spans="1:6" x14ac:dyDescent="0.25">
      <c r="A7795" t="str">
        <f>"4501182119"</f>
        <v>4501182119</v>
      </c>
      <c r="B7795" t="s">
        <v>10719</v>
      </c>
      <c r="C7795" t="s">
        <v>7</v>
      </c>
      <c r="D7795" t="s">
        <v>14</v>
      </c>
      <c r="E7795" t="s">
        <v>10639</v>
      </c>
      <c r="F7795" t="s">
        <v>10720</v>
      </c>
    </row>
    <row r="7796" spans="1:6" x14ac:dyDescent="0.25">
      <c r="A7796" t="str">
        <f>"4501185455"</f>
        <v>4501185455</v>
      </c>
      <c r="B7796" t="s">
        <v>10721</v>
      </c>
      <c r="C7796" t="s">
        <v>7</v>
      </c>
      <c r="D7796" t="s">
        <v>14</v>
      </c>
      <c r="E7796" t="s">
        <v>10639</v>
      </c>
      <c r="F7796" t="s">
        <v>10722</v>
      </c>
    </row>
    <row r="7797" spans="1:6" x14ac:dyDescent="0.25">
      <c r="A7797" t="str">
        <f>"4501188463"</f>
        <v>4501188463</v>
      </c>
      <c r="B7797" t="s">
        <v>10723</v>
      </c>
      <c r="C7797" t="s">
        <v>7</v>
      </c>
      <c r="D7797" t="s">
        <v>14</v>
      </c>
      <c r="E7797" t="s">
        <v>10639</v>
      </c>
      <c r="F7797" t="s">
        <v>10724</v>
      </c>
    </row>
    <row r="7798" spans="1:6" x14ac:dyDescent="0.25">
      <c r="A7798" t="str">
        <f>"4501200791"</f>
        <v>4501200791</v>
      </c>
      <c r="B7798" t="s">
        <v>10725</v>
      </c>
      <c r="C7798" t="s">
        <v>7</v>
      </c>
      <c r="D7798" t="s">
        <v>12</v>
      </c>
      <c r="E7798" t="s">
        <v>10639</v>
      </c>
      <c r="F7798" t="s">
        <v>10726</v>
      </c>
    </row>
    <row r="7799" spans="1:6" x14ac:dyDescent="0.25">
      <c r="A7799" t="str">
        <f>"4501217971"</f>
        <v>4501217971</v>
      </c>
      <c r="B7799" t="s">
        <v>10727</v>
      </c>
      <c r="C7799" t="s">
        <v>7</v>
      </c>
      <c r="D7799" t="s">
        <v>33</v>
      </c>
      <c r="E7799" t="s">
        <v>10639</v>
      </c>
      <c r="F7799" t="s">
        <v>10728</v>
      </c>
    </row>
    <row r="7800" spans="1:6" x14ac:dyDescent="0.25">
      <c r="A7800" t="str">
        <f>"450133551641"</f>
        <v>450133551641</v>
      </c>
      <c r="B7800" t="s">
        <v>10729</v>
      </c>
      <c r="C7800" t="s">
        <v>7</v>
      </c>
      <c r="D7800" t="s">
        <v>14</v>
      </c>
      <c r="E7800" t="s">
        <v>10639</v>
      </c>
    </row>
    <row r="7801" spans="1:6" x14ac:dyDescent="0.25">
      <c r="A7801" t="str">
        <f>"450141237830"</f>
        <v>450141237830</v>
      </c>
      <c r="B7801" t="s">
        <v>10730</v>
      </c>
      <c r="C7801" t="s">
        <v>7</v>
      </c>
      <c r="D7801" t="s">
        <v>14</v>
      </c>
      <c r="E7801" t="s">
        <v>10639</v>
      </c>
    </row>
    <row r="7802" spans="1:6" x14ac:dyDescent="0.25">
      <c r="A7802" t="str">
        <f>"450162905327"</f>
        <v>450162905327</v>
      </c>
      <c r="B7802" t="s">
        <v>10731</v>
      </c>
      <c r="C7802" t="s">
        <v>7</v>
      </c>
      <c r="D7802" t="s">
        <v>14</v>
      </c>
      <c r="E7802" t="s">
        <v>10639</v>
      </c>
    </row>
    <row r="7803" spans="1:6" x14ac:dyDescent="0.25">
      <c r="A7803" t="str">
        <f>"4502024669"</f>
        <v>4502024669</v>
      </c>
      <c r="B7803" t="s">
        <v>10732</v>
      </c>
      <c r="C7803" t="s">
        <v>7</v>
      </c>
      <c r="D7803" t="s">
        <v>14</v>
      </c>
      <c r="E7803" t="s">
        <v>10639</v>
      </c>
      <c r="F7803" t="s">
        <v>10733</v>
      </c>
    </row>
    <row r="7804" spans="1:6" x14ac:dyDescent="0.25">
      <c r="A7804" t="str">
        <f>"450205450927"</f>
        <v>450205450927</v>
      </c>
      <c r="B7804" t="s">
        <v>10734</v>
      </c>
      <c r="C7804" t="s">
        <v>7</v>
      </c>
      <c r="D7804" t="s">
        <v>14</v>
      </c>
      <c r="E7804" t="s">
        <v>10639</v>
      </c>
    </row>
    <row r="7805" spans="1:6" x14ac:dyDescent="0.25">
      <c r="A7805" t="str">
        <f>"450205495163"</f>
        <v>450205495163</v>
      </c>
      <c r="B7805" t="s">
        <v>10735</v>
      </c>
      <c r="C7805" t="s">
        <v>7</v>
      </c>
      <c r="D7805" t="s">
        <v>14</v>
      </c>
      <c r="E7805" t="s">
        <v>10639</v>
      </c>
    </row>
    <row r="7806" spans="1:6" x14ac:dyDescent="0.25">
      <c r="A7806" t="str">
        <f>"450205651944"</f>
        <v>450205651944</v>
      </c>
      <c r="B7806" t="s">
        <v>10736</v>
      </c>
      <c r="C7806" t="s">
        <v>7</v>
      </c>
      <c r="D7806" t="s">
        <v>14</v>
      </c>
      <c r="E7806" t="s">
        <v>10639</v>
      </c>
    </row>
    <row r="7807" spans="1:6" x14ac:dyDescent="0.25">
      <c r="A7807" t="str">
        <f>"450208304064"</f>
        <v>450208304064</v>
      </c>
      <c r="B7807" t="s">
        <v>10737</v>
      </c>
      <c r="C7807" t="s">
        <v>7</v>
      </c>
      <c r="D7807" t="s">
        <v>14</v>
      </c>
      <c r="E7807" t="s">
        <v>10639</v>
      </c>
    </row>
    <row r="7808" spans="1:6" x14ac:dyDescent="0.25">
      <c r="A7808" t="str">
        <f>"450600316320"</f>
        <v>450600316320</v>
      </c>
      <c r="B7808" t="s">
        <v>10738</v>
      </c>
      <c r="C7808" t="s">
        <v>7</v>
      </c>
      <c r="D7808" t="s">
        <v>14</v>
      </c>
      <c r="E7808" t="s">
        <v>10639</v>
      </c>
    </row>
    <row r="7809" spans="1:6" x14ac:dyDescent="0.25">
      <c r="A7809" t="str">
        <f>"4508009522"</f>
        <v>4508009522</v>
      </c>
      <c r="B7809" t="s">
        <v>10739</v>
      </c>
      <c r="C7809" t="s">
        <v>7</v>
      </c>
      <c r="D7809" t="s">
        <v>14</v>
      </c>
      <c r="E7809" t="s">
        <v>10639</v>
      </c>
      <c r="F7809" t="s">
        <v>10740</v>
      </c>
    </row>
    <row r="7810" spans="1:6" x14ac:dyDescent="0.25">
      <c r="A7810" t="str">
        <f>"451000124522"</f>
        <v>451000124522</v>
      </c>
      <c r="B7810" t="s">
        <v>10741</v>
      </c>
      <c r="C7810" t="s">
        <v>7</v>
      </c>
      <c r="D7810" t="s">
        <v>14</v>
      </c>
      <c r="E7810" t="s">
        <v>10639</v>
      </c>
    </row>
    <row r="7811" spans="1:6" x14ac:dyDescent="0.25">
      <c r="A7811" t="str">
        <f>"451003848065"</f>
        <v>451003848065</v>
      </c>
      <c r="B7811" t="s">
        <v>10742</v>
      </c>
      <c r="C7811" t="s">
        <v>7</v>
      </c>
      <c r="D7811" t="s">
        <v>14</v>
      </c>
      <c r="E7811" t="s">
        <v>10639</v>
      </c>
    </row>
    <row r="7812" spans="1:6" x14ac:dyDescent="0.25">
      <c r="A7812" t="str">
        <f>"451004268099"</f>
        <v>451004268099</v>
      </c>
      <c r="B7812" t="s">
        <v>10743</v>
      </c>
      <c r="C7812" t="s">
        <v>7</v>
      </c>
      <c r="D7812" t="s">
        <v>14</v>
      </c>
      <c r="E7812" t="s">
        <v>10639</v>
      </c>
    </row>
    <row r="7813" spans="1:6" x14ac:dyDescent="0.25">
      <c r="A7813" t="str">
        <f>"451005935355"</f>
        <v>451005935355</v>
      </c>
      <c r="B7813" t="s">
        <v>10744</v>
      </c>
      <c r="C7813" t="s">
        <v>7</v>
      </c>
      <c r="D7813" t="s">
        <v>14</v>
      </c>
      <c r="E7813" t="s">
        <v>10639</v>
      </c>
    </row>
    <row r="7814" spans="1:6" x14ac:dyDescent="0.25">
      <c r="A7814" t="str">
        <f>"451000037862"</f>
        <v>451000037862</v>
      </c>
      <c r="B7814" t="s">
        <v>10745</v>
      </c>
      <c r="C7814" t="s">
        <v>7</v>
      </c>
      <c r="D7814" t="s">
        <v>14</v>
      </c>
      <c r="E7814" t="s">
        <v>10639</v>
      </c>
    </row>
    <row r="7815" spans="1:6" x14ac:dyDescent="0.25">
      <c r="A7815" t="str">
        <f>"451003738827"</f>
        <v>451003738827</v>
      </c>
      <c r="B7815" t="s">
        <v>10746</v>
      </c>
      <c r="C7815" t="s">
        <v>7</v>
      </c>
      <c r="D7815" t="s">
        <v>14</v>
      </c>
      <c r="E7815" t="s">
        <v>10639</v>
      </c>
    </row>
    <row r="7816" spans="1:6" x14ac:dyDescent="0.25">
      <c r="A7816" t="str">
        <f>"451004368079"</f>
        <v>451004368079</v>
      </c>
      <c r="B7816" t="s">
        <v>10747</v>
      </c>
      <c r="C7816" t="s">
        <v>7</v>
      </c>
      <c r="D7816" t="s">
        <v>14</v>
      </c>
      <c r="E7816" t="s">
        <v>10639</v>
      </c>
    </row>
    <row r="7817" spans="1:6" x14ac:dyDescent="0.25">
      <c r="A7817" t="str">
        <f>"451100130079"</f>
        <v>451100130079</v>
      </c>
      <c r="B7817" t="s">
        <v>10748</v>
      </c>
      <c r="C7817" t="s">
        <v>7</v>
      </c>
      <c r="D7817" t="s">
        <v>14</v>
      </c>
      <c r="E7817" t="s">
        <v>10639</v>
      </c>
    </row>
    <row r="7818" spans="1:6" x14ac:dyDescent="0.25">
      <c r="A7818" t="str">
        <f>"451200153249"</f>
        <v>451200153249</v>
      </c>
      <c r="B7818" t="s">
        <v>10749</v>
      </c>
      <c r="C7818" t="s">
        <v>7</v>
      </c>
      <c r="D7818" t="s">
        <v>14</v>
      </c>
      <c r="E7818" t="s">
        <v>10639</v>
      </c>
    </row>
    <row r="7819" spans="1:6" x14ac:dyDescent="0.25">
      <c r="A7819" t="str">
        <f>"451200696975"</f>
        <v>451200696975</v>
      </c>
      <c r="B7819" t="s">
        <v>10750</v>
      </c>
      <c r="C7819" t="s">
        <v>7</v>
      </c>
      <c r="D7819" t="s">
        <v>14</v>
      </c>
      <c r="E7819" t="s">
        <v>10639</v>
      </c>
    </row>
    <row r="7820" spans="1:6" x14ac:dyDescent="0.25">
      <c r="A7820" t="str">
        <f>"452200143884"</f>
        <v>452200143884</v>
      </c>
      <c r="B7820" t="s">
        <v>10751</v>
      </c>
      <c r="C7820" t="s">
        <v>7</v>
      </c>
      <c r="D7820" t="s">
        <v>14</v>
      </c>
      <c r="E7820" t="s">
        <v>10639</v>
      </c>
    </row>
    <row r="7821" spans="1:6" x14ac:dyDescent="0.25">
      <c r="A7821" t="str">
        <f>"452200679114"</f>
        <v>452200679114</v>
      </c>
      <c r="B7821" t="s">
        <v>10752</v>
      </c>
      <c r="C7821" t="s">
        <v>7</v>
      </c>
      <c r="D7821" t="s">
        <v>14</v>
      </c>
      <c r="E7821" t="s">
        <v>10639</v>
      </c>
    </row>
    <row r="7822" spans="1:6" x14ac:dyDescent="0.25">
      <c r="A7822" t="str">
        <f>"452401129865"</f>
        <v>452401129865</v>
      </c>
      <c r="B7822" t="s">
        <v>10753</v>
      </c>
      <c r="C7822" t="s">
        <v>7</v>
      </c>
      <c r="D7822" t="s">
        <v>14</v>
      </c>
      <c r="E7822" t="s">
        <v>10639</v>
      </c>
    </row>
    <row r="7823" spans="1:6" x14ac:dyDescent="0.25">
      <c r="A7823" t="str">
        <f>"452402309726"</f>
        <v>452402309726</v>
      </c>
      <c r="B7823" t="s">
        <v>10754</v>
      </c>
      <c r="C7823" t="s">
        <v>7</v>
      </c>
      <c r="D7823" t="s">
        <v>14</v>
      </c>
      <c r="E7823" t="s">
        <v>10639</v>
      </c>
    </row>
    <row r="7824" spans="1:6" x14ac:dyDescent="0.25">
      <c r="A7824" t="str">
        <f>"452503283425"</f>
        <v>452503283425</v>
      </c>
      <c r="B7824" t="s">
        <v>10755</v>
      </c>
      <c r="C7824" t="s">
        <v>7</v>
      </c>
      <c r="D7824" t="s">
        <v>12</v>
      </c>
      <c r="E7824" t="s">
        <v>10639</v>
      </c>
    </row>
    <row r="7825" spans="1:6" x14ac:dyDescent="0.25">
      <c r="A7825" t="str">
        <f>"451003602590"</f>
        <v>451003602590</v>
      </c>
      <c r="B7825" t="s">
        <v>10756</v>
      </c>
      <c r="C7825" t="s">
        <v>7</v>
      </c>
      <c r="D7825" t="s">
        <v>14</v>
      </c>
      <c r="E7825" t="s">
        <v>10639</v>
      </c>
    </row>
    <row r="7826" spans="1:6" x14ac:dyDescent="0.25">
      <c r="A7826" t="str">
        <f>"451600721030"</f>
        <v>451600721030</v>
      </c>
      <c r="B7826" t="s">
        <v>10757</v>
      </c>
      <c r="C7826" t="s">
        <v>7</v>
      </c>
      <c r="D7826" t="s">
        <v>14</v>
      </c>
      <c r="E7826" t="s">
        <v>10639</v>
      </c>
    </row>
    <row r="7827" spans="1:6" x14ac:dyDescent="0.25">
      <c r="A7827" t="str">
        <f>"452200493590"</f>
        <v>452200493590</v>
      </c>
      <c r="B7827" t="s">
        <v>10758</v>
      </c>
      <c r="C7827" t="s">
        <v>7</v>
      </c>
      <c r="D7827" t="s">
        <v>14</v>
      </c>
      <c r="E7827" t="s">
        <v>10639</v>
      </c>
    </row>
    <row r="7828" spans="1:6" x14ac:dyDescent="0.25">
      <c r="A7828" t="str">
        <f>"452201376472"</f>
        <v>452201376472</v>
      </c>
      <c r="B7828" t="s">
        <v>10759</v>
      </c>
      <c r="C7828" t="s">
        <v>7</v>
      </c>
      <c r="D7828" t="s">
        <v>14</v>
      </c>
      <c r="E7828" t="s">
        <v>10639</v>
      </c>
    </row>
    <row r="7829" spans="1:6" x14ac:dyDescent="0.25">
      <c r="A7829" t="str">
        <f>"452400112192"</f>
        <v>452400112192</v>
      </c>
      <c r="B7829" t="s">
        <v>10760</v>
      </c>
      <c r="C7829" t="s">
        <v>7</v>
      </c>
      <c r="D7829" t="s">
        <v>14</v>
      </c>
      <c r="E7829" t="s">
        <v>10639</v>
      </c>
    </row>
    <row r="7830" spans="1:6" x14ac:dyDescent="0.25">
      <c r="A7830" t="str">
        <f>"452400141789"</f>
        <v>452400141789</v>
      </c>
      <c r="B7830" t="s">
        <v>10761</v>
      </c>
      <c r="C7830" t="s">
        <v>7</v>
      </c>
      <c r="D7830" t="s">
        <v>14</v>
      </c>
      <c r="E7830" t="s">
        <v>10639</v>
      </c>
    </row>
    <row r="7831" spans="1:6" x14ac:dyDescent="0.25">
      <c r="A7831" t="str">
        <f>"452601910709"</f>
        <v>452601910709</v>
      </c>
      <c r="B7831" t="s">
        <v>10762</v>
      </c>
      <c r="C7831" t="s">
        <v>7</v>
      </c>
      <c r="D7831" t="s">
        <v>14</v>
      </c>
      <c r="E7831" t="s">
        <v>10639</v>
      </c>
    </row>
    <row r="7832" spans="1:6" x14ac:dyDescent="0.25">
      <c r="A7832" t="str">
        <f>"451301449531"</f>
        <v>451301449531</v>
      </c>
      <c r="B7832" t="s">
        <v>10763</v>
      </c>
      <c r="C7832" t="s">
        <v>7</v>
      </c>
      <c r="D7832" t="s">
        <v>14</v>
      </c>
      <c r="E7832" t="s">
        <v>10639</v>
      </c>
    </row>
    <row r="7833" spans="1:6" x14ac:dyDescent="0.25">
      <c r="A7833" t="str">
        <f>"4514002772"</f>
        <v>4514002772</v>
      </c>
      <c r="B7833" t="s">
        <v>10764</v>
      </c>
      <c r="C7833" t="s">
        <v>7</v>
      </c>
      <c r="D7833" t="s">
        <v>14</v>
      </c>
      <c r="E7833" t="s">
        <v>10639</v>
      </c>
      <c r="F7833" t="s">
        <v>10765</v>
      </c>
    </row>
    <row r="7834" spans="1:6" x14ac:dyDescent="0.25">
      <c r="A7834" t="str">
        <f>"451602009580"</f>
        <v>451602009580</v>
      </c>
      <c r="B7834" t="s">
        <v>10766</v>
      </c>
      <c r="C7834" t="s">
        <v>7</v>
      </c>
      <c r="D7834" t="s">
        <v>14</v>
      </c>
      <c r="E7834" t="s">
        <v>10639</v>
      </c>
    </row>
    <row r="7835" spans="1:6" x14ac:dyDescent="0.25">
      <c r="A7835" t="str">
        <f>"451701134085"</f>
        <v>451701134085</v>
      </c>
      <c r="B7835" t="s">
        <v>10767</v>
      </c>
      <c r="C7835" t="s">
        <v>7</v>
      </c>
      <c r="D7835" t="s">
        <v>14</v>
      </c>
      <c r="E7835" t="s">
        <v>10639</v>
      </c>
    </row>
    <row r="7836" spans="1:6" x14ac:dyDescent="0.25">
      <c r="A7836" t="str">
        <f>"451801030467"</f>
        <v>451801030467</v>
      </c>
      <c r="B7836" t="s">
        <v>10768</v>
      </c>
      <c r="C7836" t="s">
        <v>7</v>
      </c>
      <c r="D7836" t="s">
        <v>14</v>
      </c>
      <c r="E7836" t="s">
        <v>10639</v>
      </c>
    </row>
    <row r="7837" spans="1:6" x14ac:dyDescent="0.25">
      <c r="A7837" t="str">
        <f>"451901449269"</f>
        <v>451901449269</v>
      </c>
      <c r="B7837" t="s">
        <v>10769</v>
      </c>
      <c r="C7837" t="s">
        <v>7</v>
      </c>
      <c r="D7837" t="s">
        <v>14</v>
      </c>
      <c r="E7837" t="s">
        <v>10639</v>
      </c>
    </row>
    <row r="7838" spans="1:6" x14ac:dyDescent="0.25">
      <c r="A7838" t="str">
        <f>"452300342636"</f>
        <v>452300342636</v>
      </c>
      <c r="B7838" t="s">
        <v>10770</v>
      </c>
      <c r="C7838" t="s">
        <v>7</v>
      </c>
      <c r="D7838" t="s">
        <v>14</v>
      </c>
      <c r="E7838" t="s">
        <v>10639</v>
      </c>
    </row>
    <row r="7839" spans="1:6" x14ac:dyDescent="0.25">
      <c r="A7839" t="str">
        <f>"452300397201"</f>
        <v>452300397201</v>
      </c>
      <c r="B7839" t="s">
        <v>10771</v>
      </c>
      <c r="C7839" t="s">
        <v>7</v>
      </c>
      <c r="D7839" t="s">
        <v>14</v>
      </c>
      <c r="E7839" t="s">
        <v>10639</v>
      </c>
    </row>
    <row r="7840" spans="1:6" x14ac:dyDescent="0.25">
      <c r="A7840" t="str">
        <f>"553401540558"</f>
        <v>553401540558</v>
      </c>
      <c r="B7840" t="s">
        <v>10772</v>
      </c>
      <c r="C7840" t="s">
        <v>7</v>
      </c>
      <c r="D7840" t="s">
        <v>14</v>
      </c>
      <c r="E7840" t="s">
        <v>10639</v>
      </c>
    </row>
    <row r="7841" spans="1:6" x14ac:dyDescent="0.25">
      <c r="A7841" t="str">
        <f>"781417257603"</f>
        <v>781417257603</v>
      </c>
      <c r="B7841" t="s">
        <v>10773</v>
      </c>
      <c r="C7841" t="s">
        <v>7</v>
      </c>
      <c r="D7841" t="s">
        <v>33</v>
      </c>
      <c r="E7841" t="s">
        <v>10639</v>
      </c>
    </row>
    <row r="7842" spans="1:6" x14ac:dyDescent="0.25">
      <c r="A7842" t="str">
        <f>"272700012809"</f>
        <v>272700012809</v>
      </c>
      <c r="B7842" t="s">
        <v>10774</v>
      </c>
      <c r="C7842" t="s">
        <v>7</v>
      </c>
      <c r="D7842" t="s">
        <v>14</v>
      </c>
      <c r="E7842" t="s">
        <v>10639</v>
      </c>
    </row>
    <row r="7843" spans="1:6" x14ac:dyDescent="0.25">
      <c r="A7843" t="str">
        <f>"272700080608"</f>
        <v>272700080608</v>
      </c>
      <c r="B7843" t="s">
        <v>10775</v>
      </c>
      <c r="C7843" t="s">
        <v>7</v>
      </c>
      <c r="D7843" t="s">
        <v>14</v>
      </c>
      <c r="E7843" t="s">
        <v>10639</v>
      </c>
    </row>
    <row r="7844" spans="1:6" x14ac:dyDescent="0.25">
      <c r="A7844" t="str">
        <f>"460600028102"</f>
        <v>460600028102</v>
      </c>
      <c r="B7844" t="s">
        <v>10776</v>
      </c>
      <c r="C7844" t="s">
        <v>7</v>
      </c>
      <c r="D7844" t="s">
        <v>14</v>
      </c>
      <c r="E7844" t="s">
        <v>10777</v>
      </c>
    </row>
    <row r="7845" spans="1:6" x14ac:dyDescent="0.25">
      <c r="A7845" t="str">
        <f>"4631013016"</f>
        <v>4631013016</v>
      </c>
      <c r="B7845" t="s">
        <v>10778</v>
      </c>
      <c r="C7845" t="s">
        <v>7</v>
      </c>
      <c r="D7845" t="s">
        <v>33</v>
      </c>
      <c r="E7845" t="s">
        <v>10777</v>
      </c>
      <c r="F7845" t="s">
        <v>10779</v>
      </c>
    </row>
    <row r="7846" spans="1:6" x14ac:dyDescent="0.25">
      <c r="A7846" t="str">
        <f>"463215162662"</f>
        <v>463215162662</v>
      </c>
      <c r="B7846" t="s">
        <v>10780</v>
      </c>
      <c r="C7846" t="s">
        <v>7</v>
      </c>
      <c r="D7846" t="s">
        <v>14</v>
      </c>
      <c r="E7846" t="s">
        <v>10777</v>
      </c>
    </row>
    <row r="7847" spans="1:6" x14ac:dyDescent="0.25">
      <c r="A7847" t="str">
        <f>"463216663990"</f>
        <v>463216663990</v>
      </c>
      <c r="B7847" t="s">
        <v>10781</v>
      </c>
      <c r="C7847" t="s">
        <v>7</v>
      </c>
      <c r="D7847" t="s">
        <v>14</v>
      </c>
      <c r="E7847" t="s">
        <v>10777</v>
      </c>
    </row>
    <row r="7848" spans="1:6" x14ac:dyDescent="0.25">
      <c r="A7848" t="str">
        <f>"4632212102"</f>
        <v>4632212102</v>
      </c>
      <c r="B7848" t="s">
        <v>10782</v>
      </c>
      <c r="C7848" t="s">
        <v>7</v>
      </c>
      <c r="D7848" t="s">
        <v>463</v>
      </c>
      <c r="E7848" t="s">
        <v>10777</v>
      </c>
      <c r="F7848" t="s">
        <v>10783</v>
      </c>
    </row>
    <row r="7849" spans="1:6" x14ac:dyDescent="0.25">
      <c r="A7849" t="str">
        <f>"4632240967"</f>
        <v>4632240967</v>
      </c>
      <c r="B7849" t="s">
        <v>10784</v>
      </c>
      <c r="C7849" t="s">
        <v>7</v>
      </c>
      <c r="D7849" t="s">
        <v>12</v>
      </c>
      <c r="E7849" t="s">
        <v>10777</v>
      </c>
      <c r="F7849" t="s">
        <v>10785</v>
      </c>
    </row>
    <row r="7850" spans="1:6" x14ac:dyDescent="0.25">
      <c r="A7850" t="str">
        <f>"4632255201"</f>
        <v>4632255201</v>
      </c>
      <c r="B7850" t="s">
        <v>10786</v>
      </c>
      <c r="C7850" t="s">
        <v>7</v>
      </c>
      <c r="D7850" t="s">
        <v>12</v>
      </c>
      <c r="E7850" t="s">
        <v>10777</v>
      </c>
      <c r="F7850" t="s">
        <v>10787</v>
      </c>
    </row>
    <row r="7851" spans="1:6" x14ac:dyDescent="0.25">
      <c r="A7851" t="str">
        <f>"463308176548"</f>
        <v>463308176548</v>
      </c>
      <c r="B7851" t="s">
        <v>10788</v>
      </c>
      <c r="C7851" t="s">
        <v>7</v>
      </c>
      <c r="D7851" t="s">
        <v>14</v>
      </c>
      <c r="E7851" t="s">
        <v>10777</v>
      </c>
    </row>
    <row r="7852" spans="1:6" x14ac:dyDescent="0.25">
      <c r="A7852" t="str">
        <f>"4600000560"</f>
        <v>4600000560</v>
      </c>
      <c r="B7852" t="s">
        <v>10789</v>
      </c>
      <c r="C7852" t="s">
        <v>7</v>
      </c>
      <c r="D7852" t="s">
        <v>33</v>
      </c>
      <c r="E7852" t="s">
        <v>10777</v>
      </c>
      <c r="F7852" t="s">
        <v>10790</v>
      </c>
    </row>
    <row r="7853" spans="1:6" x14ac:dyDescent="0.25">
      <c r="A7853" t="str">
        <f>"460301926980"</f>
        <v>460301926980</v>
      </c>
      <c r="B7853" t="s">
        <v>10791</v>
      </c>
      <c r="C7853" t="s">
        <v>7</v>
      </c>
      <c r="D7853" t="s">
        <v>14</v>
      </c>
      <c r="E7853" t="s">
        <v>10777</v>
      </c>
    </row>
    <row r="7854" spans="1:6" x14ac:dyDescent="0.25">
      <c r="A7854" t="str">
        <f>"460600012381"</f>
        <v>460600012381</v>
      </c>
      <c r="B7854" t="s">
        <v>10792</v>
      </c>
      <c r="C7854" t="s">
        <v>7</v>
      </c>
      <c r="D7854" t="s">
        <v>14</v>
      </c>
      <c r="E7854" t="s">
        <v>10777</v>
      </c>
    </row>
    <row r="7855" spans="1:6" x14ac:dyDescent="0.25">
      <c r="A7855" t="str">
        <f>"460600894800"</f>
        <v>460600894800</v>
      </c>
      <c r="B7855" t="s">
        <v>10793</v>
      </c>
      <c r="C7855" t="s">
        <v>7</v>
      </c>
      <c r="D7855" t="s">
        <v>14</v>
      </c>
      <c r="E7855" t="s">
        <v>10777</v>
      </c>
    </row>
    <row r="7856" spans="1:6" x14ac:dyDescent="0.25">
      <c r="A7856" t="str">
        <f>"461000790960"</f>
        <v>461000790960</v>
      </c>
      <c r="B7856" t="s">
        <v>10794</v>
      </c>
      <c r="C7856" t="s">
        <v>7</v>
      </c>
      <c r="D7856" t="s">
        <v>12</v>
      </c>
      <c r="E7856" t="s">
        <v>10777</v>
      </c>
    </row>
    <row r="7857" spans="1:6" x14ac:dyDescent="0.25">
      <c r="A7857" t="str">
        <f>"461300816312"</f>
        <v>461300816312</v>
      </c>
      <c r="B7857" t="s">
        <v>10795</v>
      </c>
      <c r="C7857" t="s">
        <v>7</v>
      </c>
      <c r="D7857" t="s">
        <v>14</v>
      </c>
      <c r="E7857" t="s">
        <v>10777</v>
      </c>
    </row>
    <row r="7858" spans="1:6" x14ac:dyDescent="0.25">
      <c r="A7858" t="str">
        <f>"461301026275"</f>
        <v>461301026275</v>
      </c>
      <c r="B7858" t="s">
        <v>10796</v>
      </c>
      <c r="C7858" t="s">
        <v>7</v>
      </c>
      <c r="D7858" t="s">
        <v>14</v>
      </c>
      <c r="E7858" t="s">
        <v>10777</v>
      </c>
    </row>
    <row r="7859" spans="1:6" x14ac:dyDescent="0.25">
      <c r="A7859" t="str">
        <f>"461600283538"</f>
        <v>461600283538</v>
      </c>
      <c r="B7859" t="s">
        <v>10797</v>
      </c>
      <c r="C7859" t="s">
        <v>7</v>
      </c>
      <c r="D7859" t="s">
        <v>14</v>
      </c>
      <c r="E7859" t="s">
        <v>10777</v>
      </c>
    </row>
    <row r="7860" spans="1:6" x14ac:dyDescent="0.25">
      <c r="A7860" t="str">
        <f>"461603895680"</f>
        <v>461603895680</v>
      </c>
      <c r="B7860" t="s">
        <v>10798</v>
      </c>
      <c r="C7860" t="s">
        <v>7</v>
      </c>
      <c r="D7860" t="s">
        <v>14</v>
      </c>
      <c r="E7860" t="s">
        <v>10777</v>
      </c>
    </row>
    <row r="7861" spans="1:6" x14ac:dyDescent="0.25">
      <c r="A7861" t="str">
        <f>"4622004671"</f>
        <v>4622004671</v>
      </c>
      <c r="B7861" t="s">
        <v>10799</v>
      </c>
      <c r="C7861" t="s">
        <v>7</v>
      </c>
      <c r="D7861" t="s">
        <v>14</v>
      </c>
      <c r="E7861" t="s">
        <v>10777</v>
      </c>
      <c r="F7861" t="s">
        <v>10800</v>
      </c>
    </row>
    <row r="7862" spans="1:6" x14ac:dyDescent="0.25">
      <c r="A7862" t="str">
        <f>"462400151342"</f>
        <v>462400151342</v>
      </c>
      <c r="B7862" t="s">
        <v>10801</v>
      </c>
      <c r="C7862" t="s">
        <v>7</v>
      </c>
      <c r="D7862" t="s">
        <v>14</v>
      </c>
      <c r="E7862" t="s">
        <v>10777</v>
      </c>
    </row>
    <row r="7863" spans="1:6" x14ac:dyDescent="0.25">
      <c r="A7863" t="str">
        <f>"462600208099"</f>
        <v>462600208099</v>
      </c>
      <c r="B7863" t="s">
        <v>10802</v>
      </c>
      <c r="C7863" t="s">
        <v>7</v>
      </c>
      <c r="D7863" t="s">
        <v>14</v>
      </c>
      <c r="E7863" t="s">
        <v>10777</v>
      </c>
    </row>
    <row r="7864" spans="1:6" x14ac:dyDescent="0.25">
      <c r="A7864" t="str">
        <f>"463000158930"</f>
        <v>463000158930</v>
      </c>
      <c r="B7864" t="s">
        <v>10803</v>
      </c>
      <c r="C7864" t="s">
        <v>7</v>
      </c>
      <c r="D7864" t="s">
        <v>12</v>
      </c>
      <c r="E7864" t="s">
        <v>10777</v>
      </c>
    </row>
    <row r="7865" spans="1:6" x14ac:dyDescent="0.25">
      <c r="A7865" t="str">
        <f>"463000360294"</f>
        <v>463000360294</v>
      </c>
      <c r="B7865" t="s">
        <v>10804</v>
      </c>
      <c r="C7865" t="s">
        <v>7</v>
      </c>
      <c r="D7865" t="s">
        <v>8</v>
      </c>
      <c r="E7865" t="s">
        <v>10777</v>
      </c>
    </row>
    <row r="7866" spans="1:6" x14ac:dyDescent="0.25">
      <c r="A7866" t="str">
        <f>"463001482055"</f>
        <v>463001482055</v>
      </c>
      <c r="B7866" t="s">
        <v>10805</v>
      </c>
      <c r="C7866" t="s">
        <v>7</v>
      </c>
      <c r="D7866" t="s">
        <v>14</v>
      </c>
      <c r="E7866" t="s">
        <v>10777</v>
      </c>
    </row>
    <row r="7867" spans="1:6" x14ac:dyDescent="0.25">
      <c r="A7867" t="str">
        <f>"4632038528"</f>
        <v>4632038528</v>
      </c>
      <c r="B7867" t="s">
        <v>10806</v>
      </c>
      <c r="C7867" t="s">
        <v>7</v>
      </c>
      <c r="D7867" t="s">
        <v>14</v>
      </c>
      <c r="E7867" t="s">
        <v>10777</v>
      </c>
      <c r="F7867" t="s">
        <v>10807</v>
      </c>
    </row>
    <row r="7868" spans="1:6" x14ac:dyDescent="0.25">
      <c r="A7868" t="str">
        <f>"463205364606"</f>
        <v>463205364606</v>
      </c>
      <c r="B7868" t="s">
        <v>10808</v>
      </c>
      <c r="C7868" t="s">
        <v>7</v>
      </c>
      <c r="D7868" t="s">
        <v>12</v>
      </c>
      <c r="E7868" t="s">
        <v>10777</v>
      </c>
    </row>
    <row r="7869" spans="1:6" x14ac:dyDescent="0.25">
      <c r="A7869" t="str">
        <f>"4632102981"</f>
        <v>4632102981</v>
      </c>
      <c r="B7869" t="s">
        <v>10809</v>
      </c>
      <c r="C7869" t="s">
        <v>7</v>
      </c>
      <c r="D7869" t="s">
        <v>674</v>
      </c>
      <c r="E7869" t="s">
        <v>10777</v>
      </c>
      <c r="F7869" t="s">
        <v>10810</v>
      </c>
    </row>
    <row r="7870" spans="1:6" x14ac:dyDescent="0.25">
      <c r="A7870" t="str">
        <f>"4632156539"</f>
        <v>4632156539</v>
      </c>
      <c r="B7870" t="s">
        <v>10811</v>
      </c>
      <c r="C7870" t="s">
        <v>7</v>
      </c>
      <c r="D7870" t="s">
        <v>14</v>
      </c>
      <c r="E7870" t="s">
        <v>10777</v>
      </c>
      <c r="F7870" t="s">
        <v>10812</v>
      </c>
    </row>
    <row r="7871" spans="1:6" x14ac:dyDescent="0.25">
      <c r="A7871" t="str">
        <f>"4632175267"</f>
        <v>4632175267</v>
      </c>
      <c r="B7871" t="s">
        <v>10813</v>
      </c>
      <c r="C7871" t="s">
        <v>7</v>
      </c>
      <c r="D7871" t="s">
        <v>146</v>
      </c>
      <c r="E7871" t="s">
        <v>10777</v>
      </c>
      <c r="F7871" t="s">
        <v>10814</v>
      </c>
    </row>
    <row r="7872" spans="1:6" x14ac:dyDescent="0.25">
      <c r="A7872" t="str">
        <f>"4632216604"</f>
        <v>4632216604</v>
      </c>
      <c r="B7872" t="s">
        <v>10815</v>
      </c>
      <c r="C7872" t="s">
        <v>7</v>
      </c>
      <c r="D7872" t="s">
        <v>33</v>
      </c>
      <c r="E7872" t="s">
        <v>10777</v>
      </c>
      <c r="F7872" t="s">
        <v>10816</v>
      </c>
    </row>
    <row r="7873" spans="1:6" x14ac:dyDescent="0.25">
      <c r="A7873" t="str">
        <f>"4632223619"</f>
        <v>4632223619</v>
      </c>
      <c r="B7873" t="s">
        <v>10817</v>
      </c>
      <c r="C7873" t="s">
        <v>7</v>
      </c>
      <c r="D7873" t="s">
        <v>12</v>
      </c>
      <c r="E7873" t="s">
        <v>10777</v>
      </c>
      <c r="F7873" t="s">
        <v>10818</v>
      </c>
    </row>
    <row r="7874" spans="1:6" x14ac:dyDescent="0.25">
      <c r="A7874" t="str">
        <f>"4632225158"</f>
        <v>4632225158</v>
      </c>
      <c r="B7874" t="s">
        <v>10819</v>
      </c>
      <c r="C7874" t="s">
        <v>7</v>
      </c>
      <c r="D7874" t="s">
        <v>12</v>
      </c>
      <c r="E7874" t="s">
        <v>10777</v>
      </c>
      <c r="F7874" t="s">
        <v>10820</v>
      </c>
    </row>
    <row r="7875" spans="1:6" x14ac:dyDescent="0.25">
      <c r="A7875" t="str">
        <f>"4632233825"</f>
        <v>4632233825</v>
      </c>
      <c r="B7875" t="s">
        <v>10821</v>
      </c>
      <c r="C7875" t="s">
        <v>7</v>
      </c>
      <c r="D7875" t="s">
        <v>33</v>
      </c>
      <c r="E7875" t="s">
        <v>10777</v>
      </c>
      <c r="F7875" t="s">
        <v>10822</v>
      </c>
    </row>
    <row r="7876" spans="1:6" x14ac:dyDescent="0.25">
      <c r="A7876" t="str">
        <f>"463225671362"</f>
        <v>463225671362</v>
      </c>
      <c r="B7876" t="s">
        <v>10823</v>
      </c>
      <c r="C7876" t="s">
        <v>7</v>
      </c>
      <c r="D7876" t="s">
        <v>12</v>
      </c>
      <c r="E7876" t="s">
        <v>10777</v>
      </c>
    </row>
    <row r="7877" spans="1:6" x14ac:dyDescent="0.25">
      <c r="A7877" t="str">
        <f>"463226237905"</f>
        <v>463226237905</v>
      </c>
      <c r="B7877" t="s">
        <v>10824</v>
      </c>
      <c r="C7877" t="s">
        <v>7</v>
      </c>
      <c r="D7877" t="s">
        <v>14</v>
      </c>
      <c r="E7877" t="s">
        <v>10777</v>
      </c>
    </row>
    <row r="7878" spans="1:6" x14ac:dyDescent="0.25">
      <c r="A7878" t="str">
        <f>"4632267768"</f>
        <v>4632267768</v>
      </c>
      <c r="B7878" t="s">
        <v>10825</v>
      </c>
      <c r="C7878" t="s">
        <v>7</v>
      </c>
      <c r="D7878" t="s">
        <v>12</v>
      </c>
      <c r="E7878" t="s">
        <v>10777</v>
      </c>
      <c r="F7878" t="s">
        <v>10826</v>
      </c>
    </row>
    <row r="7879" spans="1:6" x14ac:dyDescent="0.25">
      <c r="A7879" t="str">
        <f>"4632301000"</f>
        <v>4632301000</v>
      </c>
      <c r="B7879" t="s">
        <v>10827</v>
      </c>
      <c r="C7879" t="s">
        <v>7</v>
      </c>
      <c r="D7879" t="s">
        <v>33</v>
      </c>
      <c r="E7879" t="s">
        <v>10777</v>
      </c>
      <c r="F7879" t="s">
        <v>10828</v>
      </c>
    </row>
    <row r="7880" spans="1:6" x14ac:dyDescent="0.25">
      <c r="A7880" t="str">
        <f>"4632303889"</f>
        <v>4632303889</v>
      </c>
      <c r="B7880" t="s">
        <v>10829</v>
      </c>
      <c r="C7880" t="s">
        <v>7</v>
      </c>
      <c r="D7880" t="s">
        <v>1430</v>
      </c>
      <c r="E7880" t="s">
        <v>10777</v>
      </c>
      <c r="F7880" t="s">
        <v>10830</v>
      </c>
    </row>
    <row r="7881" spans="1:6" x14ac:dyDescent="0.25">
      <c r="A7881" t="str">
        <f>"463231478960"</f>
        <v>463231478960</v>
      </c>
      <c r="B7881" t="s">
        <v>10831</v>
      </c>
      <c r="C7881" t="s">
        <v>7</v>
      </c>
      <c r="D7881" t="s">
        <v>14</v>
      </c>
      <c r="E7881" t="s">
        <v>10777</v>
      </c>
    </row>
    <row r="7882" spans="1:6" x14ac:dyDescent="0.25">
      <c r="A7882" t="str">
        <f>"463245698764"</f>
        <v>463245698764</v>
      </c>
      <c r="B7882" t="s">
        <v>10832</v>
      </c>
      <c r="C7882" t="s">
        <v>7</v>
      </c>
      <c r="D7882" t="s">
        <v>12</v>
      </c>
      <c r="E7882" t="s">
        <v>10777</v>
      </c>
    </row>
    <row r="7883" spans="1:6" x14ac:dyDescent="0.25">
      <c r="A7883" t="str">
        <f>"463302999312"</f>
        <v>463302999312</v>
      </c>
      <c r="B7883" t="s">
        <v>10833</v>
      </c>
      <c r="C7883" t="s">
        <v>7</v>
      </c>
      <c r="D7883" t="s">
        <v>14</v>
      </c>
      <c r="E7883" t="s">
        <v>10777</v>
      </c>
    </row>
    <row r="7884" spans="1:6" x14ac:dyDescent="0.25">
      <c r="A7884" t="str">
        <f>"463304558842"</f>
        <v>463304558842</v>
      </c>
      <c r="B7884" t="s">
        <v>10834</v>
      </c>
      <c r="C7884" t="s">
        <v>7</v>
      </c>
      <c r="D7884" t="s">
        <v>14</v>
      </c>
      <c r="E7884" t="s">
        <v>10777</v>
      </c>
    </row>
    <row r="7885" spans="1:6" x14ac:dyDescent="0.25">
      <c r="A7885" t="str">
        <f>"463308181298"</f>
        <v>463308181298</v>
      </c>
      <c r="B7885" t="s">
        <v>10835</v>
      </c>
      <c r="C7885" t="s">
        <v>7</v>
      </c>
      <c r="D7885" t="s">
        <v>14</v>
      </c>
      <c r="E7885" t="s">
        <v>10777</v>
      </c>
    </row>
    <row r="7886" spans="1:6" x14ac:dyDescent="0.25">
      <c r="A7886" t="str">
        <f>"463405459534"</f>
        <v>463405459534</v>
      </c>
      <c r="B7886" t="s">
        <v>10836</v>
      </c>
      <c r="C7886" t="s">
        <v>7</v>
      </c>
      <c r="D7886" t="s">
        <v>14</v>
      </c>
      <c r="E7886" t="s">
        <v>10777</v>
      </c>
    </row>
    <row r="7887" spans="1:6" x14ac:dyDescent="0.25">
      <c r="A7887" t="str">
        <f>"460502379409"</f>
        <v>460502379409</v>
      </c>
      <c r="B7887" t="s">
        <v>10837</v>
      </c>
      <c r="C7887" t="s">
        <v>7</v>
      </c>
      <c r="D7887" t="s">
        <v>14</v>
      </c>
      <c r="E7887" t="s">
        <v>10777</v>
      </c>
    </row>
    <row r="7888" spans="1:6" x14ac:dyDescent="0.25">
      <c r="A7888" t="str">
        <f>"460600895218"</f>
        <v>460600895218</v>
      </c>
      <c r="B7888" t="s">
        <v>10838</v>
      </c>
      <c r="C7888" t="s">
        <v>7</v>
      </c>
      <c r="D7888" t="s">
        <v>14</v>
      </c>
      <c r="E7888" t="s">
        <v>10777</v>
      </c>
    </row>
    <row r="7889" spans="1:6" x14ac:dyDescent="0.25">
      <c r="A7889" t="str">
        <f>"460700005934"</f>
        <v>460700005934</v>
      </c>
      <c r="B7889" t="s">
        <v>10839</v>
      </c>
      <c r="C7889" t="s">
        <v>7</v>
      </c>
      <c r="D7889" t="s">
        <v>14</v>
      </c>
      <c r="E7889" t="s">
        <v>10777</v>
      </c>
    </row>
    <row r="7890" spans="1:6" x14ac:dyDescent="0.25">
      <c r="A7890" t="str">
        <f>"461501614122"</f>
        <v>461501614122</v>
      </c>
      <c r="B7890" t="s">
        <v>10840</v>
      </c>
      <c r="C7890" t="s">
        <v>7</v>
      </c>
      <c r="D7890" t="s">
        <v>14</v>
      </c>
      <c r="E7890" t="s">
        <v>10777</v>
      </c>
    </row>
    <row r="7891" spans="1:6" x14ac:dyDescent="0.25">
      <c r="A7891" t="str">
        <f>"462003156390"</f>
        <v>462003156390</v>
      </c>
      <c r="B7891" t="s">
        <v>10841</v>
      </c>
      <c r="C7891" t="s">
        <v>7</v>
      </c>
      <c r="D7891" t="s">
        <v>14</v>
      </c>
      <c r="E7891" t="s">
        <v>10777</v>
      </c>
    </row>
    <row r="7892" spans="1:6" x14ac:dyDescent="0.25">
      <c r="A7892" t="str">
        <f>"462401638160"</f>
        <v>462401638160</v>
      </c>
      <c r="B7892" t="s">
        <v>10842</v>
      </c>
      <c r="C7892" t="s">
        <v>7</v>
      </c>
      <c r="D7892" t="s">
        <v>33</v>
      </c>
      <c r="E7892" t="s">
        <v>10777</v>
      </c>
    </row>
    <row r="7893" spans="1:6" x14ac:dyDescent="0.25">
      <c r="A7893" t="str">
        <f>"4625004824"</f>
        <v>4625004824</v>
      </c>
      <c r="B7893" t="s">
        <v>10843</v>
      </c>
      <c r="C7893" t="s">
        <v>7</v>
      </c>
      <c r="D7893" t="s">
        <v>14</v>
      </c>
      <c r="E7893" t="s">
        <v>10777</v>
      </c>
      <c r="F7893" t="s">
        <v>10844</v>
      </c>
    </row>
    <row r="7894" spans="1:6" x14ac:dyDescent="0.25">
      <c r="A7894" t="str">
        <f>"462500606265"</f>
        <v>462500606265</v>
      </c>
      <c r="B7894" t="s">
        <v>10845</v>
      </c>
      <c r="C7894" t="s">
        <v>7</v>
      </c>
      <c r="D7894" t="s">
        <v>14</v>
      </c>
      <c r="E7894" t="s">
        <v>10777</v>
      </c>
    </row>
    <row r="7895" spans="1:6" x14ac:dyDescent="0.25">
      <c r="A7895" t="str">
        <f>"462802734915"</f>
        <v>462802734915</v>
      </c>
      <c r="B7895" t="s">
        <v>10846</v>
      </c>
      <c r="C7895" t="s">
        <v>7</v>
      </c>
      <c r="D7895" t="s">
        <v>14</v>
      </c>
      <c r="E7895" t="s">
        <v>10777</v>
      </c>
    </row>
    <row r="7896" spans="1:6" x14ac:dyDescent="0.25">
      <c r="A7896" t="str">
        <f>"462900005815"</f>
        <v>462900005815</v>
      </c>
      <c r="B7896" t="s">
        <v>10847</v>
      </c>
      <c r="C7896" t="s">
        <v>7</v>
      </c>
      <c r="D7896" t="s">
        <v>14</v>
      </c>
      <c r="E7896" t="s">
        <v>10777</v>
      </c>
    </row>
    <row r="7897" spans="1:6" x14ac:dyDescent="0.25">
      <c r="A7897" t="str">
        <f>"462900030603"</f>
        <v>462900030603</v>
      </c>
      <c r="B7897" t="s">
        <v>10848</v>
      </c>
      <c r="C7897" t="s">
        <v>7</v>
      </c>
      <c r="D7897" t="s">
        <v>12</v>
      </c>
      <c r="E7897" t="s">
        <v>10777</v>
      </c>
    </row>
    <row r="7898" spans="1:6" x14ac:dyDescent="0.25">
      <c r="A7898" t="str">
        <f>"462900547705"</f>
        <v>462900547705</v>
      </c>
      <c r="B7898" t="s">
        <v>10849</v>
      </c>
      <c r="C7898" t="s">
        <v>7</v>
      </c>
      <c r="D7898" t="s">
        <v>98</v>
      </c>
      <c r="E7898" t="s">
        <v>10777</v>
      </c>
    </row>
    <row r="7899" spans="1:6" x14ac:dyDescent="0.25">
      <c r="A7899" t="str">
        <f>"4632162349"</f>
        <v>4632162349</v>
      </c>
      <c r="B7899" t="s">
        <v>10850</v>
      </c>
      <c r="C7899" t="s">
        <v>7</v>
      </c>
      <c r="D7899" t="s">
        <v>12</v>
      </c>
      <c r="E7899" t="s">
        <v>10777</v>
      </c>
      <c r="F7899" t="s">
        <v>10851</v>
      </c>
    </row>
    <row r="7900" spans="1:6" x14ac:dyDescent="0.25">
      <c r="A7900" t="str">
        <f>"4632210521"</f>
        <v>4632210521</v>
      </c>
      <c r="B7900" t="s">
        <v>4853</v>
      </c>
      <c r="C7900" t="s">
        <v>7</v>
      </c>
      <c r="D7900" t="s">
        <v>33</v>
      </c>
      <c r="E7900" t="s">
        <v>10777</v>
      </c>
      <c r="F7900" t="s">
        <v>10852</v>
      </c>
    </row>
    <row r="7901" spans="1:6" x14ac:dyDescent="0.25">
      <c r="A7901" t="str">
        <f>"4632223866"</f>
        <v>4632223866</v>
      </c>
      <c r="B7901" t="s">
        <v>10853</v>
      </c>
      <c r="C7901" t="s">
        <v>7</v>
      </c>
      <c r="D7901" t="s">
        <v>33</v>
      </c>
      <c r="E7901" t="s">
        <v>10777</v>
      </c>
      <c r="F7901" t="s">
        <v>10854</v>
      </c>
    </row>
    <row r="7902" spans="1:6" x14ac:dyDescent="0.25">
      <c r="A7902" t="str">
        <f>"4632234402"</f>
        <v>4632234402</v>
      </c>
      <c r="B7902" t="s">
        <v>10855</v>
      </c>
      <c r="C7902" t="s">
        <v>7</v>
      </c>
      <c r="D7902" t="s">
        <v>33</v>
      </c>
      <c r="E7902" t="s">
        <v>10777</v>
      </c>
      <c r="F7902" t="s">
        <v>10856</v>
      </c>
    </row>
    <row r="7903" spans="1:6" x14ac:dyDescent="0.25">
      <c r="A7903" t="str">
        <f>"4632238661"</f>
        <v>4632238661</v>
      </c>
      <c r="B7903" t="s">
        <v>10857</v>
      </c>
      <c r="C7903" t="s">
        <v>7</v>
      </c>
      <c r="D7903" t="s">
        <v>33</v>
      </c>
      <c r="E7903" t="s">
        <v>10777</v>
      </c>
      <c r="F7903" t="s">
        <v>10858</v>
      </c>
    </row>
    <row r="7904" spans="1:6" x14ac:dyDescent="0.25">
      <c r="A7904" t="str">
        <f>"463224662333"</f>
        <v>463224662333</v>
      </c>
      <c r="B7904" t="s">
        <v>10859</v>
      </c>
      <c r="C7904" t="s">
        <v>7</v>
      </c>
      <c r="D7904" t="s">
        <v>14</v>
      </c>
      <c r="E7904" t="s">
        <v>10777</v>
      </c>
    </row>
    <row r="7905" spans="1:6" x14ac:dyDescent="0.25">
      <c r="A7905" t="str">
        <f>"463227684818"</f>
        <v>463227684818</v>
      </c>
      <c r="B7905" t="s">
        <v>10860</v>
      </c>
      <c r="C7905" t="s">
        <v>7</v>
      </c>
      <c r="D7905" t="s">
        <v>14</v>
      </c>
      <c r="E7905" t="s">
        <v>10777</v>
      </c>
    </row>
    <row r="7906" spans="1:6" x14ac:dyDescent="0.25">
      <c r="A7906" t="str">
        <f>"4632287965"</f>
        <v>4632287965</v>
      </c>
      <c r="B7906" t="s">
        <v>10861</v>
      </c>
      <c r="C7906" t="s">
        <v>7</v>
      </c>
      <c r="D7906" t="s">
        <v>33</v>
      </c>
      <c r="E7906" t="s">
        <v>10777</v>
      </c>
      <c r="F7906" t="s">
        <v>10862</v>
      </c>
    </row>
    <row r="7907" spans="1:6" x14ac:dyDescent="0.25">
      <c r="A7907" t="str">
        <f>"4632290654"</f>
        <v>4632290654</v>
      </c>
      <c r="B7907" t="s">
        <v>10863</v>
      </c>
      <c r="C7907" t="s">
        <v>7</v>
      </c>
      <c r="D7907" t="s">
        <v>189</v>
      </c>
      <c r="E7907" t="s">
        <v>10777</v>
      </c>
      <c r="F7907" t="s">
        <v>10864</v>
      </c>
    </row>
    <row r="7908" spans="1:6" x14ac:dyDescent="0.25">
      <c r="A7908" t="str">
        <f>"4632298999"</f>
        <v>4632298999</v>
      </c>
      <c r="B7908" t="s">
        <v>10865</v>
      </c>
      <c r="C7908" t="s">
        <v>7</v>
      </c>
      <c r="D7908" t="s">
        <v>12</v>
      </c>
      <c r="E7908" t="s">
        <v>10777</v>
      </c>
      <c r="F7908" t="s">
        <v>10866</v>
      </c>
    </row>
    <row r="7909" spans="1:6" x14ac:dyDescent="0.25">
      <c r="A7909" t="str">
        <f>"4632301218"</f>
        <v>4632301218</v>
      </c>
      <c r="B7909" t="s">
        <v>10867</v>
      </c>
      <c r="C7909" t="s">
        <v>7</v>
      </c>
      <c r="D7909" t="s">
        <v>12</v>
      </c>
      <c r="E7909" t="s">
        <v>10777</v>
      </c>
      <c r="F7909" t="s">
        <v>10868</v>
      </c>
    </row>
    <row r="7910" spans="1:6" x14ac:dyDescent="0.25">
      <c r="A7910" t="str">
        <f>"463233767519"</f>
        <v>463233767519</v>
      </c>
      <c r="B7910" t="s">
        <v>10869</v>
      </c>
      <c r="C7910" t="s">
        <v>7</v>
      </c>
      <c r="D7910" t="s">
        <v>33</v>
      </c>
      <c r="E7910" t="s">
        <v>10777</v>
      </c>
    </row>
    <row r="7911" spans="1:6" x14ac:dyDescent="0.25">
      <c r="A7911" t="str">
        <f>"463246942285"</f>
        <v>463246942285</v>
      </c>
      <c r="B7911" t="s">
        <v>10870</v>
      </c>
      <c r="C7911" t="s">
        <v>7</v>
      </c>
      <c r="D7911" t="s">
        <v>33</v>
      </c>
      <c r="E7911" t="s">
        <v>10777</v>
      </c>
    </row>
    <row r="7912" spans="1:6" x14ac:dyDescent="0.25">
      <c r="A7912" t="str">
        <f>"463248358244"</f>
        <v>463248358244</v>
      </c>
      <c r="B7912" t="s">
        <v>10871</v>
      </c>
      <c r="C7912" t="s">
        <v>7</v>
      </c>
      <c r="D7912" t="s">
        <v>14</v>
      </c>
      <c r="E7912" t="s">
        <v>10777</v>
      </c>
    </row>
    <row r="7913" spans="1:6" x14ac:dyDescent="0.25">
      <c r="A7913" t="str">
        <f>"463249500550"</f>
        <v>463249500550</v>
      </c>
      <c r="B7913" t="s">
        <v>10872</v>
      </c>
      <c r="C7913" t="s">
        <v>7</v>
      </c>
      <c r="D7913" t="s">
        <v>12</v>
      </c>
      <c r="E7913" t="s">
        <v>10777</v>
      </c>
    </row>
    <row r="7914" spans="1:6" x14ac:dyDescent="0.25">
      <c r="A7914" t="str">
        <f>"463250043403"</f>
        <v>463250043403</v>
      </c>
      <c r="B7914" t="s">
        <v>10873</v>
      </c>
      <c r="C7914" t="s">
        <v>7</v>
      </c>
      <c r="D7914" t="s">
        <v>14</v>
      </c>
      <c r="E7914" t="s">
        <v>10777</v>
      </c>
    </row>
    <row r="7915" spans="1:6" x14ac:dyDescent="0.25">
      <c r="A7915" t="str">
        <f>"463251957047"</f>
        <v>463251957047</v>
      </c>
      <c r="B7915" t="s">
        <v>10874</v>
      </c>
      <c r="C7915" t="s">
        <v>7</v>
      </c>
      <c r="D7915" t="s">
        <v>14</v>
      </c>
      <c r="E7915" t="s">
        <v>10777</v>
      </c>
    </row>
    <row r="7916" spans="1:6" x14ac:dyDescent="0.25">
      <c r="A7916" t="str">
        <f>"463301037707"</f>
        <v>463301037707</v>
      </c>
      <c r="B7916" t="s">
        <v>10875</v>
      </c>
      <c r="C7916" t="s">
        <v>7</v>
      </c>
      <c r="D7916" t="s">
        <v>14</v>
      </c>
      <c r="E7916" t="s">
        <v>10777</v>
      </c>
    </row>
    <row r="7917" spans="1:6" x14ac:dyDescent="0.25">
      <c r="A7917" t="str">
        <f>"463309435146"</f>
        <v>463309435146</v>
      </c>
      <c r="B7917" t="s">
        <v>10876</v>
      </c>
      <c r="C7917" t="s">
        <v>7</v>
      </c>
      <c r="D7917" t="s">
        <v>12</v>
      </c>
      <c r="E7917" t="s">
        <v>10777</v>
      </c>
    </row>
    <row r="7918" spans="1:6" x14ac:dyDescent="0.25">
      <c r="A7918" t="str">
        <f>"460301932292"</f>
        <v>460301932292</v>
      </c>
      <c r="B7918" t="s">
        <v>10877</v>
      </c>
      <c r="C7918" t="s">
        <v>7</v>
      </c>
      <c r="D7918" t="s">
        <v>33</v>
      </c>
      <c r="E7918" t="s">
        <v>10777</v>
      </c>
    </row>
    <row r="7919" spans="1:6" x14ac:dyDescent="0.25">
      <c r="A7919" t="str">
        <f>"460501212799"</f>
        <v>460501212799</v>
      </c>
      <c r="B7919" t="s">
        <v>10878</v>
      </c>
      <c r="C7919" t="s">
        <v>7</v>
      </c>
      <c r="D7919" t="s">
        <v>14</v>
      </c>
      <c r="E7919" t="s">
        <v>10777</v>
      </c>
    </row>
    <row r="7920" spans="1:6" x14ac:dyDescent="0.25">
      <c r="A7920" t="str">
        <f>"461603922648"</f>
        <v>461603922648</v>
      </c>
      <c r="B7920" t="s">
        <v>10879</v>
      </c>
      <c r="C7920" t="s">
        <v>7</v>
      </c>
      <c r="D7920" t="s">
        <v>14</v>
      </c>
      <c r="E7920" t="s">
        <v>10777</v>
      </c>
    </row>
    <row r="7921" spans="1:6" x14ac:dyDescent="0.25">
      <c r="A7921" t="str">
        <f>"462303754105"</f>
        <v>462303754105</v>
      </c>
      <c r="B7921" t="s">
        <v>10880</v>
      </c>
      <c r="C7921" t="s">
        <v>7</v>
      </c>
      <c r="D7921" t="s">
        <v>14</v>
      </c>
      <c r="E7921" t="s">
        <v>10777</v>
      </c>
    </row>
    <row r="7922" spans="1:6" x14ac:dyDescent="0.25">
      <c r="A7922" t="str">
        <f>"462400167487"</f>
        <v>462400167487</v>
      </c>
      <c r="B7922" t="s">
        <v>10881</v>
      </c>
      <c r="C7922" t="s">
        <v>7</v>
      </c>
      <c r="D7922" t="s">
        <v>14</v>
      </c>
      <c r="E7922" t="s">
        <v>10777</v>
      </c>
    </row>
    <row r="7923" spans="1:6" x14ac:dyDescent="0.25">
      <c r="A7923" t="str">
        <f>"462800456250"</f>
        <v>462800456250</v>
      </c>
      <c r="B7923" t="s">
        <v>10882</v>
      </c>
      <c r="C7923" t="s">
        <v>7</v>
      </c>
      <c r="D7923" t="s">
        <v>14</v>
      </c>
      <c r="E7923" t="s">
        <v>10777</v>
      </c>
    </row>
    <row r="7924" spans="1:6" x14ac:dyDescent="0.25">
      <c r="A7924" t="str">
        <f>"462801328396"</f>
        <v>462801328396</v>
      </c>
      <c r="B7924" t="s">
        <v>10883</v>
      </c>
      <c r="C7924" t="s">
        <v>7</v>
      </c>
      <c r="D7924" t="s">
        <v>14</v>
      </c>
      <c r="E7924" t="s">
        <v>10777</v>
      </c>
    </row>
    <row r="7925" spans="1:6" x14ac:dyDescent="0.25">
      <c r="A7925" t="str">
        <f>"4629046705"</f>
        <v>4629046705</v>
      </c>
      <c r="B7925" t="s">
        <v>10884</v>
      </c>
      <c r="C7925" t="s">
        <v>7</v>
      </c>
      <c r="D7925" t="s">
        <v>14</v>
      </c>
      <c r="E7925" t="s">
        <v>10777</v>
      </c>
      <c r="F7925" t="s">
        <v>10885</v>
      </c>
    </row>
    <row r="7926" spans="1:6" x14ac:dyDescent="0.25">
      <c r="A7926" t="str">
        <f>"463000232849"</f>
        <v>463000232849</v>
      </c>
      <c r="B7926" t="s">
        <v>10886</v>
      </c>
      <c r="C7926" t="s">
        <v>7</v>
      </c>
      <c r="D7926" t="s">
        <v>12</v>
      </c>
      <c r="E7926" t="s">
        <v>10777</v>
      </c>
    </row>
    <row r="7927" spans="1:6" x14ac:dyDescent="0.25">
      <c r="A7927" t="str">
        <f>"463001135870"</f>
        <v>463001135870</v>
      </c>
      <c r="B7927" t="s">
        <v>10887</v>
      </c>
      <c r="C7927" t="s">
        <v>7</v>
      </c>
      <c r="D7927" t="s">
        <v>14</v>
      </c>
      <c r="E7927" t="s">
        <v>10777</v>
      </c>
    </row>
    <row r="7928" spans="1:6" x14ac:dyDescent="0.25">
      <c r="A7928" t="str">
        <f>"463001174798"</f>
        <v>463001174798</v>
      </c>
      <c r="B7928" t="s">
        <v>10888</v>
      </c>
      <c r="C7928" t="s">
        <v>7</v>
      </c>
      <c r="D7928" t="s">
        <v>14</v>
      </c>
      <c r="E7928" t="s">
        <v>10777</v>
      </c>
    </row>
    <row r="7929" spans="1:6" x14ac:dyDescent="0.25">
      <c r="A7929" t="str">
        <f>"4630021536"</f>
        <v>4630021536</v>
      </c>
      <c r="B7929" t="s">
        <v>10889</v>
      </c>
      <c r="C7929" t="s">
        <v>7</v>
      </c>
      <c r="D7929" t="s">
        <v>33</v>
      </c>
      <c r="E7929" t="s">
        <v>10777</v>
      </c>
      <c r="F7929" t="s">
        <v>10890</v>
      </c>
    </row>
    <row r="7930" spans="1:6" x14ac:dyDescent="0.25">
      <c r="A7930" t="str">
        <f>"463204351273"</f>
        <v>463204351273</v>
      </c>
      <c r="B7930" t="s">
        <v>10891</v>
      </c>
      <c r="C7930" t="s">
        <v>7</v>
      </c>
      <c r="D7930" t="s">
        <v>33</v>
      </c>
      <c r="E7930" t="s">
        <v>10777</v>
      </c>
    </row>
    <row r="7931" spans="1:6" x14ac:dyDescent="0.25">
      <c r="A7931" t="str">
        <f>"463220394186"</f>
        <v>463220394186</v>
      </c>
      <c r="B7931" t="s">
        <v>10892</v>
      </c>
      <c r="C7931" t="s">
        <v>7</v>
      </c>
      <c r="D7931" t="s">
        <v>14</v>
      </c>
      <c r="E7931" t="s">
        <v>10777</v>
      </c>
    </row>
    <row r="7932" spans="1:6" x14ac:dyDescent="0.25">
      <c r="A7932" t="str">
        <f>"4632258178"</f>
        <v>4632258178</v>
      </c>
      <c r="B7932" t="s">
        <v>10893</v>
      </c>
      <c r="C7932" t="s">
        <v>7</v>
      </c>
      <c r="D7932" t="s">
        <v>33</v>
      </c>
      <c r="E7932" t="s">
        <v>10777</v>
      </c>
      <c r="F7932" t="s">
        <v>10858</v>
      </c>
    </row>
    <row r="7933" spans="1:6" x14ac:dyDescent="0.25">
      <c r="A7933" t="str">
        <f>"463226197089"</f>
        <v>463226197089</v>
      </c>
      <c r="B7933" t="s">
        <v>10894</v>
      </c>
      <c r="C7933" t="s">
        <v>7</v>
      </c>
      <c r="D7933" t="s">
        <v>12</v>
      </c>
      <c r="E7933" t="s">
        <v>10777</v>
      </c>
    </row>
    <row r="7934" spans="1:6" x14ac:dyDescent="0.25">
      <c r="A7934" t="str">
        <f>"4632285823"</f>
        <v>4632285823</v>
      </c>
      <c r="B7934" t="s">
        <v>10895</v>
      </c>
      <c r="C7934" t="s">
        <v>7</v>
      </c>
      <c r="D7934" t="s">
        <v>14</v>
      </c>
      <c r="E7934" t="s">
        <v>10777</v>
      </c>
      <c r="F7934" t="s">
        <v>10896</v>
      </c>
    </row>
    <row r="7935" spans="1:6" x14ac:dyDescent="0.25">
      <c r="A7935" t="str">
        <f>"4632292620"</f>
        <v>4632292620</v>
      </c>
      <c r="B7935" t="s">
        <v>10897</v>
      </c>
      <c r="C7935" t="s">
        <v>7</v>
      </c>
      <c r="D7935" t="s">
        <v>33</v>
      </c>
      <c r="E7935" t="s">
        <v>10777</v>
      </c>
      <c r="F7935" t="s">
        <v>10898</v>
      </c>
    </row>
    <row r="7936" spans="1:6" x14ac:dyDescent="0.25">
      <c r="A7936" t="str">
        <f>"4632294680"</f>
        <v>4632294680</v>
      </c>
      <c r="B7936" t="s">
        <v>10899</v>
      </c>
      <c r="C7936" t="s">
        <v>7</v>
      </c>
      <c r="D7936" t="s">
        <v>33</v>
      </c>
      <c r="E7936" t="s">
        <v>10777</v>
      </c>
      <c r="F7936" t="s">
        <v>10900</v>
      </c>
    </row>
    <row r="7937" spans="1:6" x14ac:dyDescent="0.25">
      <c r="A7937" t="str">
        <f>"4632295074"</f>
        <v>4632295074</v>
      </c>
      <c r="B7937" t="s">
        <v>10901</v>
      </c>
      <c r="C7937" t="s">
        <v>7</v>
      </c>
      <c r="D7937" t="s">
        <v>14</v>
      </c>
      <c r="E7937" t="s">
        <v>10777</v>
      </c>
      <c r="F7937" t="s">
        <v>10902</v>
      </c>
    </row>
    <row r="7938" spans="1:6" x14ac:dyDescent="0.25">
      <c r="A7938" t="str">
        <f>"4632300126"</f>
        <v>4632300126</v>
      </c>
      <c r="B7938" t="s">
        <v>10903</v>
      </c>
      <c r="C7938" t="s">
        <v>7</v>
      </c>
      <c r="D7938" t="s">
        <v>33</v>
      </c>
      <c r="E7938" t="s">
        <v>10777</v>
      </c>
      <c r="F7938" t="s">
        <v>10904</v>
      </c>
    </row>
    <row r="7939" spans="1:6" x14ac:dyDescent="0.25">
      <c r="A7939" t="str">
        <f>"463232155601"</f>
        <v>463232155601</v>
      </c>
      <c r="B7939" t="s">
        <v>10905</v>
      </c>
      <c r="C7939" t="s">
        <v>7</v>
      </c>
      <c r="D7939" t="s">
        <v>14</v>
      </c>
      <c r="E7939" t="s">
        <v>10777</v>
      </c>
    </row>
    <row r="7940" spans="1:6" x14ac:dyDescent="0.25">
      <c r="A7940" t="str">
        <f>"463232748231"</f>
        <v>463232748231</v>
      </c>
      <c r="B7940" t="s">
        <v>10906</v>
      </c>
      <c r="C7940" t="s">
        <v>7</v>
      </c>
      <c r="D7940" t="s">
        <v>12</v>
      </c>
      <c r="E7940" t="s">
        <v>10777</v>
      </c>
    </row>
    <row r="7941" spans="1:6" x14ac:dyDescent="0.25">
      <c r="A7941" t="str">
        <f>"463240612403"</f>
        <v>463240612403</v>
      </c>
      <c r="B7941" t="s">
        <v>10907</v>
      </c>
      <c r="C7941" t="s">
        <v>7</v>
      </c>
      <c r="D7941" t="s">
        <v>14</v>
      </c>
      <c r="E7941" t="s">
        <v>10777</v>
      </c>
    </row>
    <row r="7942" spans="1:6" x14ac:dyDescent="0.25">
      <c r="A7942" t="str">
        <f>"463240875378"</f>
        <v>463240875378</v>
      </c>
      <c r="B7942" t="s">
        <v>10908</v>
      </c>
      <c r="C7942" t="s">
        <v>7</v>
      </c>
      <c r="D7942" t="s">
        <v>33</v>
      </c>
      <c r="E7942" t="s">
        <v>10777</v>
      </c>
    </row>
    <row r="7943" spans="1:6" x14ac:dyDescent="0.25">
      <c r="A7943" t="str">
        <f>"463242222409"</f>
        <v>463242222409</v>
      </c>
      <c r="B7943" t="s">
        <v>10909</v>
      </c>
      <c r="C7943" t="s">
        <v>7</v>
      </c>
      <c r="D7943" t="s">
        <v>14</v>
      </c>
      <c r="E7943" t="s">
        <v>10777</v>
      </c>
    </row>
    <row r="7944" spans="1:6" x14ac:dyDescent="0.25">
      <c r="A7944" t="str">
        <f>"463252142270"</f>
        <v>463252142270</v>
      </c>
      <c r="B7944" t="s">
        <v>10910</v>
      </c>
      <c r="C7944" t="s">
        <v>7</v>
      </c>
      <c r="D7944" t="s">
        <v>33</v>
      </c>
      <c r="E7944" t="s">
        <v>10777</v>
      </c>
    </row>
    <row r="7945" spans="1:6" x14ac:dyDescent="0.25">
      <c r="A7945" t="str">
        <f>"463300044726"</f>
        <v>463300044726</v>
      </c>
      <c r="B7945" t="s">
        <v>10911</v>
      </c>
      <c r="C7945" t="s">
        <v>7</v>
      </c>
      <c r="D7945" t="s">
        <v>14</v>
      </c>
      <c r="E7945" t="s">
        <v>10777</v>
      </c>
    </row>
    <row r="7946" spans="1:6" x14ac:dyDescent="0.25">
      <c r="A7946" t="str">
        <f>"463304148243"</f>
        <v>463304148243</v>
      </c>
      <c r="B7946" t="s">
        <v>10912</v>
      </c>
      <c r="C7946" t="s">
        <v>7</v>
      </c>
      <c r="D7946" t="s">
        <v>33</v>
      </c>
      <c r="E7946" t="s">
        <v>10777</v>
      </c>
    </row>
    <row r="7947" spans="1:6" x14ac:dyDescent="0.25">
      <c r="A7947" t="str">
        <f>"463304985280"</f>
        <v>463304985280</v>
      </c>
      <c r="B7947" t="s">
        <v>10913</v>
      </c>
      <c r="C7947" t="s">
        <v>7</v>
      </c>
      <c r="D7947" t="s">
        <v>14</v>
      </c>
      <c r="E7947" t="s">
        <v>10777</v>
      </c>
    </row>
    <row r="7948" spans="1:6" x14ac:dyDescent="0.25">
      <c r="A7948" t="str">
        <f>"463308103910"</f>
        <v>463308103910</v>
      </c>
      <c r="B7948" t="s">
        <v>10914</v>
      </c>
      <c r="C7948" t="s">
        <v>7</v>
      </c>
      <c r="D7948" t="s">
        <v>14</v>
      </c>
      <c r="E7948" t="s">
        <v>10777</v>
      </c>
    </row>
    <row r="7949" spans="1:6" x14ac:dyDescent="0.25">
      <c r="A7949" t="str">
        <f>"463400339949"</f>
        <v>463400339949</v>
      </c>
      <c r="B7949" t="s">
        <v>10915</v>
      </c>
      <c r="C7949" t="s">
        <v>7</v>
      </c>
      <c r="D7949" t="s">
        <v>14</v>
      </c>
      <c r="E7949" t="s">
        <v>10777</v>
      </c>
    </row>
    <row r="7950" spans="1:6" x14ac:dyDescent="0.25">
      <c r="A7950" t="str">
        <f>"4634013511"</f>
        <v>4634013511</v>
      </c>
      <c r="B7950" t="s">
        <v>10916</v>
      </c>
      <c r="C7950" t="s">
        <v>7</v>
      </c>
      <c r="D7950" t="s">
        <v>14</v>
      </c>
      <c r="E7950" t="s">
        <v>10777</v>
      </c>
      <c r="F7950" t="s">
        <v>10917</v>
      </c>
    </row>
    <row r="7951" spans="1:6" x14ac:dyDescent="0.25">
      <c r="A7951" t="str">
        <f>"320801167098"</f>
        <v>320801167098</v>
      </c>
      <c r="B7951" t="s">
        <v>10918</v>
      </c>
      <c r="C7951" t="s">
        <v>7</v>
      </c>
      <c r="D7951" t="s">
        <v>14</v>
      </c>
      <c r="E7951" t="s">
        <v>10777</v>
      </c>
    </row>
    <row r="7952" spans="1:6" x14ac:dyDescent="0.25">
      <c r="A7952" t="str">
        <f>"470300213020"</f>
        <v>470300213020</v>
      </c>
      <c r="B7952" t="s">
        <v>10919</v>
      </c>
      <c r="C7952" t="s">
        <v>7</v>
      </c>
      <c r="D7952" t="s">
        <v>14</v>
      </c>
      <c r="E7952" t="s">
        <v>10920</v>
      </c>
    </row>
    <row r="7953" spans="1:6" x14ac:dyDescent="0.25">
      <c r="A7953" t="str">
        <f>"470307042743"</f>
        <v>470307042743</v>
      </c>
      <c r="B7953" t="s">
        <v>10921</v>
      </c>
      <c r="C7953" t="s">
        <v>7</v>
      </c>
      <c r="D7953" t="s">
        <v>14</v>
      </c>
      <c r="E7953" t="s">
        <v>10920</v>
      </c>
    </row>
    <row r="7954" spans="1:6" x14ac:dyDescent="0.25">
      <c r="A7954" t="str">
        <f>"470307766312"</f>
        <v>470307766312</v>
      </c>
      <c r="B7954" t="s">
        <v>10922</v>
      </c>
      <c r="C7954" t="s">
        <v>7</v>
      </c>
      <c r="D7954" t="s">
        <v>14</v>
      </c>
      <c r="E7954" t="s">
        <v>10920</v>
      </c>
    </row>
    <row r="7955" spans="1:6" x14ac:dyDescent="0.25">
      <c r="A7955" t="str">
        <f>"4703148343"</f>
        <v>4703148343</v>
      </c>
      <c r="B7955" t="s">
        <v>10923</v>
      </c>
      <c r="C7955" t="s">
        <v>7</v>
      </c>
      <c r="D7955" t="s">
        <v>12</v>
      </c>
      <c r="E7955" t="s">
        <v>10920</v>
      </c>
      <c r="F7955" t="s">
        <v>10924</v>
      </c>
    </row>
    <row r="7956" spans="1:6" x14ac:dyDescent="0.25">
      <c r="A7956" t="str">
        <f>"470400424391"</f>
        <v>470400424391</v>
      </c>
      <c r="B7956" t="s">
        <v>10925</v>
      </c>
      <c r="C7956" t="s">
        <v>7</v>
      </c>
      <c r="D7956" t="s">
        <v>14</v>
      </c>
      <c r="E7956" t="s">
        <v>10920</v>
      </c>
    </row>
    <row r="7957" spans="1:6" x14ac:dyDescent="0.25">
      <c r="A7957" t="str">
        <f>"4704027366"</f>
        <v>4704027366</v>
      </c>
      <c r="B7957" t="s">
        <v>671</v>
      </c>
      <c r="C7957" t="s">
        <v>7</v>
      </c>
      <c r="D7957" t="s">
        <v>189</v>
      </c>
      <c r="E7957" t="s">
        <v>10920</v>
      </c>
      <c r="F7957" t="s">
        <v>10926</v>
      </c>
    </row>
    <row r="7958" spans="1:6" x14ac:dyDescent="0.25">
      <c r="A7958" t="str">
        <f>"470419283320"</f>
        <v>470419283320</v>
      </c>
      <c r="B7958" t="s">
        <v>10927</v>
      </c>
      <c r="C7958" t="s">
        <v>7</v>
      </c>
      <c r="D7958" t="s">
        <v>12</v>
      </c>
      <c r="E7958" t="s">
        <v>10920</v>
      </c>
    </row>
    <row r="7959" spans="1:6" x14ac:dyDescent="0.25">
      <c r="A7959" t="str">
        <f>"470516544659"</f>
        <v>470516544659</v>
      </c>
      <c r="B7959" t="s">
        <v>10928</v>
      </c>
      <c r="C7959" t="s">
        <v>7</v>
      </c>
      <c r="D7959" t="s">
        <v>12</v>
      </c>
      <c r="E7959" t="s">
        <v>10920</v>
      </c>
    </row>
    <row r="7960" spans="1:6" x14ac:dyDescent="0.25">
      <c r="A7960" t="str">
        <f>"4706080414"</f>
        <v>4706080414</v>
      </c>
      <c r="B7960" t="s">
        <v>10929</v>
      </c>
      <c r="C7960" t="s">
        <v>7</v>
      </c>
      <c r="D7960" t="s">
        <v>12</v>
      </c>
      <c r="E7960" t="s">
        <v>10920</v>
      </c>
      <c r="F7960" t="s">
        <v>10930</v>
      </c>
    </row>
    <row r="7961" spans="1:6" x14ac:dyDescent="0.25">
      <c r="A7961" t="str">
        <f>"4707015432"</f>
        <v>4707015432</v>
      </c>
      <c r="B7961" t="s">
        <v>10931</v>
      </c>
      <c r="C7961" t="s">
        <v>7</v>
      </c>
      <c r="D7961" t="s">
        <v>12</v>
      </c>
      <c r="E7961" t="s">
        <v>10920</v>
      </c>
      <c r="F7961" t="s">
        <v>10932</v>
      </c>
    </row>
    <row r="7962" spans="1:6" x14ac:dyDescent="0.25">
      <c r="A7962" t="str">
        <f>"470703455110"</f>
        <v>470703455110</v>
      </c>
      <c r="B7962" t="s">
        <v>10933</v>
      </c>
      <c r="C7962" t="s">
        <v>7</v>
      </c>
      <c r="D7962" t="s">
        <v>14</v>
      </c>
      <c r="E7962" t="s">
        <v>10920</v>
      </c>
    </row>
    <row r="7963" spans="1:6" x14ac:dyDescent="0.25">
      <c r="A7963" t="str">
        <f>"4707044747"</f>
        <v>4707044747</v>
      </c>
      <c r="B7963" t="s">
        <v>10934</v>
      </c>
      <c r="C7963" t="s">
        <v>7</v>
      </c>
      <c r="D7963" t="s">
        <v>98</v>
      </c>
      <c r="E7963" t="s">
        <v>10920</v>
      </c>
      <c r="F7963" t="s">
        <v>10935</v>
      </c>
    </row>
    <row r="7964" spans="1:6" x14ac:dyDescent="0.25">
      <c r="A7964" t="str">
        <f>"4708021301"</f>
        <v>4708021301</v>
      </c>
      <c r="B7964" t="s">
        <v>10936</v>
      </c>
      <c r="C7964" t="s">
        <v>7</v>
      </c>
      <c r="D7964" t="s">
        <v>12</v>
      </c>
      <c r="E7964" t="s">
        <v>10920</v>
      </c>
      <c r="F7964" t="s">
        <v>10937</v>
      </c>
    </row>
    <row r="7965" spans="1:6" x14ac:dyDescent="0.25">
      <c r="A7965" t="str">
        <f>"470802194420"</f>
        <v>470802194420</v>
      </c>
      <c r="B7965" t="s">
        <v>10938</v>
      </c>
      <c r="C7965" t="s">
        <v>7</v>
      </c>
      <c r="D7965" t="s">
        <v>14</v>
      </c>
      <c r="E7965" t="s">
        <v>10920</v>
      </c>
    </row>
    <row r="7966" spans="1:6" x14ac:dyDescent="0.25">
      <c r="A7966" t="str">
        <f>"471610865820"</f>
        <v>471610865820</v>
      </c>
      <c r="B7966" t="s">
        <v>10939</v>
      </c>
      <c r="C7966" t="s">
        <v>7</v>
      </c>
      <c r="D7966" t="s">
        <v>14</v>
      </c>
      <c r="E7966" t="s">
        <v>10920</v>
      </c>
    </row>
    <row r="7967" spans="1:6" x14ac:dyDescent="0.25">
      <c r="A7967" t="str">
        <f>"4720013586"</f>
        <v>4720013586</v>
      </c>
      <c r="B7967" t="s">
        <v>10940</v>
      </c>
      <c r="C7967" t="s">
        <v>7</v>
      </c>
      <c r="D7967" t="s">
        <v>14</v>
      </c>
      <c r="E7967" t="s">
        <v>10920</v>
      </c>
      <c r="F7967" t="s">
        <v>10941</v>
      </c>
    </row>
    <row r="7968" spans="1:6" x14ac:dyDescent="0.25">
      <c r="A7968" t="str">
        <f>"325500201234"</f>
        <v>325500201234</v>
      </c>
      <c r="B7968" t="s">
        <v>10942</v>
      </c>
      <c r="C7968" t="s">
        <v>7</v>
      </c>
      <c r="D7968" t="s">
        <v>14</v>
      </c>
      <c r="E7968" t="s">
        <v>10920</v>
      </c>
    </row>
    <row r="7969" spans="1:6" x14ac:dyDescent="0.25">
      <c r="A7969" t="str">
        <f>"183118448808"</f>
        <v>183118448808</v>
      </c>
      <c r="B7969" t="s">
        <v>10943</v>
      </c>
      <c r="C7969" t="s">
        <v>7</v>
      </c>
      <c r="D7969" t="s">
        <v>12</v>
      </c>
      <c r="E7969" t="s">
        <v>10920</v>
      </c>
    </row>
    <row r="7970" spans="1:6" x14ac:dyDescent="0.25">
      <c r="A7970" t="str">
        <f>"4238021798"</f>
        <v>4238021798</v>
      </c>
      <c r="B7970" t="s">
        <v>10944</v>
      </c>
      <c r="C7970" t="s">
        <v>7</v>
      </c>
      <c r="D7970" t="s">
        <v>28</v>
      </c>
      <c r="E7970" t="s">
        <v>10920</v>
      </c>
      <c r="F7970" t="s">
        <v>10945</v>
      </c>
    </row>
    <row r="7971" spans="1:6" x14ac:dyDescent="0.25">
      <c r="A7971" t="str">
        <f>"245732964532"</f>
        <v>245732964532</v>
      </c>
      <c r="B7971" t="s">
        <v>10946</v>
      </c>
      <c r="C7971" t="s">
        <v>7</v>
      </c>
      <c r="D7971" t="s">
        <v>33</v>
      </c>
      <c r="E7971" t="s">
        <v>10920</v>
      </c>
    </row>
    <row r="7972" spans="1:6" x14ac:dyDescent="0.25">
      <c r="A7972" t="str">
        <f>"026204106425"</f>
        <v>026204106425</v>
      </c>
      <c r="B7972" t="s">
        <v>10947</v>
      </c>
      <c r="C7972" t="s">
        <v>7</v>
      </c>
      <c r="D7972" t="s">
        <v>12</v>
      </c>
      <c r="E7972" t="s">
        <v>10920</v>
      </c>
    </row>
    <row r="7973" spans="1:6" x14ac:dyDescent="0.25">
      <c r="A7973" t="str">
        <f>"692601072864"</f>
        <v>692601072864</v>
      </c>
      <c r="B7973" t="s">
        <v>10948</v>
      </c>
      <c r="C7973" t="s">
        <v>7</v>
      </c>
      <c r="D7973" t="s">
        <v>14</v>
      </c>
      <c r="E7973" t="s">
        <v>10920</v>
      </c>
    </row>
    <row r="7974" spans="1:6" x14ac:dyDescent="0.25">
      <c r="A7974" t="str">
        <f>"694000009621"</f>
        <v>694000009621</v>
      </c>
      <c r="B7974" t="s">
        <v>10949</v>
      </c>
      <c r="C7974" t="s">
        <v>7</v>
      </c>
      <c r="D7974" t="s">
        <v>12</v>
      </c>
      <c r="E7974" t="s">
        <v>10920</v>
      </c>
    </row>
    <row r="7975" spans="1:6" x14ac:dyDescent="0.25">
      <c r="A7975" t="str">
        <f>"616616875204"</f>
        <v>616616875204</v>
      </c>
      <c r="B7975" t="s">
        <v>10950</v>
      </c>
      <c r="C7975" t="s">
        <v>7</v>
      </c>
      <c r="D7975" t="s">
        <v>14</v>
      </c>
      <c r="E7975" t="s">
        <v>10920</v>
      </c>
    </row>
    <row r="7976" spans="1:6" x14ac:dyDescent="0.25">
      <c r="A7976" t="str">
        <f>"541020208304"</f>
        <v>541020208304</v>
      </c>
      <c r="B7976" t="s">
        <v>10951</v>
      </c>
      <c r="C7976" t="s">
        <v>7</v>
      </c>
      <c r="D7976" t="s">
        <v>14</v>
      </c>
      <c r="E7976" t="s">
        <v>10920</v>
      </c>
    </row>
    <row r="7977" spans="1:6" x14ac:dyDescent="0.25">
      <c r="A7977" t="str">
        <f>"462003410752"</f>
        <v>462003410752</v>
      </c>
      <c r="B7977" t="s">
        <v>10952</v>
      </c>
      <c r="C7977" t="s">
        <v>7</v>
      </c>
      <c r="D7977" t="s">
        <v>14</v>
      </c>
      <c r="E7977" t="s">
        <v>10920</v>
      </c>
    </row>
    <row r="7978" spans="1:6" x14ac:dyDescent="0.25">
      <c r="A7978" t="str">
        <f>"4702018133"</f>
        <v>4702018133</v>
      </c>
      <c r="B7978" t="s">
        <v>10953</v>
      </c>
      <c r="C7978" t="s">
        <v>7</v>
      </c>
      <c r="D7978" t="s">
        <v>14</v>
      </c>
      <c r="E7978" t="s">
        <v>10920</v>
      </c>
      <c r="F7978" t="s">
        <v>10954</v>
      </c>
    </row>
    <row r="7979" spans="1:6" x14ac:dyDescent="0.25">
      <c r="A7979" t="str">
        <f>"4702018976"</f>
        <v>4702018976</v>
      </c>
      <c r="B7979" t="s">
        <v>10955</v>
      </c>
      <c r="C7979" t="s">
        <v>7</v>
      </c>
      <c r="D7979" t="s">
        <v>12</v>
      </c>
      <c r="E7979" t="s">
        <v>10920</v>
      </c>
      <c r="F7979" t="s">
        <v>10956</v>
      </c>
    </row>
    <row r="7980" spans="1:6" x14ac:dyDescent="0.25">
      <c r="A7980" t="str">
        <f>"540961353809"</f>
        <v>540961353809</v>
      </c>
      <c r="B7980" t="s">
        <v>10957</v>
      </c>
      <c r="C7980" t="s">
        <v>7</v>
      </c>
      <c r="D7980" t="s">
        <v>14</v>
      </c>
      <c r="E7980" t="s">
        <v>10920</v>
      </c>
    </row>
    <row r="7981" spans="1:6" x14ac:dyDescent="0.25">
      <c r="A7981" t="str">
        <f>"710408653428"</f>
        <v>710408653428</v>
      </c>
      <c r="B7981" t="s">
        <v>10958</v>
      </c>
      <c r="C7981" t="s">
        <v>7</v>
      </c>
      <c r="D7981" t="s">
        <v>14</v>
      </c>
      <c r="E7981" t="s">
        <v>10920</v>
      </c>
    </row>
    <row r="7982" spans="1:6" x14ac:dyDescent="0.25">
      <c r="A7982" t="str">
        <f>"543314592747"</f>
        <v>543314592747</v>
      </c>
      <c r="B7982" t="s">
        <v>10959</v>
      </c>
      <c r="C7982" t="s">
        <v>7</v>
      </c>
      <c r="D7982" t="s">
        <v>12</v>
      </c>
      <c r="E7982" t="s">
        <v>10920</v>
      </c>
    </row>
    <row r="7983" spans="1:6" x14ac:dyDescent="0.25">
      <c r="A7983" t="str">
        <f>"4703081890"</f>
        <v>4703081890</v>
      </c>
      <c r="B7983" t="s">
        <v>10960</v>
      </c>
      <c r="C7983" t="s">
        <v>7</v>
      </c>
      <c r="D7983" t="s">
        <v>14</v>
      </c>
      <c r="E7983" t="s">
        <v>10920</v>
      </c>
      <c r="F7983" t="s">
        <v>10961</v>
      </c>
    </row>
    <row r="7984" spans="1:6" x14ac:dyDescent="0.25">
      <c r="A7984" t="str">
        <f>"470310821468"</f>
        <v>470310821468</v>
      </c>
      <c r="B7984" t="s">
        <v>10962</v>
      </c>
      <c r="C7984" t="s">
        <v>7</v>
      </c>
      <c r="D7984" t="s">
        <v>14</v>
      </c>
      <c r="E7984" t="s">
        <v>10920</v>
      </c>
    </row>
    <row r="7985" spans="1:6" x14ac:dyDescent="0.25">
      <c r="A7985" t="str">
        <f>"4703178644"</f>
        <v>4703178644</v>
      </c>
      <c r="B7985" t="s">
        <v>10963</v>
      </c>
      <c r="C7985" t="s">
        <v>7</v>
      </c>
      <c r="D7985" t="s">
        <v>12</v>
      </c>
      <c r="E7985" t="s">
        <v>10920</v>
      </c>
      <c r="F7985" t="s">
        <v>10964</v>
      </c>
    </row>
    <row r="7986" spans="1:6" x14ac:dyDescent="0.25">
      <c r="A7986" t="str">
        <f>"470379377820"</f>
        <v>470379377820</v>
      </c>
      <c r="B7986" t="s">
        <v>10965</v>
      </c>
      <c r="C7986" t="s">
        <v>7</v>
      </c>
      <c r="D7986" t="s">
        <v>14</v>
      </c>
      <c r="E7986" t="s">
        <v>10920</v>
      </c>
    </row>
    <row r="7987" spans="1:6" x14ac:dyDescent="0.25">
      <c r="A7987" t="str">
        <f>"470400514334"</f>
        <v>470400514334</v>
      </c>
      <c r="B7987" t="s">
        <v>10966</v>
      </c>
      <c r="C7987" t="s">
        <v>7</v>
      </c>
      <c r="D7987" t="s">
        <v>14</v>
      </c>
      <c r="E7987" t="s">
        <v>10920</v>
      </c>
    </row>
    <row r="7988" spans="1:6" x14ac:dyDescent="0.25">
      <c r="A7988" t="str">
        <f>"4704042780"</f>
        <v>4704042780</v>
      </c>
      <c r="B7988" t="s">
        <v>10967</v>
      </c>
      <c r="C7988" t="s">
        <v>7</v>
      </c>
      <c r="D7988" t="s">
        <v>12</v>
      </c>
      <c r="E7988" t="s">
        <v>10920</v>
      </c>
      <c r="F7988" t="s">
        <v>10968</v>
      </c>
    </row>
    <row r="7989" spans="1:6" x14ac:dyDescent="0.25">
      <c r="A7989" t="str">
        <f>"470405336526"</f>
        <v>470405336526</v>
      </c>
      <c r="B7989" t="s">
        <v>10969</v>
      </c>
      <c r="C7989" t="s">
        <v>7</v>
      </c>
      <c r="D7989" t="s">
        <v>14</v>
      </c>
      <c r="E7989" t="s">
        <v>10920</v>
      </c>
    </row>
    <row r="7990" spans="1:6" x14ac:dyDescent="0.25">
      <c r="A7990" t="str">
        <f>"4704073316"</f>
        <v>4704073316</v>
      </c>
      <c r="B7990" t="s">
        <v>6958</v>
      </c>
      <c r="C7990" t="s">
        <v>7</v>
      </c>
      <c r="D7990" t="s">
        <v>33</v>
      </c>
      <c r="E7990" t="s">
        <v>10920</v>
      </c>
      <c r="F7990" t="s">
        <v>10970</v>
      </c>
    </row>
    <row r="7991" spans="1:6" x14ac:dyDescent="0.25">
      <c r="A7991" t="str">
        <f>"4704104412"</f>
        <v>4704104412</v>
      </c>
      <c r="B7991" t="s">
        <v>3750</v>
      </c>
      <c r="C7991" t="s">
        <v>7</v>
      </c>
      <c r="D7991" t="s">
        <v>14</v>
      </c>
      <c r="E7991" t="s">
        <v>10920</v>
      </c>
      <c r="F7991" t="s">
        <v>10971</v>
      </c>
    </row>
    <row r="7992" spans="1:6" x14ac:dyDescent="0.25">
      <c r="A7992" t="str">
        <f>"470415430503"</f>
        <v>470415430503</v>
      </c>
      <c r="B7992" t="s">
        <v>9532</v>
      </c>
      <c r="C7992" t="s">
        <v>7</v>
      </c>
      <c r="D7992" t="s">
        <v>14</v>
      </c>
      <c r="E7992" t="s">
        <v>10920</v>
      </c>
    </row>
    <row r="7993" spans="1:6" x14ac:dyDescent="0.25">
      <c r="A7993" t="str">
        <f>"470417194273"</f>
        <v>470417194273</v>
      </c>
      <c r="B7993" t="s">
        <v>10972</v>
      </c>
      <c r="C7993" t="s">
        <v>7</v>
      </c>
      <c r="D7993" t="s">
        <v>14</v>
      </c>
      <c r="E7993" t="s">
        <v>10920</v>
      </c>
    </row>
    <row r="7994" spans="1:6" x14ac:dyDescent="0.25">
      <c r="A7994" t="str">
        <f>"470500032528"</f>
        <v>470500032528</v>
      </c>
      <c r="B7994" t="s">
        <v>10973</v>
      </c>
      <c r="C7994" t="s">
        <v>7</v>
      </c>
      <c r="D7994" t="s">
        <v>14</v>
      </c>
      <c r="E7994" t="s">
        <v>10920</v>
      </c>
    </row>
    <row r="7995" spans="1:6" x14ac:dyDescent="0.25">
      <c r="A7995" t="str">
        <f>"470500164130"</f>
        <v>470500164130</v>
      </c>
      <c r="B7995" t="s">
        <v>10974</v>
      </c>
      <c r="C7995" t="s">
        <v>7</v>
      </c>
      <c r="D7995" t="s">
        <v>14</v>
      </c>
      <c r="E7995" t="s">
        <v>10920</v>
      </c>
    </row>
    <row r="7996" spans="1:6" x14ac:dyDescent="0.25">
      <c r="A7996" t="str">
        <f>"470500265956"</f>
        <v>470500265956</v>
      </c>
      <c r="B7996" t="s">
        <v>10975</v>
      </c>
      <c r="C7996" t="s">
        <v>7</v>
      </c>
      <c r="D7996" t="s">
        <v>14</v>
      </c>
      <c r="E7996" t="s">
        <v>10920</v>
      </c>
    </row>
    <row r="7997" spans="1:6" x14ac:dyDescent="0.25">
      <c r="A7997" t="str">
        <f>"4705030756"</f>
        <v>4705030756</v>
      </c>
      <c r="B7997" t="s">
        <v>10976</v>
      </c>
      <c r="C7997" t="s">
        <v>7</v>
      </c>
      <c r="D7997" t="s">
        <v>14</v>
      </c>
      <c r="E7997" t="s">
        <v>10920</v>
      </c>
      <c r="F7997" t="s">
        <v>10977</v>
      </c>
    </row>
    <row r="7998" spans="1:6" x14ac:dyDescent="0.25">
      <c r="A7998" t="str">
        <f>"4705123591"</f>
        <v>4705123591</v>
      </c>
      <c r="B7998" t="s">
        <v>10978</v>
      </c>
      <c r="C7998" t="s">
        <v>7</v>
      </c>
      <c r="D7998" t="s">
        <v>14</v>
      </c>
      <c r="E7998" t="s">
        <v>10920</v>
      </c>
      <c r="F7998" t="s">
        <v>10979</v>
      </c>
    </row>
    <row r="7999" spans="1:6" x14ac:dyDescent="0.25">
      <c r="A7999" t="str">
        <f>"470604804627"</f>
        <v>470604804627</v>
      </c>
      <c r="B7999" t="s">
        <v>10980</v>
      </c>
      <c r="C7999" t="s">
        <v>7</v>
      </c>
      <c r="D7999" t="s">
        <v>14</v>
      </c>
      <c r="E7999" t="s">
        <v>10920</v>
      </c>
    </row>
    <row r="8000" spans="1:6" x14ac:dyDescent="0.25">
      <c r="A8000" t="str">
        <f>"4706058761"</f>
        <v>4706058761</v>
      </c>
      <c r="B8000" t="s">
        <v>10981</v>
      </c>
      <c r="C8000" t="s">
        <v>7</v>
      </c>
      <c r="D8000" t="s">
        <v>14</v>
      </c>
      <c r="E8000" t="s">
        <v>10920</v>
      </c>
      <c r="F8000" t="s">
        <v>10982</v>
      </c>
    </row>
    <row r="8001" spans="1:6" x14ac:dyDescent="0.25">
      <c r="A8001" t="str">
        <f>"4706078430"</f>
        <v>4706078430</v>
      </c>
      <c r="B8001" t="s">
        <v>10983</v>
      </c>
      <c r="C8001" t="s">
        <v>7</v>
      </c>
      <c r="D8001" t="s">
        <v>14</v>
      </c>
      <c r="E8001" t="s">
        <v>10920</v>
      </c>
      <c r="F8001" t="s">
        <v>10984</v>
      </c>
    </row>
    <row r="8002" spans="1:6" x14ac:dyDescent="0.25">
      <c r="A8002" t="str">
        <f>"4706085660"</f>
        <v>4706085660</v>
      </c>
      <c r="B8002" t="s">
        <v>10985</v>
      </c>
      <c r="C8002" t="s">
        <v>7</v>
      </c>
      <c r="D8002" t="s">
        <v>33</v>
      </c>
      <c r="E8002" t="s">
        <v>10920</v>
      </c>
      <c r="F8002" t="s">
        <v>10986</v>
      </c>
    </row>
    <row r="8003" spans="1:6" x14ac:dyDescent="0.25">
      <c r="A8003" t="str">
        <f>"4706086631"</f>
        <v>4706086631</v>
      </c>
      <c r="B8003" t="s">
        <v>10987</v>
      </c>
      <c r="C8003" t="s">
        <v>7</v>
      </c>
      <c r="D8003" t="s">
        <v>14</v>
      </c>
      <c r="E8003" t="s">
        <v>10920</v>
      </c>
      <c r="F8003" t="s">
        <v>10988</v>
      </c>
    </row>
    <row r="8004" spans="1:6" x14ac:dyDescent="0.25">
      <c r="A8004" t="str">
        <f>"4707039899"</f>
        <v>4707039899</v>
      </c>
      <c r="B8004" t="s">
        <v>10989</v>
      </c>
      <c r="C8004" t="s">
        <v>7</v>
      </c>
      <c r="D8004" t="s">
        <v>12</v>
      </c>
      <c r="E8004" t="s">
        <v>10920</v>
      </c>
      <c r="F8004" t="s">
        <v>10990</v>
      </c>
    </row>
    <row r="8005" spans="1:6" x14ac:dyDescent="0.25">
      <c r="A8005" t="str">
        <f>"4707056686"</f>
        <v>4707056686</v>
      </c>
      <c r="B8005" t="s">
        <v>10991</v>
      </c>
      <c r="C8005" t="s">
        <v>7</v>
      </c>
      <c r="D8005" t="s">
        <v>14</v>
      </c>
      <c r="E8005" t="s">
        <v>10920</v>
      </c>
      <c r="F8005" t="s">
        <v>10992</v>
      </c>
    </row>
    <row r="8006" spans="1:6" x14ac:dyDescent="0.25">
      <c r="A8006" t="str">
        <f>"470706302697"</f>
        <v>470706302697</v>
      </c>
      <c r="B8006" t="s">
        <v>10993</v>
      </c>
      <c r="C8006" t="s">
        <v>7</v>
      </c>
      <c r="D8006" t="s">
        <v>14</v>
      </c>
      <c r="E8006" t="s">
        <v>10920</v>
      </c>
    </row>
    <row r="8007" spans="1:6" x14ac:dyDescent="0.25">
      <c r="A8007" t="str">
        <f>"470800034117"</f>
        <v>470800034117</v>
      </c>
      <c r="B8007" t="s">
        <v>10994</v>
      </c>
      <c r="C8007" t="s">
        <v>7</v>
      </c>
      <c r="D8007" t="s">
        <v>12</v>
      </c>
      <c r="E8007" t="s">
        <v>10920</v>
      </c>
    </row>
    <row r="8008" spans="1:6" x14ac:dyDescent="0.25">
      <c r="A8008" t="str">
        <f>"471000023911"</f>
        <v>471000023911</v>
      </c>
      <c r="B8008" t="s">
        <v>10995</v>
      </c>
      <c r="C8008" t="s">
        <v>7</v>
      </c>
      <c r="D8008" t="s">
        <v>14</v>
      </c>
      <c r="E8008" t="s">
        <v>10920</v>
      </c>
    </row>
    <row r="8009" spans="1:6" x14ac:dyDescent="0.25">
      <c r="A8009" t="str">
        <f>"471000069747"</f>
        <v>471000069747</v>
      </c>
      <c r="B8009" t="s">
        <v>10996</v>
      </c>
      <c r="C8009" t="s">
        <v>7</v>
      </c>
      <c r="D8009" t="s">
        <v>14</v>
      </c>
      <c r="E8009" t="s">
        <v>10920</v>
      </c>
    </row>
    <row r="8010" spans="1:6" x14ac:dyDescent="0.25">
      <c r="A8010" t="str">
        <f>"471000159221"</f>
        <v>471000159221</v>
      </c>
      <c r="B8010" t="s">
        <v>10997</v>
      </c>
      <c r="C8010" t="s">
        <v>7</v>
      </c>
      <c r="D8010" t="s">
        <v>14</v>
      </c>
      <c r="E8010" t="s">
        <v>10920</v>
      </c>
    </row>
    <row r="8011" spans="1:6" x14ac:dyDescent="0.25">
      <c r="A8011" t="str">
        <f>"471006567570"</f>
        <v>471006567570</v>
      </c>
      <c r="B8011" t="s">
        <v>10998</v>
      </c>
      <c r="C8011" t="s">
        <v>7</v>
      </c>
      <c r="D8011" t="s">
        <v>14</v>
      </c>
      <c r="E8011" t="s">
        <v>10920</v>
      </c>
    </row>
    <row r="8012" spans="1:6" x14ac:dyDescent="0.25">
      <c r="A8012" t="str">
        <f>"471008846804"</f>
        <v>471008846804</v>
      </c>
      <c r="B8012" t="s">
        <v>10999</v>
      </c>
      <c r="C8012" t="s">
        <v>7</v>
      </c>
      <c r="D8012" t="s">
        <v>14</v>
      </c>
      <c r="E8012" t="s">
        <v>10920</v>
      </c>
    </row>
    <row r="8013" spans="1:6" x14ac:dyDescent="0.25">
      <c r="A8013" t="str">
        <f>"4711200011"</f>
        <v>4711200011</v>
      </c>
      <c r="B8013" t="s">
        <v>11000</v>
      </c>
      <c r="C8013" t="s">
        <v>7</v>
      </c>
      <c r="D8013" t="s">
        <v>14</v>
      </c>
      <c r="E8013" t="s">
        <v>10920</v>
      </c>
      <c r="F8013" t="s">
        <v>11001</v>
      </c>
    </row>
    <row r="8014" spans="1:6" x14ac:dyDescent="0.25">
      <c r="A8014" t="str">
        <f>"471203774705"</f>
        <v>471203774705</v>
      </c>
      <c r="B8014" t="s">
        <v>11002</v>
      </c>
      <c r="C8014" t="s">
        <v>7</v>
      </c>
      <c r="D8014" t="s">
        <v>14</v>
      </c>
      <c r="E8014" t="s">
        <v>10920</v>
      </c>
    </row>
    <row r="8015" spans="1:6" x14ac:dyDescent="0.25">
      <c r="A8015" t="str">
        <f>"471206309262"</f>
        <v>471206309262</v>
      </c>
      <c r="B8015" t="s">
        <v>11003</v>
      </c>
      <c r="C8015" t="s">
        <v>7</v>
      </c>
      <c r="D8015" t="s">
        <v>14</v>
      </c>
      <c r="E8015" t="s">
        <v>10920</v>
      </c>
    </row>
    <row r="8016" spans="1:6" x14ac:dyDescent="0.25">
      <c r="A8016" t="str">
        <f>"471500062570"</f>
        <v>471500062570</v>
      </c>
      <c r="B8016" t="s">
        <v>11004</v>
      </c>
      <c r="C8016" t="s">
        <v>7</v>
      </c>
      <c r="D8016" t="s">
        <v>14</v>
      </c>
      <c r="E8016" t="s">
        <v>10920</v>
      </c>
    </row>
    <row r="8017" spans="1:6" x14ac:dyDescent="0.25">
      <c r="A8017" t="str">
        <f>"471500141776"</f>
        <v>471500141776</v>
      </c>
      <c r="B8017" t="s">
        <v>11005</v>
      </c>
      <c r="C8017" t="s">
        <v>7</v>
      </c>
      <c r="D8017" t="s">
        <v>14</v>
      </c>
      <c r="E8017" t="s">
        <v>10920</v>
      </c>
    </row>
    <row r="8018" spans="1:6" x14ac:dyDescent="0.25">
      <c r="A8018" t="str">
        <f>"471502780746"</f>
        <v>471502780746</v>
      </c>
      <c r="B8018" t="s">
        <v>11006</v>
      </c>
      <c r="C8018" t="s">
        <v>7</v>
      </c>
      <c r="D8018" t="s">
        <v>14</v>
      </c>
      <c r="E8018" t="s">
        <v>10920</v>
      </c>
    </row>
    <row r="8019" spans="1:6" x14ac:dyDescent="0.25">
      <c r="A8019" t="str">
        <f>"4715031653"</f>
        <v>4715031653</v>
      </c>
      <c r="B8019" t="s">
        <v>11007</v>
      </c>
      <c r="C8019" t="s">
        <v>7</v>
      </c>
      <c r="D8019" t="s">
        <v>12</v>
      </c>
      <c r="E8019" t="s">
        <v>10920</v>
      </c>
      <c r="F8019" t="s">
        <v>11008</v>
      </c>
    </row>
    <row r="8020" spans="1:6" x14ac:dyDescent="0.25">
      <c r="A8020" t="str">
        <f>"471506583266"</f>
        <v>471506583266</v>
      </c>
      <c r="B8020" t="s">
        <v>11009</v>
      </c>
      <c r="C8020" t="s">
        <v>7</v>
      </c>
      <c r="D8020" t="s">
        <v>14</v>
      </c>
      <c r="E8020" t="s">
        <v>10920</v>
      </c>
    </row>
    <row r="8021" spans="1:6" x14ac:dyDescent="0.25">
      <c r="A8021" t="str">
        <f>"4716047303"</f>
        <v>4716047303</v>
      </c>
      <c r="B8021" t="s">
        <v>11010</v>
      </c>
      <c r="C8021" t="s">
        <v>7</v>
      </c>
      <c r="D8021" t="s">
        <v>33</v>
      </c>
      <c r="E8021" t="s">
        <v>10920</v>
      </c>
      <c r="F8021" t="s">
        <v>11011</v>
      </c>
    </row>
    <row r="8022" spans="1:6" x14ac:dyDescent="0.25">
      <c r="A8022" t="str">
        <f>"471702766467"</f>
        <v>471702766467</v>
      </c>
      <c r="B8022" t="s">
        <v>11012</v>
      </c>
      <c r="C8022" t="s">
        <v>7</v>
      </c>
      <c r="D8022" t="s">
        <v>14</v>
      </c>
      <c r="E8022" t="s">
        <v>10920</v>
      </c>
    </row>
    <row r="8023" spans="1:6" x14ac:dyDescent="0.25">
      <c r="A8023" t="str">
        <f>"471704761552"</f>
        <v>471704761552</v>
      </c>
      <c r="B8023" t="s">
        <v>11013</v>
      </c>
      <c r="C8023" t="s">
        <v>7</v>
      </c>
      <c r="D8023" t="s">
        <v>12</v>
      </c>
      <c r="E8023" t="s">
        <v>10920</v>
      </c>
    </row>
    <row r="8024" spans="1:6" x14ac:dyDescent="0.25">
      <c r="A8024" t="str">
        <f>"470100667851"</f>
        <v>470100667851</v>
      </c>
      <c r="B8024" t="s">
        <v>11014</v>
      </c>
      <c r="C8024" t="s">
        <v>7</v>
      </c>
      <c r="D8024" t="s">
        <v>14</v>
      </c>
      <c r="E8024" t="s">
        <v>10920</v>
      </c>
    </row>
    <row r="8025" spans="1:6" x14ac:dyDescent="0.25">
      <c r="A8025" t="str">
        <f>"470201198525"</f>
        <v>470201198525</v>
      </c>
      <c r="B8025" t="s">
        <v>11015</v>
      </c>
      <c r="C8025" t="s">
        <v>7</v>
      </c>
      <c r="D8025" t="s">
        <v>14</v>
      </c>
      <c r="E8025" t="s">
        <v>10920</v>
      </c>
    </row>
    <row r="8026" spans="1:6" x14ac:dyDescent="0.25">
      <c r="A8026" t="str">
        <f>"470305204075"</f>
        <v>470305204075</v>
      </c>
      <c r="B8026" t="s">
        <v>11016</v>
      </c>
      <c r="C8026" t="s">
        <v>7</v>
      </c>
      <c r="D8026" t="s">
        <v>14</v>
      </c>
      <c r="E8026" t="s">
        <v>10920</v>
      </c>
    </row>
    <row r="8027" spans="1:6" x14ac:dyDescent="0.25">
      <c r="A8027" t="str">
        <f>"4703132865"</f>
        <v>4703132865</v>
      </c>
      <c r="B8027" t="s">
        <v>11017</v>
      </c>
      <c r="C8027" t="s">
        <v>7</v>
      </c>
      <c r="D8027" t="s">
        <v>12</v>
      </c>
      <c r="E8027" t="s">
        <v>10920</v>
      </c>
      <c r="F8027" t="s">
        <v>11018</v>
      </c>
    </row>
    <row r="8028" spans="1:6" x14ac:dyDescent="0.25">
      <c r="A8028" t="str">
        <f>"470314452162"</f>
        <v>470314452162</v>
      </c>
      <c r="B8028" t="s">
        <v>11019</v>
      </c>
      <c r="C8028" t="s">
        <v>7</v>
      </c>
      <c r="D8028" t="s">
        <v>12</v>
      </c>
      <c r="E8028" t="s">
        <v>10920</v>
      </c>
    </row>
    <row r="8029" spans="1:6" x14ac:dyDescent="0.25">
      <c r="A8029" t="str">
        <f>"470316524454"</f>
        <v>470316524454</v>
      </c>
      <c r="B8029" t="s">
        <v>11020</v>
      </c>
      <c r="C8029" t="s">
        <v>7</v>
      </c>
      <c r="D8029" t="s">
        <v>14</v>
      </c>
      <c r="E8029" t="s">
        <v>10920</v>
      </c>
    </row>
    <row r="8030" spans="1:6" x14ac:dyDescent="0.25">
      <c r="A8030" t="str">
        <f>"4703166769"</f>
        <v>4703166769</v>
      </c>
      <c r="B8030" t="s">
        <v>11021</v>
      </c>
      <c r="C8030" t="s">
        <v>7</v>
      </c>
      <c r="D8030" t="s">
        <v>98</v>
      </c>
      <c r="E8030" t="s">
        <v>10920</v>
      </c>
      <c r="F8030" t="s">
        <v>11022</v>
      </c>
    </row>
    <row r="8031" spans="1:6" x14ac:dyDescent="0.25">
      <c r="A8031" t="str">
        <f>"470400022357"</f>
        <v>470400022357</v>
      </c>
      <c r="B8031" t="s">
        <v>11023</v>
      </c>
      <c r="C8031" t="s">
        <v>7</v>
      </c>
      <c r="D8031" t="s">
        <v>14</v>
      </c>
      <c r="E8031" t="s">
        <v>10920</v>
      </c>
    </row>
    <row r="8032" spans="1:6" x14ac:dyDescent="0.25">
      <c r="A8032" t="str">
        <f>"4704055998"</f>
        <v>4704055998</v>
      </c>
      <c r="B8032" t="s">
        <v>11024</v>
      </c>
      <c r="C8032" t="s">
        <v>7</v>
      </c>
      <c r="D8032" t="s">
        <v>12</v>
      </c>
      <c r="E8032" t="s">
        <v>10920</v>
      </c>
      <c r="F8032" t="s">
        <v>11025</v>
      </c>
    </row>
    <row r="8033" spans="1:6" x14ac:dyDescent="0.25">
      <c r="A8033" t="str">
        <f>"470406579793"</f>
        <v>470406579793</v>
      </c>
      <c r="B8033" t="s">
        <v>11026</v>
      </c>
      <c r="C8033" t="s">
        <v>7</v>
      </c>
      <c r="D8033" t="s">
        <v>14</v>
      </c>
      <c r="E8033" t="s">
        <v>10920</v>
      </c>
    </row>
    <row r="8034" spans="1:6" x14ac:dyDescent="0.25">
      <c r="A8034" t="str">
        <f>"470406890007"</f>
        <v>470406890007</v>
      </c>
      <c r="B8034" t="s">
        <v>11027</v>
      </c>
      <c r="C8034" t="s">
        <v>7</v>
      </c>
      <c r="D8034" t="s">
        <v>14</v>
      </c>
      <c r="E8034" t="s">
        <v>10920</v>
      </c>
    </row>
    <row r="8035" spans="1:6" x14ac:dyDescent="0.25">
      <c r="A8035" t="str">
        <f>"4704097910"</f>
        <v>4704097910</v>
      </c>
      <c r="B8035" t="s">
        <v>11028</v>
      </c>
      <c r="C8035" t="s">
        <v>7</v>
      </c>
      <c r="D8035" t="s">
        <v>12</v>
      </c>
      <c r="E8035" t="s">
        <v>10920</v>
      </c>
      <c r="F8035" t="s">
        <v>11029</v>
      </c>
    </row>
    <row r="8036" spans="1:6" x14ac:dyDescent="0.25">
      <c r="A8036" t="str">
        <f>"470414604394"</f>
        <v>470414604394</v>
      </c>
      <c r="B8036" t="s">
        <v>11030</v>
      </c>
      <c r="C8036" t="s">
        <v>7</v>
      </c>
      <c r="D8036" t="s">
        <v>14</v>
      </c>
      <c r="E8036" t="s">
        <v>10920</v>
      </c>
    </row>
    <row r="8037" spans="1:6" x14ac:dyDescent="0.25">
      <c r="A8037" t="str">
        <f>"470414848009"</f>
        <v>470414848009</v>
      </c>
      <c r="B8037" t="s">
        <v>11031</v>
      </c>
      <c r="C8037" t="s">
        <v>7</v>
      </c>
      <c r="D8037" t="s">
        <v>14</v>
      </c>
      <c r="E8037" t="s">
        <v>10920</v>
      </c>
    </row>
    <row r="8038" spans="1:6" x14ac:dyDescent="0.25">
      <c r="A8038" t="str">
        <f>"470415721710"</f>
        <v>470415721710</v>
      </c>
      <c r="B8038" t="s">
        <v>11032</v>
      </c>
      <c r="C8038" t="s">
        <v>7</v>
      </c>
      <c r="D8038" t="s">
        <v>14</v>
      </c>
      <c r="E8038" t="s">
        <v>10920</v>
      </c>
    </row>
    <row r="8039" spans="1:6" x14ac:dyDescent="0.25">
      <c r="A8039" t="str">
        <f>"470420838182"</f>
        <v>470420838182</v>
      </c>
      <c r="B8039" t="s">
        <v>11033</v>
      </c>
      <c r="C8039" t="s">
        <v>7</v>
      </c>
      <c r="D8039" t="s">
        <v>14</v>
      </c>
      <c r="E8039" t="s">
        <v>10920</v>
      </c>
    </row>
    <row r="8040" spans="1:6" x14ac:dyDescent="0.25">
      <c r="A8040" t="str">
        <f>"470500327828"</f>
        <v>470500327828</v>
      </c>
      <c r="B8040" t="s">
        <v>11034</v>
      </c>
      <c r="C8040" t="s">
        <v>7</v>
      </c>
      <c r="D8040" t="s">
        <v>14</v>
      </c>
      <c r="E8040" t="s">
        <v>10920</v>
      </c>
    </row>
    <row r="8041" spans="1:6" x14ac:dyDescent="0.25">
      <c r="A8041" t="str">
        <f>"4705065357"</f>
        <v>4705065357</v>
      </c>
      <c r="B8041" t="s">
        <v>11035</v>
      </c>
      <c r="C8041" t="s">
        <v>7</v>
      </c>
      <c r="D8041" t="s">
        <v>14</v>
      </c>
      <c r="E8041" t="s">
        <v>10920</v>
      </c>
      <c r="F8041" t="s">
        <v>11036</v>
      </c>
    </row>
    <row r="8042" spans="1:6" x14ac:dyDescent="0.25">
      <c r="A8042" t="str">
        <f>"4705124154"</f>
        <v>4705124154</v>
      </c>
      <c r="B8042" t="s">
        <v>11037</v>
      </c>
      <c r="C8042" t="s">
        <v>7</v>
      </c>
      <c r="D8042" t="s">
        <v>463</v>
      </c>
      <c r="E8042" t="s">
        <v>10920</v>
      </c>
      <c r="F8042" t="s">
        <v>10979</v>
      </c>
    </row>
    <row r="8043" spans="1:6" x14ac:dyDescent="0.25">
      <c r="A8043" t="str">
        <f>"470516244077"</f>
        <v>470516244077</v>
      </c>
      <c r="B8043" t="s">
        <v>11038</v>
      </c>
      <c r="C8043" t="s">
        <v>7</v>
      </c>
      <c r="D8043" t="s">
        <v>14</v>
      </c>
      <c r="E8043" t="s">
        <v>10920</v>
      </c>
    </row>
    <row r="8044" spans="1:6" x14ac:dyDescent="0.25">
      <c r="A8044" t="str">
        <f>"470605989610"</f>
        <v>470605989610</v>
      </c>
      <c r="B8044" t="s">
        <v>11039</v>
      </c>
      <c r="C8044" t="s">
        <v>7</v>
      </c>
      <c r="D8044" t="s">
        <v>14</v>
      </c>
      <c r="E8044" t="s">
        <v>10920</v>
      </c>
    </row>
    <row r="8045" spans="1:6" x14ac:dyDescent="0.25">
      <c r="A8045" t="str">
        <f>"4706062630"</f>
        <v>4706062630</v>
      </c>
      <c r="B8045" t="s">
        <v>11040</v>
      </c>
      <c r="C8045" t="s">
        <v>7</v>
      </c>
      <c r="D8045" t="s">
        <v>14</v>
      </c>
      <c r="E8045" t="s">
        <v>10920</v>
      </c>
      <c r="F8045" t="s">
        <v>11041</v>
      </c>
    </row>
    <row r="8046" spans="1:6" x14ac:dyDescent="0.25">
      <c r="A8046" t="str">
        <f>"470607112222"</f>
        <v>470607112222</v>
      </c>
      <c r="B8046" t="s">
        <v>11042</v>
      </c>
      <c r="C8046" t="s">
        <v>7</v>
      </c>
      <c r="D8046" t="s">
        <v>14</v>
      </c>
      <c r="E8046" t="s">
        <v>10920</v>
      </c>
    </row>
    <row r="8047" spans="1:6" x14ac:dyDescent="0.25">
      <c r="A8047" t="str">
        <f>"4706085525"</f>
        <v>4706085525</v>
      </c>
      <c r="B8047" t="s">
        <v>11043</v>
      </c>
      <c r="C8047" t="s">
        <v>7</v>
      </c>
      <c r="D8047" t="s">
        <v>33</v>
      </c>
      <c r="E8047" t="s">
        <v>10920</v>
      </c>
      <c r="F8047" t="s">
        <v>11044</v>
      </c>
    </row>
    <row r="8048" spans="1:6" x14ac:dyDescent="0.25">
      <c r="A8048" t="str">
        <f>"470608726218"</f>
        <v>470608726218</v>
      </c>
      <c r="B8048" t="s">
        <v>11045</v>
      </c>
      <c r="C8048" t="s">
        <v>7</v>
      </c>
      <c r="D8048" t="s">
        <v>12</v>
      </c>
      <c r="E8048" t="s">
        <v>10920</v>
      </c>
    </row>
    <row r="8049" spans="1:5" x14ac:dyDescent="0.25">
      <c r="A8049" t="str">
        <f>"470700065979"</f>
        <v>470700065979</v>
      </c>
      <c r="B8049" t="s">
        <v>11046</v>
      </c>
      <c r="C8049" t="s">
        <v>7</v>
      </c>
      <c r="D8049" t="s">
        <v>14</v>
      </c>
      <c r="E8049" t="s">
        <v>10920</v>
      </c>
    </row>
    <row r="8050" spans="1:5" x14ac:dyDescent="0.25">
      <c r="A8050" t="str">
        <f>"470706797150"</f>
        <v>470706797150</v>
      </c>
      <c r="B8050" t="s">
        <v>11047</v>
      </c>
      <c r="C8050" t="s">
        <v>7</v>
      </c>
      <c r="D8050" t="s">
        <v>14</v>
      </c>
      <c r="E8050" t="s">
        <v>10920</v>
      </c>
    </row>
    <row r="8051" spans="1:5" x14ac:dyDescent="0.25">
      <c r="A8051" t="str">
        <f>"470707592942"</f>
        <v>470707592942</v>
      </c>
      <c r="B8051" t="s">
        <v>11048</v>
      </c>
      <c r="C8051" t="s">
        <v>7</v>
      </c>
      <c r="D8051" t="s">
        <v>14</v>
      </c>
      <c r="E8051" t="s">
        <v>10920</v>
      </c>
    </row>
    <row r="8052" spans="1:5" x14ac:dyDescent="0.25">
      <c r="A8052" t="str">
        <f>"470709918759"</f>
        <v>470709918759</v>
      </c>
      <c r="B8052" t="s">
        <v>11049</v>
      </c>
      <c r="C8052" t="s">
        <v>7</v>
      </c>
      <c r="D8052" t="s">
        <v>12</v>
      </c>
      <c r="E8052" t="s">
        <v>10920</v>
      </c>
    </row>
    <row r="8053" spans="1:5" x14ac:dyDescent="0.25">
      <c r="A8053" t="str">
        <f>"470800049836"</f>
        <v>470800049836</v>
      </c>
      <c r="B8053" t="s">
        <v>11050</v>
      </c>
      <c r="C8053" t="s">
        <v>7</v>
      </c>
      <c r="D8053" t="s">
        <v>14</v>
      </c>
      <c r="E8053" t="s">
        <v>10920</v>
      </c>
    </row>
    <row r="8054" spans="1:5" x14ac:dyDescent="0.25">
      <c r="A8054" t="str">
        <f>"470802196755"</f>
        <v>470802196755</v>
      </c>
      <c r="B8054" t="s">
        <v>11051</v>
      </c>
      <c r="C8054" t="s">
        <v>7</v>
      </c>
      <c r="D8054" t="s">
        <v>14</v>
      </c>
      <c r="E8054" t="s">
        <v>10920</v>
      </c>
    </row>
    <row r="8055" spans="1:5" x14ac:dyDescent="0.25">
      <c r="A8055" t="str">
        <f>"470803997701"</f>
        <v>470803997701</v>
      </c>
      <c r="B8055" t="s">
        <v>11052</v>
      </c>
      <c r="C8055" t="s">
        <v>7</v>
      </c>
      <c r="D8055" t="s">
        <v>14</v>
      </c>
      <c r="E8055" t="s">
        <v>10920</v>
      </c>
    </row>
    <row r="8056" spans="1:5" x14ac:dyDescent="0.25">
      <c r="A8056" t="str">
        <f>"470806021019"</f>
        <v>470806021019</v>
      </c>
      <c r="B8056" t="s">
        <v>11053</v>
      </c>
      <c r="C8056" t="s">
        <v>7</v>
      </c>
      <c r="D8056" t="s">
        <v>12</v>
      </c>
      <c r="E8056" t="s">
        <v>10920</v>
      </c>
    </row>
    <row r="8057" spans="1:5" x14ac:dyDescent="0.25">
      <c r="A8057" t="str">
        <f>"471000127910"</f>
        <v>471000127910</v>
      </c>
      <c r="B8057" t="s">
        <v>11054</v>
      </c>
      <c r="C8057" t="s">
        <v>7</v>
      </c>
      <c r="D8057" t="s">
        <v>14</v>
      </c>
      <c r="E8057" t="s">
        <v>10920</v>
      </c>
    </row>
    <row r="8058" spans="1:5" x14ac:dyDescent="0.25">
      <c r="A8058" t="str">
        <f>"471001157330"</f>
        <v>471001157330</v>
      </c>
      <c r="B8058" t="s">
        <v>11055</v>
      </c>
      <c r="C8058" t="s">
        <v>7</v>
      </c>
      <c r="D8058" t="s">
        <v>14</v>
      </c>
      <c r="E8058" t="s">
        <v>10920</v>
      </c>
    </row>
    <row r="8059" spans="1:5" x14ac:dyDescent="0.25">
      <c r="A8059" t="str">
        <f>"471007477329"</f>
        <v>471007477329</v>
      </c>
      <c r="B8059" t="s">
        <v>11056</v>
      </c>
      <c r="C8059" t="s">
        <v>7</v>
      </c>
      <c r="D8059" t="s">
        <v>674</v>
      </c>
      <c r="E8059" t="s">
        <v>10920</v>
      </c>
    </row>
    <row r="8060" spans="1:5" x14ac:dyDescent="0.25">
      <c r="A8060" t="str">
        <f>"471009370740"</f>
        <v>471009370740</v>
      </c>
      <c r="B8060" t="s">
        <v>11057</v>
      </c>
      <c r="C8060" t="s">
        <v>7</v>
      </c>
      <c r="D8060" t="s">
        <v>14</v>
      </c>
      <c r="E8060" t="s">
        <v>10920</v>
      </c>
    </row>
    <row r="8061" spans="1:5" x14ac:dyDescent="0.25">
      <c r="A8061" t="str">
        <f>"471200056801"</f>
        <v>471200056801</v>
      </c>
      <c r="B8061" t="s">
        <v>11058</v>
      </c>
      <c r="C8061" t="s">
        <v>7</v>
      </c>
      <c r="D8061" t="s">
        <v>14</v>
      </c>
      <c r="E8061" t="s">
        <v>10920</v>
      </c>
    </row>
    <row r="8062" spans="1:5" x14ac:dyDescent="0.25">
      <c r="A8062" t="str">
        <f>"471205279689"</f>
        <v>471205279689</v>
      </c>
      <c r="B8062" t="s">
        <v>11059</v>
      </c>
      <c r="C8062" t="s">
        <v>7</v>
      </c>
      <c r="D8062" t="s">
        <v>6745</v>
      </c>
      <c r="E8062" t="s">
        <v>10920</v>
      </c>
    </row>
    <row r="8063" spans="1:5" x14ac:dyDescent="0.25">
      <c r="A8063" t="str">
        <f>"471205536544"</f>
        <v>471205536544</v>
      </c>
      <c r="B8063" t="s">
        <v>11060</v>
      </c>
      <c r="C8063" t="s">
        <v>7</v>
      </c>
      <c r="D8063" t="s">
        <v>14</v>
      </c>
      <c r="E8063" t="s">
        <v>10920</v>
      </c>
    </row>
    <row r="8064" spans="1:5" x14ac:dyDescent="0.25">
      <c r="A8064" t="str">
        <f>"471304686621"</f>
        <v>471304686621</v>
      </c>
      <c r="B8064" t="s">
        <v>11061</v>
      </c>
      <c r="C8064" t="s">
        <v>7</v>
      </c>
      <c r="D8064" t="s">
        <v>14</v>
      </c>
      <c r="E8064" t="s">
        <v>10920</v>
      </c>
    </row>
    <row r="8065" spans="1:6" x14ac:dyDescent="0.25">
      <c r="A8065" t="str">
        <f>"4714009341"</f>
        <v>4714009341</v>
      </c>
      <c r="B8065" t="s">
        <v>11062</v>
      </c>
      <c r="C8065" t="s">
        <v>7</v>
      </c>
      <c r="D8065" t="s">
        <v>14</v>
      </c>
      <c r="E8065" t="s">
        <v>10920</v>
      </c>
      <c r="F8065" t="s">
        <v>11063</v>
      </c>
    </row>
    <row r="8066" spans="1:6" x14ac:dyDescent="0.25">
      <c r="A8066" t="str">
        <f>"4714015063"</f>
        <v>4714015063</v>
      </c>
      <c r="B8066" t="s">
        <v>11064</v>
      </c>
      <c r="C8066" t="s">
        <v>7</v>
      </c>
      <c r="D8066" t="s">
        <v>14</v>
      </c>
      <c r="E8066" t="s">
        <v>10920</v>
      </c>
      <c r="F8066" t="s">
        <v>11065</v>
      </c>
    </row>
    <row r="8067" spans="1:6" x14ac:dyDescent="0.25">
      <c r="A8067" t="str">
        <f>"471420743341"</f>
        <v>471420743341</v>
      </c>
      <c r="B8067" t="s">
        <v>11066</v>
      </c>
      <c r="C8067" t="s">
        <v>7</v>
      </c>
      <c r="D8067" t="s">
        <v>14</v>
      </c>
      <c r="E8067" t="s">
        <v>10920</v>
      </c>
    </row>
    <row r="8068" spans="1:6" x14ac:dyDescent="0.25">
      <c r="A8068" t="str">
        <f>"471500009859"</f>
        <v>471500009859</v>
      </c>
      <c r="B8068" t="s">
        <v>11067</v>
      </c>
      <c r="C8068" t="s">
        <v>7</v>
      </c>
      <c r="D8068" t="s">
        <v>14</v>
      </c>
      <c r="E8068" t="s">
        <v>10920</v>
      </c>
    </row>
    <row r="8069" spans="1:6" x14ac:dyDescent="0.25">
      <c r="A8069" t="str">
        <f>"471500034710"</f>
        <v>471500034710</v>
      </c>
      <c r="B8069" t="s">
        <v>11068</v>
      </c>
      <c r="C8069" t="s">
        <v>7</v>
      </c>
      <c r="D8069" t="s">
        <v>14</v>
      </c>
      <c r="E8069" t="s">
        <v>10920</v>
      </c>
    </row>
    <row r="8070" spans="1:6" x14ac:dyDescent="0.25">
      <c r="A8070" t="str">
        <f>"471506546105"</f>
        <v>471506546105</v>
      </c>
      <c r="B8070" t="s">
        <v>11069</v>
      </c>
      <c r="C8070" t="s">
        <v>7</v>
      </c>
      <c r="D8070" t="s">
        <v>12</v>
      </c>
      <c r="E8070" t="s">
        <v>10920</v>
      </c>
    </row>
    <row r="8071" spans="1:6" x14ac:dyDescent="0.25">
      <c r="A8071" t="str">
        <f>"471506617910"</f>
        <v>471506617910</v>
      </c>
      <c r="B8071" t="s">
        <v>11070</v>
      </c>
      <c r="C8071" t="s">
        <v>7</v>
      </c>
      <c r="D8071" t="s">
        <v>12</v>
      </c>
      <c r="E8071" t="s">
        <v>10920</v>
      </c>
    </row>
    <row r="8072" spans="1:6" x14ac:dyDescent="0.25">
      <c r="A8072" t="str">
        <f>"471512323153"</f>
        <v>471512323153</v>
      </c>
      <c r="B8072" t="s">
        <v>11071</v>
      </c>
      <c r="C8072" t="s">
        <v>7</v>
      </c>
      <c r="D8072" t="s">
        <v>14</v>
      </c>
      <c r="E8072" t="s">
        <v>10920</v>
      </c>
    </row>
    <row r="8073" spans="1:6" x14ac:dyDescent="0.25">
      <c r="A8073" t="str">
        <f>"471602381760"</f>
        <v>471602381760</v>
      </c>
      <c r="B8073" t="s">
        <v>11072</v>
      </c>
      <c r="C8073" t="s">
        <v>7</v>
      </c>
      <c r="D8073" t="s">
        <v>12</v>
      </c>
      <c r="E8073" t="s">
        <v>10920</v>
      </c>
    </row>
    <row r="8074" spans="1:6" x14ac:dyDescent="0.25">
      <c r="A8074" t="str">
        <f>"4716034632"</f>
        <v>4716034632</v>
      </c>
      <c r="B8074" t="s">
        <v>11073</v>
      </c>
      <c r="C8074" t="s">
        <v>7</v>
      </c>
      <c r="D8074" t="s">
        <v>12</v>
      </c>
      <c r="E8074" t="s">
        <v>10920</v>
      </c>
      <c r="F8074" t="s">
        <v>11074</v>
      </c>
    </row>
    <row r="8075" spans="1:6" x14ac:dyDescent="0.25">
      <c r="A8075" t="str">
        <f>"471700048439"</f>
        <v>471700048439</v>
      </c>
      <c r="B8075" t="s">
        <v>11075</v>
      </c>
      <c r="C8075" t="s">
        <v>7</v>
      </c>
      <c r="D8075" t="s">
        <v>14</v>
      </c>
      <c r="E8075" t="s">
        <v>10920</v>
      </c>
    </row>
    <row r="8076" spans="1:6" x14ac:dyDescent="0.25">
      <c r="A8076" t="str">
        <f>"470204095905"</f>
        <v>470204095905</v>
      </c>
      <c r="B8076" t="s">
        <v>11076</v>
      </c>
      <c r="C8076" t="s">
        <v>7</v>
      </c>
      <c r="D8076" t="s">
        <v>14</v>
      </c>
      <c r="E8076" t="s">
        <v>10920</v>
      </c>
    </row>
    <row r="8077" spans="1:6" x14ac:dyDescent="0.25">
      <c r="A8077" t="str">
        <f>"4703047352"</f>
        <v>4703047352</v>
      </c>
      <c r="B8077" t="s">
        <v>11077</v>
      </c>
      <c r="C8077" t="s">
        <v>7</v>
      </c>
      <c r="D8077" t="s">
        <v>14</v>
      </c>
      <c r="E8077" t="s">
        <v>10920</v>
      </c>
      <c r="F8077" t="s">
        <v>11078</v>
      </c>
    </row>
    <row r="8078" spans="1:6" x14ac:dyDescent="0.25">
      <c r="A8078" t="str">
        <f>"470306918435"</f>
        <v>470306918435</v>
      </c>
      <c r="B8078" t="s">
        <v>11079</v>
      </c>
      <c r="C8078" t="s">
        <v>7</v>
      </c>
      <c r="D8078" t="s">
        <v>14</v>
      </c>
      <c r="E8078" t="s">
        <v>10920</v>
      </c>
    </row>
    <row r="8079" spans="1:6" x14ac:dyDescent="0.25">
      <c r="A8079" t="str">
        <f>"470311056298"</f>
        <v>470311056298</v>
      </c>
      <c r="B8079" t="s">
        <v>11080</v>
      </c>
      <c r="C8079" t="s">
        <v>7</v>
      </c>
      <c r="D8079" t="s">
        <v>14</v>
      </c>
      <c r="E8079" t="s">
        <v>10920</v>
      </c>
    </row>
    <row r="8080" spans="1:6" x14ac:dyDescent="0.25">
      <c r="A8080" t="str">
        <f>"4703133450"</f>
        <v>4703133450</v>
      </c>
      <c r="B8080" t="s">
        <v>11081</v>
      </c>
      <c r="C8080" t="s">
        <v>7</v>
      </c>
      <c r="D8080" t="s">
        <v>33</v>
      </c>
      <c r="E8080" t="s">
        <v>10920</v>
      </c>
      <c r="F8080" t="s">
        <v>11082</v>
      </c>
    </row>
    <row r="8081" spans="1:6" x14ac:dyDescent="0.25">
      <c r="A8081" t="str">
        <f>"470318918609"</f>
        <v>470318918609</v>
      </c>
      <c r="B8081" t="s">
        <v>11083</v>
      </c>
      <c r="C8081" t="s">
        <v>7</v>
      </c>
      <c r="D8081" t="s">
        <v>12</v>
      </c>
      <c r="E8081" t="s">
        <v>10920</v>
      </c>
    </row>
    <row r="8082" spans="1:6" x14ac:dyDescent="0.25">
      <c r="A8082" t="str">
        <f>"470400463778"</f>
        <v>470400463778</v>
      </c>
      <c r="B8082" t="s">
        <v>11084</v>
      </c>
      <c r="C8082" t="s">
        <v>7</v>
      </c>
      <c r="D8082" t="s">
        <v>12</v>
      </c>
      <c r="E8082" t="s">
        <v>10920</v>
      </c>
    </row>
    <row r="8083" spans="1:6" x14ac:dyDescent="0.25">
      <c r="A8083" t="str">
        <f>"4704099956"</f>
        <v>4704099956</v>
      </c>
      <c r="B8083" t="s">
        <v>11085</v>
      </c>
      <c r="C8083" t="s">
        <v>7</v>
      </c>
      <c r="D8083" t="s">
        <v>14</v>
      </c>
      <c r="E8083" t="s">
        <v>10920</v>
      </c>
      <c r="F8083" t="s">
        <v>11086</v>
      </c>
    </row>
    <row r="8084" spans="1:6" x14ac:dyDescent="0.25">
      <c r="A8084" t="str">
        <f>"4704111466"</f>
        <v>4704111466</v>
      </c>
      <c r="B8084" t="s">
        <v>11087</v>
      </c>
      <c r="C8084" t="s">
        <v>7</v>
      </c>
      <c r="D8084" t="s">
        <v>14</v>
      </c>
      <c r="E8084" t="s">
        <v>10920</v>
      </c>
      <c r="F8084" t="s">
        <v>11088</v>
      </c>
    </row>
    <row r="8085" spans="1:6" x14ac:dyDescent="0.25">
      <c r="A8085" t="str">
        <f>"470419184224"</f>
        <v>470419184224</v>
      </c>
      <c r="B8085" t="s">
        <v>11089</v>
      </c>
      <c r="C8085" t="s">
        <v>7</v>
      </c>
      <c r="D8085" t="s">
        <v>14</v>
      </c>
      <c r="E8085" t="s">
        <v>10920</v>
      </c>
    </row>
    <row r="8086" spans="1:6" x14ac:dyDescent="0.25">
      <c r="A8086" t="str">
        <f>"470500233866"</f>
        <v>470500233866</v>
      </c>
      <c r="B8086" t="s">
        <v>11090</v>
      </c>
      <c r="C8086" t="s">
        <v>7</v>
      </c>
      <c r="D8086" t="s">
        <v>14</v>
      </c>
      <c r="E8086" t="s">
        <v>10920</v>
      </c>
    </row>
    <row r="8087" spans="1:6" x14ac:dyDescent="0.25">
      <c r="A8087" t="str">
        <f>"470504635319"</f>
        <v>470504635319</v>
      </c>
      <c r="B8087" t="s">
        <v>11091</v>
      </c>
      <c r="C8087" t="s">
        <v>7</v>
      </c>
      <c r="D8087" t="s">
        <v>14</v>
      </c>
      <c r="E8087" t="s">
        <v>10920</v>
      </c>
    </row>
    <row r="8088" spans="1:6" x14ac:dyDescent="0.25">
      <c r="A8088" t="str">
        <f>"4705065364"</f>
        <v>4705065364</v>
      </c>
      <c r="B8088" t="s">
        <v>11092</v>
      </c>
      <c r="C8088" t="s">
        <v>7</v>
      </c>
      <c r="D8088" t="s">
        <v>14</v>
      </c>
      <c r="E8088" t="s">
        <v>10920</v>
      </c>
      <c r="F8088" t="s">
        <v>11093</v>
      </c>
    </row>
    <row r="8089" spans="1:6" x14ac:dyDescent="0.25">
      <c r="A8089" t="str">
        <f>"470506604806"</f>
        <v>470506604806</v>
      </c>
      <c r="B8089" t="s">
        <v>11094</v>
      </c>
      <c r="C8089" t="s">
        <v>7</v>
      </c>
      <c r="D8089" t="s">
        <v>14</v>
      </c>
      <c r="E8089" t="s">
        <v>10920</v>
      </c>
    </row>
    <row r="8090" spans="1:6" x14ac:dyDescent="0.25">
      <c r="A8090" t="str">
        <f>"470506781107"</f>
        <v>470506781107</v>
      </c>
      <c r="B8090" t="s">
        <v>11095</v>
      </c>
      <c r="C8090" t="s">
        <v>7</v>
      </c>
      <c r="D8090" t="s">
        <v>14</v>
      </c>
      <c r="E8090" t="s">
        <v>10920</v>
      </c>
    </row>
    <row r="8091" spans="1:6" x14ac:dyDescent="0.25">
      <c r="A8091" t="str">
        <f>"470517591228"</f>
        <v>470517591228</v>
      </c>
      <c r="B8091" t="s">
        <v>11096</v>
      </c>
      <c r="C8091" t="s">
        <v>7</v>
      </c>
      <c r="D8091" t="s">
        <v>14</v>
      </c>
      <c r="E8091" t="s">
        <v>10920</v>
      </c>
    </row>
    <row r="8092" spans="1:6" x14ac:dyDescent="0.25">
      <c r="A8092" t="str">
        <f>"4706054439"</f>
        <v>4706054439</v>
      </c>
      <c r="B8092" t="s">
        <v>11097</v>
      </c>
      <c r="C8092" t="s">
        <v>7</v>
      </c>
      <c r="D8092" t="s">
        <v>14</v>
      </c>
      <c r="E8092" t="s">
        <v>10920</v>
      </c>
      <c r="F8092" t="s">
        <v>11098</v>
      </c>
    </row>
    <row r="8093" spans="1:6" x14ac:dyDescent="0.25">
      <c r="A8093" t="str">
        <f>"470606787832"</f>
        <v>470606787832</v>
      </c>
      <c r="B8093" t="s">
        <v>11099</v>
      </c>
      <c r="C8093" t="s">
        <v>7</v>
      </c>
      <c r="D8093" t="s">
        <v>14</v>
      </c>
      <c r="E8093" t="s">
        <v>10920</v>
      </c>
    </row>
    <row r="8094" spans="1:6" x14ac:dyDescent="0.25">
      <c r="A8094" t="str">
        <f>"4706071177"</f>
        <v>4706071177</v>
      </c>
      <c r="B8094" t="s">
        <v>6099</v>
      </c>
      <c r="C8094" t="s">
        <v>7</v>
      </c>
      <c r="D8094" t="s">
        <v>12</v>
      </c>
      <c r="E8094" t="s">
        <v>10920</v>
      </c>
      <c r="F8094" t="s">
        <v>11100</v>
      </c>
    </row>
    <row r="8095" spans="1:6" x14ac:dyDescent="0.25">
      <c r="A8095" t="str">
        <f>"4706079948"</f>
        <v>4706079948</v>
      </c>
      <c r="B8095" t="s">
        <v>11101</v>
      </c>
      <c r="C8095" t="s">
        <v>7</v>
      </c>
      <c r="D8095" t="s">
        <v>14</v>
      </c>
      <c r="E8095" t="s">
        <v>10920</v>
      </c>
      <c r="F8095" t="s">
        <v>11102</v>
      </c>
    </row>
    <row r="8096" spans="1:6" x14ac:dyDescent="0.25">
      <c r="A8096" t="str">
        <f>"4706082066"</f>
        <v>4706082066</v>
      </c>
      <c r="B8096" t="s">
        <v>11103</v>
      </c>
      <c r="C8096" t="s">
        <v>7</v>
      </c>
      <c r="D8096" t="s">
        <v>33</v>
      </c>
      <c r="E8096" t="s">
        <v>10920</v>
      </c>
      <c r="F8096" t="s">
        <v>11104</v>
      </c>
    </row>
    <row r="8097" spans="1:6" x14ac:dyDescent="0.25">
      <c r="A8097" t="str">
        <f>"4707035580"</f>
        <v>4707035580</v>
      </c>
      <c r="B8097" t="s">
        <v>11105</v>
      </c>
      <c r="C8097" t="s">
        <v>7</v>
      </c>
      <c r="D8097" t="s">
        <v>12</v>
      </c>
      <c r="E8097" t="s">
        <v>10920</v>
      </c>
      <c r="F8097" t="s">
        <v>11106</v>
      </c>
    </row>
    <row r="8098" spans="1:6" x14ac:dyDescent="0.25">
      <c r="A8098" t="str">
        <f>"470704068459"</f>
        <v>470704068459</v>
      </c>
      <c r="B8098" t="s">
        <v>11107</v>
      </c>
      <c r="C8098" t="s">
        <v>7</v>
      </c>
      <c r="D8098" t="s">
        <v>14</v>
      </c>
      <c r="E8098" t="s">
        <v>10920</v>
      </c>
    </row>
    <row r="8099" spans="1:6" x14ac:dyDescent="0.25">
      <c r="A8099" t="str">
        <f>"4707045490"</f>
        <v>4707045490</v>
      </c>
      <c r="B8099" t="s">
        <v>11108</v>
      </c>
      <c r="C8099" t="s">
        <v>7</v>
      </c>
      <c r="D8099" t="s">
        <v>28</v>
      </c>
      <c r="E8099" t="s">
        <v>10920</v>
      </c>
      <c r="F8099" t="s">
        <v>11109</v>
      </c>
    </row>
    <row r="8100" spans="1:6" x14ac:dyDescent="0.25">
      <c r="A8100" t="str">
        <f>"470706410910"</f>
        <v>470706410910</v>
      </c>
      <c r="B8100" t="s">
        <v>11110</v>
      </c>
      <c r="C8100" t="s">
        <v>7</v>
      </c>
      <c r="D8100" t="s">
        <v>14</v>
      </c>
      <c r="E8100" t="s">
        <v>10920</v>
      </c>
    </row>
    <row r="8101" spans="1:6" x14ac:dyDescent="0.25">
      <c r="A8101" t="str">
        <f>"470710463841"</f>
        <v>470710463841</v>
      </c>
      <c r="B8101" t="s">
        <v>11111</v>
      </c>
      <c r="C8101" t="s">
        <v>7</v>
      </c>
      <c r="D8101" t="s">
        <v>14</v>
      </c>
      <c r="E8101" t="s">
        <v>10920</v>
      </c>
    </row>
    <row r="8102" spans="1:6" x14ac:dyDescent="0.25">
      <c r="A8102" t="str">
        <f>"470800035632"</f>
        <v>470800035632</v>
      </c>
      <c r="B8102" t="s">
        <v>11112</v>
      </c>
      <c r="C8102" t="s">
        <v>7</v>
      </c>
      <c r="D8102" t="s">
        <v>14</v>
      </c>
      <c r="E8102" t="s">
        <v>10920</v>
      </c>
    </row>
    <row r="8103" spans="1:6" x14ac:dyDescent="0.25">
      <c r="A8103" t="str">
        <f>"470800114122"</f>
        <v>470800114122</v>
      </c>
      <c r="B8103" t="s">
        <v>11113</v>
      </c>
      <c r="C8103" t="s">
        <v>7</v>
      </c>
      <c r="D8103" t="s">
        <v>14</v>
      </c>
      <c r="E8103" t="s">
        <v>10920</v>
      </c>
    </row>
    <row r="8104" spans="1:6" x14ac:dyDescent="0.25">
      <c r="A8104" t="str">
        <f>"470800587249"</f>
        <v>470800587249</v>
      </c>
      <c r="B8104" t="s">
        <v>11114</v>
      </c>
      <c r="C8104" t="s">
        <v>7</v>
      </c>
      <c r="D8104" t="s">
        <v>14</v>
      </c>
      <c r="E8104" t="s">
        <v>10920</v>
      </c>
    </row>
    <row r="8105" spans="1:6" x14ac:dyDescent="0.25">
      <c r="A8105" t="str">
        <f>"4708006208"</f>
        <v>4708006208</v>
      </c>
      <c r="B8105" t="s">
        <v>11115</v>
      </c>
      <c r="C8105" t="s">
        <v>7</v>
      </c>
      <c r="D8105" t="s">
        <v>14</v>
      </c>
      <c r="E8105" t="s">
        <v>10920</v>
      </c>
      <c r="F8105" t="s">
        <v>11116</v>
      </c>
    </row>
    <row r="8106" spans="1:6" x14ac:dyDescent="0.25">
      <c r="A8106" t="str">
        <f>"470804438537"</f>
        <v>470804438537</v>
      </c>
      <c r="B8106" t="s">
        <v>11117</v>
      </c>
      <c r="C8106" t="s">
        <v>7</v>
      </c>
      <c r="D8106" t="s">
        <v>14</v>
      </c>
      <c r="E8106" t="s">
        <v>10920</v>
      </c>
    </row>
    <row r="8107" spans="1:6" x14ac:dyDescent="0.25">
      <c r="A8107" t="str">
        <f>"470804908214"</f>
        <v>470804908214</v>
      </c>
      <c r="B8107" t="s">
        <v>11118</v>
      </c>
      <c r="C8107" t="s">
        <v>7</v>
      </c>
      <c r="D8107" t="s">
        <v>14</v>
      </c>
      <c r="E8107" t="s">
        <v>10920</v>
      </c>
    </row>
    <row r="8108" spans="1:6" x14ac:dyDescent="0.25">
      <c r="A8108" t="str">
        <f>"470900880836"</f>
        <v>470900880836</v>
      </c>
      <c r="B8108" t="s">
        <v>11119</v>
      </c>
      <c r="C8108" t="s">
        <v>7</v>
      </c>
      <c r="D8108" t="s">
        <v>14</v>
      </c>
      <c r="E8108" t="s">
        <v>10920</v>
      </c>
    </row>
    <row r="8109" spans="1:6" x14ac:dyDescent="0.25">
      <c r="A8109" t="str">
        <f>"471000668074"</f>
        <v>471000668074</v>
      </c>
      <c r="B8109" t="s">
        <v>11120</v>
      </c>
      <c r="C8109" t="s">
        <v>7</v>
      </c>
      <c r="D8109" t="s">
        <v>14</v>
      </c>
      <c r="E8109" t="s">
        <v>10920</v>
      </c>
    </row>
    <row r="8110" spans="1:6" x14ac:dyDescent="0.25">
      <c r="A8110" t="str">
        <f>"471002428053"</f>
        <v>471002428053</v>
      </c>
      <c r="B8110" t="s">
        <v>11121</v>
      </c>
      <c r="C8110" t="s">
        <v>7</v>
      </c>
      <c r="D8110" t="s">
        <v>14</v>
      </c>
      <c r="E8110" t="s">
        <v>10920</v>
      </c>
    </row>
    <row r="8111" spans="1:6" x14ac:dyDescent="0.25">
      <c r="A8111" t="str">
        <f>"471003202997"</f>
        <v>471003202997</v>
      </c>
      <c r="B8111" t="s">
        <v>11122</v>
      </c>
      <c r="C8111" t="s">
        <v>7</v>
      </c>
      <c r="D8111" t="s">
        <v>14</v>
      </c>
      <c r="E8111" t="s">
        <v>10920</v>
      </c>
    </row>
    <row r="8112" spans="1:6" x14ac:dyDescent="0.25">
      <c r="A8112" t="str">
        <f>"471004432440"</f>
        <v>471004432440</v>
      </c>
      <c r="B8112" t="s">
        <v>11123</v>
      </c>
      <c r="C8112" t="s">
        <v>7</v>
      </c>
      <c r="D8112" t="s">
        <v>14</v>
      </c>
      <c r="E8112" t="s">
        <v>10920</v>
      </c>
    </row>
    <row r="8113" spans="1:6" x14ac:dyDescent="0.25">
      <c r="A8113" t="str">
        <f>"471006703039"</f>
        <v>471006703039</v>
      </c>
      <c r="B8113" t="s">
        <v>11124</v>
      </c>
      <c r="C8113" t="s">
        <v>7</v>
      </c>
      <c r="D8113" t="s">
        <v>14</v>
      </c>
      <c r="E8113" t="s">
        <v>10920</v>
      </c>
    </row>
    <row r="8114" spans="1:6" x14ac:dyDescent="0.25">
      <c r="A8114" t="str">
        <f>"471007604055"</f>
        <v>471007604055</v>
      </c>
      <c r="B8114" t="s">
        <v>11125</v>
      </c>
      <c r="C8114" t="s">
        <v>7</v>
      </c>
      <c r="D8114" t="s">
        <v>14</v>
      </c>
      <c r="E8114" t="s">
        <v>10920</v>
      </c>
    </row>
    <row r="8115" spans="1:6" x14ac:dyDescent="0.25">
      <c r="A8115" t="str">
        <f>"471205212902"</f>
        <v>471205212902</v>
      </c>
      <c r="B8115" t="s">
        <v>11126</v>
      </c>
      <c r="C8115" t="s">
        <v>7</v>
      </c>
      <c r="D8115" t="s">
        <v>14</v>
      </c>
      <c r="E8115" t="s">
        <v>10920</v>
      </c>
    </row>
    <row r="8116" spans="1:6" x14ac:dyDescent="0.25">
      <c r="A8116" t="str">
        <f>"471300022228"</f>
        <v>471300022228</v>
      </c>
      <c r="B8116" t="s">
        <v>11127</v>
      </c>
      <c r="C8116" t="s">
        <v>7</v>
      </c>
      <c r="D8116" t="s">
        <v>14</v>
      </c>
      <c r="E8116" t="s">
        <v>10920</v>
      </c>
    </row>
    <row r="8117" spans="1:6" x14ac:dyDescent="0.25">
      <c r="A8117" t="str">
        <f>"471303596171"</f>
        <v>471303596171</v>
      </c>
      <c r="B8117" t="s">
        <v>11128</v>
      </c>
      <c r="C8117" t="s">
        <v>7</v>
      </c>
      <c r="D8117" t="s">
        <v>14</v>
      </c>
      <c r="E8117" t="s">
        <v>10920</v>
      </c>
    </row>
    <row r="8118" spans="1:6" x14ac:dyDescent="0.25">
      <c r="A8118" t="str">
        <f>"471305057094"</f>
        <v>471305057094</v>
      </c>
      <c r="B8118" t="s">
        <v>11129</v>
      </c>
      <c r="C8118" t="s">
        <v>7</v>
      </c>
      <c r="D8118" t="s">
        <v>14</v>
      </c>
      <c r="E8118" t="s">
        <v>10920</v>
      </c>
    </row>
    <row r="8119" spans="1:6" x14ac:dyDescent="0.25">
      <c r="A8119" t="str">
        <f>"471503077053"</f>
        <v>471503077053</v>
      </c>
      <c r="B8119" t="s">
        <v>11130</v>
      </c>
      <c r="C8119" t="s">
        <v>7</v>
      </c>
      <c r="D8119" t="s">
        <v>12</v>
      </c>
      <c r="E8119" t="s">
        <v>10920</v>
      </c>
    </row>
    <row r="8120" spans="1:6" x14ac:dyDescent="0.25">
      <c r="A8120" t="str">
        <f>"471504648422"</f>
        <v>471504648422</v>
      </c>
      <c r="B8120" t="s">
        <v>11131</v>
      </c>
      <c r="C8120" t="s">
        <v>7</v>
      </c>
      <c r="D8120" t="s">
        <v>14</v>
      </c>
      <c r="E8120" t="s">
        <v>10920</v>
      </c>
    </row>
    <row r="8121" spans="1:6" x14ac:dyDescent="0.25">
      <c r="A8121" t="str">
        <f>"4716030451"</f>
        <v>4716030451</v>
      </c>
      <c r="B8121" t="s">
        <v>11132</v>
      </c>
      <c r="C8121" t="s">
        <v>7</v>
      </c>
      <c r="D8121" t="s">
        <v>98</v>
      </c>
      <c r="E8121" t="s">
        <v>10920</v>
      </c>
      <c r="F8121" t="s">
        <v>11133</v>
      </c>
    </row>
    <row r="8122" spans="1:6" x14ac:dyDescent="0.25">
      <c r="A8122" t="str">
        <f>"4716040379"</f>
        <v>4716040379</v>
      </c>
      <c r="B8122" t="s">
        <v>11134</v>
      </c>
      <c r="C8122" t="s">
        <v>7</v>
      </c>
      <c r="D8122" t="s">
        <v>12</v>
      </c>
      <c r="E8122" t="s">
        <v>10920</v>
      </c>
      <c r="F8122" t="s">
        <v>11135</v>
      </c>
    </row>
    <row r="8123" spans="1:6" x14ac:dyDescent="0.25">
      <c r="A8123" t="str">
        <f>"471604730504"</f>
        <v>471604730504</v>
      </c>
      <c r="B8123" t="s">
        <v>11136</v>
      </c>
      <c r="C8123" t="s">
        <v>7</v>
      </c>
      <c r="D8123" t="s">
        <v>14</v>
      </c>
      <c r="E8123" t="s">
        <v>10920</v>
      </c>
    </row>
    <row r="8124" spans="1:6" x14ac:dyDescent="0.25">
      <c r="A8124" t="str">
        <f>"471605923467"</f>
        <v>471605923467</v>
      </c>
      <c r="B8124" t="s">
        <v>11137</v>
      </c>
      <c r="C8124" t="s">
        <v>7</v>
      </c>
      <c r="D8124" t="s">
        <v>14</v>
      </c>
      <c r="E8124" t="s">
        <v>10920</v>
      </c>
    </row>
    <row r="8125" spans="1:6" x14ac:dyDescent="0.25">
      <c r="A8125" t="str">
        <f>"471704333525"</f>
        <v>471704333525</v>
      </c>
      <c r="B8125" t="s">
        <v>11138</v>
      </c>
      <c r="C8125" t="s">
        <v>7</v>
      </c>
      <c r="D8125" t="s">
        <v>14</v>
      </c>
      <c r="E8125" t="s">
        <v>10920</v>
      </c>
    </row>
    <row r="8126" spans="1:6" x14ac:dyDescent="0.25">
      <c r="A8126" t="str">
        <f>"471704573929"</f>
        <v>471704573929</v>
      </c>
      <c r="B8126" t="s">
        <v>11139</v>
      </c>
      <c r="C8126" t="s">
        <v>7</v>
      </c>
      <c r="D8126" t="s">
        <v>14</v>
      </c>
      <c r="E8126" t="s">
        <v>10920</v>
      </c>
    </row>
    <row r="8127" spans="1:6" x14ac:dyDescent="0.25">
      <c r="A8127" t="str">
        <f>"471802195344"</f>
        <v>471802195344</v>
      </c>
      <c r="B8127" t="s">
        <v>11140</v>
      </c>
      <c r="C8127" t="s">
        <v>7</v>
      </c>
      <c r="D8127" t="s">
        <v>14</v>
      </c>
      <c r="E8127" t="s">
        <v>10920</v>
      </c>
    </row>
    <row r="8128" spans="1:6" x14ac:dyDescent="0.25">
      <c r="A8128" t="str">
        <f>"471803332762"</f>
        <v>471803332762</v>
      </c>
      <c r="B8128" t="s">
        <v>11141</v>
      </c>
      <c r="C8128" t="s">
        <v>7</v>
      </c>
      <c r="D8128" t="s">
        <v>12</v>
      </c>
      <c r="E8128" t="s">
        <v>10920</v>
      </c>
    </row>
    <row r="8129" spans="1:6" x14ac:dyDescent="0.25">
      <c r="A8129" t="str">
        <f>"471804350845"</f>
        <v>471804350845</v>
      </c>
      <c r="B8129" t="s">
        <v>11142</v>
      </c>
      <c r="C8129" t="s">
        <v>7</v>
      </c>
      <c r="D8129" t="s">
        <v>14</v>
      </c>
      <c r="E8129" t="s">
        <v>10920</v>
      </c>
    </row>
    <row r="8130" spans="1:6" x14ac:dyDescent="0.25">
      <c r="A8130" t="str">
        <f>"780263745211"</f>
        <v>780263745211</v>
      </c>
      <c r="B8130" t="s">
        <v>11143</v>
      </c>
      <c r="C8130" t="s">
        <v>7</v>
      </c>
      <c r="D8130" t="s">
        <v>14</v>
      </c>
      <c r="E8130" t="s">
        <v>10920</v>
      </c>
    </row>
    <row r="8131" spans="1:6" x14ac:dyDescent="0.25">
      <c r="A8131" t="str">
        <f>"7804061246"</f>
        <v>7804061246</v>
      </c>
      <c r="B8131" t="s">
        <v>11144</v>
      </c>
      <c r="C8131" t="s">
        <v>7</v>
      </c>
      <c r="D8131" t="s">
        <v>189</v>
      </c>
      <c r="E8131" t="s">
        <v>10920</v>
      </c>
      <c r="F8131" t="s">
        <v>11145</v>
      </c>
    </row>
    <row r="8132" spans="1:6" x14ac:dyDescent="0.25">
      <c r="A8132" t="str">
        <f>"780431224823"</f>
        <v>780431224823</v>
      </c>
      <c r="B8132" t="s">
        <v>11146</v>
      </c>
      <c r="C8132" t="s">
        <v>7</v>
      </c>
      <c r="D8132" t="s">
        <v>14</v>
      </c>
      <c r="E8132" t="s">
        <v>10920</v>
      </c>
    </row>
    <row r="8133" spans="1:6" x14ac:dyDescent="0.25">
      <c r="A8133" t="str">
        <f>"234909126041"</f>
        <v>234909126041</v>
      </c>
      <c r="B8133" t="s">
        <v>11147</v>
      </c>
      <c r="C8133" t="s">
        <v>7</v>
      </c>
      <c r="D8133" t="s">
        <v>14</v>
      </c>
      <c r="E8133" t="s">
        <v>10920</v>
      </c>
    </row>
    <row r="8134" spans="1:6" x14ac:dyDescent="0.25">
      <c r="A8134" t="str">
        <f>"740420206104"</f>
        <v>740420206104</v>
      </c>
      <c r="B8134" t="s">
        <v>11148</v>
      </c>
      <c r="C8134" t="s">
        <v>7</v>
      </c>
      <c r="D8134" t="s">
        <v>12</v>
      </c>
      <c r="E8134" t="s">
        <v>10920</v>
      </c>
    </row>
    <row r="8135" spans="1:6" x14ac:dyDescent="0.25">
      <c r="A8135" t="str">
        <f>"742002139535"</f>
        <v>742002139535</v>
      </c>
      <c r="B8135" t="s">
        <v>11149</v>
      </c>
      <c r="C8135" t="s">
        <v>7</v>
      </c>
      <c r="D8135" t="s">
        <v>12</v>
      </c>
      <c r="E8135" t="s">
        <v>10920</v>
      </c>
    </row>
    <row r="8136" spans="1:6" x14ac:dyDescent="0.25">
      <c r="A8136" t="str">
        <f>"472000640176"</f>
        <v>472000640176</v>
      </c>
      <c r="B8136" t="s">
        <v>11150</v>
      </c>
      <c r="C8136" t="s">
        <v>7</v>
      </c>
      <c r="D8136" t="s">
        <v>14</v>
      </c>
      <c r="E8136" t="s">
        <v>10920</v>
      </c>
    </row>
    <row r="8137" spans="1:6" x14ac:dyDescent="0.25">
      <c r="A8137" t="str">
        <f>"472003018140"</f>
        <v>472003018140</v>
      </c>
      <c r="B8137" t="s">
        <v>11151</v>
      </c>
      <c r="C8137" t="s">
        <v>7</v>
      </c>
      <c r="D8137" t="s">
        <v>12</v>
      </c>
      <c r="E8137" t="s">
        <v>10920</v>
      </c>
    </row>
    <row r="8138" spans="1:6" x14ac:dyDescent="0.25">
      <c r="A8138" t="str">
        <f>"4721004305"</f>
        <v>4721004305</v>
      </c>
      <c r="B8138" t="s">
        <v>11152</v>
      </c>
      <c r="C8138" t="s">
        <v>7</v>
      </c>
      <c r="D8138" t="s">
        <v>14</v>
      </c>
      <c r="E8138" t="s">
        <v>10920</v>
      </c>
      <c r="F8138" t="s">
        <v>11153</v>
      </c>
    </row>
    <row r="8139" spans="1:6" x14ac:dyDescent="0.25">
      <c r="A8139" t="str">
        <f>"4722002692"</f>
        <v>4722002692</v>
      </c>
      <c r="B8139" t="s">
        <v>11154</v>
      </c>
      <c r="C8139" t="s">
        <v>7</v>
      </c>
      <c r="D8139" t="s">
        <v>14</v>
      </c>
      <c r="E8139" t="s">
        <v>10920</v>
      </c>
      <c r="F8139" t="s">
        <v>11155</v>
      </c>
    </row>
    <row r="8140" spans="1:6" x14ac:dyDescent="0.25">
      <c r="A8140" t="str">
        <f>"780628832280"</f>
        <v>780628832280</v>
      </c>
      <c r="B8140" t="s">
        <v>11156</v>
      </c>
      <c r="C8140" t="s">
        <v>7</v>
      </c>
      <c r="D8140" t="s">
        <v>12</v>
      </c>
      <c r="E8140" t="s">
        <v>10920</v>
      </c>
    </row>
    <row r="8141" spans="1:6" x14ac:dyDescent="0.25">
      <c r="A8141" t="str">
        <f>"781021160504"</f>
        <v>781021160504</v>
      </c>
      <c r="B8141" t="s">
        <v>11157</v>
      </c>
      <c r="C8141" t="s">
        <v>7</v>
      </c>
      <c r="D8141" t="s">
        <v>12</v>
      </c>
      <c r="E8141" t="s">
        <v>10920</v>
      </c>
    </row>
    <row r="8142" spans="1:6" x14ac:dyDescent="0.25">
      <c r="A8142" t="str">
        <f>"781308534328"</f>
        <v>781308534328</v>
      </c>
      <c r="B8142" t="s">
        <v>11158</v>
      </c>
      <c r="C8142" t="s">
        <v>7</v>
      </c>
      <c r="D8142" t="s">
        <v>12</v>
      </c>
      <c r="E8142" t="s">
        <v>10920</v>
      </c>
    </row>
    <row r="8143" spans="1:6" x14ac:dyDescent="0.25">
      <c r="A8143" t="str">
        <f>"472003439733"</f>
        <v>472003439733</v>
      </c>
      <c r="B8143" t="s">
        <v>11159</v>
      </c>
      <c r="C8143" t="s">
        <v>7</v>
      </c>
      <c r="D8143" t="s">
        <v>14</v>
      </c>
      <c r="E8143" t="s">
        <v>10920</v>
      </c>
    </row>
    <row r="8144" spans="1:6" x14ac:dyDescent="0.25">
      <c r="A8144" t="str">
        <f>"4725485039"</f>
        <v>4725485039</v>
      </c>
      <c r="B8144" t="s">
        <v>11160</v>
      </c>
      <c r="C8144" t="s">
        <v>7</v>
      </c>
      <c r="D8144" t="s">
        <v>1430</v>
      </c>
      <c r="E8144" t="s">
        <v>10920</v>
      </c>
      <c r="F8144" t="s">
        <v>11161</v>
      </c>
    </row>
    <row r="8145" spans="1:6" x14ac:dyDescent="0.25">
      <c r="A8145" t="str">
        <f>"4727005577"</f>
        <v>4727005577</v>
      </c>
      <c r="B8145" t="s">
        <v>11162</v>
      </c>
      <c r="C8145" t="s">
        <v>7</v>
      </c>
      <c r="D8145" t="s">
        <v>14</v>
      </c>
      <c r="E8145" t="s">
        <v>10920</v>
      </c>
      <c r="F8145" t="s">
        <v>11163</v>
      </c>
    </row>
    <row r="8146" spans="1:6" x14ac:dyDescent="0.25">
      <c r="A8146" t="str">
        <f>"472700611156"</f>
        <v>472700611156</v>
      </c>
      <c r="B8146" t="s">
        <v>11164</v>
      </c>
      <c r="C8146" t="s">
        <v>7</v>
      </c>
      <c r="D8146" t="s">
        <v>14</v>
      </c>
      <c r="E8146" t="s">
        <v>10920</v>
      </c>
    </row>
    <row r="8147" spans="1:6" x14ac:dyDescent="0.25">
      <c r="A8147" t="str">
        <f>"7810843185"</f>
        <v>7810843185</v>
      </c>
      <c r="B8147" t="s">
        <v>11165</v>
      </c>
      <c r="C8147" t="s">
        <v>7</v>
      </c>
      <c r="D8147" t="s">
        <v>33</v>
      </c>
      <c r="E8147" t="s">
        <v>10920</v>
      </c>
      <c r="F8147" t="s">
        <v>11166</v>
      </c>
    </row>
    <row r="8148" spans="1:6" x14ac:dyDescent="0.25">
      <c r="A8148" t="str">
        <f>"7811126600"</f>
        <v>7811126600</v>
      </c>
      <c r="B8148" t="s">
        <v>3750</v>
      </c>
      <c r="C8148" t="s">
        <v>7</v>
      </c>
      <c r="D8148" t="s">
        <v>33</v>
      </c>
      <c r="E8148" t="s">
        <v>10920</v>
      </c>
      <c r="F8148" t="s">
        <v>11167</v>
      </c>
    </row>
    <row r="8149" spans="1:6" x14ac:dyDescent="0.25">
      <c r="A8149" t="str">
        <f>"781132899530"</f>
        <v>781132899530</v>
      </c>
      <c r="B8149" t="s">
        <v>11168</v>
      </c>
      <c r="C8149" t="s">
        <v>7</v>
      </c>
      <c r="D8149" t="s">
        <v>14</v>
      </c>
      <c r="E8149" t="s">
        <v>10920</v>
      </c>
    </row>
    <row r="8150" spans="1:6" x14ac:dyDescent="0.25">
      <c r="A8150" t="str">
        <f>"7811673680"</f>
        <v>7811673680</v>
      </c>
      <c r="B8150" t="s">
        <v>11169</v>
      </c>
      <c r="C8150" t="s">
        <v>7</v>
      </c>
      <c r="D8150" t="s">
        <v>98</v>
      </c>
      <c r="E8150" t="s">
        <v>10920</v>
      </c>
      <c r="F8150" t="s">
        <v>11170</v>
      </c>
    </row>
    <row r="8151" spans="1:6" x14ac:dyDescent="0.25">
      <c r="A8151" t="str">
        <f>"781303102740"</f>
        <v>781303102740</v>
      </c>
      <c r="B8151" t="s">
        <v>11171</v>
      </c>
      <c r="C8151" t="s">
        <v>7</v>
      </c>
      <c r="D8151" t="s">
        <v>14</v>
      </c>
      <c r="E8151" t="s">
        <v>10920</v>
      </c>
    </row>
    <row r="8152" spans="1:6" x14ac:dyDescent="0.25">
      <c r="A8152" t="str">
        <f>"471910499269"</f>
        <v>471910499269</v>
      </c>
      <c r="B8152" t="s">
        <v>11172</v>
      </c>
      <c r="C8152" t="s">
        <v>7</v>
      </c>
      <c r="D8152" t="s">
        <v>12</v>
      </c>
      <c r="E8152" t="s">
        <v>10920</v>
      </c>
    </row>
    <row r="8153" spans="1:6" x14ac:dyDescent="0.25">
      <c r="A8153" t="str">
        <f>"4720025038"</f>
        <v>4720025038</v>
      </c>
      <c r="B8153" t="s">
        <v>11173</v>
      </c>
      <c r="C8153" t="s">
        <v>7</v>
      </c>
      <c r="D8153" t="s">
        <v>33</v>
      </c>
      <c r="E8153" t="s">
        <v>10920</v>
      </c>
      <c r="F8153" t="s">
        <v>11174</v>
      </c>
    </row>
    <row r="8154" spans="1:6" x14ac:dyDescent="0.25">
      <c r="A8154" t="str">
        <f>"472201448708"</f>
        <v>472201448708</v>
      </c>
      <c r="B8154" t="s">
        <v>11175</v>
      </c>
      <c r="C8154" t="s">
        <v>7</v>
      </c>
      <c r="D8154" t="s">
        <v>14</v>
      </c>
      <c r="E8154" t="s">
        <v>10920</v>
      </c>
    </row>
    <row r="8155" spans="1:6" x14ac:dyDescent="0.25">
      <c r="A8155" t="str">
        <f>"4725008974"</f>
        <v>4725008974</v>
      </c>
      <c r="B8155" t="s">
        <v>11176</v>
      </c>
      <c r="C8155" t="s">
        <v>7</v>
      </c>
      <c r="D8155" t="s">
        <v>12</v>
      </c>
      <c r="E8155" t="s">
        <v>10920</v>
      </c>
      <c r="F8155" t="s">
        <v>11177</v>
      </c>
    </row>
    <row r="8156" spans="1:6" x14ac:dyDescent="0.25">
      <c r="A8156" t="str">
        <f>"4727014758"</f>
        <v>4727014758</v>
      </c>
      <c r="B8156" t="s">
        <v>11178</v>
      </c>
      <c r="C8156" t="s">
        <v>7</v>
      </c>
      <c r="D8156" t="s">
        <v>33</v>
      </c>
      <c r="E8156" t="s">
        <v>10920</v>
      </c>
      <c r="F8156" t="s">
        <v>11179</v>
      </c>
    </row>
    <row r="8157" spans="1:6" x14ac:dyDescent="0.25">
      <c r="A8157" t="str">
        <f>"101201363520"</f>
        <v>101201363520</v>
      </c>
      <c r="B8157" t="s">
        <v>11180</v>
      </c>
      <c r="C8157" t="s">
        <v>7</v>
      </c>
      <c r="D8157" t="s">
        <v>14</v>
      </c>
      <c r="E8157" t="s">
        <v>10920</v>
      </c>
    </row>
    <row r="8158" spans="1:6" x14ac:dyDescent="0.25">
      <c r="A8158" t="str">
        <f>"110301787831"</f>
        <v>110301787831</v>
      </c>
      <c r="B8158" t="s">
        <v>11181</v>
      </c>
      <c r="C8158" t="s">
        <v>7</v>
      </c>
      <c r="D8158" t="s">
        <v>12</v>
      </c>
      <c r="E8158" t="s">
        <v>10920</v>
      </c>
    </row>
    <row r="8159" spans="1:6" x14ac:dyDescent="0.25">
      <c r="A8159" t="str">
        <f>"263401380704"</f>
        <v>263401380704</v>
      </c>
      <c r="B8159" t="s">
        <v>11182</v>
      </c>
      <c r="C8159" t="s">
        <v>7</v>
      </c>
      <c r="D8159" t="s">
        <v>14</v>
      </c>
      <c r="E8159" t="s">
        <v>10920</v>
      </c>
    </row>
    <row r="8160" spans="1:6" x14ac:dyDescent="0.25">
      <c r="A8160" t="str">
        <f>"7813382729"</f>
        <v>7813382729</v>
      </c>
      <c r="B8160" t="s">
        <v>11183</v>
      </c>
      <c r="C8160" t="s">
        <v>7</v>
      </c>
      <c r="D8160" t="s">
        <v>12</v>
      </c>
      <c r="E8160" t="s">
        <v>10920</v>
      </c>
      <c r="F8160" t="s">
        <v>11184</v>
      </c>
    </row>
    <row r="8161" spans="1:6" x14ac:dyDescent="0.25">
      <c r="A8161" t="str">
        <f>"7813665903"</f>
        <v>7813665903</v>
      </c>
      <c r="B8161" t="s">
        <v>11185</v>
      </c>
      <c r="C8161" t="s">
        <v>7</v>
      </c>
      <c r="D8161" t="s">
        <v>14</v>
      </c>
      <c r="E8161" t="s">
        <v>10920</v>
      </c>
      <c r="F8161" t="s">
        <v>11186</v>
      </c>
    </row>
    <row r="8162" spans="1:6" x14ac:dyDescent="0.25">
      <c r="A8162" t="str">
        <f>"7816019175"</f>
        <v>7816019175</v>
      </c>
      <c r="B8162" t="s">
        <v>11187</v>
      </c>
      <c r="C8162" t="s">
        <v>7</v>
      </c>
      <c r="D8162" t="s">
        <v>14</v>
      </c>
      <c r="E8162" t="s">
        <v>10920</v>
      </c>
      <c r="F8162" t="s">
        <v>11188</v>
      </c>
    </row>
    <row r="8163" spans="1:6" x14ac:dyDescent="0.25">
      <c r="A8163" t="str">
        <f>"7817065978"</f>
        <v>7817065978</v>
      </c>
      <c r="B8163" t="s">
        <v>11189</v>
      </c>
      <c r="C8163" t="s">
        <v>7</v>
      </c>
      <c r="D8163" t="s">
        <v>33</v>
      </c>
      <c r="E8163" t="s">
        <v>10920</v>
      </c>
      <c r="F8163" t="s">
        <v>11190</v>
      </c>
    </row>
    <row r="8164" spans="1:6" x14ac:dyDescent="0.25">
      <c r="A8164" t="str">
        <f>"782095360002"</f>
        <v>782095360002</v>
      </c>
      <c r="B8164" t="s">
        <v>11191</v>
      </c>
      <c r="C8164" t="s">
        <v>7</v>
      </c>
      <c r="D8164" t="s">
        <v>14</v>
      </c>
      <c r="E8164" t="s">
        <v>10920</v>
      </c>
    </row>
    <row r="8165" spans="1:6" x14ac:dyDescent="0.25">
      <c r="A8165" t="str">
        <f>"781427523974"</f>
        <v>781427523974</v>
      </c>
      <c r="B8165" t="s">
        <v>11192</v>
      </c>
      <c r="C8165" t="s">
        <v>7</v>
      </c>
      <c r="D8165" t="s">
        <v>14</v>
      </c>
      <c r="E8165" t="s">
        <v>10920</v>
      </c>
    </row>
    <row r="8166" spans="1:6" x14ac:dyDescent="0.25">
      <c r="A8166" t="str">
        <f>"781709053100"</f>
        <v>781709053100</v>
      </c>
      <c r="B8166" t="s">
        <v>11193</v>
      </c>
      <c r="C8166" t="s">
        <v>7</v>
      </c>
      <c r="D8166" t="s">
        <v>12</v>
      </c>
      <c r="E8166" t="s">
        <v>10920</v>
      </c>
    </row>
    <row r="8167" spans="1:6" x14ac:dyDescent="0.25">
      <c r="A8167" t="str">
        <f>"650100968202"</f>
        <v>650100968202</v>
      </c>
      <c r="B8167" t="s">
        <v>11194</v>
      </c>
      <c r="C8167" t="s">
        <v>7</v>
      </c>
      <c r="D8167" t="s">
        <v>33</v>
      </c>
      <c r="E8167" t="s">
        <v>10920</v>
      </c>
    </row>
    <row r="8168" spans="1:6" x14ac:dyDescent="0.25">
      <c r="A8168" t="str">
        <f>"280100013144"</f>
        <v>280100013144</v>
      </c>
      <c r="B8168" t="s">
        <v>11195</v>
      </c>
      <c r="C8168" t="s">
        <v>7</v>
      </c>
      <c r="D8168" t="s">
        <v>12</v>
      </c>
      <c r="E8168" t="s">
        <v>10920</v>
      </c>
    </row>
    <row r="8169" spans="1:6" x14ac:dyDescent="0.25">
      <c r="A8169" t="str">
        <f>"784201593140"</f>
        <v>784201593140</v>
      </c>
      <c r="B8169" t="s">
        <v>11196</v>
      </c>
      <c r="C8169" t="s">
        <v>7</v>
      </c>
      <c r="D8169" t="s">
        <v>14</v>
      </c>
      <c r="E8169" t="s">
        <v>10920</v>
      </c>
    </row>
    <row r="8170" spans="1:6" x14ac:dyDescent="0.25">
      <c r="A8170" t="str">
        <f>"7841401331"</f>
        <v>7841401331</v>
      </c>
      <c r="B8170" t="s">
        <v>11197</v>
      </c>
      <c r="C8170" t="s">
        <v>7</v>
      </c>
      <c r="D8170" t="s">
        <v>12</v>
      </c>
      <c r="E8170" t="s">
        <v>10920</v>
      </c>
      <c r="F8170" t="s">
        <v>11198</v>
      </c>
    </row>
    <row r="8171" spans="1:6" x14ac:dyDescent="0.25">
      <c r="A8171" t="str">
        <f>"7842312194"</f>
        <v>7842312194</v>
      </c>
      <c r="B8171" t="s">
        <v>11199</v>
      </c>
      <c r="C8171" t="s">
        <v>7</v>
      </c>
      <c r="D8171" t="s">
        <v>14</v>
      </c>
      <c r="E8171" t="s">
        <v>10920</v>
      </c>
      <c r="F8171" t="s">
        <v>11200</v>
      </c>
    </row>
    <row r="8172" spans="1:6" x14ac:dyDescent="0.25">
      <c r="A8172" t="str">
        <f>"784290090709"</f>
        <v>784290090709</v>
      </c>
      <c r="B8172" t="s">
        <v>11201</v>
      </c>
      <c r="C8172" t="s">
        <v>7</v>
      </c>
      <c r="D8172" t="s">
        <v>33</v>
      </c>
      <c r="E8172" t="s">
        <v>10920</v>
      </c>
    </row>
    <row r="8173" spans="1:6" x14ac:dyDescent="0.25">
      <c r="A8173" t="str">
        <f>"683003242498"</f>
        <v>683003242498</v>
      </c>
      <c r="B8173" t="s">
        <v>11202</v>
      </c>
      <c r="C8173" t="s">
        <v>7</v>
      </c>
      <c r="D8173" t="s">
        <v>14</v>
      </c>
      <c r="E8173" t="s">
        <v>10920</v>
      </c>
    </row>
    <row r="8174" spans="1:6" x14ac:dyDescent="0.25">
      <c r="A8174" t="str">
        <f>"290127769368"</f>
        <v>290127769368</v>
      </c>
      <c r="B8174" t="s">
        <v>11203</v>
      </c>
      <c r="C8174" t="s">
        <v>7</v>
      </c>
      <c r="D8174" t="s">
        <v>14</v>
      </c>
      <c r="E8174" t="s">
        <v>10920</v>
      </c>
    </row>
    <row r="8175" spans="1:6" x14ac:dyDescent="0.25">
      <c r="A8175" t="str">
        <f>"143410538170"</f>
        <v>143410538170</v>
      </c>
      <c r="B8175" t="s">
        <v>11204</v>
      </c>
      <c r="C8175" t="s">
        <v>7</v>
      </c>
      <c r="D8175" t="s">
        <v>33</v>
      </c>
      <c r="E8175" t="s">
        <v>10920</v>
      </c>
    </row>
    <row r="8176" spans="1:6" x14ac:dyDescent="0.25">
      <c r="A8176" t="str">
        <f>"591108550531"</f>
        <v>591108550531</v>
      </c>
      <c r="B8176" t="s">
        <v>11205</v>
      </c>
      <c r="C8176" t="s">
        <v>7</v>
      </c>
      <c r="D8176" t="s">
        <v>12</v>
      </c>
      <c r="E8176" t="s">
        <v>10920</v>
      </c>
    </row>
    <row r="8177" spans="1:6" x14ac:dyDescent="0.25">
      <c r="A8177" t="str">
        <f>"591907208388"</f>
        <v>591907208388</v>
      </c>
      <c r="B8177" t="s">
        <v>11206</v>
      </c>
      <c r="C8177" t="s">
        <v>7</v>
      </c>
      <c r="D8177" t="s">
        <v>12</v>
      </c>
      <c r="E8177" t="s">
        <v>10920</v>
      </c>
    </row>
    <row r="8178" spans="1:6" x14ac:dyDescent="0.25">
      <c r="A8178" t="str">
        <f>"380125246697"</f>
        <v>380125246697</v>
      </c>
      <c r="B8178" t="s">
        <v>11207</v>
      </c>
      <c r="C8178" t="s">
        <v>7</v>
      </c>
      <c r="D8178" t="s">
        <v>14</v>
      </c>
      <c r="E8178" t="s">
        <v>10920</v>
      </c>
    </row>
    <row r="8179" spans="1:6" x14ac:dyDescent="0.25">
      <c r="A8179" t="str">
        <f>"667416302922"</f>
        <v>667416302922</v>
      </c>
      <c r="B8179" t="s">
        <v>11208</v>
      </c>
      <c r="C8179" t="s">
        <v>7</v>
      </c>
      <c r="D8179" t="s">
        <v>14</v>
      </c>
      <c r="E8179" t="s">
        <v>10920</v>
      </c>
    </row>
    <row r="8180" spans="1:6" x14ac:dyDescent="0.25">
      <c r="A8180" t="str">
        <f>"601101242477"</f>
        <v>601101242477</v>
      </c>
      <c r="B8180" t="s">
        <v>11209</v>
      </c>
      <c r="C8180" t="s">
        <v>7</v>
      </c>
      <c r="D8180" t="s">
        <v>14</v>
      </c>
      <c r="E8180" t="s">
        <v>10920</v>
      </c>
    </row>
    <row r="8181" spans="1:6" x14ac:dyDescent="0.25">
      <c r="A8181" t="str">
        <f>"410109750104"</f>
        <v>410109750104</v>
      </c>
      <c r="B8181" t="s">
        <v>11210</v>
      </c>
      <c r="C8181" t="s">
        <v>7</v>
      </c>
      <c r="D8181" t="s">
        <v>14</v>
      </c>
      <c r="E8181" t="s">
        <v>10920</v>
      </c>
    </row>
    <row r="8182" spans="1:6" x14ac:dyDescent="0.25">
      <c r="A8182" t="str">
        <f>"410119619807"</f>
        <v>410119619807</v>
      </c>
      <c r="B8182" t="s">
        <v>11211</v>
      </c>
      <c r="C8182" t="s">
        <v>7</v>
      </c>
      <c r="D8182" t="s">
        <v>14</v>
      </c>
      <c r="E8182" t="s">
        <v>10920</v>
      </c>
    </row>
    <row r="8183" spans="1:6" x14ac:dyDescent="0.25">
      <c r="A8183" t="str">
        <f>"510100587400"</f>
        <v>510100587400</v>
      </c>
      <c r="B8183" t="s">
        <v>11212</v>
      </c>
      <c r="C8183" t="s">
        <v>7</v>
      </c>
      <c r="D8183" t="s">
        <v>14</v>
      </c>
      <c r="E8183" t="s">
        <v>10920</v>
      </c>
    </row>
    <row r="8184" spans="1:6" x14ac:dyDescent="0.25">
      <c r="A8184" t="str">
        <f>"510890157387"</f>
        <v>510890157387</v>
      </c>
      <c r="B8184" t="s">
        <v>11213</v>
      </c>
      <c r="C8184" t="s">
        <v>7</v>
      </c>
      <c r="D8184" t="s">
        <v>12</v>
      </c>
      <c r="E8184" t="s">
        <v>10920</v>
      </c>
    </row>
    <row r="8185" spans="1:6" x14ac:dyDescent="0.25">
      <c r="A8185" t="str">
        <f>"519200370904"</f>
        <v>519200370904</v>
      </c>
      <c r="B8185" t="s">
        <v>11214</v>
      </c>
      <c r="C8185" t="s">
        <v>7</v>
      </c>
      <c r="D8185" t="s">
        <v>14</v>
      </c>
      <c r="E8185" t="s">
        <v>10920</v>
      </c>
    </row>
    <row r="8186" spans="1:6" x14ac:dyDescent="0.25">
      <c r="A8186" t="str">
        <f>"7816158919"</f>
        <v>7816158919</v>
      </c>
      <c r="B8186" t="s">
        <v>11215</v>
      </c>
      <c r="C8186" t="s">
        <v>7</v>
      </c>
      <c r="D8186" t="s">
        <v>14</v>
      </c>
      <c r="E8186" t="s">
        <v>10920</v>
      </c>
      <c r="F8186" t="s">
        <v>11216</v>
      </c>
    </row>
    <row r="8187" spans="1:6" x14ac:dyDescent="0.25">
      <c r="A8187" t="str">
        <f>"4800013670"</f>
        <v>4800013670</v>
      </c>
      <c r="B8187" t="s">
        <v>8380</v>
      </c>
      <c r="C8187" t="s">
        <v>7</v>
      </c>
      <c r="D8187" t="s">
        <v>33</v>
      </c>
      <c r="E8187" t="s">
        <v>11217</v>
      </c>
      <c r="F8187" t="s">
        <v>11218</v>
      </c>
    </row>
    <row r="8188" spans="1:6" x14ac:dyDescent="0.25">
      <c r="A8188" t="str">
        <f>"480205737301"</f>
        <v>480205737301</v>
      </c>
      <c r="B8188" t="s">
        <v>11219</v>
      </c>
      <c r="C8188" t="s">
        <v>7</v>
      </c>
      <c r="D8188" t="s">
        <v>12</v>
      </c>
      <c r="E8188" t="s">
        <v>11217</v>
      </c>
    </row>
    <row r="8189" spans="1:6" x14ac:dyDescent="0.25">
      <c r="A8189" t="str">
        <f>"4813027253"</f>
        <v>4813027253</v>
      </c>
      <c r="B8189" t="s">
        <v>11220</v>
      </c>
      <c r="C8189" t="s">
        <v>7</v>
      </c>
      <c r="D8189" t="s">
        <v>12</v>
      </c>
      <c r="E8189" t="s">
        <v>11217</v>
      </c>
      <c r="F8189" t="s">
        <v>11221</v>
      </c>
    </row>
    <row r="8190" spans="1:6" x14ac:dyDescent="0.25">
      <c r="A8190" t="str">
        <f>"481401301697"</f>
        <v>481401301697</v>
      </c>
      <c r="B8190" t="s">
        <v>11222</v>
      </c>
      <c r="C8190" t="s">
        <v>7</v>
      </c>
      <c r="D8190" t="s">
        <v>14</v>
      </c>
      <c r="E8190" t="s">
        <v>11217</v>
      </c>
    </row>
    <row r="8191" spans="1:6" x14ac:dyDescent="0.25">
      <c r="A8191" t="str">
        <f>"481500164265"</f>
        <v>481500164265</v>
      </c>
      <c r="B8191" t="s">
        <v>11223</v>
      </c>
      <c r="C8191" t="s">
        <v>7</v>
      </c>
      <c r="D8191" t="s">
        <v>14</v>
      </c>
      <c r="E8191" t="s">
        <v>11217</v>
      </c>
    </row>
    <row r="8192" spans="1:6" x14ac:dyDescent="0.25">
      <c r="A8192" t="str">
        <f>"482106617511"</f>
        <v>482106617511</v>
      </c>
      <c r="B8192" t="s">
        <v>11224</v>
      </c>
      <c r="C8192" t="s">
        <v>7</v>
      </c>
      <c r="D8192" t="s">
        <v>14</v>
      </c>
      <c r="E8192" t="s">
        <v>11217</v>
      </c>
    </row>
    <row r="8193" spans="1:6" x14ac:dyDescent="0.25">
      <c r="A8193" t="str">
        <f>"4824102833"</f>
        <v>4824102833</v>
      </c>
      <c r="B8193" t="s">
        <v>11225</v>
      </c>
      <c r="C8193" t="s">
        <v>7</v>
      </c>
      <c r="D8193" t="s">
        <v>33</v>
      </c>
      <c r="E8193" t="s">
        <v>11217</v>
      </c>
      <c r="F8193" t="s">
        <v>11226</v>
      </c>
    </row>
    <row r="8194" spans="1:6" x14ac:dyDescent="0.25">
      <c r="A8194" t="str">
        <f>"482422470539"</f>
        <v>482422470539</v>
      </c>
      <c r="B8194" t="s">
        <v>11227</v>
      </c>
      <c r="C8194" t="s">
        <v>7</v>
      </c>
      <c r="D8194" t="s">
        <v>14</v>
      </c>
      <c r="E8194" t="s">
        <v>11217</v>
      </c>
    </row>
    <row r="8195" spans="1:6" x14ac:dyDescent="0.25">
      <c r="A8195" t="str">
        <f>"482501466447"</f>
        <v>482501466447</v>
      </c>
      <c r="B8195" t="s">
        <v>11228</v>
      </c>
      <c r="C8195" t="s">
        <v>7</v>
      </c>
      <c r="D8195" t="s">
        <v>14</v>
      </c>
      <c r="E8195" t="s">
        <v>11217</v>
      </c>
    </row>
    <row r="8196" spans="1:6" x14ac:dyDescent="0.25">
      <c r="A8196" t="str">
        <f>"4825069120"</f>
        <v>4825069120</v>
      </c>
      <c r="B8196" t="s">
        <v>11229</v>
      </c>
      <c r="C8196" t="s">
        <v>7</v>
      </c>
      <c r="D8196" t="s">
        <v>33</v>
      </c>
      <c r="E8196" t="s">
        <v>11217</v>
      </c>
      <c r="F8196" t="s">
        <v>11230</v>
      </c>
    </row>
    <row r="8197" spans="1:6" x14ac:dyDescent="0.25">
      <c r="A8197" t="str">
        <f>"482509968103"</f>
        <v>482509968103</v>
      </c>
      <c r="B8197" t="s">
        <v>11231</v>
      </c>
      <c r="C8197" t="s">
        <v>7</v>
      </c>
      <c r="D8197" t="s">
        <v>14</v>
      </c>
      <c r="E8197" t="s">
        <v>11217</v>
      </c>
    </row>
    <row r="8198" spans="1:6" x14ac:dyDescent="0.25">
      <c r="A8198" t="str">
        <f>"4826100341"</f>
        <v>4826100341</v>
      </c>
      <c r="B8198" t="s">
        <v>8540</v>
      </c>
      <c r="C8198" t="s">
        <v>7</v>
      </c>
      <c r="D8198" t="s">
        <v>33</v>
      </c>
      <c r="E8198" t="s">
        <v>11217</v>
      </c>
      <c r="F8198" t="s">
        <v>11232</v>
      </c>
    </row>
    <row r="8199" spans="1:6" x14ac:dyDescent="0.25">
      <c r="A8199" t="str">
        <f>"482612583717"</f>
        <v>482612583717</v>
      </c>
      <c r="B8199" t="s">
        <v>11233</v>
      </c>
      <c r="C8199" t="s">
        <v>7</v>
      </c>
      <c r="D8199" t="s">
        <v>14</v>
      </c>
      <c r="E8199" t="s">
        <v>11217</v>
      </c>
    </row>
    <row r="8200" spans="1:6" x14ac:dyDescent="0.25">
      <c r="A8200" t="str">
        <f>"7733661533"</f>
        <v>7733661533</v>
      </c>
      <c r="B8200" t="s">
        <v>2266</v>
      </c>
      <c r="C8200" t="s">
        <v>7</v>
      </c>
      <c r="D8200" t="s">
        <v>12</v>
      </c>
      <c r="E8200" t="s">
        <v>11217</v>
      </c>
      <c r="F8200" t="s">
        <v>11234</v>
      </c>
    </row>
    <row r="8201" spans="1:6" x14ac:dyDescent="0.25">
      <c r="A8201" t="str">
        <f>"362700459015"</f>
        <v>362700459015</v>
      </c>
      <c r="B8201" t="s">
        <v>11235</v>
      </c>
      <c r="C8201" t="s">
        <v>7</v>
      </c>
      <c r="D8201" t="s">
        <v>14</v>
      </c>
      <c r="E8201" t="s">
        <v>11217</v>
      </c>
    </row>
    <row r="8202" spans="1:6" x14ac:dyDescent="0.25">
      <c r="A8202" t="str">
        <f>"366105132900"</f>
        <v>366105132900</v>
      </c>
      <c r="B8202" t="s">
        <v>11236</v>
      </c>
      <c r="C8202" t="s">
        <v>7</v>
      </c>
      <c r="D8202" t="s">
        <v>14</v>
      </c>
      <c r="E8202" t="s">
        <v>11217</v>
      </c>
    </row>
    <row r="8203" spans="1:6" x14ac:dyDescent="0.25">
      <c r="A8203" t="str">
        <f>"4800000141"</f>
        <v>4800000141</v>
      </c>
      <c r="B8203" t="s">
        <v>11237</v>
      </c>
      <c r="C8203" t="s">
        <v>7</v>
      </c>
      <c r="D8203" t="s">
        <v>33</v>
      </c>
      <c r="E8203" t="s">
        <v>11217</v>
      </c>
      <c r="F8203" t="s">
        <v>11238</v>
      </c>
    </row>
    <row r="8204" spans="1:6" x14ac:dyDescent="0.25">
      <c r="A8204" t="str">
        <f>"4800008310"</f>
        <v>4800008310</v>
      </c>
      <c r="B8204" t="s">
        <v>11239</v>
      </c>
      <c r="C8204" t="s">
        <v>7</v>
      </c>
      <c r="D8204" t="s">
        <v>12</v>
      </c>
      <c r="E8204" t="s">
        <v>11217</v>
      </c>
      <c r="F8204" t="s">
        <v>11240</v>
      </c>
    </row>
    <row r="8205" spans="1:6" x14ac:dyDescent="0.25">
      <c r="A8205" t="str">
        <f>"4802011710"</f>
        <v>4802011710</v>
      </c>
      <c r="B8205" t="s">
        <v>11241</v>
      </c>
      <c r="C8205" t="s">
        <v>7</v>
      </c>
      <c r="D8205" t="s">
        <v>189</v>
      </c>
      <c r="E8205" t="s">
        <v>11217</v>
      </c>
      <c r="F8205" t="s">
        <v>11242</v>
      </c>
    </row>
    <row r="8206" spans="1:6" x14ac:dyDescent="0.25">
      <c r="A8206" t="str">
        <f>"480202019180"</f>
        <v>480202019180</v>
      </c>
      <c r="B8206" t="s">
        <v>11243</v>
      </c>
      <c r="C8206" t="s">
        <v>7</v>
      </c>
      <c r="D8206" t="s">
        <v>14</v>
      </c>
      <c r="E8206" t="s">
        <v>11217</v>
      </c>
    </row>
    <row r="8207" spans="1:6" x14ac:dyDescent="0.25">
      <c r="A8207" t="str">
        <f>"4802025310"</f>
        <v>4802025310</v>
      </c>
      <c r="B8207" t="s">
        <v>11244</v>
      </c>
      <c r="C8207" t="s">
        <v>7</v>
      </c>
      <c r="D8207" t="s">
        <v>98</v>
      </c>
      <c r="E8207" t="s">
        <v>11217</v>
      </c>
      <c r="F8207" t="s">
        <v>11245</v>
      </c>
    </row>
    <row r="8208" spans="1:6" x14ac:dyDescent="0.25">
      <c r="A8208" t="str">
        <f>"480300230511"</f>
        <v>480300230511</v>
      </c>
      <c r="B8208" t="s">
        <v>11246</v>
      </c>
      <c r="C8208" t="s">
        <v>7</v>
      </c>
      <c r="D8208" t="s">
        <v>12</v>
      </c>
      <c r="E8208" t="s">
        <v>11217</v>
      </c>
    </row>
    <row r="8209" spans="1:6" x14ac:dyDescent="0.25">
      <c r="A8209" t="str">
        <f>"480702952066"</f>
        <v>480702952066</v>
      </c>
      <c r="B8209" t="s">
        <v>11247</v>
      </c>
      <c r="C8209" t="s">
        <v>7</v>
      </c>
      <c r="D8209" t="s">
        <v>586</v>
      </c>
      <c r="E8209" t="s">
        <v>11217</v>
      </c>
    </row>
    <row r="8210" spans="1:6" x14ac:dyDescent="0.25">
      <c r="A8210" t="str">
        <f>"481000853757"</f>
        <v>481000853757</v>
      </c>
      <c r="B8210" t="s">
        <v>11248</v>
      </c>
      <c r="C8210" t="s">
        <v>7</v>
      </c>
      <c r="D8210" t="s">
        <v>14</v>
      </c>
      <c r="E8210" t="s">
        <v>11217</v>
      </c>
    </row>
    <row r="8211" spans="1:6" x14ac:dyDescent="0.25">
      <c r="A8211" t="str">
        <f>"481001825230"</f>
        <v>481001825230</v>
      </c>
      <c r="B8211" t="s">
        <v>11249</v>
      </c>
      <c r="C8211" t="s">
        <v>7</v>
      </c>
      <c r="D8211" t="s">
        <v>14</v>
      </c>
      <c r="E8211" t="s">
        <v>11217</v>
      </c>
    </row>
    <row r="8212" spans="1:6" x14ac:dyDescent="0.25">
      <c r="A8212" t="str">
        <f>"481100134040"</f>
        <v>481100134040</v>
      </c>
      <c r="B8212" t="s">
        <v>11250</v>
      </c>
      <c r="C8212" t="s">
        <v>7</v>
      </c>
      <c r="D8212" t="s">
        <v>14</v>
      </c>
      <c r="E8212" t="s">
        <v>11217</v>
      </c>
    </row>
    <row r="8213" spans="1:6" x14ac:dyDescent="0.25">
      <c r="A8213" t="str">
        <f>"481100659954"</f>
        <v>481100659954</v>
      </c>
      <c r="B8213" t="s">
        <v>11251</v>
      </c>
      <c r="C8213" t="s">
        <v>7</v>
      </c>
      <c r="D8213" t="s">
        <v>14</v>
      </c>
      <c r="E8213" t="s">
        <v>11217</v>
      </c>
    </row>
    <row r="8214" spans="1:6" x14ac:dyDescent="0.25">
      <c r="A8214" t="str">
        <f>"4811026984"</f>
        <v>4811026984</v>
      </c>
      <c r="B8214" t="s">
        <v>11252</v>
      </c>
      <c r="C8214" t="s">
        <v>7</v>
      </c>
      <c r="D8214" t="s">
        <v>12</v>
      </c>
      <c r="E8214" t="s">
        <v>11217</v>
      </c>
      <c r="F8214" t="s">
        <v>11253</v>
      </c>
    </row>
    <row r="8215" spans="1:6" x14ac:dyDescent="0.25">
      <c r="A8215" t="str">
        <f>"481300004289"</f>
        <v>481300004289</v>
      </c>
      <c r="B8215" t="s">
        <v>11254</v>
      </c>
      <c r="C8215" t="s">
        <v>7</v>
      </c>
      <c r="D8215" t="s">
        <v>12</v>
      </c>
      <c r="E8215" t="s">
        <v>11217</v>
      </c>
    </row>
    <row r="8216" spans="1:6" x14ac:dyDescent="0.25">
      <c r="A8216" t="str">
        <f>"4813006239"</f>
        <v>4813006239</v>
      </c>
      <c r="B8216" t="s">
        <v>11255</v>
      </c>
      <c r="C8216" t="s">
        <v>7</v>
      </c>
      <c r="D8216" t="s">
        <v>674</v>
      </c>
      <c r="E8216" t="s">
        <v>11217</v>
      </c>
      <c r="F8216" t="s">
        <v>11256</v>
      </c>
    </row>
    <row r="8217" spans="1:6" x14ac:dyDescent="0.25">
      <c r="A8217" t="str">
        <f>"4813028063"</f>
        <v>4813028063</v>
      </c>
      <c r="B8217" t="s">
        <v>11257</v>
      </c>
      <c r="C8217" t="s">
        <v>7</v>
      </c>
      <c r="D8217" t="s">
        <v>33</v>
      </c>
      <c r="E8217" t="s">
        <v>11217</v>
      </c>
      <c r="F8217" t="s">
        <v>11221</v>
      </c>
    </row>
    <row r="8218" spans="1:6" x14ac:dyDescent="0.25">
      <c r="A8218" t="str">
        <f>"4813028909"</f>
        <v>4813028909</v>
      </c>
      <c r="B8218" t="s">
        <v>4057</v>
      </c>
      <c r="C8218" t="s">
        <v>7</v>
      </c>
      <c r="D8218" t="s">
        <v>14</v>
      </c>
      <c r="E8218" t="s">
        <v>11217</v>
      </c>
      <c r="F8218" t="s">
        <v>11258</v>
      </c>
    </row>
    <row r="8219" spans="1:6" x14ac:dyDescent="0.25">
      <c r="A8219" t="str">
        <f>"481303238528"</f>
        <v>481303238528</v>
      </c>
      <c r="B8219" t="s">
        <v>11259</v>
      </c>
      <c r="C8219" t="s">
        <v>7</v>
      </c>
      <c r="D8219" t="s">
        <v>14</v>
      </c>
      <c r="E8219" t="s">
        <v>11217</v>
      </c>
    </row>
    <row r="8220" spans="1:6" x14ac:dyDescent="0.25">
      <c r="A8220" t="str">
        <f>"481501436578"</f>
        <v>481501436578</v>
      </c>
      <c r="B8220" t="s">
        <v>11260</v>
      </c>
      <c r="C8220" t="s">
        <v>7</v>
      </c>
      <c r="D8220" t="s">
        <v>14</v>
      </c>
      <c r="E8220" t="s">
        <v>11217</v>
      </c>
    </row>
    <row r="8221" spans="1:6" x14ac:dyDescent="0.25">
      <c r="A8221" t="str">
        <f>"481600998232"</f>
        <v>481600998232</v>
      </c>
      <c r="B8221" t="s">
        <v>11261</v>
      </c>
      <c r="C8221" t="s">
        <v>7</v>
      </c>
      <c r="D8221" t="s">
        <v>14</v>
      </c>
      <c r="E8221" t="s">
        <v>11217</v>
      </c>
    </row>
    <row r="8222" spans="1:6" x14ac:dyDescent="0.25">
      <c r="A8222" t="str">
        <f>"481800092004"</f>
        <v>481800092004</v>
      </c>
      <c r="B8222" t="s">
        <v>11262</v>
      </c>
      <c r="C8222" t="s">
        <v>7</v>
      </c>
      <c r="D8222" t="s">
        <v>14</v>
      </c>
      <c r="E8222" t="s">
        <v>11217</v>
      </c>
    </row>
    <row r="8223" spans="1:6" x14ac:dyDescent="0.25">
      <c r="A8223" t="str">
        <f>"482100113518"</f>
        <v>482100113518</v>
      </c>
      <c r="B8223" t="s">
        <v>11263</v>
      </c>
      <c r="C8223" t="s">
        <v>7</v>
      </c>
      <c r="D8223" t="s">
        <v>14</v>
      </c>
      <c r="E8223" t="s">
        <v>11217</v>
      </c>
    </row>
    <row r="8224" spans="1:6" x14ac:dyDescent="0.25">
      <c r="A8224" t="str">
        <f>"482100136875"</f>
        <v>482100136875</v>
      </c>
      <c r="B8224" t="s">
        <v>11264</v>
      </c>
      <c r="C8224" t="s">
        <v>7</v>
      </c>
      <c r="D8224" t="s">
        <v>14</v>
      </c>
      <c r="E8224" t="s">
        <v>11217</v>
      </c>
    </row>
    <row r="8225" spans="1:6" x14ac:dyDescent="0.25">
      <c r="A8225" t="str">
        <f>"482100432659"</f>
        <v>482100432659</v>
      </c>
      <c r="B8225" t="s">
        <v>11265</v>
      </c>
      <c r="C8225" t="s">
        <v>7</v>
      </c>
      <c r="D8225" t="s">
        <v>14</v>
      </c>
      <c r="E8225" t="s">
        <v>11217</v>
      </c>
    </row>
    <row r="8226" spans="1:6" x14ac:dyDescent="0.25">
      <c r="A8226" t="str">
        <f>"482110486822"</f>
        <v>482110486822</v>
      </c>
      <c r="B8226" t="s">
        <v>11266</v>
      </c>
      <c r="C8226" t="s">
        <v>7</v>
      </c>
      <c r="D8226" t="s">
        <v>14</v>
      </c>
      <c r="E8226" t="s">
        <v>11217</v>
      </c>
    </row>
    <row r="8227" spans="1:6" x14ac:dyDescent="0.25">
      <c r="A8227" t="str">
        <f>"482112306916"</f>
        <v>482112306916</v>
      </c>
      <c r="B8227" t="s">
        <v>11267</v>
      </c>
      <c r="C8227" t="s">
        <v>7</v>
      </c>
      <c r="D8227" t="s">
        <v>14</v>
      </c>
      <c r="E8227" t="s">
        <v>11217</v>
      </c>
    </row>
    <row r="8228" spans="1:6" x14ac:dyDescent="0.25">
      <c r="A8228" t="str">
        <f>"4823015521"</f>
        <v>4823015521</v>
      </c>
      <c r="B8228" t="s">
        <v>11268</v>
      </c>
      <c r="C8228" t="s">
        <v>7</v>
      </c>
      <c r="D8228" t="s">
        <v>14</v>
      </c>
      <c r="E8228" t="s">
        <v>11217</v>
      </c>
      <c r="F8228" t="s">
        <v>11269</v>
      </c>
    </row>
    <row r="8229" spans="1:6" x14ac:dyDescent="0.25">
      <c r="A8229" t="str">
        <f>"4823073523"</f>
        <v>4823073523</v>
      </c>
      <c r="B8229" t="s">
        <v>3003</v>
      </c>
      <c r="C8229" t="s">
        <v>7</v>
      </c>
      <c r="D8229" t="s">
        <v>12</v>
      </c>
      <c r="E8229" t="s">
        <v>11217</v>
      </c>
      <c r="F8229" t="s">
        <v>11270</v>
      </c>
    </row>
    <row r="8230" spans="1:6" x14ac:dyDescent="0.25">
      <c r="A8230" t="str">
        <f>"4823074076"</f>
        <v>4823074076</v>
      </c>
      <c r="B8230" t="s">
        <v>11271</v>
      </c>
      <c r="C8230" t="s">
        <v>7</v>
      </c>
      <c r="D8230" t="s">
        <v>33</v>
      </c>
      <c r="E8230" t="s">
        <v>11217</v>
      </c>
      <c r="F8230" t="s">
        <v>11272</v>
      </c>
    </row>
    <row r="8231" spans="1:6" x14ac:dyDescent="0.25">
      <c r="A8231" t="str">
        <f>"482400513764"</f>
        <v>482400513764</v>
      </c>
      <c r="B8231" t="s">
        <v>11273</v>
      </c>
      <c r="C8231" t="s">
        <v>7</v>
      </c>
      <c r="D8231" t="s">
        <v>14</v>
      </c>
      <c r="E8231" t="s">
        <v>11217</v>
      </c>
    </row>
    <row r="8232" spans="1:6" x14ac:dyDescent="0.25">
      <c r="A8232" t="str">
        <f>"4824032008"</f>
        <v>4824032008</v>
      </c>
      <c r="B8232" t="s">
        <v>687</v>
      </c>
      <c r="C8232" t="s">
        <v>7</v>
      </c>
      <c r="D8232" t="s">
        <v>12</v>
      </c>
      <c r="E8232" t="s">
        <v>11217</v>
      </c>
      <c r="F8232" t="s">
        <v>11274</v>
      </c>
    </row>
    <row r="8233" spans="1:6" x14ac:dyDescent="0.25">
      <c r="A8233" t="str">
        <f>"4824043183"</f>
        <v>4824043183</v>
      </c>
      <c r="B8233" t="s">
        <v>11275</v>
      </c>
      <c r="C8233" t="s">
        <v>7</v>
      </c>
      <c r="D8233" t="s">
        <v>14</v>
      </c>
      <c r="E8233" t="s">
        <v>11217</v>
      </c>
      <c r="F8233" t="s">
        <v>11276</v>
      </c>
    </row>
    <row r="8234" spans="1:6" x14ac:dyDescent="0.25">
      <c r="A8234" t="str">
        <f>"4824064465"</f>
        <v>4824064465</v>
      </c>
      <c r="B8234" t="s">
        <v>11277</v>
      </c>
      <c r="C8234" t="s">
        <v>7</v>
      </c>
      <c r="D8234" t="s">
        <v>14</v>
      </c>
      <c r="E8234" t="s">
        <v>11217</v>
      </c>
      <c r="F8234" t="s">
        <v>11278</v>
      </c>
    </row>
    <row r="8235" spans="1:6" x14ac:dyDescent="0.25">
      <c r="A8235" t="str">
        <f>"4824097020"</f>
        <v>4824097020</v>
      </c>
      <c r="B8235" t="s">
        <v>8958</v>
      </c>
      <c r="C8235" t="s">
        <v>7</v>
      </c>
      <c r="D8235" t="s">
        <v>14</v>
      </c>
      <c r="E8235" t="s">
        <v>11217</v>
      </c>
      <c r="F8235" t="s">
        <v>11279</v>
      </c>
    </row>
    <row r="8236" spans="1:6" x14ac:dyDescent="0.25">
      <c r="A8236" t="str">
        <f>"4824105305"</f>
        <v>4824105305</v>
      </c>
      <c r="B8236" t="s">
        <v>11280</v>
      </c>
      <c r="C8236" t="s">
        <v>7</v>
      </c>
      <c r="D8236" t="s">
        <v>14</v>
      </c>
      <c r="E8236" t="s">
        <v>11217</v>
      </c>
      <c r="F8236" t="s">
        <v>11281</v>
      </c>
    </row>
    <row r="8237" spans="1:6" x14ac:dyDescent="0.25">
      <c r="A8237" t="str">
        <f>"482414680740"</f>
        <v>482414680740</v>
      </c>
      <c r="B8237" t="s">
        <v>11282</v>
      </c>
      <c r="C8237" t="s">
        <v>7</v>
      </c>
      <c r="D8237" t="s">
        <v>14</v>
      </c>
      <c r="E8237" t="s">
        <v>11217</v>
      </c>
    </row>
    <row r="8238" spans="1:6" x14ac:dyDescent="0.25">
      <c r="A8238" t="str">
        <f>"482419304041"</f>
        <v>482419304041</v>
      </c>
      <c r="B8238" t="s">
        <v>11283</v>
      </c>
      <c r="C8238" t="s">
        <v>7</v>
      </c>
      <c r="D8238" t="s">
        <v>12</v>
      </c>
      <c r="E8238" t="s">
        <v>11217</v>
      </c>
    </row>
    <row r="8239" spans="1:6" x14ac:dyDescent="0.25">
      <c r="A8239" t="str">
        <f>"482421164063"</f>
        <v>482421164063</v>
      </c>
      <c r="B8239" t="s">
        <v>11284</v>
      </c>
      <c r="C8239" t="s">
        <v>7</v>
      </c>
      <c r="D8239" t="s">
        <v>14</v>
      </c>
      <c r="E8239" t="s">
        <v>11217</v>
      </c>
    </row>
    <row r="8240" spans="1:6" x14ac:dyDescent="0.25">
      <c r="A8240" t="str">
        <f>"482422542769"</f>
        <v>482422542769</v>
      </c>
      <c r="B8240" t="s">
        <v>11285</v>
      </c>
      <c r="C8240" t="s">
        <v>7</v>
      </c>
      <c r="D8240" t="s">
        <v>14</v>
      </c>
      <c r="E8240" t="s">
        <v>11217</v>
      </c>
    </row>
    <row r="8241" spans="1:6" x14ac:dyDescent="0.25">
      <c r="A8241" t="str">
        <f>"482506104401"</f>
        <v>482506104401</v>
      </c>
      <c r="B8241" t="s">
        <v>11286</v>
      </c>
      <c r="C8241" t="s">
        <v>7</v>
      </c>
      <c r="D8241" t="s">
        <v>12</v>
      </c>
      <c r="E8241" t="s">
        <v>11217</v>
      </c>
    </row>
    <row r="8242" spans="1:6" x14ac:dyDescent="0.25">
      <c r="A8242" t="str">
        <f>"4825064362"</f>
        <v>4825064362</v>
      </c>
      <c r="B8242" t="s">
        <v>11287</v>
      </c>
      <c r="C8242" t="s">
        <v>7</v>
      </c>
      <c r="D8242" t="s">
        <v>14</v>
      </c>
      <c r="E8242" t="s">
        <v>11217</v>
      </c>
      <c r="F8242" t="s">
        <v>11288</v>
      </c>
    </row>
    <row r="8243" spans="1:6" x14ac:dyDescent="0.25">
      <c r="A8243" t="str">
        <f>"482511263206"</f>
        <v>482511263206</v>
      </c>
      <c r="B8243" t="s">
        <v>11289</v>
      </c>
      <c r="C8243" t="s">
        <v>7</v>
      </c>
      <c r="D8243" t="s">
        <v>14</v>
      </c>
      <c r="E8243" t="s">
        <v>11217</v>
      </c>
    </row>
    <row r="8244" spans="1:6" x14ac:dyDescent="0.25">
      <c r="A8244" t="str">
        <f>"4825131450"</f>
        <v>4825131450</v>
      </c>
      <c r="B8244" t="s">
        <v>11290</v>
      </c>
      <c r="C8244" t="s">
        <v>7</v>
      </c>
      <c r="D8244" t="s">
        <v>33</v>
      </c>
      <c r="E8244" t="s">
        <v>11217</v>
      </c>
      <c r="F8244" t="s">
        <v>11291</v>
      </c>
    </row>
    <row r="8245" spans="1:6" x14ac:dyDescent="0.25">
      <c r="A8245" t="str">
        <f>"4825136271"</f>
        <v>4825136271</v>
      </c>
      <c r="B8245" t="s">
        <v>11292</v>
      </c>
      <c r="C8245" t="s">
        <v>7</v>
      </c>
      <c r="D8245" t="s">
        <v>12</v>
      </c>
      <c r="E8245" t="s">
        <v>11217</v>
      </c>
      <c r="F8245" t="s">
        <v>11293</v>
      </c>
    </row>
    <row r="8246" spans="1:6" x14ac:dyDescent="0.25">
      <c r="A8246" t="str">
        <f>"4826000989"</f>
        <v>4826000989</v>
      </c>
      <c r="B8246" t="s">
        <v>11294</v>
      </c>
      <c r="C8246" t="s">
        <v>7</v>
      </c>
      <c r="D8246" t="s">
        <v>14</v>
      </c>
      <c r="E8246" t="s">
        <v>11217</v>
      </c>
      <c r="F8246" t="s">
        <v>11295</v>
      </c>
    </row>
    <row r="8247" spans="1:6" x14ac:dyDescent="0.25">
      <c r="A8247" t="str">
        <f>"482600560056"</f>
        <v>482600560056</v>
      </c>
      <c r="B8247" t="s">
        <v>11296</v>
      </c>
      <c r="C8247" t="s">
        <v>7</v>
      </c>
      <c r="D8247" t="s">
        <v>14</v>
      </c>
      <c r="E8247" t="s">
        <v>11217</v>
      </c>
    </row>
    <row r="8248" spans="1:6" x14ac:dyDescent="0.25">
      <c r="A8248" t="str">
        <f>"4826147967"</f>
        <v>4826147967</v>
      </c>
      <c r="B8248" t="s">
        <v>7688</v>
      </c>
      <c r="C8248" t="s">
        <v>7</v>
      </c>
      <c r="D8248" t="s">
        <v>12</v>
      </c>
      <c r="E8248" t="s">
        <v>11217</v>
      </c>
      <c r="F8248" t="s">
        <v>11297</v>
      </c>
    </row>
    <row r="8249" spans="1:6" x14ac:dyDescent="0.25">
      <c r="A8249" t="str">
        <f>"4826149410"</f>
        <v>4826149410</v>
      </c>
      <c r="B8249" t="s">
        <v>11298</v>
      </c>
      <c r="C8249" t="s">
        <v>7</v>
      </c>
      <c r="D8249" t="s">
        <v>12</v>
      </c>
      <c r="E8249" t="s">
        <v>11217</v>
      </c>
      <c r="F8249" t="s">
        <v>11299</v>
      </c>
    </row>
    <row r="8250" spans="1:6" x14ac:dyDescent="0.25">
      <c r="A8250" t="str">
        <f>"482614973230"</f>
        <v>482614973230</v>
      </c>
      <c r="B8250" t="s">
        <v>11300</v>
      </c>
      <c r="C8250" t="s">
        <v>7</v>
      </c>
      <c r="D8250" t="s">
        <v>33</v>
      </c>
      <c r="E8250" t="s">
        <v>11217</v>
      </c>
    </row>
    <row r="8251" spans="1:6" x14ac:dyDescent="0.25">
      <c r="A8251" t="str">
        <f>"482621576970"</f>
        <v>482621576970</v>
      </c>
      <c r="B8251" t="s">
        <v>11301</v>
      </c>
      <c r="C8251" t="s">
        <v>7</v>
      </c>
      <c r="D8251" t="s">
        <v>14</v>
      </c>
      <c r="E8251" t="s">
        <v>11217</v>
      </c>
    </row>
    <row r="8252" spans="1:6" x14ac:dyDescent="0.25">
      <c r="A8252" t="str">
        <f>"4800023678"</f>
        <v>4800023678</v>
      </c>
      <c r="B8252" t="s">
        <v>11302</v>
      </c>
      <c r="C8252" t="s">
        <v>7</v>
      </c>
      <c r="D8252" t="s">
        <v>12</v>
      </c>
      <c r="E8252" t="s">
        <v>11217</v>
      </c>
      <c r="F8252" t="s">
        <v>11303</v>
      </c>
    </row>
    <row r="8253" spans="1:6" x14ac:dyDescent="0.25">
      <c r="A8253" t="str">
        <f>"480206582788"</f>
        <v>480206582788</v>
      </c>
      <c r="B8253" t="s">
        <v>11304</v>
      </c>
      <c r="C8253" t="s">
        <v>7</v>
      </c>
      <c r="D8253" t="s">
        <v>14</v>
      </c>
      <c r="E8253" t="s">
        <v>11217</v>
      </c>
    </row>
    <row r="8254" spans="1:6" x14ac:dyDescent="0.25">
      <c r="A8254" t="str">
        <f>"480802281284"</f>
        <v>480802281284</v>
      </c>
      <c r="B8254" t="s">
        <v>11305</v>
      </c>
      <c r="C8254" t="s">
        <v>7</v>
      </c>
      <c r="D8254" t="s">
        <v>14</v>
      </c>
      <c r="E8254" t="s">
        <v>11217</v>
      </c>
    </row>
    <row r="8255" spans="1:6" x14ac:dyDescent="0.25">
      <c r="A8255" t="str">
        <f>"480825285905"</f>
        <v>480825285905</v>
      </c>
      <c r="B8255" t="s">
        <v>11306</v>
      </c>
      <c r="C8255" t="s">
        <v>7</v>
      </c>
      <c r="D8255" t="s">
        <v>14</v>
      </c>
      <c r="E8255" t="s">
        <v>11217</v>
      </c>
    </row>
    <row r="8256" spans="1:6" x14ac:dyDescent="0.25">
      <c r="A8256" t="str">
        <f>"480826143766"</f>
        <v>480826143766</v>
      </c>
      <c r="B8256" t="s">
        <v>11307</v>
      </c>
      <c r="C8256" t="s">
        <v>7</v>
      </c>
      <c r="D8256" t="s">
        <v>14</v>
      </c>
      <c r="E8256" t="s">
        <v>11217</v>
      </c>
    </row>
    <row r="8257" spans="1:6" x14ac:dyDescent="0.25">
      <c r="A8257" t="str">
        <f>"480900151290"</f>
        <v>480900151290</v>
      </c>
      <c r="B8257" t="s">
        <v>11308</v>
      </c>
      <c r="C8257" t="s">
        <v>7</v>
      </c>
      <c r="D8257" t="s">
        <v>14</v>
      </c>
      <c r="E8257" t="s">
        <v>11217</v>
      </c>
    </row>
    <row r="8258" spans="1:6" x14ac:dyDescent="0.25">
      <c r="A8258" t="str">
        <f>"481100072700"</f>
        <v>481100072700</v>
      </c>
      <c r="B8258" t="s">
        <v>11309</v>
      </c>
      <c r="C8258" t="s">
        <v>7</v>
      </c>
      <c r="D8258" t="s">
        <v>14</v>
      </c>
      <c r="E8258" t="s">
        <v>11217</v>
      </c>
    </row>
    <row r="8259" spans="1:6" x14ac:dyDescent="0.25">
      <c r="A8259" t="str">
        <f>"481302440795"</f>
        <v>481302440795</v>
      </c>
      <c r="B8259" t="s">
        <v>11310</v>
      </c>
      <c r="C8259" t="s">
        <v>7</v>
      </c>
      <c r="D8259" t="s">
        <v>14</v>
      </c>
      <c r="E8259" t="s">
        <v>11217</v>
      </c>
    </row>
    <row r="8260" spans="1:6" x14ac:dyDescent="0.25">
      <c r="A8260" t="str">
        <f>"4813026820"</f>
        <v>4813026820</v>
      </c>
      <c r="B8260" t="s">
        <v>11311</v>
      </c>
      <c r="C8260" t="s">
        <v>7</v>
      </c>
      <c r="D8260" t="s">
        <v>146</v>
      </c>
      <c r="E8260" t="s">
        <v>11217</v>
      </c>
      <c r="F8260" t="s">
        <v>11274</v>
      </c>
    </row>
    <row r="8261" spans="1:6" x14ac:dyDescent="0.25">
      <c r="A8261" t="str">
        <f>"481303990015"</f>
        <v>481303990015</v>
      </c>
      <c r="B8261" t="s">
        <v>11312</v>
      </c>
      <c r="C8261" t="s">
        <v>7</v>
      </c>
      <c r="D8261" t="s">
        <v>14</v>
      </c>
      <c r="E8261" t="s">
        <v>11217</v>
      </c>
    </row>
    <row r="8262" spans="1:6" x14ac:dyDescent="0.25">
      <c r="A8262" t="str">
        <f>"4816025624"</f>
        <v>4816025624</v>
      </c>
      <c r="B8262" t="s">
        <v>11313</v>
      </c>
      <c r="C8262" t="s">
        <v>7</v>
      </c>
      <c r="D8262" t="s">
        <v>12</v>
      </c>
      <c r="E8262" t="s">
        <v>11217</v>
      </c>
      <c r="F8262" t="s">
        <v>11314</v>
      </c>
    </row>
    <row r="8263" spans="1:6" x14ac:dyDescent="0.25">
      <c r="A8263" t="str">
        <f>"481800046505"</f>
        <v>481800046505</v>
      </c>
      <c r="B8263" t="s">
        <v>11315</v>
      </c>
      <c r="C8263" t="s">
        <v>7</v>
      </c>
      <c r="D8263" t="s">
        <v>14</v>
      </c>
      <c r="E8263" t="s">
        <v>11217</v>
      </c>
    </row>
    <row r="8264" spans="1:6" x14ac:dyDescent="0.25">
      <c r="A8264" t="str">
        <f>"482100054397"</f>
        <v>482100054397</v>
      </c>
      <c r="B8264" t="s">
        <v>11316</v>
      </c>
      <c r="C8264" t="s">
        <v>7</v>
      </c>
      <c r="D8264" t="s">
        <v>14</v>
      </c>
      <c r="E8264" t="s">
        <v>11217</v>
      </c>
    </row>
    <row r="8265" spans="1:6" x14ac:dyDescent="0.25">
      <c r="A8265" t="str">
        <f>"482100200993"</f>
        <v>482100200993</v>
      </c>
      <c r="B8265" t="s">
        <v>9822</v>
      </c>
      <c r="C8265" t="s">
        <v>7</v>
      </c>
      <c r="D8265" t="s">
        <v>14</v>
      </c>
      <c r="E8265" t="s">
        <v>11217</v>
      </c>
    </row>
    <row r="8266" spans="1:6" x14ac:dyDescent="0.25">
      <c r="A8266" t="str">
        <f>"482101225800"</f>
        <v>482101225800</v>
      </c>
      <c r="B8266" t="s">
        <v>11317</v>
      </c>
      <c r="C8266" t="s">
        <v>7</v>
      </c>
      <c r="D8266" t="s">
        <v>14</v>
      </c>
      <c r="E8266" t="s">
        <v>11217</v>
      </c>
    </row>
    <row r="8267" spans="1:6" x14ac:dyDescent="0.25">
      <c r="A8267" t="str">
        <f>"4821014057"</f>
        <v>4821014057</v>
      </c>
      <c r="B8267" t="s">
        <v>11318</v>
      </c>
      <c r="C8267" t="s">
        <v>7</v>
      </c>
      <c r="D8267" t="s">
        <v>14</v>
      </c>
      <c r="E8267" t="s">
        <v>11217</v>
      </c>
      <c r="F8267" t="s">
        <v>11319</v>
      </c>
    </row>
    <row r="8268" spans="1:6" x14ac:dyDescent="0.25">
      <c r="A8268" t="str">
        <f>"482110899072"</f>
        <v>482110899072</v>
      </c>
      <c r="B8268" t="s">
        <v>11320</v>
      </c>
      <c r="C8268" t="s">
        <v>7</v>
      </c>
      <c r="D8268" t="s">
        <v>14</v>
      </c>
      <c r="E8268" t="s">
        <v>11217</v>
      </c>
    </row>
    <row r="8269" spans="1:6" x14ac:dyDescent="0.25">
      <c r="A8269" t="str">
        <f>"482301227804"</f>
        <v>482301227804</v>
      </c>
      <c r="B8269" t="s">
        <v>11321</v>
      </c>
      <c r="C8269" t="s">
        <v>7</v>
      </c>
      <c r="D8269" t="s">
        <v>14</v>
      </c>
      <c r="E8269" t="s">
        <v>11217</v>
      </c>
    </row>
    <row r="8270" spans="1:6" x14ac:dyDescent="0.25">
      <c r="A8270" t="str">
        <f>"482303772731"</f>
        <v>482303772731</v>
      </c>
      <c r="B8270" t="s">
        <v>11322</v>
      </c>
      <c r="C8270" t="s">
        <v>7</v>
      </c>
      <c r="D8270" t="s">
        <v>14</v>
      </c>
      <c r="E8270" t="s">
        <v>11217</v>
      </c>
    </row>
    <row r="8271" spans="1:6" x14ac:dyDescent="0.25">
      <c r="A8271" t="str">
        <f>"482304489759"</f>
        <v>482304489759</v>
      </c>
      <c r="B8271" t="s">
        <v>11323</v>
      </c>
      <c r="C8271" t="s">
        <v>7</v>
      </c>
      <c r="D8271" t="s">
        <v>14</v>
      </c>
      <c r="E8271" t="s">
        <v>11217</v>
      </c>
    </row>
    <row r="8272" spans="1:6" x14ac:dyDescent="0.25">
      <c r="A8272" t="str">
        <f>"4823074950"</f>
        <v>4823074950</v>
      </c>
      <c r="B8272" t="s">
        <v>11324</v>
      </c>
      <c r="C8272" t="s">
        <v>7</v>
      </c>
      <c r="D8272" t="s">
        <v>12</v>
      </c>
      <c r="E8272" t="s">
        <v>11217</v>
      </c>
      <c r="F8272" t="s">
        <v>11325</v>
      </c>
    </row>
    <row r="8273" spans="1:6" x14ac:dyDescent="0.25">
      <c r="A8273" t="str">
        <f>"4823076323"</f>
        <v>4823076323</v>
      </c>
      <c r="B8273" t="s">
        <v>11326</v>
      </c>
      <c r="C8273" t="s">
        <v>7</v>
      </c>
      <c r="D8273" t="s">
        <v>12</v>
      </c>
      <c r="E8273" t="s">
        <v>11217</v>
      </c>
      <c r="F8273" t="s">
        <v>11327</v>
      </c>
    </row>
    <row r="8274" spans="1:6" x14ac:dyDescent="0.25">
      <c r="A8274" t="str">
        <f>"482404705925"</f>
        <v>482404705925</v>
      </c>
      <c r="B8274" t="s">
        <v>11328</v>
      </c>
      <c r="C8274" t="s">
        <v>7</v>
      </c>
      <c r="D8274" t="s">
        <v>14</v>
      </c>
      <c r="E8274" t="s">
        <v>11217</v>
      </c>
    </row>
    <row r="8275" spans="1:6" x14ac:dyDescent="0.25">
      <c r="A8275" t="str">
        <f>"482412468900"</f>
        <v>482412468900</v>
      </c>
      <c r="B8275" t="s">
        <v>11329</v>
      </c>
      <c r="C8275" t="s">
        <v>7</v>
      </c>
      <c r="D8275" t="s">
        <v>14</v>
      </c>
      <c r="E8275" t="s">
        <v>11217</v>
      </c>
    </row>
    <row r="8276" spans="1:6" x14ac:dyDescent="0.25">
      <c r="A8276" t="str">
        <f>"482412693110"</f>
        <v>482412693110</v>
      </c>
      <c r="B8276" t="s">
        <v>11330</v>
      </c>
      <c r="C8276" t="s">
        <v>7</v>
      </c>
      <c r="D8276" t="s">
        <v>14</v>
      </c>
      <c r="E8276" t="s">
        <v>11217</v>
      </c>
    </row>
    <row r="8277" spans="1:6" x14ac:dyDescent="0.25">
      <c r="A8277" t="str">
        <f>"482414229619"</f>
        <v>482414229619</v>
      </c>
      <c r="B8277" t="s">
        <v>11331</v>
      </c>
      <c r="C8277" t="s">
        <v>7</v>
      </c>
      <c r="D8277" t="s">
        <v>12</v>
      </c>
      <c r="E8277" t="s">
        <v>11217</v>
      </c>
    </row>
    <row r="8278" spans="1:6" x14ac:dyDescent="0.25">
      <c r="A8278" t="str">
        <f>"482416049932"</f>
        <v>482416049932</v>
      </c>
      <c r="B8278" t="s">
        <v>11332</v>
      </c>
      <c r="C8278" t="s">
        <v>7</v>
      </c>
      <c r="D8278" t="s">
        <v>12</v>
      </c>
      <c r="E8278" t="s">
        <v>11217</v>
      </c>
    </row>
    <row r="8279" spans="1:6" x14ac:dyDescent="0.25">
      <c r="A8279" t="str">
        <f>"482421917704"</f>
        <v>482421917704</v>
      </c>
      <c r="B8279" t="s">
        <v>11333</v>
      </c>
      <c r="C8279" t="s">
        <v>7</v>
      </c>
      <c r="D8279" t="s">
        <v>33</v>
      </c>
      <c r="E8279" t="s">
        <v>11217</v>
      </c>
    </row>
    <row r="8280" spans="1:6" x14ac:dyDescent="0.25">
      <c r="A8280" t="str">
        <f>"482500154011"</f>
        <v>482500154011</v>
      </c>
      <c r="B8280" t="s">
        <v>11334</v>
      </c>
      <c r="C8280" t="s">
        <v>7</v>
      </c>
      <c r="D8280" t="s">
        <v>14</v>
      </c>
      <c r="E8280" t="s">
        <v>11217</v>
      </c>
    </row>
    <row r="8281" spans="1:6" x14ac:dyDescent="0.25">
      <c r="A8281" t="str">
        <f>"482501986502"</f>
        <v>482501986502</v>
      </c>
      <c r="B8281" t="s">
        <v>11335</v>
      </c>
      <c r="C8281" t="s">
        <v>7</v>
      </c>
      <c r="D8281" t="s">
        <v>14</v>
      </c>
      <c r="E8281" t="s">
        <v>11217</v>
      </c>
    </row>
    <row r="8282" spans="1:6" x14ac:dyDescent="0.25">
      <c r="A8282" t="str">
        <f>"482502078197"</f>
        <v>482502078197</v>
      </c>
      <c r="B8282" t="s">
        <v>11336</v>
      </c>
      <c r="C8282" t="s">
        <v>7</v>
      </c>
      <c r="D8282" t="s">
        <v>14</v>
      </c>
      <c r="E8282" t="s">
        <v>11217</v>
      </c>
    </row>
    <row r="8283" spans="1:6" x14ac:dyDescent="0.25">
      <c r="A8283" t="str">
        <f>"4825110322"</f>
        <v>4825110322</v>
      </c>
      <c r="B8283" t="s">
        <v>11337</v>
      </c>
      <c r="C8283" t="s">
        <v>7</v>
      </c>
      <c r="D8283" t="s">
        <v>12</v>
      </c>
      <c r="E8283" t="s">
        <v>11217</v>
      </c>
      <c r="F8283" t="s">
        <v>11338</v>
      </c>
    </row>
    <row r="8284" spans="1:6" x14ac:dyDescent="0.25">
      <c r="A8284" t="str">
        <f>"4825113250"</f>
        <v>4825113250</v>
      </c>
      <c r="B8284" t="s">
        <v>11339</v>
      </c>
      <c r="C8284" t="s">
        <v>7</v>
      </c>
      <c r="D8284" t="s">
        <v>12</v>
      </c>
      <c r="E8284" t="s">
        <v>11217</v>
      </c>
      <c r="F8284" t="s">
        <v>11340</v>
      </c>
    </row>
    <row r="8285" spans="1:6" x14ac:dyDescent="0.25">
      <c r="A8285" t="str">
        <f>"4825113683"</f>
        <v>4825113683</v>
      </c>
      <c r="B8285" t="s">
        <v>11341</v>
      </c>
      <c r="C8285" t="s">
        <v>7</v>
      </c>
      <c r="D8285" t="s">
        <v>33</v>
      </c>
      <c r="E8285" t="s">
        <v>11217</v>
      </c>
      <c r="F8285" t="s">
        <v>11342</v>
      </c>
    </row>
    <row r="8286" spans="1:6" x14ac:dyDescent="0.25">
      <c r="A8286" t="str">
        <f>"482600231051"</f>
        <v>482600231051</v>
      </c>
      <c r="B8286" t="s">
        <v>11343</v>
      </c>
      <c r="C8286" t="s">
        <v>7</v>
      </c>
      <c r="D8286" t="s">
        <v>14</v>
      </c>
      <c r="E8286" t="s">
        <v>11217</v>
      </c>
    </row>
    <row r="8287" spans="1:6" x14ac:dyDescent="0.25">
      <c r="A8287" t="str">
        <f>"482604494541"</f>
        <v>482604494541</v>
      </c>
      <c r="B8287" t="s">
        <v>11344</v>
      </c>
      <c r="C8287" t="s">
        <v>7</v>
      </c>
      <c r="D8287" t="s">
        <v>14</v>
      </c>
      <c r="E8287" t="s">
        <v>11217</v>
      </c>
    </row>
    <row r="8288" spans="1:6" x14ac:dyDescent="0.25">
      <c r="A8288" t="str">
        <f>"482605900877"</f>
        <v>482605900877</v>
      </c>
      <c r="B8288" t="s">
        <v>11345</v>
      </c>
      <c r="C8288" t="s">
        <v>7</v>
      </c>
      <c r="D8288" t="s">
        <v>12</v>
      </c>
      <c r="E8288" t="s">
        <v>11217</v>
      </c>
    </row>
    <row r="8289" spans="1:6" x14ac:dyDescent="0.25">
      <c r="A8289" t="str">
        <f>"4826069363"</f>
        <v>4826069363</v>
      </c>
      <c r="B8289" t="s">
        <v>11346</v>
      </c>
      <c r="C8289" t="s">
        <v>7</v>
      </c>
      <c r="D8289" t="s">
        <v>33</v>
      </c>
      <c r="E8289" t="s">
        <v>11217</v>
      </c>
      <c r="F8289" t="s">
        <v>11347</v>
      </c>
    </row>
    <row r="8290" spans="1:6" x14ac:dyDescent="0.25">
      <c r="A8290" t="str">
        <f>"4826072630"</f>
        <v>4826072630</v>
      </c>
      <c r="B8290" t="s">
        <v>11348</v>
      </c>
      <c r="C8290" t="s">
        <v>7</v>
      </c>
      <c r="D8290" t="s">
        <v>12</v>
      </c>
      <c r="E8290" t="s">
        <v>11217</v>
      </c>
      <c r="F8290" t="s">
        <v>11349</v>
      </c>
    </row>
    <row r="8291" spans="1:6" x14ac:dyDescent="0.25">
      <c r="A8291" t="str">
        <f>"4826072817"</f>
        <v>4826072817</v>
      </c>
      <c r="B8291" t="s">
        <v>11350</v>
      </c>
      <c r="C8291" t="s">
        <v>7</v>
      </c>
      <c r="D8291" t="s">
        <v>14</v>
      </c>
      <c r="E8291" t="s">
        <v>11217</v>
      </c>
      <c r="F8291" t="s">
        <v>11351</v>
      </c>
    </row>
    <row r="8292" spans="1:6" x14ac:dyDescent="0.25">
      <c r="A8292" t="str">
        <f>"4826125956"</f>
        <v>4826125956</v>
      </c>
      <c r="B8292" t="s">
        <v>11352</v>
      </c>
      <c r="C8292" t="s">
        <v>7</v>
      </c>
      <c r="D8292" t="s">
        <v>12</v>
      </c>
      <c r="E8292" t="s">
        <v>11217</v>
      </c>
      <c r="F8292" t="s">
        <v>11353</v>
      </c>
    </row>
    <row r="8293" spans="1:6" x14ac:dyDescent="0.25">
      <c r="A8293" t="str">
        <f>"4826126371"</f>
        <v>4826126371</v>
      </c>
      <c r="B8293" t="s">
        <v>11354</v>
      </c>
      <c r="C8293" t="s">
        <v>7</v>
      </c>
      <c r="D8293" t="s">
        <v>14</v>
      </c>
      <c r="E8293" t="s">
        <v>11217</v>
      </c>
      <c r="F8293" t="s">
        <v>11355</v>
      </c>
    </row>
    <row r="8294" spans="1:6" x14ac:dyDescent="0.25">
      <c r="A8294" t="str">
        <f>"4826136193"</f>
        <v>4826136193</v>
      </c>
      <c r="B8294" t="s">
        <v>111</v>
      </c>
      <c r="C8294" t="s">
        <v>7</v>
      </c>
      <c r="D8294" t="s">
        <v>12</v>
      </c>
      <c r="E8294" t="s">
        <v>11217</v>
      </c>
      <c r="F8294" t="s">
        <v>11356</v>
      </c>
    </row>
    <row r="8295" spans="1:6" x14ac:dyDescent="0.25">
      <c r="A8295" t="str">
        <f>"4826138747"</f>
        <v>4826138747</v>
      </c>
      <c r="B8295" t="s">
        <v>11357</v>
      </c>
      <c r="C8295" t="s">
        <v>7</v>
      </c>
      <c r="D8295" t="s">
        <v>33</v>
      </c>
      <c r="E8295" t="s">
        <v>11217</v>
      </c>
      <c r="F8295" t="s">
        <v>11358</v>
      </c>
    </row>
    <row r="8296" spans="1:6" x14ac:dyDescent="0.25">
      <c r="A8296" t="str">
        <f>"4826151191"</f>
        <v>4826151191</v>
      </c>
      <c r="B8296" t="s">
        <v>11359</v>
      </c>
      <c r="C8296" t="s">
        <v>7</v>
      </c>
      <c r="D8296" t="s">
        <v>33</v>
      </c>
      <c r="E8296" t="s">
        <v>11217</v>
      </c>
      <c r="F8296" t="s">
        <v>11226</v>
      </c>
    </row>
    <row r="8297" spans="1:6" x14ac:dyDescent="0.25">
      <c r="A8297" t="str">
        <f>"4826154668"</f>
        <v>4826154668</v>
      </c>
      <c r="B8297" t="s">
        <v>11360</v>
      </c>
      <c r="C8297" t="s">
        <v>7</v>
      </c>
      <c r="D8297" t="s">
        <v>12</v>
      </c>
      <c r="E8297" t="s">
        <v>11217</v>
      </c>
      <c r="F8297" t="s">
        <v>11361</v>
      </c>
    </row>
    <row r="8298" spans="1:6" x14ac:dyDescent="0.25">
      <c r="A8298" t="str">
        <f>"4827000501"</f>
        <v>4827000501</v>
      </c>
      <c r="B8298" t="s">
        <v>11362</v>
      </c>
      <c r="C8298" t="s">
        <v>7</v>
      </c>
      <c r="D8298" t="s">
        <v>28</v>
      </c>
      <c r="E8298" t="s">
        <v>11217</v>
      </c>
      <c r="F8298" t="s">
        <v>11363</v>
      </c>
    </row>
    <row r="8299" spans="1:6" x14ac:dyDescent="0.25">
      <c r="A8299" t="str">
        <f>"4800007570"</f>
        <v>4800007570</v>
      </c>
      <c r="B8299" t="s">
        <v>11364</v>
      </c>
      <c r="C8299" t="s">
        <v>7</v>
      </c>
      <c r="D8299" t="s">
        <v>33</v>
      </c>
      <c r="E8299" t="s">
        <v>11217</v>
      </c>
      <c r="F8299" t="s">
        <v>11365</v>
      </c>
    </row>
    <row r="8300" spans="1:6" x14ac:dyDescent="0.25">
      <c r="A8300" t="str">
        <f>"4800022177"</f>
        <v>4800022177</v>
      </c>
      <c r="B8300" t="s">
        <v>9167</v>
      </c>
      <c r="C8300" t="s">
        <v>7</v>
      </c>
      <c r="D8300" t="s">
        <v>33</v>
      </c>
      <c r="E8300" t="s">
        <v>11217</v>
      </c>
      <c r="F8300" t="s">
        <v>11366</v>
      </c>
    </row>
    <row r="8301" spans="1:6" x14ac:dyDescent="0.25">
      <c r="A8301" t="str">
        <f>"4800022995"</f>
        <v>4800022995</v>
      </c>
      <c r="B8301" t="s">
        <v>11367</v>
      </c>
      <c r="C8301" t="s">
        <v>7</v>
      </c>
      <c r="D8301" t="s">
        <v>33</v>
      </c>
      <c r="E8301" t="s">
        <v>11217</v>
      </c>
      <c r="F8301" t="s">
        <v>11368</v>
      </c>
    </row>
    <row r="8302" spans="1:6" x14ac:dyDescent="0.25">
      <c r="A8302" t="str">
        <f>"480100003381"</f>
        <v>480100003381</v>
      </c>
      <c r="B8302" t="s">
        <v>11369</v>
      </c>
      <c r="C8302" t="s">
        <v>7</v>
      </c>
      <c r="D8302" t="s">
        <v>14</v>
      </c>
      <c r="E8302" t="s">
        <v>11217</v>
      </c>
    </row>
    <row r="8303" spans="1:6" x14ac:dyDescent="0.25">
      <c r="A8303" t="str">
        <f>"480209036427"</f>
        <v>480209036427</v>
      </c>
      <c r="B8303" t="s">
        <v>11370</v>
      </c>
      <c r="C8303" t="s">
        <v>7</v>
      </c>
      <c r="D8303" t="s">
        <v>14</v>
      </c>
      <c r="E8303" t="s">
        <v>11217</v>
      </c>
    </row>
    <row r="8304" spans="1:6" x14ac:dyDescent="0.25">
      <c r="A8304" t="str">
        <f>"480302814150"</f>
        <v>480302814150</v>
      </c>
      <c r="B8304" t="s">
        <v>11371</v>
      </c>
      <c r="C8304" t="s">
        <v>7</v>
      </c>
      <c r="D8304" t="s">
        <v>14</v>
      </c>
      <c r="E8304" t="s">
        <v>11217</v>
      </c>
    </row>
    <row r="8305" spans="1:6" x14ac:dyDescent="0.25">
      <c r="A8305" t="str">
        <f>"480405734700"</f>
        <v>480405734700</v>
      </c>
      <c r="B8305" t="s">
        <v>11372</v>
      </c>
      <c r="C8305" t="s">
        <v>7</v>
      </c>
      <c r="D8305" t="s">
        <v>14</v>
      </c>
      <c r="E8305" t="s">
        <v>11217</v>
      </c>
    </row>
    <row r="8306" spans="1:6" x14ac:dyDescent="0.25">
      <c r="A8306" t="str">
        <f>"480500035116"</f>
        <v>480500035116</v>
      </c>
      <c r="B8306" t="s">
        <v>11373</v>
      </c>
      <c r="C8306" t="s">
        <v>7</v>
      </c>
      <c r="D8306" t="s">
        <v>14</v>
      </c>
      <c r="E8306" t="s">
        <v>11217</v>
      </c>
    </row>
    <row r="8307" spans="1:6" x14ac:dyDescent="0.25">
      <c r="A8307" t="str">
        <f>"4807013855"</f>
        <v>4807013855</v>
      </c>
      <c r="B8307" t="s">
        <v>11374</v>
      </c>
      <c r="C8307" t="s">
        <v>7</v>
      </c>
      <c r="D8307" t="s">
        <v>12</v>
      </c>
      <c r="E8307" t="s">
        <v>11217</v>
      </c>
      <c r="F8307" t="s">
        <v>11375</v>
      </c>
    </row>
    <row r="8308" spans="1:6" x14ac:dyDescent="0.25">
      <c r="A8308" t="str">
        <f>"480801471652"</f>
        <v>480801471652</v>
      </c>
      <c r="B8308" t="s">
        <v>11376</v>
      </c>
      <c r="C8308" t="s">
        <v>7</v>
      </c>
      <c r="D8308" t="s">
        <v>14</v>
      </c>
      <c r="E8308" t="s">
        <v>11217</v>
      </c>
    </row>
    <row r="8309" spans="1:6" x14ac:dyDescent="0.25">
      <c r="A8309" t="str">
        <f>"4810004427"</f>
        <v>4810004427</v>
      </c>
      <c r="B8309" t="s">
        <v>11377</v>
      </c>
      <c r="C8309" t="s">
        <v>7</v>
      </c>
      <c r="D8309" t="s">
        <v>12</v>
      </c>
      <c r="E8309" t="s">
        <v>11217</v>
      </c>
      <c r="F8309" t="s">
        <v>11378</v>
      </c>
    </row>
    <row r="8310" spans="1:6" x14ac:dyDescent="0.25">
      <c r="A8310" t="str">
        <f>"481100588608"</f>
        <v>481100588608</v>
      </c>
      <c r="B8310" t="s">
        <v>11379</v>
      </c>
      <c r="C8310" t="s">
        <v>7</v>
      </c>
      <c r="D8310" t="s">
        <v>14</v>
      </c>
      <c r="E8310" t="s">
        <v>11217</v>
      </c>
    </row>
    <row r="8311" spans="1:6" x14ac:dyDescent="0.25">
      <c r="A8311" t="str">
        <f>"481103397591"</f>
        <v>481103397591</v>
      </c>
      <c r="B8311" t="s">
        <v>11380</v>
      </c>
      <c r="C8311" t="s">
        <v>7</v>
      </c>
      <c r="D8311" t="s">
        <v>14</v>
      </c>
      <c r="E8311" t="s">
        <v>11217</v>
      </c>
    </row>
    <row r="8312" spans="1:6" x14ac:dyDescent="0.25">
      <c r="A8312" t="str">
        <f>"4813013074"</f>
        <v>4813013074</v>
      </c>
      <c r="B8312" t="s">
        <v>11381</v>
      </c>
      <c r="C8312" t="s">
        <v>7</v>
      </c>
      <c r="D8312" t="s">
        <v>12</v>
      </c>
      <c r="E8312" t="s">
        <v>11217</v>
      </c>
      <c r="F8312" t="s">
        <v>11382</v>
      </c>
    </row>
    <row r="8313" spans="1:6" x14ac:dyDescent="0.25">
      <c r="A8313" t="str">
        <f>"481500739604"</f>
        <v>481500739604</v>
      </c>
      <c r="B8313" t="s">
        <v>11383</v>
      </c>
      <c r="C8313" t="s">
        <v>7</v>
      </c>
      <c r="D8313" t="s">
        <v>14</v>
      </c>
      <c r="E8313" t="s">
        <v>11217</v>
      </c>
    </row>
    <row r="8314" spans="1:6" x14ac:dyDescent="0.25">
      <c r="A8314" t="str">
        <f>"481800010643"</f>
        <v>481800010643</v>
      </c>
      <c r="B8314" t="s">
        <v>11384</v>
      </c>
      <c r="C8314" t="s">
        <v>7</v>
      </c>
      <c r="D8314" t="s">
        <v>14</v>
      </c>
      <c r="E8314" t="s">
        <v>11217</v>
      </c>
    </row>
    <row r="8315" spans="1:6" x14ac:dyDescent="0.25">
      <c r="A8315" t="str">
        <f>"482100208784"</f>
        <v>482100208784</v>
      </c>
      <c r="B8315" t="s">
        <v>11385</v>
      </c>
      <c r="C8315" t="s">
        <v>7</v>
      </c>
      <c r="D8315" t="s">
        <v>14</v>
      </c>
      <c r="E8315" t="s">
        <v>11217</v>
      </c>
    </row>
    <row r="8316" spans="1:6" x14ac:dyDescent="0.25">
      <c r="A8316" t="str">
        <f>"482100831702"</f>
        <v>482100831702</v>
      </c>
      <c r="B8316" t="s">
        <v>11386</v>
      </c>
      <c r="C8316" t="s">
        <v>7</v>
      </c>
      <c r="D8316" t="s">
        <v>14</v>
      </c>
      <c r="E8316" t="s">
        <v>11217</v>
      </c>
    </row>
    <row r="8317" spans="1:6" x14ac:dyDescent="0.25">
      <c r="A8317" t="str">
        <f>"4821013141"</f>
        <v>4821013141</v>
      </c>
      <c r="B8317" t="s">
        <v>594</v>
      </c>
      <c r="C8317" t="s">
        <v>7</v>
      </c>
      <c r="D8317" t="s">
        <v>12</v>
      </c>
      <c r="E8317" t="s">
        <v>11217</v>
      </c>
      <c r="F8317" t="s">
        <v>11387</v>
      </c>
    </row>
    <row r="8318" spans="1:6" x14ac:dyDescent="0.25">
      <c r="A8318" t="str">
        <f>"4821021417"</f>
        <v>4821021417</v>
      </c>
      <c r="B8318" t="s">
        <v>11388</v>
      </c>
      <c r="C8318" t="s">
        <v>7</v>
      </c>
      <c r="D8318" t="s">
        <v>33</v>
      </c>
      <c r="E8318" t="s">
        <v>11217</v>
      </c>
      <c r="F8318" t="s">
        <v>11389</v>
      </c>
    </row>
    <row r="8319" spans="1:6" x14ac:dyDescent="0.25">
      <c r="A8319" t="str">
        <f>"482102889176"</f>
        <v>482102889176</v>
      </c>
      <c r="B8319" t="s">
        <v>11390</v>
      </c>
      <c r="C8319" t="s">
        <v>7</v>
      </c>
      <c r="D8319" t="s">
        <v>33</v>
      </c>
      <c r="E8319" t="s">
        <v>11217</v>
      </c>
    </row>
    <row r="8320" spans="1:6" x14ac:dyDescent="0.25">
      <c r="A8320" t="str">
        <f>"4821034688"</f>
        <v>4821034688</v>
      </c>
      <c r="B8320" t="s">
        <v>11391</v>
      </c>
      <c r="C8320" t="s">
        <v>7</v>
      </c>
      <c r="D8320" t="s">
        <v>12</v>
      </c>
      <c r="E8320" t="s">
        <v>11217</v>
      </c>
      <c r="F8320" t="s">
        <v>11392</v>
      </c>
    </row>
    <row r="8321" spans="1:6" x14ac:dyDescent="0.25">
      <c r="A8321" t="str">
        <f>"482105814404"</f>
        <v>482105814404</v>
      </c>
      <c r="B8321" t="s">
        <v>11393</v>
      </c>
      <c r="C8321" t="s">
        <v>7</v>
      </c>
      <c r="D8321" t="s">
        <v>14</v>
      </c>
      <c r="E8321" t="s">
        <v>11217</v>
      </c>
    </row>
    <row r="8322" spans="1:6" x14ac:dyDescent="0.25">
      <c r="A8322" t="str">
        <f>"482109561916"</f>
        <v>482109561916</v>
      </c>
      <c r="B8322" t="s">
        <v>11394</v>
      </c>
      <c r="C8322" t="s">
        <v>7</v>
      </c>
      <c r="D8322" t="s">
        <v>14</v>
      </c>
      <c r="E8322" t="s">
        <v>11217</v>
      </c>
    </row>
    <row r="8323" spans="1:6" x14ac:dyDescent="0.25">
      <c r="A8323" t="str">
        <f>"482301145566"</f>
        <v>482301145566</v>
      </c>
      <c r="B8323" t="s">
        <v>11395</v>
      </c>
      <c r="C8323" t="s">
        <v>7</v>
      </c>
      <c r="D8323" t="s">
        <v>14</v>
      </c>
      <c r="E8323" t="s">
        <v>11217</v>
      </c>
    </row>
    <row r="8324" spans="1:6" x14ac:dyDescent="0.25">
      <c r="A8324" t="str">
        <f>"4823026058"</f>
        <v>4823026058</v>
      </c>
      <c r="B8324" t="s">
        <v>11396</v>
      </c>
      <c r="C8324" t="s">
        <v>7</v>
      </c>
      <c r="D8324" t="s">
        <v>33</v>
      </c>
      <c r="E8324" t="s">
        <v>11217</v>
      </c>
      <c r="F8324" t="s">
        <v>11397</v>
      </c>
    </row>
    <row r="8325" spans="1:6" x14ac:dyDescent="0.25">
      <c r="A8325" t="str">
        <f>"4823081570"</f>
        <v>4823081570</v>
      </c>
      <c r="B8325" t="s">
        <v>11398</v>
      </c>
      <c r="C8325" t="s">
        <v>7</v>
      </c>
      <c r="D8325" t="s">
        <v>12</v>
      </c>
      <c r="E8325" t="s">
        <v>11217</v>
      </c>
      <c r="F8325" t="s">
        <v>11399</v>
      </c>
    </row>
    <row r="8326" spans="1:6" x14ac:dyDescent="0.25">
      <c r="A8326" t="str">
        <f>"4824003102"</f>
        <v>4824003102</v>
      </c>
      <c r="B8326" t="s">
        <v>11400</v>
      </c>
      <c r="C8326" t="s">
        <v>7</v>
      </c>
      <c r="D8326" t="s">
        <v>14</v>
      </c>
      <c r="E8326" t="s">
        <v>11217</v>
      </c>
      <c r="F8326" t="s">
        <v>11401</v>
      </c>
    </row>
    <row r="8327" spans="1:6" x14ac:dyDescent="0.25">
      <c r="A8327" t="str">
        <f>"482401792704"</f>
        <v>482401792704</v>
      </c>
      <c r="B8327" t="s">
        <v>11402</v>
      </c>
      <c r="C8327" t="s">
        <v>7</v>
      </c>
      <c r="D8327" t="s">
        <v>14</v>
      </c>
      <c r="E8327" t="s">
        <v>11217</v>
      </c>
    </row>
    <row r="8328" spans="1:6" x14ac:dyDescent="0.25">
      <c r="A8328" t="str">
        <f>"4824034703"</f>
        <v>4824034703</v>
      </c>
      <c r="B8328" t="s">
        <v>11403</v>
      </c>
      <c r="C8328" t="s">
        <v>7</v>
      </c>
      <c r="D8328" t="s">
        <v>14</v>
      </c>
      <c r="E8328" t="s">
        <v>11217</v>
      </c>
      <c r="F8328" t="s">
        <v>11404</v>
      </c>
    </row>
    <row r="8329" spans="1:6" x14ac:dyDescent="0.25">
      <c r="A8329" t="str">
        <f>"4824105432"</f>
        <v>4824105432</v>
      </c>
      <c r="B8329" t="s">
        <v>11405</v>
      </c>
      <c r="C8329" t="s">
        <v>7</v>
      </c>
      <c r="D8329" t="s">
        <v>33</v>
      </c>
      <c r="E8329" t="s">
        <v>11217</v>
      </c>
      <c r="F8329" t="s">
        <v>11406</v>
      </c>
    </row>
    <row r="8330" spans="1:6" x14ac:dyDescent="0.25">
      <c r="A8330" t="str">
        <f>"482412582071"</f>
        <v>482412582071</v>
      </c>
      <c r="B8330" t="s">
        <v>11407</v>
      </c>
      <c r="C8330" t="s">
        <v>7</v>
      </c>
      <c r="D8330" t="s">
        <v>14</v>
      </c>
      <c r="E8330" t="s">
        <v>11217</v>
      </c>
    </row>
    <row r="8331" spans="1:6" x14ac:dyDescent="0.25">
      <c r="A8331" t="str">
        <f>"482414924549"</f>
        <v>482414924549</v>
      </c>
      <c r="B8331" t="s">
        <v>11408</v>
      </c>
      <c r="C8331" t="s">
        <v>7</v>
      </c>
      <c r="D8331" t="s">
        <v>12</v>
      </c>
      <c r="E8331" t="s">
        <v>11217</v>
      </c>
    </row>
    <row r="8332" spans="1:6" x14ac:dyDescent="0.25">
      <c r="A8332" t="str">
        <f>"482415577827"</f>
        <v>482415577827</v>
      </c>
      <c r="B8332" t="s">
        <v>11409</v>
      </c>
      <c r="C8332" t="s">
        <v>7</v>
      </c>
      <c r="D8332" t="s">
        <v>14</v>
      </c>
      <c r="E8332" t="s">
        <v>11217</v>
      </c>
    </row>
    <row r="8333" spans="1:6" x14ac:dyDescent="0.25">
      <c r="A8333" t="str">
        <f>"482419267826"</f>
        <v>482419267826</v>
      </c>
      <c r="B8333" t="s">
        <v>11410</v>
      </c>
      <c r="C8333" t="s">
        <v>7</v>
      </c>
      <c r="D8333" t="s">
        <v>14</v>
      </c>
      <c r="E8333" t="s">
        <v>11217</v>
      </c>
    </row>
    <row r="8334" spans="1:6" x14ac:dyDescent="0.25">
      <c r="A8334" t="str">
        <f>"482422321061"</f>
        <v>482422321061</v>
      </c>
      <c r="B8334" t="s">
        <v>11411</v>
      </c>
      <c r="C8334" t="s">
        <v>7</v>
      </c>
      <c r="D8334" t="s">
        <v>14</v>
      </c>
      <c r="E8334" t="s">
        <v>11217</v>
      </c>
    </row>
    <row r="8335" spans="1:6" x14ac:dyDescent="0.25">
      <c r="A8335" t="str">
        <f>"4825109310"</f>
        <v>4825109310</v>
      </c>
      <c r="B8335" t="s">
        <v>11412</v>
      </c>
      <c r="C8335" t="s">
        <v>7</v>
      </c>
      <c r="D8335" t="s">
        <v>33</v>
      </c>
      <c r="E8335" t="s">
        <v>11217</v>
      </c>
      <c r="F8335" t="s">
        <v>11413</v>
      </c>
    </row>
    <row r="8336" spans="1:6" x14ac:dyDescent="0.25">
      <c r="A8336" t="str">
        <f>"4825136384"</f>
        <v>4825136384</v>
      </c>
      <c r="B8336" t="s">
        <v>11414</v>
      </c>
      <c r="C8336" t="s">
        <v>7</v>
      </c>
      <c r="D8336" t="s">
        <v>674</v>
      </c>
      <c r="E8336" t="s">
        <v>11217</v>
      </c>
      <c r="F8336" t="s">
        <v>11415</v>
      </c>
    </row>
    <row r="8337" spans="1:6" x14ac:dyDescent="0.25">
      <c r="A8337" t="str">
        <f>"4825139314"</f>
        <v>4825139314</v>
      </c>
      <c r="B8337" t="s">
        <v>11416</v>
      </c>
      <c r="C8337" t="s">
        <v>7</v>
      </c>
      <c r="D8337" t="s">
        <v>98</v>
      </c>
      <c r="E8337" t="s">
        <v>11217</v>
      </c>
      <c r="F8337" t="s">
        <v>11417</v>
      </c>
    </row>
    <row r="8338" spans="1:6" x14ac:dyDescent="0.25">
      <c r="A8338" t="str">
        <f>"4826051045"</f>
        <v>4826051045</v>
      </c>
      <c r="B8338" t="s">
        <v>11418</v>
      </c>
      <c r="C8338" t="s">
        <v>7</v>
      </c>
      <c r="D8338" t="s">
        <v>8</v>
      </c>
      <c r="E8338" t="s">
        <v>11217</v>
      </c>
      <c r="F8338" t="s">
        <v>11419</v>
      </c>
    </row>
    <row r="8339" spans="1:6" x14ac:dyDescent="0.25">
      <c r="A8339" t="str">
        <f>"4826083456"</f>
        <v>4826083456</v>
      </c>
      <c r="B8339" t="s">
        <v>11420</v>
      </c>
      <c r="C8339" t="s">
        <v>7</v>
      </c>
      <c r="D8339" t="s">
        <v>14</v>
      </c>
      <c r="E8339" t="s">
        <v>11217</v>
      </c>
      <c r="F8339" t="s">
        <v>11421</v>
      </c>
    </row>
    <row r="8340" spans="1:6" x14ac:dyDescent="0.25">
      <c r="A8340" t="str">
        <f>"4826108693"</f>
        <v>4826108693</v>
      </c>
      <c r="B8340" t="s">
        <v>11422</v>
      </c>
      <c r="C8340" t="s">
        <v>7</v>
      </c>
      <c r="D8340" t="s">
        <v>33</v>
      </c>
      <c r="E8340" t="s">
        <v>11217</v>
      </c>
      <c r="F8340" t="s">
        <v>11423</v>
      </c>
    </row>
    <row r="8341" spans="1:6" x14ac:dyDescent="0.25">
      <c r="A8341" t="str">
        <f>"4826110822"</f>
        <v>4826110822</v>
      </c>
      <c r="B8341" t="s">
        <v>11424</v>
      </c>
      <c r="C8341" t="s">
        <v>7</v>
      </c>
      <c r="D8341" t="s">
        <v>12</v>
      </c>
      <c r="E8341" t="s">
        <v>11217</v>
      </c>
      <c r="F8341" t="s">
        <v>11425</v>
      </c>
    </row>
    <row r="8342" spans="1:6" x14ac:dyDescent="0.25">
      <c r="A8342" t="str">
        <f>"4826145511"</f>
        <v>4826145511</v>
      </c>
      <c r="B8342" t="s">
        <v>11426</v>
      </c>
      <c r="C8342" t="s">
        <v>7</v>
      </c>
      <c r="D8342" t="s">
        <v>33</v>
      </c>
      <c r="E8342" t="s">
        <v>11217</v>
      </c>
      <c r="F8342" t="s">
        <v>11427</v>
      </c>
    </row>
    <row r="8343" spans="1:6" x14ac:dyDescent="0.25">
      <c r="A8343" t="str">
        <f>"861707756241"</f>
        <v>861707756241</v>
      </c>
      <c r="B8343" t="s">
        <v>11428</v>
      </c>
      <c r="C8343" t="s">
        <v>7</v>
      </c>
      <c r="D8343" t="s">
        <v>33</v>
      </c>
      <c r="E8343" t="s">
        <v>11217</v>
      </c>
    </row>
    <row r="8344" spans="1:6" x14ac:dyDescent="0.25">
      <c r="A8344" t="str">
        <f>"401112483704"</f>
        <v>401112483704</v>
      </c>
      <c r="B8344" t="s">
        <v>11429</v>
      </c>
      <c r="C8344" t="s">
        <v>7</v>
      </c>
      <c r="D8344" t="s">
        <v>189</v>
      </c>
      <c r="E8344" t="s">
        <v>11217</v>
      </c>
    </row>
    <row r="8345" spans="1:6" x14ac:dyDescent="0.25">
      <c r="A8345" t="str">
        <f>"6800013578"</f>
        <v>6800013578</v>
      </c>
      <c r="B8345" t="s">
        <v>5579</v>
      </c>
      <c r="C8345" t="s">
        <v>7</v>
      </c>
      <c r="D8345" t="s">
        <v>12</v>
      </c>
      <c r="E8345" t="s">
        <v>11217</v>
      </c>
      <c r="F8345" t="s">
        <v>11430</v>
      </c>
    </row>
    <row r="8346" spans="1:6" x14ac:dyDescent="0.25">
      <c r="A8346" t="str">
        <f>"9706007974"</f>
        <v>9706007974</v>
      </c>
      <c r="B8346" t="s">
        <v>11431</v>
      </c>
      <c r="C8346" t="s">
        <v>7</v>
      </c>
      <c r="D8346" t="s">
        <v>14</v>
      </c>
      <c r="E8346" t="s">
        <v>11217</v>
      </c>
      <c r="F8346" t="s">
        <v>11432</v>
      </c>
    </row>
    <row r="8347" spans="1:6" x14ac:dyDescent="0.25">
      <c r="A8347" t="str">
        <f>"4908001165"</f>
        <v>4908001165</v>
      </c>
      <c r="B8347" t="s">
        <v>11433</v>
      </c>
      <c r="C8347" t="s">
        <v>7</v>
      </c>
      <c r="D8347" t="s">
        <v>14</v>
      </c>
      <c r="E8347" t="s">
        <v>11434</v>
      </c>
      <c r="F8347" t="s">
        <v>11435</v>
      </c>
    </row>
    <row r="8348" spans="1:6" x14ac:dyDescent="0.25">
      <c r="A8348" t="str">
        <f>"490904324455"</f>
        <v>490904324455</v>
      </c>
      <c r="B8348" t="s">
        <v>11436</v>
      </c>
      <c r="C8348" t="s">
        <v>7</v>
      </c>
      <c r="D8348" t="s">
        <v>12</v>
      </c>
      <c r="E8348" t="s">
        <v>11434</v>
      </c>
    </row>
    <row r="8349" spans="1:6" x14ac:dyDescent="0.25">
      <c r="A8349" t="str">
        <f>"490910406346"</f>
        <v>490910406346</v>
      </c>
      <c r="B8349" t="s">
        <v>11437</v>
      </c>
      <c r="C8349" t="s">
        <v>7</v>
      </c>
      <c r="D8349" t="s">
        <v>14</v>
      </c>
      <c r="E8349" t="s">
        <v>11434</v>
      </c>
    </row>
    <row r="8350" spans="1:6" x14ac:dyDescent="0.25">
      <c r="A8350" t="str">
        <f>"490912648502"</f>
        <v>490912648502</v>
      </c>
      <c r="B8350" t="s">
        <v>11438</v>
      </c>
      <c r="C8350" t="s">
        <v>7</v>
      </c>
      <c r="D8350" t="s">
        <v>14</v>
      </c>
      <c r="E8350" t="s">
        <v>11434</v>
      </c>
    </row>
    <row r="8351" spans="1:6" x14ac:dyDescent="0.25">
      <c r="A8351" t="str">
        <f>"490606895630"</f>
        <v>490606895630</v>
      </c>
      <c r="B8351" t="s">
        <v>11439</v>
      </c>
      <c r="C8351" t="s">
        <v>7</v>
      </c>
      <c r="D8351" t="s">
        <v>14</v>
      </c>
      <c r="E8351" t="s">
        <v>11434</v>
      </c>
    </row>
    <row r="8352" spans="1:6" x14ac:dyDescent="0.25">
      <c r="A8352" t="str">
        <f>"490701322420"</f>
        <v>490701322420</v>
      </c>
      <c r="B8352" t="s">
        <v>11440</v>
      </c>
      <c r="C8352" t="s">
        <v>7</v>
      </c>
      <c r="D8352" t="s">
        <v>14</v>
      </c>
      <c r="E8352" t="s">
        <v>11434</v>
      </c>
    </row>
    <row r="8353" spans="1:6" x14ac:dyDescent="0.25">
      <c r="A8353" t="str">
        <f>"490600083984"</f>
        <v>490600083984</v>
      </c>
      <c r="B8353" t="s">
        <v>11441</v>
      </c>
      <c r="C8353" t="s">
        <v>7</v>
      </c>
      <c r="D8353" t="s">
        <v>14</v>
      </c>
      <c r="E8353" t="s">
        <v>11434</v>
      </c>
    </row>
    <row r="8354" spans="1:6" x14ac:dyDescent="0.25">
      <c r="A8354" t="str">
        <f>"490700549323"</f>
        <v>490700549323</v>
      </c>
      <c r="B8354" t="s">
        <v>11442</v>
      </c>
      <c r="C8354" t="s">
        <v>7</v>
      </c>
      <c r="D8354" t="s">
        <v>14</v>
      </c>
      <c r="E8354" t="s">
        <v>11434</v>
      </c>
    </row>
    <row r="8355" spans="1:6" x14ac:dyDescent="0.25">
      <c r="A8355" t="str">
        <f>"490800183231"</f>
        <v>490800183231</v>
      </c>
      <c r="B8355" t="s">
        <v>11443</v>
      </c>
      <c r="C8355" t="s">
        <v>7</v>
      </c>
      <c r="D8355" t="s">
        <v>14</v>
      </c>
      <c r="E8355" t="s">
        <v>11434</v>
      </c>
    </row>
    <row r="8356" spans="1:6" x14ac:dyDescent="0.25">
      <c r="A8356" t="str">
        <f>"490900192134"</f>
        <v>490900192134</v>
      </c>
      <c r="B8356" t="s">
        <v>11444</v>
      </c>
      <c r="C8356" t="s">
        <v>7</v>
      </c>
      <c r="D8356" t="s">
        <v>14</v>
      </c>
      <c r="E8356" t="s">
        <v>11434</v>
      </c>
    </row>
    <row r="8357" spans="1:6" x14ac:dyDescent="0.25">
      <c r="A8357" t="str">
        <f>"490902831763"</f>
        <v>490902831763</v>
      </c>
      <c r="B8357" t="s">
        <v>11445</v>
      </c>
      <c r="C8357" t="s">
        <v>7</v>
      </c>
      <c r="D8357" t="s">
        <v>14</v>
      </c>
      <c r="E8357" t="s">
        <v>11434</v>
      </c>
    </row>
    <row r="8358" spans="1:6" x14ac:dyDescent="0.25">
      <c r="A8358" t="str">
        <f>"490903320497"</f>
        <v>490903320497</v>
      </c>
      <c r="B8358" t="s">
        <v>11446</v>
      </c>
      <c r="C8358" t="s">
        <v>7</v>
      </c>
      <c r="D8358" t="s">
        <v>12</v>
      </c>
      <c r="E8358" t="s">
        <v>11434</v>
      </c>
    </row>
    <row r="8359" spans="1:6" x14ac:dyDescent="0.25">
      <c r="A8359" t="str">
        <f>"490909905132"</f>
        <v>490909905132</v>
      </c>
      <c r="B8359" t="s">
        <v>11447</v>
      </c>
      <c r="C8359" t="s">
        <v>7</v>
      </c>
      <c r="D8359" t="s">
        <v>12</v>
      </c>
      <c r="E8359" t="s">
        <v>11434</v>
      </c>
    </row>
    <row r="8360" spans="1:6" x14ac:dyDescent="0.25">
      <c r="A8360" t="str">
        <f>"4909105495"</f>
        <v>4909105495</v>
      </c>
      <c r="B8360" t="s">
        <v>11448</v>
      </c>
      <c r="C8360" t="s">
        <v>7</v>
      </c>
      <c r="D8360" t="s">
        <v>33</v>
      </c>
      <c r="E8360" t="s">
        <v>11434</v>
      </c>
      <c r="F8360" t="s">
        <v>11449</v>
      </c>
    </row>
    <row r="8361" spans="1:6" x14ac:dyDescent="0.25">
      <c r="A8361" t="str">
        <f>"4909120542"</f>
        <v>4909120542</v>
      </c>
      <c r="B8361" t="s">
        <v>11450</v>
      </c>
      <c r="C8361" t="s">
        <v>7</v>
      </c>
      <c r="D8361" t="s">
        <v>14</v>
      </c>
      <c r="E8361" t="s">
        <v>11434</v>
      </c>
      <c r="F8361" t="s">
        <v>11451</v>
      </c>
    </row>
    <row r="8362" spans="1:6" x14ac:dyDescent="0.25">
      <c r="A8362" t="str">
        <f>"4909910477"</f>
        <v>4909910477</v>
      </c>
      <c r="B8362" t="s">
        <v>11452</v>
      </c>
      <c r="C8362" t="s">
        <v>7</v>
      </c>
      <c r="D8362" t="s">
        <v>14</v>
      </c>
      <c r="E8362" t="s">
        <v>11434</v>
      </c>
      <c r="F8362" t="s">
        <v>11453</v>
      </c>
    </row>
    <row r="8363" spans="1:6" x14ac:dyDescent="0.25">
      <c r="A8363" t="str">
        <f>"490700042580"</f>
        <v>490700042580</v>
      </c>
      <c r="B8363" t="s">
        <v>11454</v>
      </c>
      <c r="C8363" t="s">
        <v>7</v>
      </c>
      <c r="D8363" t="s">
        <v>12</v>
      </c>
      <c r="E8363" t="s">
        <v>11434</v>
      </c>
    </row>
    <row r="8364" spans="1:6" x14ac:dyDescent="0.25">
      <c r="A8364" t="str">
        <f>"490903470774"</f>
        <v>490903470774</v>
      </c>
      <c r="B8364" t="s">
        <v>11455</v>
      </c>
      <c r="C8364" t="s">
        <v>7</v>
      </c>
      <c r="D8364" t="s">
        <v>12</v>
      </c>
      <c r="E8364" t="s">
        <v>11434</v>
      </c>
    </row>
    <row r="8365" spans="1:6" x14ac:dyDescent="0.25">
      <c r="A8365" t="str">
        <f>"490904742903"</f>
        <v>490904742903</v>
      </c>
      <c r="B8365" t="s">
        <v>11456</v>
      </c>
      <c r="C8365" t="s">
        <v>7</v>
      </c>
      <c r="D8365" t="s">
        <v>14</v>
      </c>
      <c r="E8365" t="s">
        <v>11434</v>
      </c>
    </row>
    <row r="8366" spans="1:6" x14ac:dyDescent="0.25">
      <c r="A8366" t="str">
        <f>"490907901206"</f>
        <v>490907901206</v>
      </c>
      <c r="B8366" t="s">
        <v>11457</v>
      </c>
      <c r="C8366" t="s">
        <v>7</v>
      </c>
      <c r="D8366" t="s">
        <v>14</v>
      </c>
      <c r="E8366" t="s">
        <v>11434</v>
      </c>
    </row>
    <row r="8367" spans="1:6" x14ac:dyDescent="0.25">
      <c r="A8367" t="str">
        <f>"490910370788"</f>
        <v>490910370788</v>
      </c>
      <c r="B8367" t="s">
        <v>11458</v>
      </c>
      <c r="C8367" t="s">
        <v>7</v>
      </c>
      <c r="D8367" t="s">
        <v>14</v>
      </c>
      <c r="E8367" t="s">
        <v>11434</v>
      </c>
    </row>
    <row r="8368" spans="1:6" x14ac:dyDescent="0.25">
      <c r="A8368" t="str">
        <f>"490900877995"</f>
        <v>490900877995</v>
      </c>
      <c r="B8368" t="s">
        <v>11459</v>
      </c>
      <c r="C8368" t="s">
        <v>7</v>
      </c>
      <c r="D8368" t="s">
        <v>12</v>
      </c>
      <c r="E8368" t="s">
        <v>11434</v>
      </c>
    </row>
    <row r="8369" spans="1:6" x14ac:dyDescent="0.25">
      <c r="A8369" t="str">
        <f>"490901809356"</f>
        <v>490901809356</v>
      </c>
      <c r="B8369" t="s">
        <v>11460</v>
      </c>
      <c r="C8369" t="s">
        <v>7</v>
      </c>
      <c r="D8369" t="s">
        <v>14</v>
      </c>
      <c r="E8369" t="s">
        <v>11434</v>
      </c>
    </row>
    <row r="8370" spans="1:6" x14ac:dyDescent="0.25">
      <c r="A8370" t="str">
        <f>"4909087729"</f>
        <v>4909087729</v>
      </c>
      <c r="B8370" t="s">
        <v>11461</v>
      </c>
      <c r="C8370" t="s">
        <v>7</v>
      </c>
      <c r="D8370" t="s">
        <v>14</v>
      </c>
      <c r="E8370" t="s">
        <v>11434</v>
      </c>
      <c r="F8370" t="s">
        <v>11462</v>
      </c>
    </row>
    <row r="8371" spans="1:6" x14ac:dyDescent="0.25">
      <c r="A8371" t="str">
        <f>"490909808114"</f>
        <v>490909808114</v>
      </c>
      <c r="B8371" t="s">
        <v>11463</v>
      </c>
      <c r="C8371" t="s">
        <v>7</v>
      </c>
      <c r="D8371" t="s">
        <v>14</v>
      </c>
      <c r="E8371" t="s">
        <v>11434</v>
      </c>
    </row>
    <row r="8372" spans="1:6" x14ac:dyDescent="0.25">
      <c r="A8372" t="str">
        <f>"4909098488"</f>
        <v>4909098488</v>
      </c>
      <c r="B8372" t="s">
        <v>11464</v>
      </c>
      <c r="C8372" t="s">
        <v>7</v>
      </c>
      <c r="D8372" t="s">
        <v>12</v>
      </c>
      <c r="E8372" t="s">
        <v>11434</v>
      </c>
      <c r="F8372" t="s">
        <v>11465</v>
      </c>
    </row>
    <row r="8373" spans="1:6" x14ac:dyDescent="0.25">
      <c r="A8373" t="str">
        <f>"4909109242"</f>
        <v>4909109242</v>
      </c>
      <c r="B8373" t="s">
        <v>11466</v>
      </c>
      <c r="C8373" t="s">
        <v>7</v>
      </c>
      <c r="D8373" t="s">
        <v>14</v>
      </c>
      <c r="E8373" t="s">
        <v>11434</v>
      </c>
      <c r="F8373" t="s">
        <v>11467</v>
      </c>
    </row>
    <row r="8374" spans="1:6" x14ac:dyDescent="0.25">
      <c r="A8374" t="str">
        <f>"4909120616"</f>
        <v>4909120616</v>
      </c>
      <c r="B8374" t="s">
        <v>2423</v>
      </c>
      <c r="C8374" t="s">
        <v>7</v>
      </c>
      <c r="D8374" t="s">
        <v>14</v>
      </c>
      <c r="E8374" t="s">
        <v>11434</v>
      </c>
      <c r="F8374" t="s">
        <v>11468</v>
      </c>
    </row>
    <row r="8375" spans="1:6" x14ac:dyDescent="0.25">
      <c r="A8375" t="str">
        <f>"490912256350"</f>
        <v>490912256350</v>
      </c>
      <c r="B8375" t="s">
        <v>11469</v>
      </c>
      <c r="C8375" t="s">
        <v>7</v>
      </c>
      <c r="D8375" t="s">
        <v>12</v>
      </c>
      <c r="E8375" t="s">
        <v>11434</v>
      </c>
    </row>
    <row r="8376" spans="1:6" x14ac:dyDescent="0.25">
      <c r="A8376" t="str">
        <f>"490912585676"</f>
        <v>490912585676</v>
      </c>
      <c r="B8376" t="s">
        <v>11470</v>
      </c>
      <c r="C8376" t="s">
        <v>7</v>
      </c>
      <c r="D8376" t="s">
        <v>14</v>
      </c>
      <c r="E8376" t="s">
        <v>11434</v>
      </c>
    </row>
    <row r="8377" spans="1:6" x14ac:dyDescent="0.25">
      <c r="A8377" t="str">
        <f>"180903417198"</f>
        <v>180903417198</v>
      </c>
      <c r="B8377" t="s">
        <v>11471</v>
      </c>
      <c r="C8377" t="s">
        <v>7</v>
      </c>
      <c r="D8377" t="s">
        <v>14</v>
      </c>
      <c r="E8377" t="s">
        <v>11472</v>
      </c>
    </row>
    <row r="8378" spans="1:6" x14ac:dyDescent="0.25">
      <c r="A8378" t="str">
        <f>"443101715208"</f>
        <v>443101715208</v>
      </c>
      <c r="B8378" t="s">
        <v>11473</v>
      </c>
      <c r="C8378" t="s">
        <v>7</v>
      </c>
      <c r="D8378" t="s">
        <v>33</v>
      </c>
      <c r="E8378" t="s">
        <v>11472</v>
      </c>
    </row>
    <row r="8379" spans="1:6" x14ac:dyDescent="0.25">
      <c r="A8379" t="str">
        <f>"500110384000"</f>
        <v>500110384000</v>
      </c>
      <c r="B8379" t="s">
        <v>11474</v>
      </c>
      <c r="C8379" t="s">
        <v>7</v>
      </c>
      <c r="D8379" t="s">
        <v>14</v>
      </c>
      <c r="E8379" t="s">
        <v>11472</v>
      </c>
    </row>
    <row r="8380" spans="1:6" x14ac:dyDescent="0.25">
      <c r="A8380" t="str">
        <f>"500112863390"</f>
        <v>500112863390</v>
      </c>
      <c r="B8380" t="s">
        <v>11475</v>
      </c>
      <c r="C8380" t="s">
        <v>7</v>
      </c>
      <c r="D8380" t="s">
        <v>14</v>
      </c>
      <c r="E8380" t="s">
        <v>11472</v>
      </c>
    </row>
    <row r="8381" spans="1:6" x14ac:dyDescent="0.25">
      <c r="A8381" t="str">
        <f>"323306891417"</f>
        <v>323306891417</v>
      </c>
      <c r="B8381" t="s">
        <v>11476</v>
      </c>
      <c r="C8381" t="s">
        <v>7</v>
      </c>
      <c r="D8381" t="s">
        <v>12</v>
      </c>
      <c r="E8381" t="s">
        <v>11472</v>
      </c>
    </row>
    <row r="8382" spans="1:6" x14ac:dyDescent="0.25">
      <c r="A8382" t="str">
        <f>"331405958030"</f>
        <v>331405958030</v>
      </c>
      <c r="B8382" t="s">
        <v>11477</v>
      </c>
      <c r="C8382" t="s">
        <v>7</v>
      </c>
      <c r="D8382" t="s">
        <v>14</v>
      </c>
      <c r="E8382" t="s">
        <v>11472</v>
      </c>
    </row>
    <row r="8383" spans="1:6" x14ac:dyDescent="0.25">
      <c r="A8383" t="str">
        <f>"6925006752"</f>
        <v>6925006752</v>
      </c>
      <c r="B8383" t="s">
        <v>11478</v>
      </c>
      <c r="C8383" t="s">
        <v>7</v>
      </c>
      <c r="D8383" t="s">
        <v>33</v>
      </c>
      <c r="E8383" t="s">
        <v>11472</v>
      </c>
      <c r="F8383" t="s">
        <v>11479</v>
      </c>
    </row>
    <row r="8384" spans="1:6" x14ac:dyDescent="0.25">
      <c r="A8384" t="str">
        <f>"246200497430"</f>
        <v>246200497430</v>
      </c>
      <c r="B8384" t="s">
        <v>11480</v>
      </c>
      <c r="C8384" t="s">
        <v>7</v>
      </c>
      <c r="D8384" t="s">
        <v>33</v>
      </c>
      <c r="E8384" t="s">
        <v>11472</v>
      </c>
    </row>
    <row r="8385" spans="1:6" x14ac:dyDescent="0.25">
      <c r="A8385" t="str">
        <f>"7721376250"</f>
        <v>7721376250</v>
      </c>
      <c r="B8385" t="s">
        <v>11481</v>
      </c>
      <c r="C8385" t="s">
        <v>7</v>
      </c>
      <c r="D8385" t="s">
        <v>14</v>
      </c>
      <c r="E8385" t="s">
        <v>11472</v>
      </c>
      <c r="F8385" t="s">
        <v>11482</v>
      </c>
    </row>
    <row r="8386" spans="1:6" x14ac:dyDescent="0.25">
      <c r="A8386" t="str">
        <f>"7722537534"</f>
        <v>7722537534</v>
      </c>
      <c r="B8386" t="s">
        <v>11483</v>
      </c>
      <c r="C8386" t="s">
        <v>7</v>
      </c>
      <c r="D8386" t="s">
        <v>674</v>
      </c>
      <c r="E8386" t="s">
        <v>11472</v>
      </c>
      <c r="F8386" t="s">
        <v>11484</v>
      </c>
    </row>
    <row r="8387" spans="1:6" x14ac:dyDescent="0.25">
      <c r="A8387" t="str">
        <f>"772349842694"</f>
        <v>772349842694</v>
      </c>
      <c r="B8387" t="s">
        <v>11485</v>
      </c>
      <c r="C8387" t="s">
        <v>7</v>
      </c>
      <c r="D8387" t="s">
        <v>12</v>
      </c>
      <c r="E8387" t="s">
        <v>11472</v>
      </c>
    </row>
    <row r="8388" spans="1:6" x14ac:dyDescent="0.25">
      <c r="A8388" t="str">
        <f>"7723377629"</f>
        <v>7723377629</v>
      </c>
      <c r="B8388" t="s">
        <v>11486</v>
      </c>
      <c r="C8388" t="s">
        <v>7</v>
      </c>
      <c r="D8388" t="s">
        <v>12</v>
      </c>
      <c r="E8388" t="s">
        <v>11472</v>
      </c>
      <c r="F8388" t="s">
        <v>11487</v>
      </c>
    </row>
    <row r="8389" spans="1:6" x14ac:dyDescent="0.25">
      <c r="A8389" t="str">
        <f>"7723778388"</f>
        <v>7723778388</v>
      </c>
      <c r="B8389" t="s">
        <v>11488</v>
      </c>
      <c r="C8389" t="s">
        <v>7</v>
      </c>
      <c r="D8389" t="s">
        <v>14</v>
      </c>
      <c r="E8389" t="s">
        <v>11472</v>
      </c>
      <c r="F8389" t="s">
        <v>11489</v>
      </c>
    </row>
    <row r="8390" spans="1:6" x14ac:dyDescent="0.25">
      <c r="A8390" t="str">
        <f>"7724285219"</f>
        <v>7724285219</v>
      </c>
      <c r="B8390" t="s">
        <v>11490</v>
      </c>
      <c r="C8390" t="s">
        <v>7</v>
      </c>
      <c r="D8390" t="s">
        <v>14</v>
      </c>
      <c r="E8390" t="s">
        <v>11472</v>
      </c>
      <c r="F8390" t="s">
        <v>11491</v>
      </c>
    </row>
    <row r="8391" spans="1:6" x14ac:dyDescent="0.25">
      <c r="A8391" t="str">
        <f>"772501302183"</f>
        <v>772501302183</v>
      </c>
      <c r="B8391" t="s">
        <v>11492</v>
      </c>
      <c r="C8391" t="s">
        <v>7</v>
      </c>
      <c r="D8391" t="s">
        <v>12</v>
      </c>
      <c r="E8391" t="s">
        <v>11472</v>
      </c>
    </row>
    <row r="8392" spans="1:6" x14ac:dyDescent="0.25">
      <c r="A8392" t="str">
        <f>"324506283023"</f>
        <v>324506283023</v>
      </c>
      <c r="B8392" t="s">
        <v>11493</v>
      </c>
      <c r="C8392" t="s">
        <v>7</v>
      </c>
      <c r="D8392" t="s">
        <v>14</v>
      </c>
      <c r="E8392" t="s">
        <v>11472</v>
      </c>
    </row>
    <row r="8393" spans="1:6" x14ac:dyDescent="0.25">
      <c r="A8393" t="str">
        <f>"325301600594"</f>
        <v>325301600594</v>
      </c>
      <c r="B8393" t="s">
        <v>11494</v>
      </c>
      <c r="C8393" t="s">
        <v>7</v>
      </c>
      <c r="D8393" t="s">
        <v>12</v>
      </c>
      <c r="E8393" t="s">
        <v>11472</v>
      </c>
    </row>
    <row r="8394" spans="1:6" x14ac:dyDescent="0.25">
      <c r="A8394" t="str">
        <f>"331600047137"</f>
        <v>331600047137</v>
      </c>
      <c r="B8394" t="s">
        <v>11495</v>
      </c>
      <c r="C8394" t="s">
        <v>7</v>
      </c>
      <c r="D8394" t="s">
        <v>14</v>
      </c>
      <c r="E8394" t="s">
        <v>11472</v>
      </c>
    </row>
    <row r="8395" spans="1:6" x14ac:dyDescent="0.25">
      <c r="A8395" t="str">
        <f>"5003138398"</f>
        <v>5003138398</v>
      </c>
      <c r="B8395" t="s">
        <v>11496</v>
      </c>
      <c r="C8395" t="s">
        <v>7</v>
      </c>
      <c r="D8395" t="s">
        <v>33</v>
      </c>
      <c r="E8395" t="s">
        <v>11472</v>
      </c>
      <c r="F8395" t="s">
        <v>11497</v>
      </c>
    </row>
    <row r="8396" spans="1:6" x14ac:dyDescent="0.25">
      <c r="A8396" t="str">
        <f>"500400004719"</f>
        <v>500400004719</v>
      </c>
      <c r="B8396" t="s">
        <v>11498</v>
      </c>
      <c r="C8396" t="s">
        <v>7</v>
      </c>
      <c r="D8396" t="s">
        <v>14</v>
      </c>
      <c r="E8396" t="s">
        <v>11472</v>
      </c>
    </row>
    <row r="8397" spans="1:6" x14ac:dyDescent="0.25">
      <c r="A8397" t="str">
        <f>"500404393400"</f>
        <v>500404393400</v>
      </c>
      <c r="B8397" t="s">
        <v>11499</v>
      </c>
      <c r="C8397" t="s">
        <v>7</v>
      </c>
      <c r="D8397" t="s">
        <v>14</v>
      </c>
      <c r="E8397" t="s">
        <v>11472</v>
      </c>
    </row>
    <row r="8398" spans="1:6" x14ac:dyDescent="0.25">
      <c r="A8398" t="str">
        <f>"500500618367"</f>
        <v>500500618367</v>
      </c>
      <c r="B8398" t="s">
        <v>11500</v>
      </c>
      <c r="C8398" t="s">
        <v>7</v>
      </c>
      <c r="D8398" t="s">
        <v>14</v>
      </c>
      <c r="E8398" t="s">
        <v>11472</v>
      </c>
    </row>
    <row r="8399" spans="1:6" x14ac:dyDescent="0.25">
      <c r="A8399" t="str">
        <f>"5005067128"</f>
        <v>5005067128</v>
      </c>
      <c r="B8399" t="s">
        <v>11501</v>
      </c>
      <c r="C8399" t="s">
        <v>7</v>
      </c>
      <c r="D8399" t="s">
        <v>14</v>
      </c>
      <c r="E8399" t="s">
        <v>11472</v>
      </c>
      <c r="F8399" t="s">
        <v>11502</v>
      </c>
    </row>
    <row r="8400" spans="1:6" x14ac:dyDescent="0.25">
      <c r="A8400" t="str">
        <f>"5007118018"</f>
        <v>5007118018</v>
      </c>
      <c r="B8400" t="s">
        <v>11503</v>
      </c>
      <c r="C8400" t="s">
        <v>7</v>
      </c>
      <c r="D8400" t="s">
        <v>189</v>
      </c>
      <c r="E8400" t="s">
        <v>11472</v>
      </c>
      <c r="F8400" t="s">
        <v>11504</v>
      </c>
    </row>
    <row r="8401" spans="1:6" x14ac:dyDescent="0.25">
      <c r="A8401" t="str">
        <f>"500906966703"</f>
        <v>500906966703</v>
      </c>
      <c r="B8401" t="s">
        <v>11505</v>
      </c>
      <c r="C8401" t="s">
        <v>7</v>
      </c>
      <c r="D8401" t="s">
        <v>14</v>
      </c>
      <c r="E8401" t="s">
        <v>11472</v>
      </c>
    </row>
    <row r="8402" spans="1:6" x14ac:dyDescent="0.25">
      <c r="A8402" t="str">
        <f>"5009078071"</f>
        <v>5009078071</v>
      </c>
      <c r="B8402" t="s">
        <v>11506</v>
      </c>
      <c r="C8402" t="s">
        <v>7</v>
      </c>
      <c r="D8402" t="s">
        <v>33</v>
      </c>
      <c r="E8402" t="s">
        <v>11472</v>
      </c>
      <c r="F8402" t="s">
        <v>11507</v>
      </c>
    </row>
    <row r="8403" spans="1:6" x14ac:dyDescent="0.25">
      <c r="A8403" t="str">
        <f>"501106601141"</f>
        <v>501106601141</v>
      </c>
      <c r="B8403" t="s">
        <v>11508</v>
      </c>
      <c r="C8403" t="s">
        <v>7</v>
      </c>
      <c r="D8403" t="s">
        <v>12</v>
      </c>
      <c r="E8403" t="s">
        <v>11472</v>
      </c>
    </row>
    <row r="8404" spans="1:6" x14ac:dyDescent="0.25">
      <c r="A8404" t="str">
        <f>"5012002259"</f>
        <v>5012002259</v>
      </c>
      <c r="B8404" t="s">
        <v>11509</v>
      </c>
      <c r="C8404" t="s">
        <v>7</v>
      </c>
      <c r="D8404" t="s">
        <v>28</v>
      </c>
      <c r="E8404" t="s">
        <v>11472</v>
      </c>
      <c r="F8404" t="s">
        <v>11510</v>
      </c>
    </row>
    <row r="8405" spans="1:6" x14ac:dyDescent="0.25">
      <c r="A8405" t="str">
        <f>"5012015579"</f>
        <v>5012015579</v>
      </c>
      <c r="B8405" t="s">
        <v>11511</v>
      </c>
      <c r="C8405" t="s">
        <v>7</v>
      </c>
      <c r="D8405" t="s">
        <v>14</v>
      </c>
      <c r="E8405" t="s">
        <v>11472</v>
      </c>
      <c r="F8405" t="s">
        <v>11512</v>
      </c>
    </row>
    <row r="8406" spans="1:6" x14ac:dyDescent="0.25">
      <c r="A8406" t="str">
        <f>"501204065266"</f>
        <v>501204065266</v>
      </c>
      <c r="B8406" t="s">
        <v>11513</v>
      </c>
      <c r="C8406" t="s">
        <v>7</v>
      </c>
      <c r="D8406" t="s">
        <v>14</v>
      </c>
      <c r="E8406" t="s">
        <v>11472</v>
      </c>
    </row>
    <row r="8407" spans="1:6" x14ac:dyDescent="0.25">
      <c r="A8407" t="str">
        <f>"501206304150"</f>
        <v>501206304150</v>
      </c>
      <c r="B8407" t="s">
        <v>11514</v>
      </c>
      <c r="C8407" t="s">
        <v>7</v>
      </c>
      <c r="D8407" t="s">
        <v>12</v>
      </c>
      <c r="E8407" t="s">
        <v>11472</v>
      </c>
    </row>
    <row r="8408" spans="1:6" x14ac:dyDescent="0.25">
      <c r="A8408" t="str">
        <f>"5012111057"</f>
        <v>5012111057</v>
      </c>
      <c r="B8408" t="s">
        <v>11515</v>
      </c>
      <c r="C8408" t="s">
        <v>7</v>
      </c>
      <c r="D8408" t="s">
        <v>33</v>
      </c>
      <c r="E8408" t="s">
        <v>11472</v>
      </c>
      <c r="F8408" t="s">
        <v>11516</v>
      </c>
    </row>
    <row r="8409" spans="1:6" x14ac:dyDescent="0.25">
      <c r="A8409" t="str">
        <f>"501401931073"</f>
        <v>501401931073</v>
      </c>
      <c r="B8409" t="s">
        <v>11517</v>
      </c>
      <c r="C8409" t="s">
        <v>7</v>
      </c>
      <c r="D8409" t="s">
        <v>14</v>
      </c>
      <c r="E8409" t="s">
        <v>11472</v>
      </c>
    </row>
    <row r="8410" spans="1:6" x14ac:dyDescent="0.25">
      <c r="A8410" t="str">
        <f>"501815560923"</f>
        <v>501815560923</v>
      </c>
      <c r="B8410" t="s">
        <v>11518</v>
      </c>
      <c r="C8410" t="s">
        <v>7</v>
      </c>
      <c r="D8410" t="s">
        <v>14</v>
      </c>
      <c r="E8410" t="s">
        <v>11472</v>
      </c>
    </row>
    <row r="8411" spans="1:6" x14ac:dyDescent="0.25">
      <c r="A8411" t="str">
        <f>"5018214820"</f>
        <v>5018214820</v>
      </c>
      <c r="B8411" t="s">
        <v>11519</v>
      </c>
      <c r="C8411" t="s">
        <v>7</v>
      </c>
      <c r="D8411" t="s">
        <v>189</v>
      </c>
      <c r="E8411" t="s">
        <v>11472</v>
      </c>
      <c r="F8411" t="s">
        <v>11520</v>
      </c>
    </row>
    <row r="8412" spans="1:6" x14ac:dyDescent="0.25">
      <c r="A8412" t="str">
        <f>"502239472384"</f>
        <v>502239472384</v>
      </c>
      <c r="B8412" t="s">
        <v>11521</v>
      </c>
      <c r="C8412" t="s">
        <v>7</v>
      </c>
      <c r="D8412" t="s">
        <v>14</v>
      </c>
      <c r="E8412" t="s">
        <v>11472</v>
      </c>
    </row>
    <row r="8413" spans="1:6" x14ac:dyDescent="0.25">
      <c r="A8413" t="str">
        <f>"502401760630"</f>
        <v>502401760630</v>
      </c>
      <c r="B8413" t="s">
        <v>11522</v>
      </c>
      <c r="C8413" t="s">
        <v>7</v>
      </c>
      <c r="D8413" t="s">
        <v>14</v>
      </c>
      <c r="E8413" t="s">
        <v>11472</v>
      </c>
    </row>
    <row r="8414" spans="1:6" x14ac:dyDescent="0.25">
      <c r="A8414" t="str">
        <f>"5024134330"</f>
        <v>5024134330</v>
      </c>
      <c r="B8414" t="s">
        <v>11523</v>
      </c>
      <c r="C8414" t="s">
        <v>7</v>
      </c>
      <c r="D8414" t="s">
        <v>8</v>
      </c>
      <c r="E8414" t="s">
        <v>11472</v>
      </c>
      <c r="F8414" t="s">
        <v>11524</v>
      </c>
    </row>
    <row r="8415" spans="1:6" x14ac:dyDescent="0.25">
      <c r="A8415" t="str">
        <f>"5024238795"</f>
        <v>5024238795</v>
      </c>
      <c r="B8415" t="s">
        <v>11525</v>
      </c>
      <c r="C8415" t="s">
        <v>7</v>
      </c>
      <c r="D8415" t="s">
        <v>33</v>
      </c>
      <c r="E8415" t="s">
        <v>11472</v>
      </c>
      <c r="F8415" t="s">
        <v>11526</v>
      </c>
    </row>
    <row r="8416" spans="1:6" x14ac:dyDescent="0.25">
      <c r="A8416" t="str">
        <f>"502505374005"</f>
        <v>502505374005</v>
      </c>
      <c r="B8416" t="s">
        <v>11527</v>
      </c>
      <c r="C8416" t="s">
        <v>7</v>
      </c>
      <c r="D8416" t="s">
        <v>14</v>
      </c>
      <c r="E8416" t="s">
        <v>11472</v>
      </c>
    </row>
    <row r="8417" spans="1:6" x14ac:dyDescent="0.25">
      <c r="A8417" t="str">
        <f>"502706387808"</f>
        <v>502706387808</v>
      </c>
      <c r="B8417" t="s">
        <v>11528</v>
      </c>
      <c r="C8417" t="s">
        <v>7</v>
      </c>
      <c r="D8417" t="s">
        <v>12</v>
      </c>
      <c r="E8417" t="s">
        <v>11472</v>
      </c>
    </row>
    <row r="8418" spans="1:6" x14ac:dyDescent="0.25">
      <c r="A8418" t="str">
        <f>"5027181201"</f>
        <v>5027181201</v>
      </c>
      <c r="B8418" t="s">
        <v>11529</v>
      </c>
      <c r="C8418" t="s">
        <v>7</v>
      </c>
      <c r="D8418" t="s">
        <v>33</v>
      </c>
      <c r="E8418" t="s">
        <v>11472</v>
      </c>
      <c r="F8418" t="s">
        <v>11530</v>
      </c>
    </row>
    <row r="8419" spans="1:6" x14ac:dyDescent="0.25">
      <c r="A8419" t="str">
        <f>"5027212428"</f>
        <v>5027212428</v>
      </c>
      <c r="B8419" t="s">
        <v>11531</v>
      </c>
      <c r="C8419" t="s">
        <v>7</v>
      </c>
      <c r="D8419" t="s">
        <v>33</v>
      </c>
      <c r="E8419" t="s">
        <v>11472</v>
      </c>
      <c r="F8419" t="s">
        <v>11532</v>
      </c>
    </row>
    <row r="8420" spans="1:6" x14ac:dyDescent="0.25">
      <c r="A8420" t="str">
        <f>"5027242052"</f>
        <v>5027242052</v>
      </c>
      <c r="B8420" t="s">
        <v>11533</v>
      </c>
      <c r="C8420" t="s">
        <v>7</v>
      </c>
      <c r="D8420" t="s">
        <v>33</v>
      </c>
      <c r="E8420" t="s">
        <v>11472</v>
      </c>
      <c r="F8420" t="s">
        <v>11534</v>
      </c>
    </row>
    <row r="8421" spans="1:6" x14ac:dyDescent="0.25">
      <c r="A8421" t="str">
        <f>"5027330982"</f>
        <v>5027330982</v>
      </c>
      <c r="B8421" t="s">
        <v>11535</v>
      </c>
      <c r="C8421" t="s">
        <v>7</v>
      </c>
      <c r="D8421" t="s">
        <v>33</v>
      </c>
      <c r="E8421" t="s">
        <v>11472</v>
      </c>
      <c r="F8421" t="s">
        <v>11536</v>
      </c>
    </row>
    <row r="8422" spans="1:6" x14ac:dyDescent="0.25">
      <c r="A8422" t="str">
        <f>"5027335973"</f>
        <v>5027335973</v>
      </c>
      <c r="B8422" t="s">
        <v>11537</v>
      </c>
      <c r="C8422" t="s">
        <v>7</v>
      </c>
      <c r="D8422" t="s">
        <v>12</v>
      </c>
      <c r="E8422" t="s">
        <v>11472</v>
      </c>
      <c r="F8422" t="s">
        <v>11538</v>
      </c>
    </row>
    <row r="8423" spans="1:6" x14ac:dyDescent="0.25">
      <c r="A8423" t="str">
        <f>"5029186710"</f>
        <v>5029186710</v>
      </c>
      <c r="B8423" t="s">
        <v>11539</v>
      </c>
      <c r="C8423" t="s">
        <v>7</v>
      </c>
      <c r="D8423" t="s">
        <v>33</v>
      </c>
      <c r="E8423" t="s">
        <v>11472</v>
      </c>
      <c r="F8423" t="s">
        <v>11540</v>
      </c>
    </row>
    <row r="8424" spans="1:6" x14ac:dyDescent="0.25">
      <c r="A8424" t="str">
        <f>"5029217397"</f>
        <v>5029217397</v>
      </c>
      <c r="B8424" t="s">
        <v>11541</v>
      </c>
      <c r="C8424" t="s">
        <v>7</v>
      </c>
      <c r="D8424" t="s">
        <v>8</v>
      </c>
      <c r="E8424" t="s">
        <v>11472</v>
      </c>
      <c r="F8424" t="s">
        <v>11542</v>
      </c>
    </row>
    <row r="8425" spans="1:6" x14ac:dyDescent="0.25">
      <c r="A8425" t="str">
        <f>"5029275938"</f>
        <v>5029275938</v>
      </c>
      <c r="B8425" t="s">
        <v>11543</v>
      </c>
      <c r="C8425" t="s">
        <v>7</v>
      </c>
      <c r="D8425" t="s">
        <v>14</v>
      </c>
      <c r="E8425" t="s">
        <v>11472</v>
      </c>
      <c r="F8425" t="s">
        <v>11544</v>
      </c>
    </row>
    <row r="8426" spans="1:6" x14ac:dyDescent="0.25">
      <c r="A8426" t="str">
        <f>"5031042730"</f>
        <v>5031042730</v>
      </c>
      <c r="B8426" t="s">
        <v>11545</v>
      </c>
      <c r="C8426" t="s">
        <v>7</v>
      </c>
      <c r="D8426" t="s">
        <v>98</v>
      </c>
      <c r="E8426" t="s">
        <v>11472</v>
      </c>
      <c r="F8426" t="s">
        <v>11546</v>
      </c>
    </row>
    <row r="8427" spans="1:6" x14ac:dyDescent="0.25">
      <c r="A8427" t="str">
        <f>"5032318109"</f>
        <v>5032318109</v>
      </c>
      <c r="B8427" t="s">
        <v>11547</v>
      </c>
      <c r="C8427" t="s">
        <v>7</v>
      </c>
      <c r="D8427" t="s">
        <v>33</v>
      </c>
      <c r="E8427" t="s">
        <v>11472</v>
      </c>
      <c r="F8427" t="s">
        <v>11548</v>
      </c>
    </row>
    <row r="8428" spans="1:6" x14ac:dyDescent="0.25">
      <c r="A8428" t="str">
        <f>"503400812310"</f>
        <v>503400812310</v>
      </c>
      <c r="B8428" t="s">
        <v>11549</v>
      </c>
      <c r="C8428" t="s">
        <v>7</v>
      </c>
      <c r="D8428" t="s">
        <v>14</v>
      </c>
      <c r="E8428" t="s">
        <v>11472</v>
      </c>
    </row>
    <row r="8429" spans="1:6" x14ac:dyDescent="0.25">
      <c r="A8429" t="str">
        <f>"5036170799"</f>
        <v>5036170799</v>
      </c>
      <c r="B8429" t="s">
        <v>11550</v>
      </c>
      <c r="C8429" t="s">
        <v>7</v>
      </c>
      <c r="D8429" t="s">
        <v>146</v>
      </c>
      <c r="E8429" t="s">
        <v>11472</v>
      </c>
      <c r="F8429" t="s">
        <v>11551</v>
      </c>
    </row>
    <row r="8430" spans="1:6" x14ac:dyDescent="0.25">
      <c r="A8430" t="str">
        <f>"503803209908"</f>
        <v>503803209908</v>
      </c>
      <c r="B8430" t="s">
        <v>11552</v>
      </c>
      <c r="C8430" t="s">
        <v>7</v>
      </c>
      <c r="D8430" t="s">
        <v>14</v>
      </c>
      <c r="E8430" t="s">
        <v>11472</v>
      </c>
    </row>
    <row r="8431" spans="1:6" x14ac:dyDescent="0.25">
      <c r="A8431" t="str">
        <f>"5038038524"</f>
        <v>5038038524</v>
      </c>
      <c r="B8431" t="s">
        <v>11553</v>
      </c>
      <c r="C8431" t="s">
        <v>7</v>
      </c>
      <c r="D8431" t="s">
        <v>33</v>
      </c>
      <c r="E8431" t="s">
        <v>11472</v>
      </c>
      <c r="F8431" t="s">
        <v>11554</v>
      </c>
    </row>
    <row r="8432" spans="1:6" x14ac:dyDescent="0.25">
      <c r="A8432" t="str">
        <f>"504000582864"</f>
        <v>504000582864</v>
      </c>
      <c r="B8432" t="s">
        <v>11555</v>
      </c>
      <c r="C8432" t="s">
        <v>7</v>
      </c>
      <c r="D8432" t="s">
        <v>14</v>
      </c>
      <c r="E8432" t="s">
        <v>11472</v>
      </c>
    </row>
    <row r="8433" spans="1:6" x14ac:dyDescent="0.25">
      <c r="A8433" t="str">
        <f>"504013456218"</f>
        <v>504013456218</v>
      </c>
      <c r="B8433" t="s">
        <v>11556</v>
      </c>
      <c r="C8433" t="s">
        <v>7</v>
      </c>
      <c r="D8433" t="s">
        <v>12</v>
      </c>
      <c r="E8433" t="s">
        <v>11472</v>
      </c>
    </row>
    <row r="8434" spans="1:6" x14ac:dyDescent="0.25">
      <c r="A8434" t="str">
        <f>"504016579666"</f>
        <v>504016579666</v>
      </c>
      <c r="B8434" t="s">
        <v>11557</v>
      </c>
      <c r="C8434" t="s">
        <v>7</v>
      </c>
      <c r="D8434" t="s">
        <v>12</v>
      </c>
      <c r="E8434" t="s">
        <v>11472</v>
      </c>
    </row>
    <row r="8435" spans="1:6" x14ac:dyDescent="0.25">
      <c r="A8435" t="str">
        <f>"5041201957"</f>
        <v>5041201957</v>
      </c>
      <c r="B8435" t="s">
        <v>11558</v>
      </c>
      <c r="C8435" t="s">
        <v>7</v>
      </c>
      <c r="D8435" t="s">
        <v>674</v>
      </c>
      <c r="E8435" t="s">
        <v>11472</v>
      </c>
      <c r="F8435" t="s">
        <v>11559</v>
      </c>
    </row>
    <row r="8436" spans="1:6" x14ac:dyDescent="0.25">
      <c r="A8436" t="str">
        <f>"5042142983"</f>
        <v>5042142983</v>
      </c>
      <c r="B8436" t="s">
        <v>11560</v>
      </c>
      <c r="C8436" t="s">
        <v>7</v>
      </c>
      <c r="D8436" t="s">
        <v>14</v>
      </c>
      <c r="E8436" t="s">
        <v>11472</v>
      </c>
      <c r="F8436" t="s">
        <v>11561</v>
      </c>
    </row>
    <row r="8437" spans="1:6" x14ac:dyDescent="0.25">
      <c r="A8437" t="str">
        <f>"504215837760"</f>
        <v>504215837760</v>
      </c>
      <c r="B8437" t="s">
        <v>11562</v>
      </c>
      <c r="C8437" t="s">
        <v>7</v>
      </c>
      <c r="D8437" t="s">
        <v>14</v>
      </c>
      <c r="E8437" t="s">
        <v>11472</v>
      </c>
    </row>
    <row r="8438" spans="1:6" x14ac:dyDescent="0.25">
      <c r="A8438" t="str">
        <f>"504500069280"</f>
        <v>504500069280</v>
      </c>
      <c r="B8438" t="s">
        <v>11563</v>
      </c>
      <c r="C8438" t="s">
        <v>7</v>
      </c>
      <c r="D8438" t="s">
        <v>12</v>
      </c>
      <c r="E8438" t="s">
        <v>11472</v>
      </c>
    </row>
    <row r="8439" spans="1:6" x14ac:dyDescent="0.25">
      <c r="A8439" t="str">
        <f>"5047183912"</f>
        <v>5047183912</v>
      </c>
      <c r="B8439" t="s">
        <v>11564</v>
      </c>
      <c r="C8439" t="s">
        <v>7</v>
      </c>
      <c r="D8439" t="s">
        <v>12</v>
      </c>
      <c r="E8439" t="s">
        <v>11472</v>
      </c>
      <c r="F8439" t="s">
        <v>11565</v>
      </c>
    </row>
    <row r="8440" spans="1:6" x14ac:dyDescent="0.25">
      <c r="A8440" t="str">
        <f>"5047207867"</f>
        <v>5047207867</v>
      </c>
      <c r="B8440" t="s">
        <v>11566</v>
      </c>
      <c r="C8440" t="s">
        <v>7</v>
      </c>
      <c r="D8440" t="s">
        <v>12</v>
      </c>
      <c r="E8440" t="s">
        <v>11472</v>
      </c>
      <c r="F8440" t="s">
        <v>11567</v>
      </c>
    </row>
    <row r="8441" spans="1:6" x14ac:dyDescent="0.25">
      <c r="A8441" t="str">
        <f>"504813025323"</f>
        <v>504813025323</v>
      </c>
      <c r="B8441" t="s">
        <v>11568</v>
      </c>
      <c r="C8441" t="s">
        <v>7</v>
      </c>
      <c r="D8441" t="s">
        <v>14</v>
      </c>
      <c r="E8441" t="s">
        <v>11472</v>
      </c>
    </row>
    <row r="8442" spans="1:6" x14ac:dyDescent="0.25">
      <c r="A8442" t="str">
        <f>"504815514263"</f>
        <v>504815514263</v>
      </c>
      <c r="B8442" t="s">
        <v>11569</v>
      </c>
      <c r="C8442" t="s">
        <v>7</v>
      </c>
      <c r="D8442" t="s">
        <v>14</v>
      </c>
      <c r="E8442" t="s">
        <v>11472</v>
      </c>
    </row>
    <row r="8443" spans="1:6" x14ac:dyDescent="0.25">
      <c r="A8443" t="str">
        <f>"613801040740"</f>
        <v>613801040740</v>
      </c>
      <c r="B8443" t="s">
        <v>11570</v>
      </c>
      <c r="C8443" t="s">
        <v>7</v>
      </c>
      <c r="D8443" t="s">
        <v>14</v>
      </c>
      <c r="E8443" t="s">
        <v>11472</v>
      </c>
    </row>
    <row r="8444" spans="1:6" x14ac:dyDescent="0.25">
      <c r="A8444" t="str">
        <f>"614501061808"</f>
        <v>614501061808</v>
      </c>
      <c r="B8444" t="s">
        <v>11571</v>
      </c>
      <c r="C8444" t="s">
        <v>7</v>
      </c>
      <c r="D8444" t="s">
        <v>14</v>
      </c>
      <c r="E8444" t="s">
        <v>11472</v>
      </c>
    </row>
    <row r="8445" spans="1:6" x14ac:dyDescent="0.25">
      <c r="A8445" t="str">
        <f>"614907713388"</f>
        <v>614907713388</v>
      </c>
      <c r="B8445" t="s">
        <v>11572</v>
      </c>
      <c r="C8445" t="s">
        <v>7</v>
      </c>
      <c r="D8445" t="s">
        <v>14</v>
      </c>
      <c r="E8445" t="s">
        <v>11472</v>
      </c>
    </row>
    <row r="8446" spans="1:6" x14ac:dyDescent="0.25">
      <c r="A8446" t="str">
        <f>"051700169380"</f>
        <v>051700169380</v>
      </c>
      <c r="B8446" t="s">
        <v>11573</v>
      </c>
      <c r="C8446" t="s">
        <v>7</v>
      </c>
      <c r="D8446" t="s">
        <v>14</v>
      </c>
      <c r="E8446" t="s">
        <v>11472</v>
      </c>
    </row>
    <row r="8447" spans="1:6" x14ac:dyDescent="0.25">
      <c r="A8447" t="str">
        <f>"615300597083"</f>
        <v>615300597083</v>
      </c>
      <c r="B8447" t="s">
        <v>11574</v>
      </c>
      <c r="C8447" t="s">
        <v>7</v>
      </c>
      <c r="D8447" t="s">
        <v>12</v>
      </c>
      <c r="E8447" t="s">
        <v>11472</v>
      </c>
    </row>
    <row r="8448" spans="1:6" x14ac:dyDescent="0.25">
      <c r="A8448" t="str">
        <f>"615523503890"</f>
        <v>615523503890</v>
      </c>
      <c r="B8448" t="s">
        <v>11575</v>
      </c>
      <c r="C8448" t="s">
        <v>7</v>
      </c>
      <c r="D8448" t="s">
        <v>460</v>
      </c>
      <c r="E8448" t="s">
        <v>11472</v>
      </c>
    </row>
    <row r="8449" spans="1:6" x14ac:dyDescent="0.25">
      <c r="A8449" t="str">
        <f>"332604319739"</f>
        <v>332604319739</v>
      </c>
      <c r="B8449" t="s">
        <v>11576</v>
      </c>
      <c r="C8449" t="s">
        <v>7</v>
      </c>
      <c r="D8449" t="s">
        <v>14</v>
      </c>
      <c r="E8449" t="s">
        <v>11472</v>
      </c>
    </row>
    <row r="8450" spans="1:6" x14ac:dyDescent="0.25">
      <c r="A8450" t="str">
        <f>"340904608170"</f>
        <v>340904608170</v>
      </c>
      <c r="B8450" t="s">
        <v>11577</v>
      </c>
      <c r="C8450" t="s">
        <v>7</v>
      </c>
      <c r="D8450" t="s">
        <v>33</v>
      </c>
      <c r="E8450" t="s">
        <v>11472</v>
      </c>
    </row>
    <row r="8451" spans="1:6" x14ac:dyDescent="0.25">
      <c r="A8451" t="str">
        <f>"341602002057"</f>
        <v>341602002057</v>
      </c>
      <c r="B8451" t="s">
        <v>11578</v>
      </c>
      <c r="C8451" t="s">
        <v>7</v>
      </c>
      <c r="D8451" t="s">
        <v>14</v>
      </c>
      <c r="E8451" t="s">
        <v>11472</v>
      </c>
    </row>
    <row r="8452" spans="1:6" x14ac:dyDescent="0.25">
      <c r="A8452" t="str">
        <f>"024902381629"</f>
        <v>024902381629</v>
      </c>
      <c r="B8452" t="s">
        <v>11579</v>
      </c>
      <c r="C8452" t="s">
        <v>7</v>
      </c>
      <c r="D8452" t="s">
        <v>14</v>
      </c>
      <c r="E8452" t="s">
        <v>11472</v>
      </c>
    </row>
    <row r="8453" spans="1:6" x14ac:dyDescent="0.25">
      <c r="A8453" t="str">
        <f>"333410328253"</f>
        <v>333410328253</v>
      </c>
      <c r="B8453" t="s">
        <v>11580</v>
      </c>
      <c r="C8453" t="s">
        <v>7</v>
      </c>
      <c r="D8453" t="s">
        <v>14</v>
      </c>
      <c r="E8453" t="s">
        <v>11472</v>
      </c>
    </row>
    <row r="8454" spans="1:6" x14ac:dyDescent="0.25">
      <c r="A8454" t="str">
        <f>"2463086538"</f>
        <v>2463086538</v>
      </c>
      <c r="B8454" t="s">
        <v>11581</v>
      </c>
      <c r="C8454" t="s">
        <v>7</v>
      </c>
      <c r="D8454" t="s">
        <v>189</v>
      </c>
      <c r="E8454" t="s">
        <v>11472</v>
      </c>
      <c r="F8454" t="s">
        <v>11582</v>
      </c>
    </row>
    <row r="8455" spans="1:6" x14ac:dyDescent="0.25">
      <c r="A8455" t="str">
        <f>"211400893708"</f>
        <v>211400893708</v>
      </c>
      <c r="B8455" t="s">
        <v>11583</v>
      </c>
      <c r="C8455" t="s">
        <v>7</v>
      </c>
      <c r="D8455" t="s">
        <v>12</v>
      </c>
      <c r="E8455" t="s">
        <v>11472</v>
      </c>
    </row>
    <row r="8456" spans="1:6" x14ac:dyDescent="0.25">
      <c r="A8456" t="str">
        <f>"434547914742"</f>
        <v>434547914742</v>
      </c>
      <c r="B8456" t="s">
        <v>11584</v>
      </c>
      <c r="C8456" t="s">
        <v>7</v>
      </c>
      <c r="D8456" t="s">
        <v>14</v>
      </c>
      <c r="E8456" t="s">
        <v>11472</v>
      </c>
    </row>
    <row r="8457" spans="1:6" x14ac:dyDescent="0.25">
      <c r="A8457" t="str">
        <f>"7725590007"</f>
        <v>7725590007</v>
      </c>
      <c r="B8457" t="s">
        <v>11585</v>
      </c>
      <c r="C8457" t="s">
        <v>7</v>
      </c>
      <c r="D8457" t="s">
        <v>674</v>
      </c>
      <c r="E8457" t="s">
        <v>11472</v>
      </c>
      <c r="F8457" t="s">
        <v>11586</v>
      </c>
    </row>
    <row r="8458" spans="1:6" x14ac:dyDescent="0.25">
      <c r="A8458" t="str">
        <f>"7726720499"</f>
        <v>7726720499</v>
      </c>
      <c r="B8458" t="s">
        <v>11587</v>
      </c>
      <c r="C8458" t="s">
        <v>7</v>
      </c>
      <c r="D8458" t="s">
        <v>8</v>
      </c>
      <c r="E8458" t="s">
        <v>11472</v>
      </c>
      <c r="F8458" t="s">
        <v>11588</v>
      </c>
    </row>
    <row r="8459" spans="1:6" x14ac:dyDescent="0.25">
      <c r="A8459" t="str">
        <f>"772774573947"</f>
        <v>772774573947</v>
      </c>
      <c r="B8459" t="s">
        <v>11589</v>
      </c>
      <c r="C8459" t="s">
        <v>7</v>
      </c>
      <c r="D8459" t="s">
        <v>14</v>
      </c>
      <c r="E8459" t="s">
        <v>11472</v>
      </c>
    </row>
    <row r="8460" spans="1:6" x14ac:dyDescent="0.25">
      <c r="A8460" t="str">
        <f>"026507323330"</f>
        <v>026507323330</v>
      </c>
      <c r="B8460" t="s">
        <v>11590</v>
      </c>
      <c r="C8460" t="s">
        <v>7</v>
      </c>
      <c r="D8460" t="s">
        <v>12</v>
      </c>
      <c r="E8460" t="s">
        <v>11472</v>
      </c>
    </row>
    <row r="8461" spans="1:6" x14ac:dyDescent="0.25">
      <c r="A8461" t="str">
        <f>"772622983280"</f>
        <v>772622983280</v>
      </c>
      <c r="B8461" t="s">
        <v>11591</v>
      </c>
      <c r="C8461" t="s">
        <v>7</v>
      </c>
      <c r="D8461" t="s">
        <v>14</v>
      </c>
      <c r="E8461" t="s">
        <v>11472</v>
      </c>
    </row>
    <row r="8462" spans="1:6" x14ac:dyDescent="0.25">
      <c r="A8462" t="str">
        <f>"7726557980"</f>
        <v>7726557980</v>
      </c>
      <c r="B8462" t="s">
        <v>11592</v>
      </c>
      <c r="C8462" t="s">
        <v>7</v>
      </c>
      <c r="D8462" t="s">
        <v>33</v>
      </c>
      <c r="E8462" t="s">
        <v>11472</v>
      </c>
      <c r="F8462" t="s">
        <v>11593</v>
      </c>
    </row>
    <row r="8463" spans="1:6" x14ac:dyDescent="0.25">
      <c r="A8463" t="str">
        <f>"7727294853"</f>
        <v>7727294853</v>
      </c>
      <c r="B8463" t="s">
        <v>11594</v>
      </c>
      <c r="C8463" t="s">
        <v>7</v>
      </c>
      <c r="D8463" t="s">
        <v>33</v>
      </c>
      <c r="E8463" t="s">
        <v>11472</v>
      </c>
      <c r="F8463" t="s">
        <v>11595</v>
      </c>
    </row>
    <row r="8464" spans="1:6" x14ac:dyDescent="0.25">
      <c r="A8464" t="str">
        <f>"7727483900"</f>
        <v>7727483900</v>
      </c>
      <c r="B8464" t="s">
        <v>11596</v>
      </c>
      <c r="C8464" t="s">
        <v>7</v>
      </c>
      <c r="D8464" t="s">
        <v>12</v>
      </c>
      <c r="E8464" t="s">
        <v>11472</v>
      </c>
      <c r="F8464" t="s">
        <v>11597</v>
      </c>
    </row>
    <row r="8465" spans="1:6" x14ac:dyDescent="0.25">
      <c r="A8465" t="str">
        <f>"7728880770"</f>
        <v>7728880770</v>
      </c>
      <c r="B8465" t="s">
        <v>11598</v>
      </c>
      <c r="C8465" t="s">
        <v>7</v>
      </c>
      <c r="D8465" t="s">
        <v>8</v>
      </c>
      <c r="E8465" t="s">
        <v>11472</v>
      </c>
      <c r="F8465" t="s">
        <v>11599</v>
      </c>
    </row>
    <row r="8466" spans="1:6" x14ac:dyDescent="0.25">
      <c r="A8466" t="str">
        <f>"7726005918"</f>
        <v>7726005918</v>
      </c>
      <c r="B8466" t="s">
        <v>11600</v>
      </c>
      <c r="C8466" t="s">
        <v>7</v>
      </c>
      <c r="D8466" t="s">
        <v>12</v>
      </c>
      <c r="E8466" t="s">
        <v>11472</v>
      </c>
      <c r="F8466" t="s">
        <v>11601</v>
      </c>
    </row>
    <row r="8467" spans="1:6" x14ac:dyDescent="0.25">
      <c r="A8467" t="str">
        <f>"772707675661"</f>
        <v>772707675661</v>
      </c>
      <c r="B8467" t="s">
        <v>11602</v>
      </c>
      <c r="C8467" t="s">
        <v>7</v>
      </c>
      <c r="D8467" t="s">
        <v>14</v>
      </c>
      <c r="E8467" t="s">
        <v>11472</v>
      </c>
    </row>
    <row r="8468" spans="1:6" x14ac:dyDescent="0.25">
      <c r="A8468" t="str">
        <f>"7728115183"</f>
        <v>7728115183</v>
      </c>
      <c r="B8468" t="s">
        <v>11603</v>
      </c>
      <c r="C8468" t="s">
        <v>7</v>
      </c>
      <c r="D8468" t="s">
        <v>8</v>
      </c>
      <c r="E8468" t="s">
        <v>11472</v>
      </c>
      <c r="F8468" t="s">
        <v>11604</v>
      </c>
    </row>
    <row r="8469" spans="1:6" x14ac:dyDescent="0.25">
      <c r="A8469" t="str">
        <f>"7728874293"</f>
        <v>7728874293</v>
      </c>
      <c r="B8469" t="s">
        <v>11594</v>
      </c>
      <c r="C8469" t="s">
        <v>7</v>
      </c>
      <c r="D8469" t="s">
        <v>674</v>
      </c>
      <c r="E8469" t="s">
        <v>11472</v>
      </c>
      <c r="F8469" t="s">
        <v>11605</v>
      </c>
    </row>
    <row r="8470" spans="1:6" x14ac:dyDescent="0.25">
      <c r="A8470" t="str">
        <f>"505002398710"</f>
        <v>505002398710</v>
      </c>
      <c r="B8470" t="s">
        <v>11606</v>
      </c>
      <c r="C8470" t="s">
        <v>7</v>
      </c>
      <c r="D8470" t="s">
        <v>14</v>
      </c>
      <c r="E8470" t="s">
        <v>11472</v>
      </c>
    </row>
    <row r="8471" spans="1:6" x14ac:dyDescent="0.25">
      <c r="A8471" t="str">
        <f>"5051320826"</f>
        <v>5051320826</v>
      </c>
      <c r="B8471" t="s">
        <v>11607</v>
      </c>
      <c r="C8471" t="s">
        <v>7</v>
      </c>
      <c r="D8471" t="s">
        <v>14</v>
      </c>
      <c r="E8471" t="s">
        <v>11472</v>
      </c>
      <c r="F8471" t="s">
        <v>11608</v>
      </c>
    </row>
    <row r="8472" spans="1:6" x14ac:dyDescent="0.25">
      <c r="A8472" t="str">
        <f>"505301546406"</f>
        <v>505301546406</v>
      </c>
      <c r="B8472" t="s">
        <v>11609</v>
      </c>
      <c r="C8472" t="s">
        <v>7</v>
      </c>
      <c r="D8472" t="s">
        <v>14</v>
      </c>
      <c r="E8472" t="s">
        <v>11472</v>
      </c>
    </row>
    <row r="8473" spans="1:6" x14ac:dyDescent="0.25">
      <c r="A8473" t="str">
        <f>"507204671437"</f>
        <v>507204671437</v>
      </c>
      <c r="B8473" t="s">
        <v>11610</v>
      </c>
      <c r="C8473" t="s">
        <v>7</v>
      </c>
      <c r="D8473" t="s">
        <v>14</v>
      </c>
      <c r="E8473" t="s">
        <v>11472</v>
      </c>
    </row>
    <row r="8474" spans="1:6" x14ac:dyDescent="0.25">
      <c r="A8474" t="str">
        <f>"5074073348"</f>
        <v>5074073348</v>
      </c>
      <c r="B8474" t="s">
        <v>11611</v>
      </c>
      <c r="C8474" t="s">
        <v>7</v>
      </c>
      <c r="D8474" t="s">
        <v>12</v>
      </c>
      <c r="E8474" t="s">
        <v>11472</v>
      </c>
      <c r="F8474" t="s">
        <v>11612</v>
      </c>
    </row>
    <row r="8475" spans="1:6" x14ac:dyDescent="0.25">
      <c r="A8475" t="str">
        <f>"507503254030"</f>
        <v>507503254030</v>
      </c>
      <c r="B8475" t="s">
        <v>11613</v>
      </c>
      <c r="C8475" t="s">
        <v>7</v>
      </c>
      <c r="D8475" t="s">
        <v>14</v>
      </c>
      <c r="E8475" t="s">
        <v>11472</v>
      </c>
    </row>
    <row r="8476" spans="1:6" x14ac:dyDescent="0.25">
      <c r="A8476" t="str">
        <f>"5077025215"</f>
        <v>5077025215</v>
      </c>
      <c r="B8476" t="s">
        <v>11614</v>
      </c>
      <c r="C8476" t="s">
        <v>7</v>
      </c>
      <c r="D8476" t="s">
        <v>12</v>
      </c>
      <c r="E8476" t="s">
        <v>11472</v>
      </c>
      <c r="F8476" t="s">
        <v>11615</v>
      </c>
    </row>
    <row r="8477" spans="1:6" x14ac:dyDescent="0.25">
      <c r="A8477" t="str">
        <f>"615423492186"</f>
        <v>615423492186</v>
      </c>
      <c r="B8477" t="s">
        <v>11616</v>
      </c>
      <c r="C8477" t="s">
        <v>7</v>
      </c>
      <c r="D8477" t="s">
        <v>14</v>
      </c>
      <c r="E8477" t="s">
        <v>11472</v>
      </c>
    </row>
    <row r="8478" spans="1:6" x14ac:dyDescent="0.25">
      <c r="A8478" t="str">
        <f>"190306661505"</f>
        <v>190306661505</v>
      </c>
      <c r="B8478" t="s">
        <v>11617</v>
      </c>
      <c r="C8478" t="s">
        <v>7</v>
      </c>
      <c r="D8478" t="s">
        <v>14</v>
      </c>
      <c r="E8478" t="s">
        <v>11472</v>
      </c>
    </row>
    <row r="8479" spans="1:6" x14ac:dyDescent="0.25">
      <c r="A8479" t="str">
        <f>"620403045437"</f>
        <v>620403045437</v>
      </c>
      <c r="B8479" t="s">
        <v>11618</v>
      </c>
      <c r="C8479" t="s">
        <v>7</v>
      </c>
      <c r="D8479" t="s">
        <v>14</v>
      </c>
      <c r="E8479" t="s">
        <v>11472</v>
      </c>
    </row>
    <row r="8480" spans="1:6" x14ac:dyDescent="0.25">
      <c r="A8480" t="str">
        <f>"252202935706"</f>
        <v>252202935706</v>
      </c>
      <c r="B8480" t="s">
        <v>11619</v>
      </c>
      <c r="C8480" t="s">
        <v>7</v>
      </c>
      <c r="D8480" t="s">
        <v>33</v>
      </c>
      <c r="E8480" t="s">
        <v>11472</v>
      </c>
    </row>
    <row r="8481" spans="1:6" x14ac:dyDescent="0.25">
      <c r="A8481" t="str">
        <f>"440796791049"</f>
        <v>440796791049</v>
      </c>
      <c r="B8481" t="s">
        <v>11620</v>
      </c>
      <c r="C8481" t="s">
        <v>7</v>
      </c>
      <c r="D8481" t="s">
        <v>14</v>
      </c>
      <c r="E8481" t="s">
        <v>11472</v>
      </c>
    </row>
    <row r="8482" spans="1:6" x14ac:dyDescent="0.25">
      <c r="A8482" t="str">
        <f>"7729787903"</f>
        <v>7729787903</v>
      </c>
      <c r="B8482" t="s">
        <v>11621</v>
      </c>
      <c r="C8482" t="s">
        <v>7</v>
      </c>
      <c r="D8482" t="s">
        <v>8</v>
      </c>
      <c r="E8482" t="s">
        <v>11472</v>
      </c>
      <c r="F8482" t="s">
        <v>11622</v>
      </c>
    </row>
    <row r="8483" spans="1:6" x14ac:dyDescent="0.25">
      <c r="A8483" t="str">
        <f>"7730509450"</f>
        <v>7730509450</v>
      </c>
      <c r="B8483" t="s">
        <v>11623</v>
      </c>
      <c r="C8483" t="s">
        <v>7</v>
      </c>
      <c r="D8483" t="s">
        <v>98</v>
      </c>
      <c r="E8483" t="s">
        <v>11472</v>
      </c>
      <c r="F8483" t="s">
        <v>11624</v>
      </c>
    </row>
    <row r="8484" spans="1:6" x14ac:dyDescent="0.25">
      <c r="A8484" t="str">
        <f>"773125307163"</f>
        <v>773125307163</v>
      </c>
      <c r="B8484" t="s">
        <v>11625</v>
      </c>
      <c r="C8484" t="s">
        <v>7</v>
      </c>
      <c r="D8484" t="s">
        <v>33</v>
      </c>
      <c r="E8484" t="s">
        <v>11472</v>
      </c>
    </row>
    <row r="8485" spans="1:6" x14ac:dyDescent="0.25">
      <c r="A8485" t="str">
        <f>"7731588260"</f>
        <v>7731588260</v>
      </c>
      <c r="B8485" t="s">
        <v>11626</v>
      </c>
      <c r="C8485" t="s">
        <v>7</v>
      </c>
      <c r="D8485" t="s">
        <v>14</v>
      </c>
      <c r="E8485" t="s">
        <v>11472</v>
      </c>
      <c r="F8485" t="s">
        <v>11627</v>
      </c>
    </row>
    <row r="8486" spans="1:6" x14ac:dyDescent="0.25">
      <c r="A8486" t="str">
        <f>"7733575933"</f>
        <v>7733575933</v>
      </c>
      <c r="B8486" t="s">
        <v>11628</v>
      </c>
      <c r="C8486" t="s">
        <v>7</v>
      </c>
      <c r="D8486" t="s">
        <v>33</v>
      </c>
      <c r="E8486" t="s">
        <v>11472</v>
      </c>
      <c r="F8486" t="s">
        <v>11629</v>
      </c>
    </row>
    <row r="8487" spans="1:6" x14ac:dyDescent="0.25">
      <c r="A8487" t="str">
        <f>"7733888245"</f>
        <v>7733888245</v>
      </c>
      <c r="B8487" t="s">
        <v>11630</v>
      </c>
      <c r="C8487" t="s">
        <v>7</v>
      </c>
      <c r="D8487" t="s">
        <v>674</v>
      </c>
      <c r="E8487" t="s">
        <v>11472</v>
      </c>
      <c r="F8487" t="s">
        <v>11631</v>
      </c>
    </row>
    <row r="8488" spans="1:6" x14ac:dyDescent="0.25">
      <c r="A8488" t="str">
        <f>"7730174059"</f>
        <v>7730174059</v>
      </c>
      <c r="B8488" t="s">
        <v>11632</v>
      </c>
      <c r="C8488" t="s">
        <v>7</v>
      </c>
      <c r="D8488" t="s">
        <v>463</v>
      </c>
      <c r="E8488" t="s">
        <v>11472</v>
      </c>
      <c r="F8488" t="s">
        <v>11633</v>
      </c>
    </row>
    <row r="8489" spans="1:6" x14ac:dyDescent="0.25">
      <c r="A8489" t="str">
        <f>"7733313110"</f>
        <v>7733313110</v>
      </c>
      <c r="B8489" t="s">
        <v>11634</v>
      </c>
      <c r="C8489" t="s">
        <v>7</v>
      </c>
      <c r="D8489" t="s">
        <v>33</v>
      </c>
      <c r="E8489" t="s">
        <v>11472</v>
      </c>
      <c r="F8489" t="s">
        <v>11635</v>
      </c>
    </row>
    <row r="8490" spans="1:6" x14ac:dyDescent="0.25">
      <c r="A8490" t="str">
        <f>"7733703977"</f>
        <v>7733703977</v>
      </c>
      <c r="B8490" t="s">
        <v>11636</v>
      </c>
      <c r="C8490" t="s">
        <v>7</v>
      </c>
      <c r="D8490" t="s">
        <v>33</v>
      </c>
      <c r="E8490" t="s">
        <v>11472</v>
      </c>
      <c r="F8490" t="s">
        <v>11637</v>
      </c>
    </row>
    <row r="8491" spans="1:6" x14ac:dyDescent="0.25">
      <c r="A8491" t="str">
        <f>"7734504981"</f>
        <v>7734504981</v>
      </c>
      <c r="B8491" t="s">
        <v>11638</v>
      </c>
      <c r="C8491" t="s">
        <v>7</v>
      </c>
      <c r="D8491" t="s">
        <v>12</v>
      </c>
      <c r="E8491" t="s">
        <v>11472</v>
      </c>
      <c r="F8491" t="s">
        <v>11639</v>
      </c>
    </row>
    <row r="8492" spans="1:6" x14ac:dyDescent="0.25">
      <c r="A8492" t="str">
        <f>"7734535757"</f>
        <v>7734535757</v>
      </c>
      <c r="B8492" t="s">
        <v>11640</v>
      </c>
      <c r="C8492" t="s">
        <v>7</v>
      </c>
      <c r="D8492" t="s">
        <v>33</v>
      </c>
      <c r="E8492" t="s">
        <v>11472</v>
      </c>
      <c r="F8492" t="s">
        <v>11641</v>
      </c>
    </row>
    <row r="8493" spans="1:6" x14ac:dyDescent="0.25">
      <c r="A8493" t="str">
        <f>"710716098070"</f>
        <v>710716098070</v>
      </c>
      <c r="B8493" t="s">
        <v>11642</v>
      </c>
      <c r="C8493" t="s">
        <v>7</v>
      </c>
      <c r="D8493" t="s">
        <v>14</v>
      </c>
      <c r="E8493" t="s">
        <v>11472</v>
      </c>
    </row>
    <row r="8494" spans="1:6" x14ac:dyDescent="0.25">
      <c r="A8494" t="str">
        <f>"773006203239"</f>
        <v>773006203239</v>
      </c>
      <c r="B8494" t="s">
        <v>11643</v>
      </c>
      <c r="C8494" t="s">
        <v>7</v>
      </c>
      <c r="D8494" t="s">
        <v>463</v>
      </c>
      <c r="E8494" t="s">
        <v>11472</v>
      </c>
    </row>
    <row r="8495" spans="1:6" x14ac:dyDescent="0.25">
      <c r="A8495" t="str">
        <f>"7731542509"</f>
        <v>7731542509</v>
      </c>
      <c r="B8495" t="s">
        <v>11644</v>
      </c>
      <c r="C8495" t="s">
        <v>7</v>
      </c>
      <c r="D8495" t="s">
        <v>12</v>
      </c>
      <c r="E8495" t="s">
        <v>11472</v>
      </c>
      <c r="F8495" t="s">
        <v>11645</v>
      </c>
    </row>
    <row r="8496" spans="1:6" x14ac:dyDescent="0.25">
      <c r="A8496" t="str">
        <f>"7733165077"</f>
        <v>7733165077</v>
      </c>
      <c r="B8496" t="s">
        <v>11646</v>
      </c>
      <c r="C8496" t="s">
        <v>7</v>
      </c>
      <c r="D8496" t="s">
        <v>146</v>
      </c>
      <c r="E8496" t="s">
        <v>11472</v>
      </c>
      <c r="F8496" t="s">
        <v>11647</v>
      </c>
    </row>
    <row r="8497" spans="1:6" x14ac:dyDescent="0.25">
      <c r="A8497" t="str">
        <f>"7733622365"</f>
        <v>7733622365</v>
      </c>
      <c r="B8497" t="s">
        <v>11648</v>
      </c>
      <c r="C8497" t="s">
        <v>7</v>
      </c>
      <c r="D8497" t="s">
        <v>12</v>
      </c>
      <c r="E8497" t="s">
        <v>11472</v>
      </c>
      <c r="F8497" t="s">
        <v>11649</v>
      </c>
    </row>
    <row r="8498" spans="1:6" x14ac:dyDescent="0.25">
      <c r="A8498" t="str">
        <f>"7733701120"</f>
        <v>7733701120</v>
      </c>
      <c r="B8498" t="s">
        <v>11650</v>
      </c>
      <c r="C8498" t="s">
        <v>7</v>
      </c>
      <c r="D8498" t="s">
        <v>33</v>
      </c>
      <c r="E8498" t="s">
        <v>11472</v>
      </c>
      <c r="F8498" t="s">
        <v>11651</v>
      </c>
    </row>
    <row r="8499" spans="1:6" x14ac:dyDescent="0.25">
      <c r="A8499" t="str">
        <f>"7733774262"</f>
        <v>7733774262</v>
      </c>
      <c r="B8499" t="s">
        <v>11652</v>
      </c>
      <c r="C8499" t="s">
        <v>7</v>
      </c>
      <c r="D8499" t="s">
        <v>12</v>
      </c>
      <c r="E8499" t="s">
        <v>11472</v>
      </c>
      <c r="F8499" t="s">
        <v>11653</v>
      </c>
    </row>
    <row r="8500" spans="1:6" x14ac:dyDescent="0.25">
      <c r="A8500" t="str">
        <f>"7734248840"</f>
        <v>7734248840</v>
      </c>
      <c r="B8500" t="s">
        <v>11654</v>
      </c>
      <c r="C8500" t="s">
        <v>7</v>
      </c>
      <c r="D8500" t="s">
        <v>14</v>
      </c>
      <c r="E8500" t="s">
        <v>11472</v>
      </c>
      <c r="F8500" t="s">
        <v>11655</v>
      </c>
    </row>
    <row r="8501" spans="1:6" x14ac:dyDescent="0.25">
      <c r="A8501" t="str">
        <f>"700700316175"</f>
        <v>700700316175</v>
      </c>
      <c r="B8501" t="s">
        <v>11656</v>
      </c>
      <c r="C8501" t="s">
        <v>7</v>
      </c>
      <c r="D8501" t="s">
        <v>14</v>
      </c>
      <c r="E8501" t="s">
        <v>11472</v>
      </c>
    </row>
    <row r="8502" spans="1:6" x14ac:dyDescent="0.25">
      <c r="A8502" t="str">
        <f>"622702171585"</f>
        <v>622702171585</v>
      </c>
      <c r="B8502" t="s">
        <v>11657</v>
      </c>
      <c r="C8502" t="s">
        <v>7</v>
      </c>
      <c r="D8502" t="s">
        <v>14</v>
      </c>
      <c r="E8502" t="s">
        <v>11472</v>
      </c>
    </row>
    <row r="8503" spans="1:6" x14ac:dyDescent="0.25">
      <c r="A8503" t="str">
        <f>"451400750404"</f>
        <v>451400750404</v>
      </c>
      <c r="B8503" t="s">
        <v>11658</v>
      </c>
      <c r="C8503" t="s">
        <v>7</v>
      </c>
      <c r="D8503" t="s">
        <v>14</v>
      </c>
      <c r="E8503" t="s">
        <v>11472</v>
      </c>
    </row>
    <row r="8504" spans="1:6" x14ac:dyDescent="0.25">
      <c r="A8504" t="str">
        <f>"463312537853"</f>
        <v>463312537853</v>
      </c>
      <c r="B8504" t="s">
        <v>11659</v>
      </c>
      <c r="C8504" t="s">
        <v>7</v>
      </c>
      <c r="D8504" t="s">
        <v>14</v>
      </c>
      <c r="E8504" t="s">
        <v>11472</v>
      </c>
    </row>
    <row r="8505" spans="1:6" x14ac:dyDescent="0.25">
      <c r="A8505" t="str">
        <f>"7734505008"</f>
        <v>7734505008</v>
      </c>
      <c r="B8505" t="s">
        <v>11660</v>
      </c>
      <c r="C8505" t="s">
        <v>7</v>
      </c>
      <c r="D8505" t="s">
        <v>12</v>
      </c>
      <c r="E8505" t="s">
        <v>11472</v>
      </c>
      <c r="F8505" t="s">
        <v>11661</v>
      </c>
    </row>
    <row r="8506" spans="1:6" x14ac:dyDescent="0.25">
      <c r="A8506" t="str">
        <f>"773574654252"</f>
        <v>773574654252</v>
      </c>
      <c r="B8506" t="s">
        <v>11662</v>
      </c>
      <c r="C8506" t="s">
        <v>7</v>
      </c>
      <c r="D8506" t="s">
        <v>14</v>
      </c>
      <c r="E8506" t="s">
        <v>11472</v>
      </c>
    </row>
    <row r="8507" spans="1:6" x14ac:dyDescent="0.25">
      <c r="A8507" t="str">
        <f>"7751071061"</f>
        <v>7751071061</v>
      </c>
      <c r="B8507" t="s">
        <v>11663</v>
      </c>
      <c r="C8507" t="s">
        <v>7</v>
      </c>
      <c r="D8507" t="s">
        <v>8</v>
      </c>
      <c r="E8507" t="s">
        <v>11472</v>
      </c>
      <c r="F8507" t="s">
        <v>11664</v>
      </c>
    </row>
    <row r="8508" spans="1:6" x14ac:dyDescent="0.25">
      <c r="A8508" t="str">
        <f>"463001353589"</f>
        <v>463001353589</v>
      </c>
      <c r="B8508" t="s">
        <v>11665</v>
      </c>
      <c r="C8508" t="s">
        <v>7</v>
      </c>
      <c r="D8508" t="s">
        <v>14</v>
      </c>
      <c r="E8508" t="s">
        <v>11472</v>
      </c>
    </row>
    <row r="8509" spans="1:6" x14ac:dyDescent="0.25">
      <c r="A8509" t="str">
        <f>"463302324479"</f>
        <v>463302324479</v>
      </c>
      <c r="B8509" t="s">
        <v>11666</v>
      </c>
      <c r="C8509" t="s">
        <v>7</v>
      </c>
      <c r="D8509" t="s">
        <v>14</v>
      </c>
      <c r="E8509" t="s">
        <v>11472</v>
      </c>
    </row>
    <row r="8510" spans="1:6" x14ac:dyDescent="0.25">
      <c r="A8510" t="str">
        <f>"773572820120"</f>
        <v>773572820120</v>
      </c>
      <c r="B8510" t="s">
        <v>11667</v>
      </c>
      <c r="C8510" t="s">
        <v>7</v>
      </c>
      <c r="D8510" t="s">
        <v>14</v>
      </c>
      <c r="E8510" t="s">
        <v>11472</v>
      </c>
    </row>
    <row r="8511" spans="1:6" x14ac:dyDescent="0.25">
      <c r="A8511" t="str">
        <f>"773700237798"</f>
        <v>773700237798</v>
      </c>
      <c r="B8511" t="s">
        <v>11668</v>
      </c>
      <c r="C8511" t="s">
        <v>7</v>
      </c>
      <c r="D8511" t="s">
        <v>98</v>
      </c>
      <c r="E8511" t="s">
        <v>11472</v>
      </c>
    </row>
    <row r="8512" spans="1:6" x14ac:dyDescent="0.25">
      <c r="A8512" t="str">
        <f>"773771753862"</f>
        <v>773771753862</v>
      </c>
      <c r="B8512" t="s">
        <v>11669</v>
      </c>
      <c r="C8512" t="s">
        <v>7</v>
      </c>
      <c r="D8512" t="s">
        <v>14</v>
      </c>
      <c r="E8512" t="s">
        <v>11472</v>
      </c>
    </row>
    <row r="8513" spans="1:6" x14ac:dyDescent="0.25">
      <c r="A8513" t="str">
        <f>"7743538088"</f>
        <v>7743538088</v>
      </c>
      <c r="B8513" t="s">
        <v>11670</v>
      </c>
      <c r="C8513" t="s">
        <v>7</v>
      </c>
      <c r="D8513" t="s">
        <v>146</v>
      </c>
      <c r="E8513" t="s">
        <v>11472</v>
      </c>
      <c r="F8513" t="s">
        <v>11671</v>
      </c>
    </row>
    <row r="8514" spans="1:6" x14ac:dyDescent="0.25">
      <c r="A8514" t="str">
        <f>"7743543761"</f>
        <v>7743543761</v>
      </c>
      <c r="B8514" t="s">
        <v>11672</v>
      </c>
      <c r="C8514" t="s">
        <v>7</v>
      </c>
      <c r="D8514" t="s">
        <v>12</v>
      </c>
      <c r="E8514" t="s">
        <v>11472</v>
      </c>
      <c r="F8514" t="s">
        <v>11673</v>
      </c>
    </row>
    <row r="8515" spans="1:6" x14ac:dyDescent="0.25">
      <c r="A8515" t="str">
        <f>"7751291370"</f>
        <v>7751291370</v>
      </c>
      <c r="B8515" t="s">
        <v>11674</v>
      </c>
      <c r="C8515" t="s">
        <v>7</v>
      </c>
      <c r="D8515" t="s">
        <v>12</v>
      </c>
      <c r="E8515" t="s">
        <v>11472</v>
      </c>
      <c r="F8515" t="s">
        <v>11675</v>
      </c>
    </row>
    <row r="8516" spans="1:6" x14ac:dyDescent="0.25">
      <c r="A8516" t="str">
        <f>"463227041359"</f>
        <v>463227041359</v>
      </c>
      <c r="B8516" t="s">
        <v>11676</v>
      </c>
      <c r="C8516" t="s">
        <v>7</v>
      </c>
      <c r="D8516" t="s">
        <v>14</v>
      </c>
      <c r="E8516" t="s">
        <v>11472</v>
      </c>
    </row>
    <row r="8517" spans="1:6" x14ac:dyDescent="0.25">
      <c r="A8517" t="str">
        <f>"713170760835"</f>
        <v>713170760835</v>
      </c>
      <c r="B8517" t="s">
        <v>11677</v>
      </c>
      <c r="C8517" t="s">
        <v>7</v>
      </c>
      <c r="D8517" t="s">
        <v>14</v>
      </c>
      <c r="E8517" t="s">
        <v>11472</v>
      </c>
    </row>
    <row r="8518" spans="1:6" x14ac:dyDescent="0.25">
      <c r="A8518" t="str">
        <f>"2540187090"</f>
        <v>2540187090</v>
      </c>
      <c r="B8518" t="s">
        <v>11678</v>
      </c>
      <c r="C8518" t="s">
        <v>7</v>
      </c>
      <c r="D8518" t="s">
        <v>8</v>
      </c>
      <c r="E8518" t="s">
        <v>11472</v>
      </c>
      <c r="F8518" t="s">
        <v>11679</v>
      </c>
    </row>
    <row r="8519" spans="1:6" x14ac:dyDescent="0.25">
      <c r="A8519" t="str">
        <f>"7735153038"</f>
        <v>7735153038</v>
      </c>
      <c r="B8519" t="s">
        <v>11680</v>
      </c>
      <c r="C8519" t="s">
        <v>7</v>
      </c>
      <c r="D8519" t="s">
        <v>33</v>
      </c>
      <c r="E8519" t="s">
        <v>11472</v>
      </c>
      <c r="F8519" t="s">
        <v>11681</v>
      </c>
    </row>
    <row r="8520" spans="1:6" x14ac:dyDescent="0.25">
      <c r="A8520" t="str">
        <f>"7743036190"</f>
        <v>7743036190</v>
      </c>
      <c r="B8520" t="s">
        <v>11682</v>
      </c>
      <c r="C8520" t="s">
        <v>7</v>
      </c>
      <c r="D8520" t="s">
        <v>674</v>
      </c>
      <c r="E8520" t="s">
        <v>11472</v>
      </c>
      <c r="F8520" t="s">
        <v>11683</v>
      </c>
    </row>
    <row r="8521" spans="1:6" x14ac:dyDescent="0.25">
      <c r="A8521" t="str">
        <f>"7743378469"</f>
        <v>7743378469</v>
      </c>
      <c r="B8521" t="s">
        <v>11684</v>
      </c>
      <c r="C8521" t="s">
        <v>7</v>
      </c>
      <c r="D8521" t="s">
        <v>12</v>
      </c>
      <c r="E8521" t="s">
        <v>11472</v>
      </c>
      <c r="F8521" t="s">
        <v>11685</v>
      </c>
    </row>
    <row r="8522" spans="1:6" x14ac:dyDescent="0.25">
      <c r="A8522" t="str">
        <f>"7743635229"</f>
        <v>7743635229</v>
      </c>
      <c r="B8522" t="s">
        <v>11686</v>
      </c>
      <c r="C8522" t="s">
        <v>7</v>
      </c>
      <c r="D8522" t="s">
        <v>12</v>
      </c>
      <c r="E8522" t="s">
        <v>11472</v>
      </c>
      <c r="F8522" t="s">
        <v>11687</v>
      </c>
    </row>
    <row r="8523" spans="1:6" x14ac:dyDescent="0.25">
      <c r="A8523" t="str">
        <f>"710602106722"</f>
        <v>710602106722</v>
      </c>
      <c r="B8523" t="s">
        <v>11688</v>
      </c>
      <c r="C8523" t="s">
        <v>7</v>
      </c>
      <c r="D8523" t="s">
        <v>33</v>
      </c>
      <c r="E8523" t="s">
        <v>11472</v>
      </c>
    </row>
    <row r="8524" spans="1:6" x14ac:dyDescent="0.25">
      <c r="A8524" t="str">
        <f>"6230122100"</f>
        <v>6230122100</v>
      </c>
      <c r="B8524" t="s">
        <v>11689</v>
      </c>
      <c r="C8524" t="s">
        <v>7</v>
      </c>
      <c r="D8524" t="s">
        <v>98</v>
      </c>
      <c r="E8524" t="s">
        <v>11472</v>
      </c>
      <c r="F8524" t="s">
        <v>11690</v>
      </c>
    </row>
    <row r="8525" spans="1:6" x14ac:dyDescent="0.25">
      <c r="A8525" t="str">
        <f>"220915291233"</f>
        <v>220915291233</v>
      </c>
      <c r="B8525" t="s">
        <v>11691</v>
      </c>
      <c r="C8525" t="s">
        <v>7</v>
      </c>
      <c r="D8525" t="s">
        <v>12</v>
      </c>
      <c r="E8525" t="s">
        <v>11472</v>
      </c>
    </row>
    <row r="8526" spans="1:6" x14ac:dyDescent="0.25">
      <c r="A8526" t="str">
        <f>"360900068939"</f>
        <v>360900068939</v>
      </c>
      <c r="B8526" t="s">
        <v>11692</v>
      </c>
      <c r="C8526" t="s">
        <v>7</v>
      </c>
      <c r="D8526" t="s">
        <v>14</v>
      </c>
      <c r="E8526" t="s">
        <v>11472</v>
      </c>
    </row>
    <row r="8527" spans="1:6" x14ac:dyDescent="0.25">
      <c r="A8527" t="str">
        <f>"361607098468"</f>
        <v>361607098468</v>
      </c>
      <c r="B8527" t="s">
        <v>11693</v>
      </c>
      <c r="C8527" t="s">
        <v>7</v>
      </c>
      <c r="D8527" t="s">
        <v>14</v>
      </c>
      <c r="E8527" t="s">
        <v>11472</v>
      </c>
    </row>
    <row r="8528" spans="1:6" x14ac:dyDescent="0.25">
      <c r="A8528" t="str">
        <f>"362904875380"</f>
        <v>362904875380</v>
      </c>
      <c r="B8528" t="s">
        <v>11694</v>
      </c>
      <c r="C8528" t="s">
        <v>7</v>
      </c>
      <c r="D8528" t="s">
        <v>12</v>
      </c>
      <c r="E8528" t="s">
        <v>11472</v>
      </c>
    </row>
    <row r="8529" spans="1:6" x14ac:dyDescent="0.25">
      <c r="A8529" t="str">
        <f>"543319266105"</f>
        <v>543319266105</v>
      </c>
      <c r="B8529" t="s">
        <v>11695</v>
      </c>
      <c r="C8529" t="s">
        <v>7</v>
      </c>
      <c r="D8529" t="s">
        <v>463</v>
      </c>
      <c r="E8529" t="s">
        <v>11472</v>
      </c>
    </row>
    <row r="8530" spans="1:6" x14ac:dyDescent="0.25">
      <c r="A8530" t="str">
        <f>"260507357273"</f>
        <v>260507357273</v>
      </c>
      <c r="B8530" t="s">
        <v>11696</v>
      </c>
      <c r="C8530" t="s">
        <v>7</v>
      </c>
      <c r="D8530" t="s">
        <v>14</v>
      </c>
      <c r="E8530" t="s">
        <v>11472</v>
      </c>
    </row>
    <row r="8531" spans="1:6" x14ac:dyDescent="0.25">
      <c r="A8531" t="str">
        <f>"7806461539"</f>
        <v>7806461539</v>
      </c>
      <c r="B8531" t="s">
        <v>11697</v>
      </c>
      <c r="C8531" t="s">
        <v>7</v>
      </c>
      <c r="D8531" t="s">
        <v>14</v>
      </c>
      <c r="E8531" t="s">
        <v>11472</v>
      </c>
      <c r="F8531" t="s">
        <v>11698</v>
      </c>
    </row>
    <row r="8532" spans="1:6" x14ac:dyDescent="0.25">
      <c r="A8532" t="str">
        <f>"730902698600"</f>
        <v>730902698600</v>
      </c>
      <c r="B8532" t="s">
        <v>11699</v>
      </c>
      <c r="C8532" t="s">
        <v>7</v>
      </c>
      <c r="D8532" t="s">
        <v>14</v>
      </c>
      <c r="E8532" t="s">
        <v>11472</v>
      </c>
    </row>
    <row r="8533" spans="1:6" x14ac:dyDescent="0.25">
      <c r="A8533" t="str">
        <f>"732500805774"</f>
        <v>732500805774</v>
      </c>
      <c r="B8533" t="s">
        <v>11700</v>
      </c>
      <c r="C8533" t="s">
        <v>7</v>
      </c>
      <c r="D8533" t="s">
        <v>12</v>
      </c>
      <c r="E8533" t="s">
        <v>11472</v>
      </c>
    </row>
    <row r="8534" spans="1:6" x14ac:dyDescent="0.25">
      <c r="A8534" t="str">
        <f>"260202091318"</f>
        <v>260202091318</v>
      </c>
      <c r="B8534" t="s">
        <v>11701</v>
      </c>
      <c r="C8534" t="s">
        <v>7</v>
      </c>
      <c r="D8534" t="s">
        <v>33</v>
      </c>
      <c r="E8534" t="s">
        <v>11472</v>
      </c>
    </row>
    <row r="8535" spans="1:6" x14ac:dyDescent="0.25">
      <c r="A8535" t="str">
        <f>"261809464227"</f>
        <v>261809464227</v>
      </c>
      <c r="B8535" t="s">
        <v>11702</v>
      </c>
      <c r="C8535" t="s">
        <v>7</v>
      </c>
      <c r="D8535" t="s">
        <v>14</v>
      </c>
      <c r="E8535" t="s">
        <v>11472</v>
      </c>
    </row>
    <row r="8536" spans="1:6" x14ac:dyDescent="0.25">
      <c r="A8536" t="str">
        <f>"712100031001"</f>
        <v>712100031001</v>
      </c>
      <c r="B8536" t="s">
        <v>11703</v>
      </c>
      <c r="C8536" t="s">
        <v>7</v>
      </c>
      <c r="D8536" t="s">
        <v>12</v>
      </c>
      <c r="E8536" t="s">
        <v>11472</v>
      </c>
    </row>
    <row r="8537" spans="1:6" x14ac:dyDescent="0.25">
      <c r="A8537" t="str">
        <f>"620803397296"</f>
        <v>620803397296</v>
      </c>
      <c r="B8537" t="s">
        <v>11704</v>
      </c>
      <c r="C8537" t="s">
        <v>7</v>
      </c>
      <c r="D8537" t="s">
        <v>14</v>
      </c>
      <c r="E8537" t="s">
        <v>11472</v>
      </c>
    </row>
    <row r="8538" spans="1:6" x14ac:dyDescent="0.25">
      <c r="A8538" t="str">
        <f>"245408080002"</f>
        <v>245408080002</v>
      </c>
      <c r="B8538" t="s">
        <v>11705</v>
      </c>
      <c r="C8538" t="s">
        <v>7</v>
      </c>
      <c r="D8538" t="s">
        <v>14</v>
      </c>
      <c r="E8538" t="s">
        <v>11472</v>
      </c>
    </row>
    <row r="8539" spans="1:6" x14ac:dyDescent="0.25">
      <c r="A8539" t="str">
        <f>"226301604975"</f>
        <v>226301604975</v>
      </c>
      <c r="B8539" t="s">
        <v>11706</v>
      </c>
      <c r="C8539" t="s">
        <v>7</v>
      </c>
      <c r="D8539" t="s">
        <v>14</v>
      </c>
      <c r="E8539" t="s">
        <v>11472</v>
      </c>
    </row>
    <row r="8540" spans="1:6" x14ac:dyDescent="0.25">
      <c r="A8540" t="str">
        <f>"636704266162"</f>
        <v>636704266162</v>
      </c>
      <c r="B8540" t="s">
        <v>11707</v>
      </c>
      <c r="C8540" t="s">
        <v>7</v>
      </c>
      <c r="D8540" t="s">
        <v>14</v>
      </c>
      <c r="E8540" t="s">
        <v>11472</v>
      </c>
    </row>
    <row r="8541" spans="1:6" x14ac:dyDescent="0.25">
      <c r="A8541" t="str">
        <f>"230307737046"</f>
        <v>230307737046</v>
      </c>
      <c r="B8541" t="s">
        <v>11708</v>
      </c>
      <c r="C8541" t="s">
        <v>7</v>
      </c>
      <c r="D8541" t="s">
        <v>12</v>
      </c>
      <c r="E8541" t="s">
        <v>11472</v>
      </c>
    </row>
    <row r="8542" spans="1:6" x14ac:dyDescent="0.25">
      <c r="A8542" t="str">
        <f>"263111181111"</f>
        <v>263111181111</v>
      </c>
      <c r="B8542" t="s">
        <v>11709</v>
      </c>
      <c r="C8542" t="s">
        <v>7</v>
      </c>
      <c r="D8542" t="s">
        <v>14</v>
      </c>
      <c r="E8542" t="s">
        <v>11472</v>
      </c>
    </row>
    <row r="8543" spans="1:6" x14ac:dyDescent="0.25">
      <c r="A8543" t="str">
        <f>"481105797115"</f>
        <v>481105797115</v>
      </c>
      <c r="B8543" t="s">
        <v>11710</v>
      </c>
      <c r="C8543" t="s">
        <v>7</v>
      </c>
      <c r="D8543" t="s">
        <v>12</v>
      </c>
      <c r="E8543" t="s">
        <v>11472</v>
      </c>
    </row>
    <row r="8544" spans="1:6" x14ac:dyDescent="0.25">
      <c r="A8544" t="str">
        <f>"482105192337"</f>
        <v>482105192337</v>
      </c>
      <c r="B8544" t="s">
        <v>11711</v>
      </c>
      <c r="C8544" t="s">
        <v>7</v>
      </c>
      <c r="D8544" t="s">
        <v>14</v>
      </c>
      <c r="E8544" t="s">
        <v>11472</v>
      </c>
    </row>
    <row r="8545" spans="1:6" x14ac:dyDescent="0.25">
      <c r="A8545" t="str">
        <f>"482306386484"</f>
        <v>482306386484</v>
      </c>
      <c r="B8545" t="s">
        <v>11712</v>
      </c>
      <c r="C8545" t="s">
        <v>7</v>
      </c>
      <c r="D8545" t="s">
        <v>674</v>
      </c>
      <c r="E8545" t="s">
        <v>11472</v>
      </c>
    </row>
    <row r="8546" spans="1:6" x14ac:dyDescent="0.25">
      <c r="A8546" t="str">
        <f>"100119191919"</f>
        <v>100119191919</v>
      </c>
      <c r="B8546" t="s">
        <v>11713</v>
      </c>
      <c r="C8546" t="s">
        <v>7</v>
      </c>
      <c r="D8546" t="s">
        <v>14</v>
      </c>
      <c r="E8546" t="s">
        <v>11472</v>
      </c>
    </row>
    <row r="8547" spans="1:6" x14ac:dyDescent="0.25">
      <c r="A8547" t="str">
        <f>"490701839459"</f>
        <v>490701839459</v>
      </c>
      <c r="B8547" t="s">
        <v>11714</v>
      </c>
      <c r="C8547" t="s">
        <v>7</v>
      </c>
      <c r="D8547" t="s">
        <v>14</v>
      </c>
      <c r="E8547" t="s">
        <v>11472</v>
      </c>
    </row>
    <row r="8548" spans="1:6" x14ac:dyDescent="0.25">
      <c r="A8548" t="str">
        <f>"262519852445"</f>
        <v>262519852445</v>
      </c>
      <c r="B8548" t="s">
        <v>11715</v>
      </c>
      <c r="C8548" t="s">
        <v>7</v>
      </c>
      <c r="D8548" t="s">
        <v>14</v>
      </c>
      <c r="E8548" t="s">
        <v>11472</v>
      </c>
    </row>
    <row r="8549" spans="1:6" x14ac:dyDescent="0.25">
      <c r="A8549" t="str">
        <f>"550615224850"</f>
        <v>550615224850</v>
      </c>
      <c r="B8549" t="s">
        <v>11716</v>
      </c>
      <c r="C8549" t="s">
        <v>7</v>
      </c>
      <c r="D8549" t="s">
        <v>14</v>
      </c>
      <c r="E8549" t="s">
        <v>11472</v>
      </c>
    </row>
    <row r="8550" spans="1:6" x14ac:dyDescent="0.25">
      <c r="A8550" t="str">
        <f>"637200161035"</f>
        <v>637200161035</v>
      </c>
      <c r="B8550" t="s">
        <v>11717</v>
      </c>
      <c r="C8550" t="s">
        <v>7</v>
      </c>
      <c r="D8550" t="s">
        <v>14</v>
      </c>
      <c r="E8550" t="s">
        <v>11472</v>
      </c>
    </row>
    <row r="8551" spans="1:6" x14ac:dyDescent="0.25">
      <c r="A8551" t="str">
        <f>"643601138160"</f>
        <v>643601138160</v>
      </c>
      <c r="B8551" t="s">
        <v>11718</v>
      </c>
      <c r="C8551" t="s">
        <v>7</v>
      </c>
      <c r="D8551" t="s">
        <v>14</v>
      </c>
      <c r="E8551" t="s">
        <v>11472</v>
      </c>
    </row>
    <row r="8552" spans="1:6" x14ac:dyDescent="0.25">
      <c r="A8552" t="str">
        <f>"2537110869"</f>
        <v>2537110869</v>
      </c>
      <c r="B8552" t="s">
        <v>11719</v>
      </c>
      <c r="C8552" t="s">
        <v>7</v>
      </c>
      <c r="D8552" t="s">
        <v>674</v>
      </c>
      <c r="E8552" t="s">
        <v>11472</v>
      </c>
      <c r="F8552" t="s">
        <v>11720</v>
      </c>
    </row>
    <row r="8553" spans="1:6" x14ac:dyDescent="0.25">
      <c r="A8553" t="str">
        <f>"270313285594"</f>
        <v>270313285594</v>
      </c>
      <c r="B8553" t="s">
        <v>11721</v>
      </c>
      <c r="C8553" t="s">
        <v>7</v>
      </c>
      <c r="D8553" t="s">
        <v>14</v>
      </c>
      <c r="E8553" t="s">
        <v>11472</v>
      </c>
    </row>
    <row r="8554" spans="1:6" x14ac:dyDescent="0.25">
      <c r="A8554" t="str">
        <f>"490909922466"</f>
        <v>490909922466</v>
      </c>
      <c r="B8554" t="s">
        <v>11722</v>
      </c>
      <c r="C8554" t="s">
        <v>7</v>
      </c>
      <c r="D8554" t="s">
        <v>14</v>
      </c>
      <c r="E8554" t="s">
        <v>11472</v>
      </c>
    </row>
    <row r="8555" spans="1:6" x14ac:dyDescent="0.25">
      <c r="A8555" t="str">
        <f>"5001027212"</f>
        <v>5001027212</v>
      </c>
      <c r="B8555" t="s">
        <v>11723</v>
      </c>
      <c r="C8555" t="s">
        <v>7</v>
      </c>
      <c r="D8555" t="s">
        <v>33</v>
      </c>
      <c r="E8555" t="s">
        <v>11472</v>
      </c>
      <c r="F8555" t="s">
        <v>11724</v>
      </c>
    </row>
    <row r="8556" spans="1:6" x14ac:dyDescent="0.25">
      <c r="A8556" t="str">
        <f>"500103253913"</f>
        <v>500103253913</v>
      </c>
      <c r="B8556" t="s">
        <v>11725</v>
      </c>
      <c r="C8556" t="s">
        <v>7</v>
      </c>
      <c r="D8556" t="s">
        <v>12</v>
      </c>
      <c r="E8556" t="s">
        <v>11472</v>
      </c>
    </row>
    <row r="8557" spans="1:6" x14ac:dyDescent="0.25">
      <c r="A8557" t="str">
        <f>"5001039257"</f>
        <v>5001039257</v>
      </c>
      <c r="B8557" t="s">
        <v>11726</v>
      </c>
      <c r="C8557" t="s">
        <v>7</v>
      </c>
      <c r="D8557" t="s">
        <v>12</v>
      </c>
      <c r="E8557" t="s">
        <v>11472</v>
      </c>
      <c r="F8557" t="s">
        <v>11727</v>
      </c>
    </row>
    <row r="8558" spans="1:6" x14ac:dyDescent="0.25">
      <c r="A8558" t="str">
        <f>"5001048893"</f>
        <v>5001048893</v>
      </c>
      <c r="B8558" t="s">
        <v>11728</v>
      </c>
      <c r="C8558" t="s">
        <v>7</v>
      </c>
      <c r="D8558" t="s">
        <v>12</v>
      </c>
      <c r="E8558" t="s">
        <v>11472</v>
      </c>
      <c r="F8558" t="s">
        <v>11729</v>
      </c>
    </row>
    <row r="8559" spans="1:6" x14ac:dyDescent="0.25">
      <c r="A8559" t="str">
        <f>"500106767201"</f>
        <v>500106767201</v>
      </c>
      <c r="B8559" t="s">
        <v>11730</v>
      </c>
      <c r="C8559" t="s">
        <v>7</v>
      </c>
      <c r="D8559" t="s">
        <v>12</v>
      </c>
      <c r="E8559" t="s">
        <v>11472</v>
      </c>
    </row>
    <row r="8560" spans="1:6" x14ac:dyDescent="0.25">
      <c r="A8560" t="str">
        <f>"5001070560"</f>
        <v>5001070560</v>
      </c>
      <c r="B8560" t="s">
        <v>11731</v>
      </c>
      <c r="C8560" t="s">
        <v>7</v>
      </c>
      <c r="D8560" t="s">
        <v>14</v>
      </c>
      <c r="E8560" t="s">
        <v>11472</v>
      </c>
      <c r="F8560" t="s">
        <v>11732</v>
      </c>
    </row>
    <row r="8561" spans="1:6" x14ac:dyDescent="0.25">
      <c r="A8561" t="str">
        <f>"5001092405"</f>
        <v>5001092405</v>
      </c>
      <c r="B8561" t="s">
        <v>11733</v>
      </c>
      <c r="C8561" t="s">
        <v>7</v>
      </c>
      <c r="D8561" t="s">
        <v>189</v>
      </c>
      <c r="E8561" t="s">
        <v>11472</v>
      </c>
      <c r="F8561" t="s">
        <v>11734</v>
      </c>
    </row>
    <row r="8562" spans="1:6" x14ac:dyDescent="0.25">
      <c r="A8562" t="str">
        <f>"5001097033"</f>
        <v>5001097033</v>
      </c>
      <c r="B8562" t="s">
        <v>2022</v>
      </c>
      <c r="C8562" t="s">
        <v>7</v>
      </c>
      <c r="D8562" t="s">
        <v>12</v>
      </c>
      <c r="E8562" t="s">
        <v>11472</v>
      </c>
      <c r="F8562" t="s">
        <v>11735</v>
      </c>
    </row>
    <row r="8563" spans="1:6" x14ac:dyDescent="0.25">
      <c r="A8563" t="str">
        <f>"500109940574"</f>
        <v>500109940574</v>
      </c>
      <c r="B8563" t="s">
        <v>11736</v>
      </c>
      <c r="C8563" t="s">
        <v>7</v>
      </c>
      <c r="D8563" t="s">
        <v>14</v>
      </c>
      <c r="E8563" t="s">
        <v>11472</v>
      </c>
    </row>
    <row r="8564" spans="1:6" x14ac:dyDescent="0.25">
      <c r="A8564" t="str">
        <f>"5001107933"</f>
        <v>5001107933</v>
      </c>
      <c r="B8564" t="s">
        <v>11737</v>
      </c>
      <c r="C8564" t="s">
        <v>7</v>
      </c>
      <c r="D8564" t="s">
        <v>33</v>
      </c>
      <c r="E8564" t="s">
        <v>11472</v>
      </c>
      <c r="F8564" t="s">
        <v>11738</v>
      </c>
    </row>
    <row r="8565" spans="1:6" x14ac:dyDescent="0.25">
      <c r="A8565" t="str">
        <f>"5001151717"</f>
        <v>5001151717</v>
      </c>
      <c r="B8565" t="s">
        <v>11739</v>
      </c>
      <c r="C8565" t="s">
        <v>7</v>
      </c>
      <c r="D8565" t="s">
        <v>14</v>
      </c>
      <c r="E8565" t="s">
        <v>11472</v>
      </c>
      <c r="F8565" t="s">
        <v>11740</v>
      </c>
    </row>
    <row r="8566" spans="1:6" x14ac:dyDescent="0.25">
      <c r="A8566" t="str">
        <f>"5001157067"</f>
        <v>5001157067</v>
      </c>
      <c r="B8566" t="s">
        <v>10727</v>
      </c>
      <c r="C8566" t="s">
        <v>7</v>
      </c>
      <c r="D8566" t="s">
        <v>33</v>
      </c>
      <c r="E8566" t="s">
        <v>11472</v>
      </c>
      <c r="F8566" t="s">
        <v>11741</v>
      </c>
    </row>
    <row r="8567" spans="1:6" x14ac:dyDescent="0.25">
      <c r="A8567" t="str">
        <f>"5001157194"</f>
        <v>5001157194</v>
      </c>
      <c r="B8567" t="s">
        <v>11742</v>
      </c>
      <c r="C8567" t="s">
        <v>7</v>
      </c>
      <c r="D8567" t="s">
        <v>8</v>
      </c>
      <c r="E8567" t="s">
        <v>11472</v>
      </c>
      <c r="F8567" t="s">
        <v>11743</v>
      </c>
    </row>
    <row r="8568" spans="1:6" x14ac:dyDescent="0.25">
      <c r="A8568" t="str">
        <f>"5001157846"</f>
        <v>5001157846</v>
      </c>
      <c r="B8568" t="s">
        <v>11744</v>
      </c>
      <c r="C8568" t="s">
        <v>7</v>
      </c>
      <c r="D8568" t="s">
        <v>12</v>
      </c>
      <c r="E8568" t="s">
        <v>11472</v>
      </c>
      <c r="F8568" t="s">
        <v>11745</v>
      </c>
    </row>
    <row r="8569" spans="1:6" x14ac:dyDescent="0.25">
      <c r="A8569" t="str">
        <f>"5001159280"</f>
        <v>5001159280</v>
      </c>
      <c r="B8569" t="s">
        <v>6290</v>
      </c>
      <c r="C8569" t="s">
        <v>7</v>
      </c>
      <c r="D8569" t="s">
        <v>33</v>
      </c>
      <c r="E8569" t="s">
        <v>11472</v>
      </c>
      <c r="F8569" t="s">
        <v>11746</v>
      </c>
    </row>
    <row r="8570" spans="1:6" x14ac:dyDescent="0.25">
      <c r="A8570" t="str">
        <f>"5002005331"</f>
        <v>5002005331</v>
      </c>
      <c r="B8570" t="s">
        <v>11747</v>
      </c>
      <c r="C8570" t="s">
        <v>7</v>
      </c>
      <c r="D8570" t="s">
        <v>14</v>
      </c>
      <c r="E8570" t="s">
        <v>11472</v>
      </c>
      <c r="F8570" t="s">
        <v>11482</v>
      </c>
    </row>
    <row r="8571" spans="1:6" x14ac:dyDescent="0.25">
      <c r="A8571" t="str">
        <f>"500301975572"</f>
        <v>500301975572</v>
      </c>
      <c r="B8571" t="s">
        <v>11748</v>
      </c>
      <c r="C8571" t="s">
        <v>7</v>
      </c>
      <c r="D8571" t="s">
        <v>14</v>
      </c>
      <c r="E8571" t="s">
        <v>11472</v>
      </c>
    </row>
    <row r="8572" spans="1:6" x14ac:dyDescent="0.25">
      <c r="A8572" t="str">
        <f>"5003058583"</f>
        <v>5003058583</v>
      </c>
      <c r="B8572" t="s">
        <v>11749</v>
      </c>
      <c r="C8572" t="s">
        <v>7</v>
      </c>
      <c r="D8572" t="s">
        <v>12</v>
      </c>
      <c r="E8572" t="s">
        <v>11472</v>
      </c>
      <c r="F8572" t="s">
        <v>11750</v>
      </c>
    </row>
    <row r="8573" spans="1:6" x14ac:dyDescent="0.25">
      <c r="A8573" t="str">
        <f>"5003097617"</f>
        <v>5003097617</v>
      </c>
      <c r="B8573" t="s">
        <v>11751</v>
      </c>
      <c r="C8573" t="s">
        <v>7</v>
      </c>
      <c r="D8573" t="s">
        <v>14</v>
      </c>
      <c r="E8573" t="s">
        <v>11472</v>
      </c>
      <c r="F8573" t="s">
        <v>11752</v>
      </c>
    </row>
    <row r="8574" spans="1:6" x14ac:dyDescent="0.25">
      <c r="A8574" t="str">
        <f>"5003114100"</f>
        <v>5003114100</v>
      </c>
      <c r="B8574" t="s">
        <v>11753</v>
      </c>
      <c r="C8574" t="s">
        <v>7</v>
      </c>
      <c r="D8574" t="s">
        <v>14</v>
      </c>
      <c r="E8574" t="s">
        <v>11472</v>
      </c>
      <c r="F8574" t="s">
        <v>11754</v>
      </c>
    </row>
    <row r="8575" spans="1:6" x14ac:dyDescent="0.25">
      <c r="A8575" t="str">
        <f>"5003119941"</f>
        <v>5003119941</v>
      </c>
      <c r="B8575" t="s">
        <v>11755</v>
      </c>
      <c r="C8575" t="s">
        <v>7</v>
      </c>
      <c r="D8575" t="s">
        <v>33</v>
      </c>
      <c r="E8575" t="s">
        <v>11472</v>
      </c>
      <c r="F8575" t="s">
        <v>11756</v>
      </c>
    </row>
    <row r="8576" spans="1:6" x14ac:dyDescent="0.25">
      <c r="A8576" t="str">
        <f>"5003121281"</f>
        <v>5003121281</v>
      </c>
      <c r="B8576" t="s">
        <v>11757</v>
      </c>
      <c r="C8576" t="s">
        <v>7</v>
      </c>
      <c r="D8576" t="s">
        <v>33</v>
      </c>
      <c r="E8576" t="s">
        <v>11472</v>
      </c>
      <c r="F8576" t="s">
        <v>11758</v>
      </c>
    </row>
    <row r="8577" spans="1:6" x14ac:dyDescent="0.25">
      <c r="A8577" t="str">
        <f>"5003121725"</f>
        <v>5003121725</v>
      </c>
      <c r="B8577" t="s">
        <v>11759</v>
      </c>
      <c r="C8577" t="s">
        <v>7</v>
      </c>
      <c r="D8577" t="s">
        <v>14</v>
      </c>
      <c r="E8577" t="s">
        <v>11472</v>
      </c>
      <c r="F8577" t="s">
        <v>11760</v>
      </c>
    </row>
    <row r="8578" spans="1:6" x14ac:dyDescent="0.25">
      <c r="A8578" t="str">
        <f>"5003128431"</f>
        <v>5003128431</v>
      </c>
      <c r="B8578" t="s">
        <v>11761</v>
      </c>
      <c r="C8578" t="s">
        <v>7</v>
      </c>
      <c r="D8578" t="s">
        <v>674</v>
      </c>
      <c r="E8578" t="s">
        <v>11472</v>
      </c>
      <c r="F8578" t="s">
        <v>11762</v>
      </c>
    </row>
    <row r="8579" spans="1:6" x14ac:dyDescent="0.25">
      <c r="A8579" t="str">
        <f>"5003150701"</f>
        <v>5003150701</v>
      </c>
      <c r="B8579" t="s">
        <v>11763</v>
      </c>
      <c r="C8579" t="s">
        <v>7</v>
      </c>
      <c r="D8579" t="s">
        <v>1430</v>
      </c>
      <c r="E8579" t="s">
        <v>11472</v>
      </c>
      <c r="F8579" t="s">
        <v>11764</v>
      </c>
    </row>
    <row r="8580" spans="1:6" x14ac:dyDescent="0.25">
      <c r="A8580" t="str">
        <f>"500319615740"</f>
        <v>500319615740</v>
      </c>
      <c r="B8580" t="s">
        <v>11765</v>
      </c>
      <c r="C8580" t="s">
        <v>7</v>
      </c>
      <c r="D8580" t="s">
        <v>14</v>
      </c>
      <c r="E8580" t="s">
        <v>11472</v>
      </c>
    </row>
    <row r="8581" spans="1:6" x14ac:dyDescent="0.25">
      <c r="A8581" t="str">
        <f>"500400038034"</f>
        <v>500400038034</v>
      </c>
      <c r="B8581" t="s">
        <v>11766</v>
      </c>
      <c r="C8581" t="s">
        <v>7</v>
      </c>
      <c r="D8581" t="s">
        <v>14</v>
      </c>
      <c r="E8581" t="s">
        <v>11472</v>
      </c>
    </row>
    <row r="8582" spans="1:6" x14ac:dyDescent="0.25">
      <c r="A8582" t="str">
        <f>"5004029419"</f>
        <v>5004029419</v>
      </c>
      <c r="B8582" t="s">
        <v>9200</v>
      </c>
      <c r="C8582" t="s">
        <v>7</v>
      </c>
      <c r="D8582" t="s">
        <v>14</v>
      </c>
      <c r="E8582" t="s">
        <v>11472</v>
      </c>
      <c r="F8582" t="s">
        <v>11767</v>
      </c>
    </row>
    <row r="8583" spans="1:6" x14ac:dyDescent="0.25">
      <c r="A8583" t="str">
        <f>"5004030774"</f>
        <v>5004030774</v>
      </c>
      <c r="B8583" t="s">
        <v>11768</v>
      </c>
      <c r="C8583" t="s">
        <v>7</v>
      </c>
      <c r="D8583" t="s">
        <v>14</v>
      </c>
      <c r="E8583" t="s">
        <v>11472</v>
      </c>
      <c r="F8583" t="s">
        <v>11769</v>
      </c>
    </row>
    <row r="8584" spans="1:6" x14ac:dyDescent="0.25">
      <c r="A8584" t="str">
        <f>"500403536920"</f>
        <v>500403536920</v>
      </c>
      <c r="B8584" t="s">
        <v>11770</v>
      </c>
      <c r="C8584" t="s">
        <v>7</v>
      </c>
      <c r="D8584" t="s">
        <v>14</v>
      </c>
      <c r="E8584" t="s">
        <v>11472</v>
      </c>
    </row>
    <row r="8585" spans="1:6" x14ac:dyDescent="0.25">
      <c r="A8585" t="str">
        <f>"500502906106"</f>
        <v>500502906106</v>
      </c>
      <c r="B8585" t="s">
        <v>11771</v>
      </c>
      <c r="C8585" t="s">
        <v>7</v>
      </c>
      <c r="D8585" t="s">
        <v>12</v>
      </c>
      <c r="E8585" t="s">
        <v>11472</v>
      </c>
    </row>
    <row r="8586" spans="1:6" x14ac:dyDescent="0.25">
      <c r="A8586" t="str">
        <f>"5005029370"</f>
        <v>5005029370</v>
      </c>
      <c r="B8586" t="s">
        <v>4943</v>
      </c>
      <c r="C8586" t="s">
        <v>7</v>
      </c>
      <c r="D8586" t="s">
        <v>14</v>
      </c>
      <c r="E8586" t="s">
        <v>11472</v>
      </c>
      <c r="F8586" t="s">
        <v>11772</v>
      </c>
    </row>
    <row r="8587" spans="1:6" x14ac:dyDescent="0.25">
      <c r="A8587" t="str">
        <f>"500503417771"</f>
        <v>500503417771</v>
      </c>
      <c r="B8587" t="s">
        <v>11773</v>
      </c>
      <c r="C8587" t="s">
        <v>7</v>
      </c>
      <c r="D8587" t="s">
        <v>14</v>
      </c>
      <c r="E8587" t="s">
        <v>11472</v>
      </c>
    </row>
    <row r="8588" spans="1:6" x14ac:dyDescent="0.25">
      <c r="A8588" t="str">
        <f>"5005035430"</f>
        <v>5005035430</v>
      </c>
      <c r="B8588" t="s">
        <v>11774</v>
      </c>
      <c r="C8588" t="s">
        <v>7</v>
      </c>
      <c r="D8588" t="s">
        <v>14</v>
      </c>
      <c r="E8588" t="s">
        <v>11472</v>
      </c>
      <c r="F8588" t="s">
        <v>11775</v>
      </c>
    </row>
    <row r="8589" spans="1:6" x14ac:dyDescent="0.25">
      <c r="A8589" t="str">
        <f>"5005038208"</f>
        <v>5005038208</v>
      </c>
      <c r="B8589" t="s">
        <v>11776</v>
      </c>
      <c r="C8589" t="s">
        <v>7</v>
      </c>
      <c r="D8589" t="s">
        <v>98</v>
      </c>
      <c r="E8589" t="s">
        <v>11472</v>
      </c>
      <c r="F8589" t="s">
        <v>11777</v>
      </c>
    </row>
    <row r="8590" spans="1:6" x14ac:dyDescent="0.25">
      <c r="A8590" t="str">
        <f>"5005062786"</f>
        <v>5005062786</v>
      </c>
      <c r="B8590" t="s">
        <v>11778</v>
      </c>
      <c r="C8590" t="s">
        <v>7</v>
      </c>
      <c r="D8590" t="s">
        <v>14</v>
      </c>
      <c r="E8590" t="s">
        <v>11472</v>
      </c>
      <c r="F8590" t="s">
        <v>11779</v>
      </c>
    </row>
    <row r="8591" spans="1:6" x14ac:dyDescent="0.25">
      <c r="A8591" t="str">
        <f>"500519416325"</f>
        <v>500519416325</v>
      </c>
      <c r="B8591" t="s">
        <v>11780</v>
      </c>
      <c r="C8591" t="s">
        <v>7</v>
      </c>
      <c r="D8591" t="s">
        <v>8</v>
      </c>
      <c r="E8591" t="s">
        <v>11472</v>
      </c>
    </row>
    <row r="8592" spans="1:6" x14ac:dyDescent="0.25">
      <c r="A8592" t="str">
        <f>"500700392903"</f>
        <v>500700392903</v>
      </c>
      <c r="B8592" t="s">
        <v>11781</v>
      </c>
      <c r="C8592" t="s">
        <v>7</v>
      </c>
      <c r="D8592" t="s">
        <v>14</v>
      </c>
      <c r="E8592" t="s">
        <v>11472</v>
      </c>
    </row>
    <row r="8593" spans="1:6" x14ac:dyDescent="0.25">
      <c r="A8593" t="str">
        <f>"500700765986"</f>
        <v>500700765986</v>
      </c>
      <c r="B8593" t="s">
        <v>11782</v>
      </c>
      <c r="C8593" t="s">
        <v>7</v>
      </c>
      <c r="D8593" t="s">
        <v>14</v>
      </c>
      <c r="E8593" t="s">
        <v>11472</v>
      </c>
    </row>
    <row r="8594" spans="1:6" x14ac:dyDescent="0.25">
      <c r="A8594" t="str">
        <f>"500701516157"</f>
        <v>500701516157</v>
      </c>
      <c r="B8594" t="s">
        <v>11783</v>
      </c>
      <c r="C8594" t="s">
        <v>7</v>
      </c>
      <c r="D8594" t="s">
        <v>14</v>
      </c>
      <c r="E8594" t="s">
        <v>11472</v>
      </c>
    </row>
    <row r="8595" spans="1:6" x14ac:dyDescent="0.25">
      <c r="A8595" t="str">
        <f>"5007033318"</f>
        <v>5007033318</v>
      </c>
      <c r="B8595" t="s">
        <v>11784</v>
      </c>
      <c r="C8595" t="s">
        <v>7</v>
      </c>
      <c r="D8595" t="s">
        <v>14</v>
      </c>
      <c r="E8595" t="s">
        <v>11472</v>
      </c>
      <c r="F8595" t="s">
        <v>11785</v>
      </c>
    </row>
    <row r="8596" spans="1:6" x14ac:dyDescent="0.25">
      <c r="A8596" t="str">
        <f>"5007053890"</f>
        <v>5007053890</v>
      </c>
      <c r="B8596" t="s">
        <v>11786</v>
      </c>
      <c r="C8596" t="s">
        <v>7</v>
      </c>
      <c r="D8596" t="s">
        <v>33</v>
      </c>
      <c r="E8596" t="s">
        <v>11472</v>
      </c>
      <c r="F8596" t="s">
        <v>11787</v>
      </c>
    </row>
    <row r="8597" spans="1:6" x14ac:dyDescent="0.25">
      <c r="A8597" t="str">
        <f>"500706714138"</f>
        <v>500706714138</v>
      </c>
      <c r="B8597" t="s">
        <v>11788</v>
      </c>
      <c r="C8597" t="s">
        <v>7</v>
      </c>
      <c r="D8597" t="s">
        <v>14</v>
      </c>
      <c r="E8597" t="s">
        <v>11472</v>
      </c>
    </row>
    <row r="8598" spans="1:6" x14ac:dyDescent="0.25">
      <c r="A8598" t="str">
        <f>"500709459077"</f>
        <v>500709459077</v>
      </c>
      <c r="B8598" t="s">
        <v>11789</v>
      </c>
      <c r="C8598" t="s">
        <v>7</v>
      </c>
      <c r="D8598" t="s">
        <v>12</v>
      </c>
      <c r="E8598" t="s">
        <v>11472</v>
      </c>
    </row>
    <row r="8599" spans="1:6" x14ac:dyDescent="0.25">
      <c r="A8599" t="str">
        <f>"5007098971"</f>
        <v>5007098971</v>
      </c>
      <c r="B8599" t="s">
        <v>11790</v>
      </c>
      <c r="C8599" t="s">
        <v>7</v>
      </c>
      <c r="D8599" t="s">
        <v>14</v>
      </c>
      <c r="E8599" t="s">
        <v>11472</v>
      </c>
      <c r="F8599" t="s">
        <v>11791</v>
      </c>
    </row>
    <row r="8600" spans="1:6" x14ac:dyDescent="0.25">
      <c r="A8600" t="str">
        <f>"5007107785"</f>
        <v>5007107785</v>
      </c>
      <c r="B8600" t="s">
        <v>11792</v>
      </c>
      <c r="C8600" t="s">
        <v>7</v>
      </c>
      <c r="D8600" t="s">
        <v>14</v>
      </c>
      <c r="E8600" t="s">
        <v>11472</v>
      </c>
      <c r="F8600" t="s">
        <v>11793</v>
      </c>
    </row>
    <row r="8601" spans="1:6" x14ac:dyDescent="0.25">
      <c r="A8601" t="str">
        <f>"5007117840"</f>
        <v>5007117840</v>
      </c>
      <c r="B8601" t="s">
        <v>11794</v>
      </c>
      <c r="C8601" t="s">
        <v>7</v>
      </c>
      <c r="D8601" t="s">
        <v>674</v>
      </c>
      <c r="E8601" t="s">
        <v>11472</v>
      </c>
      <c r="F8601" t="s">
        <v>11795</v>
      </c>
    </row>
    <row r="8602" spans="1:6" x14ac:dyDescent="0.25">
      <c r="A8602" t="str">
        <f>"500712212707"</f>
        <v>500712212707</v>
      </c>
      <c r="B8602" t="s">
        <v>11796</v>
      </c>
      <c r="C8602" t="s">
        <v>7</v>
      </c>
      <c r="D8602" t="s">
        <v>14</v>
      </c>
      <c r="E8602" t="s">
        <v>11472</v>
      </c>
    </row>
    <row r="8603" spans="1:6" x14ac:dyDescent="0.25">
      <c r="A8603" t="str">
        <f>"5008043333"</f>
        <v>5008043333</v>
      </c>
      <c r="B8603" t="s">
        <v>11797</v>
      </c>
      <c r="C8603" t="s">
        <v>7</v>
      </c>
      <c r="D8603" t="s">
        <v>33</v>
      </c>
      <c r="E8603" t="s">
        <v>11472</v>
      </c>
      <c r="F8603" t="s">
        <v>11798</v>
      </c>
    </row>
    <row r="8604" spans="1:6" x14ac:dyDescent="0.25">
      <c r="A8604" t="str">
        <f>"5009021149"</f>
        <v>5009021149</v>
      </c>
      <c r="B8604" t="s">
        <v>11799</v>
      </c>
      <c r="C8604" t="s">
        <v>7</v>
      </c>
      <c r="D8604" t="s">
        <v>12</v>
      </c>
      <c r="E8604" t="s">
        <v>11472</v>
      </c>
      <c r="F8604" t="s">
        <v>11800</v>
      </c>
    </row>
    <row r="8605" spans="1:6" x14ac:dyDescent="0.25">
      <c r="A8605" t="str">
        <f>"5009022294"</f>
        <v>5009022294</v>
      </c>
      <c r="B8605" t="s">
        <v>11801</v>
      </c>
      <c r="C8605" t="s">
        <v>7</v>
      </c>
      <c r="D8605" t="s">
        <v>14</v>
      </c>
      <c r="E8605" t="s">
        <v>11472</v>
      </c>
      <c r="F8605" t="s">
        <v>11802</v>
      </c>
    </row>
    <row r="8606" spans="1:6" x14ac:dyDescent="0.25">
      <c r="A8606" t="str">
        <f>"500902561978"</f>
        <v>500902561978</v>
      </c>
      <c r="B8606" t="s">
        <v>11803</v>
      </c>
      <c r="C8606" t="s">
        <v>7</v>
      </c>
      <c r="D8606" t="s">
        <v>14</v>
      </c>
      <c r="E8606" t="s">
        <v>11472</v>
      </c>
    </row>
    <row r="8607" spans="1:6" x14ac:dyDescent="0.25">
      <c r="A8607" t="str">
        <f>"5009029518"</f>
        <v>5009029518</v>
      </c>
      <c r="B8607" t="s">
        <v>11804</v>
      </c>
      <c r="C8607" t="s">
        <v>7</v>
      </c>
      <c r="D8607" t="s">
        <v>14</v>
      </c>
      <c r="E8607" t="s">
        <v>11472</v>
      </c>
      <c r="F8607" t="s">
        <v>11805</v>
      </c>
    </row>
    <row r="8608" spans="1:6" x14ac:dyDescent="0.25">
      <c r="A8608" t="str">
        <f>"5009054722"</f>
        <v>5009054722</v>
      </c>
      <c r="B8608" t="s">
        <v>11806</v>
      </c>
      <c r="C8608" t="s">
        <v>7</v>
      </c>
      <c r="D8608" t="s">
        <v>12</v>
      </c>
      <c r="E8608" t="s">
        <v>11472</v>
      </c>
      <c r="F8608" t="s">
        <v>11807</v>
      </c>
    </row>
    <row r="8609" spans="1:6" x14ac:dyDescent="0.25">
      <c r="A8609" t="str">
        <f>"5009076042"</f>
        <v>5009076042</v>
      </c>
      <c r="B8609" t="s">
        <v>11808</v>
      </c>
      <c r="C8609" t="s">
        <v>7</v>
      </c>
      <c r="D8609" t="s">
        <v>1430</v>
      </c>
      <c r="E8609" t="s">
        <v>11472</v>
      </c>
      <c r="F8609" t="s">
        <v>11809</v>
      </c>
    </row>
    <row r="8610" spans="1:6" x14ac:dyDescent="0.25">
      <c r="A8610" t="str">
        <f>"5009086210"</f>
        <v>5009086210</v>
      </c>
      <c r="B8610" t="s">
        <v>11810</v>
      </c>
      <c r="C8610" t="s">
        <v>7</v>
      </c>
      <c r="D8610" t="s">
        <v>189</v>
      </c>
      <c r="E8610" t="s">
        <v>11472</v>
      </c>
      <c r="F8610" t="s">
        <v>11811</v>
      </c>
    </row>
    <row r="8611" spans="1:6" x14ac:dyDescent="0.25">
      <c r="A8611" t="str">
        <f>"5009109675"</f>
        <v>5009109675</v>
      </c>
      <c r="B8611" t="s">
        <v>11812</v>
      </c>
      <c r="C8611" t="s">
        <v>7</v>
      </c>
      <c r="D8611" t="s">
        <v>33</v>
      </c>
      <c r="E8611" t="s">
        <v>11472</v>
      </c>
      <c r="F8611" t="s">
        <v>11813</v>
      </c>
    </row>
    <row r="8612" spans="1:6" x14ac:dyDescent="0.25">
      <c r="A8612" t="str">
        <f>"5009123599"</f>
        <v>5009123599</v>
      </c>
      <c r="B8612" t="s">
        <v>11814</v>
      </c>
      <c r="C8612" t="s">
        <v>7</v>
      </c>
      <c r="D8612" t="s">
        <v>14</v>
      </c>
      <c r="E8612" t="s">
        <v>11472</v>
      </c>
      <c r="F8612" t="s">
        <v>11815</v>
      </c>
    </row>
    <row r="8613" spans="1:6" x14ac:dyDescent="0.25">
      <c r="A8613" t="str">
        <f>"500915239060"</f>
        <v>500915239060</v>
      </c>
      <c r="B8613" t="s">
        <v>11816</v>
      </c>
      <c r="C8613" t="s">
        <v>7</v>
      </c>
      <c r="D8613" t="s">
        <v>14</v>
      </c>
      <c r="E8613" t="s">
        <v>11472</v>
      </c>
    </row>
    <row r="8614" spans="1:6" x14ac:dyDescent="0.25">
      <c r="A8614" t="str">
        <f>"501100354880"</f>
        <v>501100354880</v>
      </c>
      <c r="B8614" t="s">
        <v>11817</v>
      </c>
      <c r="C8614" t="s">
        <v>7</v>
      </c>
      <c r="D8614" t="s">
        <v>14</v>
      </c>
      <c r="E8614" t="s">
        <v>11472</v>
      </c>
    </row>
    <row r="8615" spans="1:6" x14ac:dyDescent="0.25">
      <c r="A8615" t="str">
        <f>"501105306129"</f>
        <v>501105306129</v>
      </c>
      <c r="B8615" t="s">
        <v>11818</v>
      </c>
      <c r="C8615" t="s">
        <v>7</v>
      </c>
      <c r="D8615" t="s">
        <v>12</v>
      </c>
      <c r="E8615" t="s">
        <v>11472</v>
      </c>
    </row>
    <row r="8616" spans="1:6" x14ac:dyDescent="0.25">
      <c r="A8616" t="str">
        <f>"501105893597"</f>
        <v>501105893597</v>
      </c>
      <c r="B8616" t="s">
        <v>11819</v>
      </c>
      <c r="C8616" t="s">
        <v>7</v>
      </c>
      <c r="D8616" t="s">
        <v>14</v>
      </c>
      <c r="E8616" t="s">
        <v>11472</v>
      </c>
    </row>
    <row r="8617" spans="1:6" x14ac:dyDescent="0.25">
      <c r="A8617" t="str">
        <f>"110601663121"</f>
        <v>110601663121</v>
      </c>
      <c r="B8617" t="s">
        <v>11820</v>
      </c>
      <c r="C8617" t="s">
        <v>7</v>
      </c>
      <c r="D8617" t="s">
        <v>12</v>
      </c>
      <c r="E8617" t="s">
        <v>11472</v>
      </c>
    </row>
    <row r="8618" spans="1:6" x14ac:dyDescent="0.25">
      <c r="A8618" t="str">
        <f>"500100283500"</f>
        <v>500100283500</v>
      </c>
      <c r="B8618" t="s">
        <v>11821</v>
      </c>
      <c r="C8618" t="s">
        <v>7</v>
      </c>
      <c r="D8618" t="s">
        <v>14</v>
      </c>
      <c r="E8618" t="s">
        <v>11472</v>
      </c>
    </row>
    <row r="8619" spans="1:6" x14ac:dyDescent="0.25">
      <c r="A8619" t="str">
        <f>"5001005410"</f>
        <v>5001005410</v>
      </c>
      <c r="B8619" t="s">
        <v>11822</v>
      </c>
      <c r="C8619" t="s">
        <v>7</v>
      </c>
      <c r="D8619" t="s">
        <v>12</v>
      </c>
      <c r="E8619" t="s">
        <v>11472</v>
      </c>
      <c r="F8619" t="s">
        <v>11823</v>
      </c>
    </row>
    <row r="8620" spans="1:6" x14ac:dyDescent="0.25">
      <c r="A8620" t="str">
        <f>"500103983116"</f>
        <v>500103983116</v>
      </c>
      <c r="B8620" t="s">
        <v>11824</v>
      </c>
      <c r="C8620" t="s">
        <v>7</v>
      </c>
      <c r="D8620" t="s">
        <v>14</v>
      </c>
      <c r="E8620" t="s">
        <v>11472</v>
      </c>
    </row>
    <row r="8621" spans="1:6" x14ac:dyDescent="0.25">
      <c r="A8621" t="str">
        <f>"500105095042"</f>
        <v>500105095042</v>
      </c>
      <c r="B8621" t="s">
        <v>11825</v>
      </c>
      <c r="C8621" t="s">
        <v>7</v>
      </c>
      <c r="D8621" t="s">
        <v>12</v>
      </c>
      <c r="E8621" t="s">
        <v>11472</v>
      </c>
    </row>
    <row r="8622" spans="1:6" x14ac:dyDescent="0.25">
      <c r="A8622" t="str">
        <f>"500106863804"</f>
        <v>500106863804</v>
      </c>
      <c r="B8622" t="s">
        <v>11826</v>
      </c>
      <c r="C8622" t="s">
        <v>7</v>
      </c>
      <c r="D8622" t="s">
        <v>33</v>
      </c>
      <c r="E8622" t="s">
        <v>11472</v>
      </c>
    </row>
    <row r="8623" spans="1:6" x14ac:dyDescent="0.25">
      <c r="A8623" t="str">
        <f>"5001070627"</f>
        <v>5001070627</v>
      </c>
      <c r="B8623" t="s">
        <v>11827</v>
      </c>
      <c r="C8623" t="s">
        <v>7</v>
      </c>
      <c r="D8623" t="s">
        <v>12</v>
      </c>
      <c r="E8623" t="s">
        <v>11472</v>
      </c>
      <c r="F8623" t="s">
        <v>11828</v>
      </c>
    </row>
    <row r="8624" spans="1:6" x14ac:dyDescent="0.25">
      <c r="A8624" t="str">
        <f>"5001071589"</f>
        <v>5001071589</v>
      </c>
      <c r="B8624" t="s">
        <v>11829</v>
      </c>
      <c r="C8624" t="s">
        <v>7</v>
      </c>
      <c r="D8624" t="s">
        <v>98</v>
      </c>
      <c r="E8624" t="s">
        <v>11472</v>
      </c>
      <c r="F8624" t="s">
        <v>11830</v>
      </c>
    </row>
    <row r="8625" spans="1:6" x14ac:dyDescent="0.25">
      <c r="A8625" t="str">
        <f>"5001103696"</f>
        <v>5001103696</v>
      </c>
      <c r="B8625" t="s">
        <v>11831</v>
      </c>
      <c r="C8625" t="s">
        <v>7</v>
      </c>
      <c r="D8625" t="s">
        <v>674</v>
      </c>
      <c r="E8625" t="s">
        <v>11472</v>
      </c>
      <c r="F8625" t="s">
        <v>11832</v>
      </c>
    </row>
    <row r="8626" spans="1:6" x14ac:dyDescent="0.25">
      <c r="A8626" t="str">
        <f>"500110489691"</f>
        <v>500110489691</v>
      </c>
      <c r="B8626" t="s">
        <v>11833</v>
      </c>
      <c r="C8626" t="s">
        <v>7</v>
      </c>
      <c r="D8626" t="s">
        <v>14</v>
      </c>
      <c r="E8626" t="s">
        <v>11472</v>
      </c>
    </row>
    <row r="8627" spans="1:6" x14ac:dyDescent="0.25">
      <c r="A8627" t="str">
        <f>"5001158825"</f>
        <v>5001158825</v>
      </c>
      <c r="B8627" t="s">
        <v>11834</v>
      </c>
      <c r="C8627" t="s">
        <v>7</v>
      </c>
      <c r="D8627" t="s">
        <v>33</v>
      </c>
      <c r="E8627" t="s">
        <v>11472</v>
      </c>
      <c r="F8627" t="s">
        <v>11835</v>
      </c>
    </row>
    <row r="8628" spans="1:6" x14ac:dyDescent="0.25">
      <c r="A8628" t="str">
        <f>"5002004803"</f>
        <v>5002004803</v>
      </c>
      <c r="B8628" t="s">
        <v>11836</v>
      </c>
      <c r="C8628" t="s">
        <v>7</v>
      </c>
      <c r="D8628" t="s">
        <v>12</v>
      </c>
      <c r="E8628" t="s">
        <v>11472</v>
      </c>
      <c r="F8628" t="s">
        <v>11837</v>
      </c>
    </row>
    <row r="8629" spans="1:6" x14ac:dyDescent="0.25">
      <c r="A8629" t="str">
        <f>"500201806034"</f>
        <v>500201806034</v>
      </c>
      <c r="B8629" t="s">
        <v>11838</v>
      </c>
      <c r="C8629" t="s">
        <v>7</v>
      </c>
      <c r="D8629" t="s">
        <v>14</v>
      </c>
      <c r="E8629" t="s">
        <v>11472</v>
      </c>
    </row>
    <row r="8630" spans="1:6" x14ac:dyDescent="0.25">
      <c r="A8630" t="str">
        <f>"5003062974"</f>
        <v>5003062974</v>
      </c>
      <c r="B8630" t="s">
        <v>11839</v>
      </c>
      <c r="C8630" t="s">
        <v>7</v>
      </c>
      <c r="D8630" t="s">
        <v>674</v>
      </c>
      <c r="E8630" t="s">
        <v>11472</v>
      </c>
      <c r="F8630" t="s">
        <v>11840</v>
      </c>
    </row>
    <row r="8631" spans="1:6" x14ac:dyDescent="0.25">
      <c r="A8631" t="str">
        <f>"5003102200"</f>
        <v>5003102200</v>
      </c>
      <c r="B8631" t="s">
        <v>11841</v>
      </c>
      <c r="C8631" t="s">
        <v>7</v>
      </c>
      <c r="D8631" t="s">
        <v>189</v>
      </c>
      <c r="E8631" t="s">
        <v>11472</v>
      </c>
      <c r="F8631" t="s">
        <v>11842</v>
      </c>
    </row>
    <row r="8632" spans="1:6" x14ac:dyDescent="0.25">
      <c r="A8632" t="str">
        <f>"5003127445"</f>
        <v>5003127445</v>
      </c>
      <c r="B8632" t="s">
        <v>11843</v>
      </c>
      <c r="C8632" t="s">
        <v>7</v>
      </c>
      <c r="D8632" t="s">
        <v>14</v>
      </c>
      <c r="E8632" t="s">
        <v>11472</v>
      </c>
      <c r="F8632" t="s">
        <v>11844</v>
      </c>
    </row>
    <row r="8633" spans="1:6" x14ac:dyDescent="0.25">
      <c r="A8633" t="str">
        <f>"5003139962"</f>
        <v>5003139962</v>
      </c>
      <c r="B8633" t="s">
        <v>11845</v>
      </c>
      <c r="C8633" t="s">
        <v>7</v>
      </c>
      <c r="D8633" t="s">
        <v>33</v>
      </c>
      <c r="E8633" t="s">
        <v>11472</v>
      </c>
      <c r="F8633" t="s">
        <v>11846</v>
      </c>
    </row>
    <row r="8634" spans="1:6" x14ac:dyDescent="0.25">
      <c r="A8634" t="str">
        <f>"5003155178"</f>
        <v>5003155178</v>
      </c>
      <c r="B8634" t="s">
        <v>11847</v>
      </c>
      <c r="C8634" t="s">
        <v>7</v>
      </c>
      <c r="D8634" t="s">
        <v>12</v>
      </c>
      <c r="E8634" t="s">
        <v>11472</v>
      </c>
      <c r="F8634" t="s">
        <v>11848</v>
      </c>
    </row>
    <row r="8635" spans="1:6" x14ac:dyDescent="0.25">
      <c r="A8635" t="str">
        <f>"5003168787"</f>
        <v>5003168787</v>
      </c>
      <c r="B8635" t="s">
        <v>11849</v>
      </c>
      <c r="C8635" t="s">
        <v>7</v>
      </c>
      <c r="D8635" t="s">
        <v>33</v>
      </c>
      <c r="E8635" t="s">
        <v>11472</v>
      </c>
      <c r="F8635" t="s">
        <v>11850</v>
      </c>
    </row>
    <row r="8636" spans="1:6" x14ac:dyDescent="0.25">
      <c r="A8636" t="str">
        <f>"500400045000"</f>
        <v>500400045000</v>
      </c>
      <c r="B8636" t="s">
        <v>11851</v>
      </c>
      <c r="C8636" t="s">
        <v>7</v>
      </c>
      <c r="D8636" t="s">
        <v>14</v>
      </c>
      <c r="E8636" t="s">
        <v>11472</v>
      </c>
    </row>
    <row r="8637" spans="1:6" x14ac:dyDescent="0.25">
      <c r="A8637" t="str">
        <f>"5004026062"</f>
        <v>5004026062</v>
      </c>
      <c r="B8637" t="s">
        <v>11852</v>
      </c>
      <c r="C8637" t="s">
        <v>7</v>
      </c>
      <c r="D8637" t="s">
        <v>14</v>
      </c>
      <c r="E8637" t="s">
        <v>11472</v>
      </c>
      <c r="F8637" t="s">
        <v>11853</v>
      </c>
    </row>
    <row r="8638" spans="1:6" x14ac:dyDescent="0.25">
      <c r="A8638" t="str">
        <f>"500403037261"</f>
        <v>500403037261</v>
      </c>
      <c r="B8638" t="s">
        <v>11854</v>
      </c>
      <c r="C8638" t="s">
        <v>7</v>
      </c>
      <c r="D8638" t="s">
        <v>14</v>
      </c>
      <c r="E8638" t="s">
        <v>11472</v>
      </c>
    </row>
    <row r="8639" spans="1:6" x14ac:dyDescent="0.25">
      <c r="A8639" t="str">
        <f>"500405357806"</f>
        <v>500405357806</v>
      </c>
      <c r="B8639" t="s">
        <v>11855</v>
      </c>
      <c r="C8639" t="s">
        <v>7</v>
      </c>
      <c r="D8639" t="s">
        <v>14</v>
      </c>
      <c r="E8639" t="s">
        <v>11472</v>
      </c>
    </row>
    <row r="8640" spans="1:6" x14ac:dyDescent="0.25">
      <c r="A8640" t="str">
        <f>"500500362764"</f>
        <v>500500362764</v>
      </c>
      <c r="B8640" t="s">
        <v>11856</v>
      </c>
      <c r="C8640" t="s">
        <v>7</v>
      </c>
      <c r="D8640" t="s">
        <v>14</v>
      </c>
      <c r="E8640" t="s">
        <v>11472</v>
      </c>
    </row>
    <row r="8641" spans="1:6" x14ac:dyDescent="0.25">
      <c r="A8641" t="str">
        <f>"5005044850"</f>
        <v>5005044850</v>
      </c>
      <c r="B8641" t="s">
        <v>11857</v>
      </c>
      <c r="C8641" t="s">
        <v>7</v>
      </c>
      <c r="D8641" t="s">
        <v>14</v>
      </c>
      <c r="E8641" t="s">
        <v>11472</v>
      </c>
      <c r="F8641" t="s">
        <v>11858</v>
      </c>
    </row>
    <row r="8642" spans="1:6" x14ac:dyDescent="0.25">
      <c r="A8642" t="str">
        <f>"5005053510"</f>
        <v>5005053510</v>
      </c>
      <c r="B8642" t="s">
        <v>11859</v>
      </c>
      <c r="C8642" t="s">
        <v>7</v>
      </c>
      <c r="D8642" t="s">
        <v>14</v>
      </c>
      <c r="E8642" t="s">
        <v>11472</v>
      </c>
      <c r="F8642" t="s">
        <v>11860</v>
      </c>
    </row>
    <row r="8643" spans="1:6" x14ac:dyDescent="0.25">
      <c r="A8643" t="str">
        <f>"500510275006"</f>
        <v>500510275006</v>
      </c>
      <c r="B8643" t="s">
        <v>11861</v>
      </c>
      <c r="C8643" t="s">
        <v>7</v>
      </c>
      <c r="D8643" t="s">
        <v>14</v>
      </c>
      <c r="E8643" t="s">
        <v>11472</v>
      </c>
    </row>
    <row r="8644" spans="1:6" x14ac:dyDescent="0.25">
      <c r="A8644" t="str">
        <f>"500513155476"</f>
        <v>500513155476</v>
      </c>
      <c r="B8644" t="s">
        <v>11862</v>
      </c>
      <c r="C8644" t="s">
        <v>7</v>
      </c>
      <c r="D8644" t="s">
        <v>14</v>
      </c>
      <c r="E8644" t="s">
        <v>11472</v>
      </c>
    </row>
    <row r="8645" spans="1:6" x14ac:dyDescent="0.25">
      <c r="A8645" t="str">
        <f>"500602909622"</f>
        <v>500602909622</v>
      </c>
      <c r="B8645" t="s">
        <v>11863</v>
      </c>
      <c r="C8645" t="s">
        <v>7</v>
      </c>
      <c r="D8645" t="s">
        <v>14</v>
      </c>
      <c r="E8645" t="s">
        <v>11472</v>
      </c>
    </row>
    <row r="8646" spans="1:6" x14ac:dyDescent="0.25">
      <c r="A8646" t="str">
        <f>"500700286824"</f>
        <v>500700286824</v>
      </c>
      <c r="B8646" t="s">
        <v>11864</v>
      </c>
      <c r="C8646" t="s">
        <v>7</v>
      </c>
      <c r="D8646" t="s">
        <v>14</v>
      </c>
      <c r="E8646" t="s">
        <v>11472</v>
      </c>
    </row>
    <row r="8647" spans="1:6" x14ac:dyDescent="0.25">
      <c r="A8647" t="str">
        <f>"500700748807"</f>
        <v>500700748807</v>
      </c>
      <c r="B8647" t="s">
        <v>11865</v>
      </c>
      <c r="C8647" t="s">
        <v>7</v>
      </c>
      <c r="D8647" t="s">
        <v>14</v>
      </c>
      <c r="E8647" t="s">
        <v>11472</v>
      </c>
    </row>
    <row r="8648" spans="1:6" x14ac:dyDescent="0.25">
      <c r="A8648" t="str">
        <f>"500707346173"</f>
        <v>500707346173</v>
      </c>
      <c r="B8648" t="s">
        <v>11866</v>
      </c>
      <c r="C8648" t="s">
        <v>7</v>
      </c>
      <c r="D8648" t="s">
        <v>12</v>
      </c>
      <c r="E8648" t="s">
        <v>11472</v>
      </c>
    </row>
    <row r="8649" spans="1:6" x14ac:dyDescent="0.25">
      <c r="A8649" t="str">
        <f>"5007074917"</f>
        <v>5007074917</v>
      </c>
      <c r="B8649" t="s">
        <v>11867</v>
      </c>
      <c r="C8649" t="s">
        <v>7</v>
      </c>
      <c r="D8649" t="s">
        <v>12</v>
      </c>
      <c r="E8649" t="s">
        <v>11472</v>
      </c>
      <c r="F8649" t="s">
        <v>11868</v>
      </c>
    </row>
    <row r="8650" spans="1:6" x14ac:dyDescent="0.25">
      <c r="A8650" t="str">
        <f>"5007075910"</f>
        <v>5007075910</v>
      </c>
      <c r="B8650" t="s">
        <v>1008</v>
      </c>
      <c r="C8650" t="s">
        <v>7</v>
      </c>
      <c r="D8650" t="s">
        <v>14</v>
      </c>
      <c r="E8650" t="s">
        <v>11472</v>
      </c>
      <c r="F8650" t="s">
        <v>11869</v>
      </c>
    </row>
    <row r="8651" spans="1:6" x14ac:dyDescent="0.25">
      <c r="A8651" t="str">
        <f>"500708278790"</f>
        <v>500708278790</v>
      </c>
      <c r="B8651" t="s">
        <v>11870</v>
      </c>
      <c r="C8651" t="s">
        <v>7</v>
      </c>
      <c r="D8651" t="s">
        <v>14</v>
      </c>
      <c r="E8651" t="s">
        <v>11472</v>
      </c>
    </row>
    <row r="8652" spans="1:6" x14ac:dyDescent="0.25">
      <c r="A8652" t="str">
        <f>"500709045622"</f>
        <v>500709045622</v>
      </c>
      <c r="B8652" t="s">
        <v>11871</v>
      </c>
      <c r="C8652" t="s">
        <v>7</v>
      </c>
      <c r="D8652" t="s">
        <v>14</v>
      </c>
      <c r="E8652" t="s">
        <v>11472</v>
      </c>
    </row>
    <row r="8653" spans="1:6" x14ac:dyDescent="0.25">
      <c r="A8653" t="str">
        <f>"5007099742"</f>
        <v>5007099742</v>
      </c>
      <c r="B8653" t="s">
        <v>11872</v>
      </c>
      <c r="C8653" t="s">
        <v>7</v>
      </c>
      <c r="D8653" t="s">
        <v>33</v>
      </c>
      <c r="E8653" t="s">
        <v>11472</v>
      </c>
      <c r="F8653" t="s">
        <v>11873</v>
      </c>
    </row>
    <row r="8654" spans="1:6" x14ac:dyDescent="0.25">
      <c r="A8654" t="str">
        <f>"500900588477"</f>
        <v>500900588477</v>
      </c>
      <c r="B8654" t="s">
        <v>11874</v>
      </c>
      <c r="C8654" t="s">
        <v>7</v>
      </c>
      <c r="D8654" t="s">
        <v>14</v>
      </c>
      <c r="E8654" t="s">
        <v>11472</v>
      </c>
    </row>
    <row r="8655" spans="1:6" x14ac:dyDescent="0.25">
      <c r="A8655" t="str">
        <f>"5009008860"</f>
        <v>5009008860</v>
      </c>
      <c r="B8655" t="s">
        <v>11875</v>
      </c>
      <c r="C8655" t="s">
        <v>7</v>
      </c>
      <c r="D8655" t="s">
        <v>14</v>
      </c>
      <c r="E8655" t="s">
        <v>11472</v>
      </c>
      <c r="F8655" t="s">
        <v>11876</v>
      </c>
    </row>
    <row r="8656" spans="1:6" x14ac:dyDescent="0.25">
      <c r="A8656" t="str">
        <f>"5009049835"</f>
        <v>5009049835</v>
      </c>
      <c r="B8656" t="s">
        <v>11877</v>
      </c>
      <c r="C8656" t="s">
        <v>7</v>
      </c>
      <c r="D8656" t="s">
        <v>189</v>
      </c>
      <c r="E8656" t="s">
        <v>11472</v>
      </c>
      <c r="F8656" t="s">
        <v>11878</v>
      </c>
    </row>
    <row r="8657" spans="1:6" x14ac:dyDescent="0.25">
      <c r="A8657" t="str">
        <f>"500907907080"</f>
        <v>500907907080</v>
      </c>
      <c r="B8657" t="s">
        <v>11879</v>
      </c>
      <c r="C8657" t="s">
        <v>7</v>
      </c>
      <c r="D8657" t="s">
        <v>14</v>
      </c>
      <c r="E8657" t="s">
        <v>11472</v>
      </c>
    </row>
    <row r="8658" spans="1:6" x14ac:dyDescent="0.25">
      <c r="A8658" t="str">
        <f>"5009104490"</f>
        <v>5009104490</v>
      </c>
      <c r="B8658" t="s">
        <v>11880</v>
      </c>
      <c r="C8658" t="s">
        <v>7</v>
      </c>
      <c r="D8658" t="s">
        <v>14</v>
      </c>
      <c r="E8658" t="s">
        <v>11472</v>
      </c>
      <c r="F8658" t="s">
        <v>11881</v>
      </c>
    </row>
    <row r="8659" spans="1:6" x14ac:dyDescent="0.25">
      <c r="A8659" t="str">
        <f>"5009105649"</f>
        <v>5009105649</v>
      </c>
      <c r="B8659" t="s">
        <v>11882</v>
      </c>
      <c r="C8659" t="s">
        <v>7</v>
      </c>
      <c r="D8659" t="s">
        <v>14</v>
      </c>
      <c r="E8659" t="s">
        <v>11472</v>
      </c>
      <c r="F8659" t="s">
        <v>11883</v>
      </c>
    </row>
    <row r="8660" spans="1:6" x14ac:dyDescent="0.25">
      <c r="A8660" t="str">
        <f>"5009112251"</f>
        <v>5009112251</v>
      </c>
      <c r="B8660" t="s">
        <v>11884</v>
      </c>
      <c r="C8660" t="s">
        <v>7</v>
      </c>
      <c r="D8660" t="s">
        <v>674</v>
      </c>
      <c r="E8660" t="s">
        <v>11472</v>
      </c>
      <c r="F8660" t="s">
        <v>11885</v>
      </c>
    </row>
    <row r="8661" spans="1:6" x14ac:dyDescent="0.25">
      <c r="A8661" t="str">
        <f>"500911861368"</f>
        <v>500911861368</v>
      </c>
      <c r="B8661" t="s">
        <v>11886</v>
      </c>
      <c r="C8661" t="s">
        <v>7</v>
      </c>
      <c r="D8661" t="s">
        <v>14</v>
      </c>
      <c r="E8661" t="s">
        <v>11472</v>
      </c>
    </row>
    <row r="8662" spans="1:6" x14ac:dyDescent="0.25">
      <c r="A8662" t="str">
        <f>"5009134079"</f>
        <v>5009134079</v>
      </c>
      <c r="B8662" t="s">
        <v>11887</v>
      </c>
      <c r="C8662" t="s">
        <v>7</v>
      </c>
      <c r="D8662" t="s">
        <v>33</v>
      </c>
      <c r="E8662" t="s">
        <v>11472</v>
      </c>
      <c r="F8662" t="s">
        <v>11888</v>
      </c>
    </row>
    <row r="8663" spans="1:6" x14ac:dyDescent="0.25">
      <c r="A8663" t="str">
        <f>"5009134262"</f>
        <v>5009134262</v>
      </c>
      <c r="B8663" t="s">
        <v>11889</v>
      </c>
      <c r="C8663" t="s">
        <v>7</v>
      </c>
      <c r="D8663" t="s">
        <v>463</v>
      </c>
      <c r="E8663" t="s">
        <v>11472</v>
      </c>
      <c r="F8663" t="s">
        <v>11890</v>
      </c>
    </row>
    <row r="8664" spans="1:6" x14ac:dyDescent="0.25">
      <c r="A8664" t="str">
        <f>"501004692076"</f>
        <v>501004692076</v>
      </c>
      <c r="B8664" t="s">
        <v>11891</v>
      </c>
      <c r="C8664" t="s">
        <v>7</v>
      </c>
      <c r="D8664" t="s">
        <v>14</v>
      </c>
      <c r="E8664" t="s">
        <v>11472</v>
      </c>
    </row>
    <row r="8665" spans="1:6" x14ac:dyDescent="0.25">
      <c r="A8665" t="str">
        <f>"501005433557"</f>
        <v>501005433557</v>
      </c>
      <c r="B8665" t="s">
        <v>11892</v>
      </c>
      <c r="C8665" t="s">
        <v>7</v>
      </c>
      <c r="D8665" t="s">
        <v>14</v>
      </c>
      <c r="E8665" t="s">
        <v>11472</v>
      </c>
    </row>
    <row r="8666" spans="1:6" x14ac:dyDescent="0.25">
      <c r="A8666" t="str">
        <f>"5010056724"</f>
        <v>5010056724</v>
      </c>
      <c r="B8666" t="s">
        <v>11893</v>
      </c>
      <c r="C8666" t="s">
        <v>7</v>
      </c>
      <c r="D8666" t="s">
        <v>12</v>
      </c>
      <c r="E8666" t="s">
        <v>11472</v>
      </c>
      <c r="F8666" t="s">
        <v>11894</v>
      </c>
    </row>
    <row r="8667" spans="1:6" x14ac:dyDescent="0.25">
      <c r="A8667" t="str">
        <f>"501005995806"</f>
        <v>501005995806</v>
      </c>
      <c r="B8667" t="s">
        <v>11895</v>
      </c>
      <c r="C8667" t="s">
        <v>7</v>
      </c>
      <c r="D8667" t="s">
        <v>14</v>
      </c>
      <c r="E8667" t="s">
        <v>11472</v>
      </c>
    </row>
    <row r="8668" spans="1:6" x14ac:dyDescent="0.25">
      <c r="A8668" t="str">
        <f>"501100341560"</f>
        <v>501100341560</v>
      </c>
      <c r="B8668" t="s">
        <v>11896</v>
      </c>
      <c r="C8668" t="s">
        <v>7</v>
      </c>
      <c r="D8668" t="s">
        <v>14</v>
      </c>
      <c r="E8668" t="s">
        <v>11472</v>
      </c>
    </row>
    <row r="8669" spans="1:6" x14ac:dyDescent="0.25">
      <c r="A8669" t="str">
        <f>"500100203110"</f>
        <v>500100203110</v>
      </c>
      <c r="B8669" t="s">
        <v>11897</v>
      </c>
      <c r="C8669" t="s">
        <v>7</v>
      </c>
      <c r="D8669" t="s">
        <v>14</v>
      </c>
      <c r="E8669" t="s">
        <v>11472</v>
      </c>
    </row>
    <row r="8670" spans="1:6" x14ac:dyDescent="0.25">
      <c r="A8670" t="str">
        <f>"5001029185"</f>
        <v>5001029185</v>
      </c>
      <c r="B8670" t="s">
        <v>11898</v>
      </c>
      <c r="C8670" t="s">
        <v>7</v>
      </c>
      <c r="D8670" t="s">
        <v>14</v>
      </c>
      <c r="E8670" t="s">
        <v>11472</v>
      </c>
      <c r="F8670" t="s">
        <v>11899</v>
      </c>
    </row>
    <row r="8671" spans="1:6" x14ac:dyDescent="0.25">
      <c r="A8671" t="str">
        <f>"5001056816"</f>
        <v>5001056816</v>
      </c>
      <c r="B8671" t="s">
        <v>11900</v>
      </c>
      <c r="C8671" t="s">
        <v>7</v>
      </c>
      <c r="D8671" t="s">
        <v>33</v>
      </c>
      <c r="E8671" t="s">
        <v>11472</v>
      </c>
      <c r="F8671" t="s">
        <v>11901</v>
      </c>
    </row>
    <row r="8672" spans="1:6" x14ac:dyDescent="0.25">
      <c r="A8672" t="str">
        <f>"5001096833"</f>
        <v>5001096833</v>
      </c>
      <c r="B8672" t="s">
        <v>11902</v>
      </c>
      <c r="C8672" t="s">
        <v>7</v>
      </c>
      <c r="D8672" t="s">
        <v>14</v>
      </c>
      <c r="E8672" t="s">
        <v>11472</v>
      </c>
      <c r="F8672" t="s">
        <v>11903</v>
      </c>
    </row>
    <row r="8673" spans="1:6" x14ac:dyDescent="0.25">
      <c r="A8673" t="str">
        <f>"5001106351"</f>
        <v>5001106351</v>
      </c>
      <c r="B8673" t="s">
        <v>11904</v>
      </c>
      <c r="C8673" t="s">
        <v>7</v>
      </c>
      <c r="D8673" t="s">
        <v>674</v>
      </c>
      <c r="E8673" t="s">
        <v>11472</v>
      </c>
      <c r="F8673" t="s">
        <v>11905</v>
      </c>
    </row>
    <row r="8674" spans="1:6" x14ac:dyDescent="0.25">
      <c r="A8674" t="str">
        <f>"5001117064"</f>
        <v>5001117064</v>
      </c>
      <c r="B8674" t="s">
        <v>11906</v>
      </c>
      <c r="C8674" t="s">
        <v>7</v>
      </c>
      <c r="D8674" t="s">
        <v>14</v>
      </c>
      <c r="E8674" t="s">
        <v>11472</v>
      </c>
      <c r="F8674" t="s">
        <v>11907</v>
      </c>
    </row>
    <row r="8675" spans="1:6" x14ac:dyDescent="0.25">
      <c r="A8675" t="str">
        <f>"5001143762"</f>
        <v>5001143762</v>
      </c>
      <c r="B8675" t="s">
        <v>11908</v>
      </c>
      <c r="C8675" t="s">
        <v>7</v>
      </c>
      <c r="D8675" t="s">
        <v>12</v>
      </c>
      <c r="E8675" t="s">
        <v>11472</v>
      </c>
      <c r="F8675" t="s">
        <v>11909</v>
      </c>
    </row>
    <row r="8676" spans="1:6" x14ac:dyDescent="0.25">
      <c r="A8676" t="str">
        <f>"5001156948"</f>
        <v>5001156948</v>
      </c>
      <c r="B8676" t="s">
        <v>11910</v>
      </c>
      <c r="C8676" t="s">
        <v>7</v>
      </c>
      <c r="D8676" t="s">
        <v>12</v>
      </c>
      <c r="E8676" t="s">
        <v>11472</v>
      </c>
      <c r="F8676" t="s">
        <v>11911</v>
      </c>
    </row>
    <row r="8677" spans="1:6" x14ac:dyDescent="0.25">
      <c r="A8677" t="str">
        <f>"500118094769"</f>
        <v>500118094769</v>
      </c>
      <c r="B8677" t="s">
        <v>11912</v>
      </c>
      <c r="C8677" t="s">
        <v>7</v>
      </c>
      <c r="D8677" t="s">
        <v>28</v>
      </c>
      <c r="E8677" t="s">
        <v>11472</v>
      </c>
    </row>
    <row r="8678" spans="1:6" x14ac:dyDescent="0.25">
      <c r="A8678" t="str">
        <f>"500120381778"</f>
        <v>500120381778</v>
      </c>
      <c r="B8678" t="s">
        <v>11913</v>
      </c>
      <c r="C8678" t="s">
        <v>7</v>
      </c>
      <c r="D8678" t="s">
        <v>14</v>
      </c>
      <c r="E8678" t="s">
        <v>11472</v>
      </c>
    </row>
    <row r="8679" spans="1:6" x14ac:dyDescent="0.25">
      <c r="A8679" t="str">
        <f>"500178320941"</f>
        <v>500178320941</v>
      </c>
      <c r="B8679" t="s">
        <v>11914</v>
      </c>
      <c r="C8679" t="s">
        <v>7</v>
      </c>
      <c r="D8679" t="s">
        <v>12</v>
      </c>
      <c r="E8679" t="s">
        <v>11472</v>
      </c>
    </row>
    <row r="8680" spans="1:6" x14ac:dyDescent="0.25">
      <c r="A8680" t="str">
        <f>"500200964937"</f>
        <v>500200964937</v>
      </c>
      <c r="B8680" t="s">
        <v>11915</v>
      </c>
      <c r="C8680" t="s">
        <v>7</v>
      </c>
      <c r="D8680" t="s">
        <v>12</v>
      </c>
      <c r="E8680" t="s">
        <v>11472</v>
      </c>
    </row>
    <row r="8681" spans="1:6" x14ac:dyDescent="0.25">
      <c r="A8681" t="str">
        <f>"500300883640"</f>
        <v>500300883640</v>
      </c>
      <c r="B8681" t="s">
        <v>11916</v>
      </c>
      <c r="C8681" t="s">
        <v>7</v>
      </c>
      <c r="D8681" t="s">
        <v>33</v>
      </c>
      <c r="E8681" t="s">
        <v>11472</v>
      </c>
    </row>
    <row r="8682" spans="1:6" x14ac:dyDescent="0.25">
      <c r="A8682" t="str">
        <f>"500301791568"</f>
        <v>500301791568</v>
      </c>
      <c r="B8682" t="s">
        <v>11917</v>
      </c>
      <c r="C8682" t="s">
        <v>7</v>
      </c>
      <c r="D8682" t="s">
        <v>14</v>
      </c>
      <c r="E8682" t="s">
        <v>11472</v>
      </c>
    </row>
    <row r="8683" spans="1:6" x14ac:dyDescent="0.25">
      <c r="A8683" t="str">
        <f>"5003084713"</f>
        <v>5003084713</v>
      </c>
      <c r="B8683" t="s">
        <v>11918</v>
      </c>
      <c r="C8683" t="s">
        <v>7</v>
      </c>
      <c r="D8683" t="s">
        <v>14</v>
      </c>
      <c r="E8683" t="s">
        <v>11472</v>
      </c>
      <c r="F8683" t="s">
        <v>11754</v>
      </c>
    </row>
    <row r="8684" spans="1:6" x14ac:dyDescent="0.25">
      <c r="A8684" t="str">
        <f>"5003124282"</f>
        <v>5003124282</v>
      </c>
      <c r="B8684" t="s">
        <v>4739</v>
      </c>
      <c r="C8684" t="s">
        <v>7</v>
      </c>
      <c r="D8684" t="s">
        <v>12</v>
      </c>
      <c r="E8684" t="s">
        <v>11472</v>
      </c>
      <c r="F8684" t="s">
        <v>11919</v>
      </c>
    </row>
    <row r="8685" spans="1:6" x14ac:dyDescent="0.25">
      <c r="A8685" t="str">
        <f>"5003125818"</f>
        <v>5003125818</v>
      </c>
      <c r="B8685" t="s">
        <v>11920</v>
      </c>
      <c r="C8685" t="s">
        <v>7</v>
      </c>
      <c r="D8685" t="s">
        <v>12</v>
      </c>
      <c r="E8685" t="s">
        <v>11472</v>
      </c>
      <c r="F8685" t="s">
        <v>11921</v>
      </c>
    </row>
    <row r="8686" spans="1:6" x14ac:dyDescent="0.25">
      <c r="A8686" t="str">
        <f>"5003129756"</f>
        <v>5003129756</v>
      </c>
      <c r="B8686" t="s">
        <v>11922</v>
      </c>
      <c r="C8686" t="s">
        <v>7</v>
      </c>
      <c r="D8686" t="s">
        <v>12</v>
      </c>
      <c r="E8686" t="s">
        <v>11472</v>
      </c>
      <c r="F8686" t="s">
        <v>11923</v>
      </c>
    </row>
    <row r="8687" spans="1:6" x14ac:dyDescent="0.25">
      <c r="A8687" t="str">
        <f>"5003143310"</f>
        <v>5003143310</v>
      </c>
      <c r="B8687" t="s">
        <v>11924</v>
      </c>
      <c r="C8687" t="s">
        <v>7</v>
      </c>
      <c r="D8687" t="s">
        <v>189</v>
      </c>
      <c r="E8687" t="s">
        <v>11472</v>
      </c>
      <c r="F8687" t="s">
        <v>11925</v>
      </c>
    </row>
    <row r="8688" spans="1:6" x14ac:dyDescent="0.25">
      <c r="A8688" t="str">
        <f>"5003146208"</f>
        <v>5003146208</v>
      </c>
      <c r="B8688" t="s">
        <v>11926</v>
      </c>
      <c r="C8688" t="s">
        <v>7</v>
      </c>
      <c r="D8688" t="s">
        <v>12</v>
      </c>
      <c r="E8688" t="s">
        <v>11472</v>
      </c>
      <c r="F8688" t="s">
        <v>11927</v>
      </c>
    </row>
    <row r="8689" spans="1:6" x14ac:dyDescent="0.25">
      <c r="A8689" t="str">
        <f>"500314651423"</f>
        <v>500314651423</v>
      </c>
      <c r="B8689" t="s">
        <v>11928</v>
      </c>
      <c r="C8689" t="s">
        <v>7</v>
      </c>
      <c r="D8689" t="s">
        <v>14</v>
      </c>
      <c r="E8689" t="s">
        <v>11472</v>
      </c>
    </row>
    <row r="8690" spans="1:6" x14ac:dyDescent="0.25">
      <c r="A8690" t="str">
        <f>"5003159623"</f>
        <v>5003159623</v>
      </c>
      <c r="B8690" t="s">
        <v>11929</v>
      </c>
      <c r="C8690" t="s">
        <v>7</v>
      </c>
      <c r="D8690" t="s">
        <v>33</v>
      </c>
      <c r="E8690" t="s">
        <v>11472</v>
      </c>
      <c r="F8690" t="s">
        <v>11930</v>
      </c>
    </row>
    <row r="8691" spans="1:6" x14ac:dyDescent="0.25">
      <c r="A8691" t="str">
        <f>"500403851720"</f>
        <v>500403851720</v>
      </c>
      <c r="B8691" t="s">
        <v>11931</v>
      </c>
      <c r="C8691" t="s">
        <v>7</v>
      </c>
      <c r="D8691" t="s">
        <v>14</v>
      </c>
      <c r="E8691" t="s">
        <v>11472</v>
      </c>
    </row>
    <row r="8692" spans="1:6" x14ac:dyDescent="0.25">
      <c r="A8692" t="str">
        <f>"500405054336"</f>
        <v>500405054336</v>
      </c>
      <c r="B8692" t="s">
        <v>11932</v>
      </c>
      <c r="C8692" t="s">
        <v>7</v>
      </c>
      <c r="D8692" t="s">
        <v>14</v>
      </c>
      <c r="E8692" t="s">
        <v>11472</v>
      </c>
    </row>
    <row r="8693" spans="1:6" x14ac:dyDescent="0.25">
      <c r="A8693" t="str">
        <f>"500504887233"</f>
        <v>500504887233</v>
      </c>
      <c r="B8693" t="s">
        <v>11933</v>
      </c>
      <c r="C8693" t="s">
        <v>7</v>
      </c>
      <c r="D8693" t="s">
        <v>14</v>
      </c>
      <c r="E8693" t="s">
        <v>11472</v>
      </c>
    </row>
    <row r="8694" spans="1:6" x14ac:dyDescent="0.25">
      <c r="A8694" t="str">
        <f>"500508037999"</f>
        <v>500508037999</v>
      </c>
      <c r="B8694" t="s">
        <v>11934</v>
      </c>
      <c r="C8694" t="s">
        <v>7</v>
      </c>
      <c r="D8694" t="s">
        <v>14</v>
      </c>
      <c r="E8694" t="s">
        <v>11472</v>
      </c>
    </row>
    <row r="8695" spans="1:6" x14ac:dyDescent="0.25">
      <c r="A8695" t="str">
        <f>"500510452103"</f>
        <v>500510452103</v>
      </c>
      <c r="B8695" t="s">
        <v>11935</v>
      </c>
      <c r="C8695" t="s">
        <v>7</v>
      </c>
      <c r="D8695" t="s">
        <v>12</v>
      </c>
      <c r="E8695" t="s">
        <v>11472</v>
      </c>
    </row>
    <row r="8696" spans="1:6" x14ac:dyDescent="0.25">
      <c r="A8696" t="str">
        <f>"500512728300"</f>
        <v>500512728300</v>
      </c>
      <c r="B8696" t="s">
        <v>11936</v>
      </c>
      <c r="C8696" t="s">
        <v>7</v>
      </c>
      <c r="D8696" t="s">
        <v>14</v>
      </c>
      <c r="E8696" t="s">
        <v>11472</v>
      </c>
    </row>
    <row r="8697" spans="1:6" x14ac:dyDescent="0.25">
      <c r="A8697" t="str">
        <f>"500516921048"</f>
        <v>500516921048</v>
      </c>
      <c r="B8697" t="s">
        <v>11937</v>
      </c>
      <c r="C8697" t="s">
        <v>7</v>
      </c>
      <c r="D8697" t="s">
        <v>14</v>
      </c>
      <c r="E8697" t="s">
        <v>11472</v>
      </c>
    </row>
    <row r="8698" spans="1:6" x14ac:dyDescent="0.25">
      <c r="A8698" t="str">
        <f>"500603410530"</f>
        <v>500603410530</v>
      </c>
      <c r="B8698" t="s">
        <v>11938</v>
      </c>
      <c r="C8698" t="s">
        <v>7</v>
      </c>
      <c r="D8698" t="s">
        <v>14</v>
      </c>
      <c r="E8698" t="s">
        <v>11472</v>
      </c>
    </row>
    <row r="8699" spans="1:6" x14ac:dyDescent="0.25">
      <c r="A8699" t="str">
        <f>"500700103710"</f>
        <v>500700103710</v>
      </c>
      <c r="B8699" t="s">
        <v>11939</v>
      </c>
      <c r="C8699" t="s">
        <v>7</v>
      </c>
      <c r="D8699" t="s">
        <v>14</v>
      </c>
      <c r="E8699" t="s">
        <v>11472</v>
      </c>
    </row>
    <row r="8700" spans="1:6" x14ac:dyDescent="0.25">
      <c r="A8700" t="str">
        <f>"5007059588"</f>
        <v>5007059588</v>
      </c>
      <c r="B8700" t="s">
        <v>11940</v>
      </c>
      <c r="C8700" t="s">
        <v>7</v>
      </c>
      <c r="D8700" t="s">
        <v>146</v>
      </c>
      <c r="E8700" t="s">
        <v>11472</v>
      </c>
      <c r="F8700" t="s">
        <v>11941</v>
      </c>
    </row>
    <row r="8701" spans="1:6" x14ac:dyDescent="0.25">
      <c r="A8701" t="str">
        <f>"500708532510"</f>
        <v>500708532510</v>
      </c>
      <c r="B8701" t="s">
        <v>11942</v>
      </c>
      <c r="C8701" t="s">
        <v>7</v>
      </c>
      <c r="D8701" t="s">
        <v>14</v>
      </c>
      <c r="E8701" t="s">
        <v>11472</v>
      </c>
    </row>
    <row r="8702" spans="1:6" x14ac:dyDescent="0.25">
      <c r="A8702" t="str">
        <f>"500709868866"</f>
        <v>500709868866</v>
      </c>
      <c r="B8702" t="s">
        <v>11943</v>
      </c>
      <c r="C8702" t="s">
        <v>7</v>
      </c>
      <c r="D8702" t="s">
        <v>14</v>
      </c>
      <c r="E8702" t="s">
        <v>11472</v>
      </c>
    </row>
    <row r="8703" spans="1:6" x14ac:dyDescent="0.25">
      <c r="A8703" t="str">
        <f>"5007103364"</f>
        <v>5007103364</v>
      </c>
      <c r="B8703" t="s">
        <v>11944</v>
      </c>
      <c r="C8703" t="s">
        <v>7</v>
      </c>
      <c r="D8703" t="s">
        <v>1430</v>
      </c>
      <c r="E8703" t="s">
        <v>11472</v>
      </c>
      <c r="F8703" t="s">
        <v>11945</v>
      </c>
    </row>
    <row r="8704" spans="1:6" x14ac:dyDescent="0.25">
      <c r="A8704" t="str">
        <f>"500710590414"</f>
        <v>500710590414</v>
      </c>
      <c r="B8704" t="s">
        <v>11946</v>
      </c>
      <c r="C8704" t="s">
        <v>7</v>
      </c>
      <c r="D8704" t="s">
        <v>98</v>
      </c>
      <c r="E8704" t="s">
        <v>11472</v>
      </c>
    </row>
    <row r="8705" spans="1:6" x14ac:dyDescent="0.25">
      <c r="A8705" t="str">
        <f>"5007107626"</f>
        <v>5007107626</v>
      </c>
      <c r="B8705" t="s">
        <v>11947</v>
      </c>
      <c r="C8705" t="s">
        <v>7</v>
      </c>
      <c r="D8705" t="s">
        <v>12</v>
      </c>
      <c r="E8705" t="s">
        <v>11472</v>
      </c>
      <c r="F8705" t="s">
        <v>11948</v>
      </c>
    </row>
    <row r="8706" spans="1:6" x14ac:dyDescent="0.25">
      <c r="A8706" t="str">
        <f>"5007110682"</f>
        <v>5007110682</v>
      </c>
      <c r="B8706" t="s">
        <v>11949</v>
      </c>
      <c r="C8706" t="s">
        <v>7</v>
      </c>
      <c r="D8706" t="s">
        <v>12</v>
      </c>
      <c r="E8706" t="s">
        <v>11472</v>
      </c>
      <c r="F8706" t="s">
        <v>11950</v>
      </c>
    </row>
    <row r="8707" spans="1:6" x14ac:dyDescent="0.25">
      <c r="A8707" t="str">
        <f>"5007117293"</f>
        <v>5007117293</v>
      </c>
      <c r="B8707" t="s">
        <v>11951</v>
      </c>
      <c r="C8707" t="s">
        <v>7</v>
      </c>
      <c r="D8707" t="s">
        <v>189</v>
      </c>
      <c r="E8707" t="s">
        <v>11472</v>
      </c>
      <c r="F8707" t="s">
        <v>11504</v>
      </c>
    </row>
    <row r="8708" spans="1:6" x14ac:dyDescent="0.25">
      <c r="A8708" t="str">
        <f>"5007119491"</f>
        <v>5007119491</v>
      </c>
      <c r="B8708" t="s">
        <v>11952</v>
      </c>
      <c r="C8708" t="s">
        <v>7</v>
      </c>
      <c r="D8708" t="s">
        <v>12</v>
      </c>
      <c r="E8708" t="s">
        <v>11472</v>
      </c>
      <c r="F8708" t="s">
        <v>11953</v>
      </c>
    </row>
    <row r="8709" spans="1:6" x14ac:dyDescent="0.25">
      <c r="A8709" t="str">
        <f>"500720858621"</f>
        <v>500720858621</v>
      </c>
      <c r="B8709" t="s">
        <v>11954</v>
      </c>
      <c r="C8709" t="s">
        <v>7</v>
      </c>
      <c r="D8709" t="s">
        <v>12</v>
      </c>
      <c r="E8709" t="s">
        <v>11472</v>
      </c>
    </row>
    <row r="8710" spans="1:6" x14ac:dyDescent="0.25">
      <c r="A8710" t="str">
        <f>"5008041079"</f>
        <v>5008041079</v>
      </c>
      <c r="B8710" t="s">
        <v>11955</v>
      </c>
      <c r="C8710" t="s">
        <v>7</v>
      </c>
      <c r="D8710" t="s">
        <v>14</v>
      </c>
      <c r="E8710" t="s">
        <v>11472</v>
      </c>
      <c r="F8710" t="s">
        <v>11956</v>
      </c>
    </row>
    <row r="8711" spans="1:6" x14ac:dyDescent="0.25">
      <c r="A8711" t="str">
        <f>"5008054141"</f>
        <v>5008054141</v>
      </c>
      <c r="B8711" t="s">
        <v>11957</v>
      </c>
      <c r="C8711" t="s">
        <v>7</v>
      </c>
      <c r="D8711" t="s">
        <v>463</v>
      </c>
      <c r="E8711" t="s">
        <v>11472</v>
      </c>
      <c r="F8711" t="s">
        <v>11958</v>
      </c>
    </row>
    <row r="8712" spans="1:6" x14ac:dyDescent="0.25">
      <c r="A8712" t="str">
        <f>"5008057784"</f>
        <v>5008057784</v>
      </c>
      <c r="B8712" t="s">
        <v>11959</v>
      </c>
      <c r="C8712" t="s">
        <v>7</v>
      </c>
      <c r="D8712" t="s">
        <v>33</v>
      </c>
      <c r="E8712" t="s">
        <v>11472</v>
      </c>
      <c r="F8712" t="s">
        <v>11960</v>
      </c>
    </row>
    <row r="8713" spans="1:6" x14ac:dyDescent="0.25">
      <c r="A8713" t="str">
        <f>"5009058156"</f>
        <v>5009058156</v>
      </c>
      <c r="B8713" t="s">
        <v>11961</v>
      </c>
      <c r="C8713" t="s">
        <v>7</v>
      </c>
      <c r="D8713" t="s">
        <v>14</v>
      </c>
      <c r="E8713" t="s">
        <v>11472</v>
      </c>
      <c r="F8713" t="s">
        <v>11962</v>
      </c>
    </row>
    <row r="8714" spans="1:6" x14ac:dyDescent="0.25">
      <c r="A8714" t="str">
        <f>"5009061310"</f>
        <v>5009061310</v>
      </c>
      <c r="B8714" t="s">
        <v>11963</v>
      </c>
      <c r="C8714" t="s">
        <v>7</v>
      </c>
      <c r="D8714" t="s">
        <v>14</v>
      </c>
      <c r="E8714" t="s">
        <v>11472</v>
      </c>
      <c r="F8714" t="s">
        <v>11964</v>
      </c>
    </row>
    <row r="8715" spans="1:6" x14ac:dyDescent="0.25">
      <c r="A8715" t="str">
        <f>"500907257308"</f>
        <v>500907257308</v>
      </c>
      <c r="B8715" t="s">
        <v>11965</v>
      </c>
      <c r="C8715" t="s">
        <v>7</v>
      </c>
      <c r="D8715" t="s">
        <v>14</v>
      </c>
      <c r="E8715" t="s">
        <v>11472</v>
      </c>
    </row>
    <row r="8716" spans="1:6" x14ac:dyDescent="0.25">
      <c r="A8716" t="str">
        <f>"500907932016"</f>
        <v>500907932016</v>
      </c>
      <c r="B8716" t="s">
        <v>11966</v>
      </c>
      <c r="C8716" t="s">
        <v>7</v>
      </c>
      <c r="D8716" t="s">
        <v>14</v>
      </c>
      <c r="E8716" t="s">
        <v>11472</v>
      </c>
    </row>
    <row r="8717" spans="1:6" x14ac:dyDescent="0.25">
      <c r="A8717" t="str">
        <f>"5009090590"</f>
        <v>5009090590</v>
      </c>
      <c r="B8717" t="s">
        <v>11967</v>
      </c>
      <c r="C8717" t="s">
        <v>7</v>
      </c>
      <c r="D8717" t="s">
        <v>33</v>
      </c>
      <c r="E8717" t="s">
        <v>11472</v>
      </c>
      <c r="F8717" t="s">
        <v>11968</v>
      </c>
    </row>
    <row r="8718" spans="1:6" x14ac:dyDescent="0.25">
      <c r="A8718" t="str">
        <f>"5009103151"</f>
        <v>5009103151</v>
      </c>
      <c r="B8718" t="s">
        <v>11969</v>
      </c>
      <c r="C8718" t="s">
        <v>7</v>
      </c>
      <c r="D8718" t="s">
        <v>146</v>
      </c>
      <c r="E8718" t="s">
        <v>11472</v>
      </c>
      <c r="F8718" t="s">
        <v>11970</v>
      </c>
    </row>
    <row r="8719" spans="1:6" x14ac:dyDescent="0.25">
      <c r="A8719" t="str">
        <f>"5009121440"</f>
        <v>5009121440</v>
      </c>
      <c r="B8719" t="s">
        <v>11971</v>
      </c>
      <c r="C8719" t="s">
        <v>7</v>
      </c>
      <c r="D8719" t="s">
        <v>189</v>
      </c>
      <c r="E8719" t="s">
        <v>11472</v>
      </c>
      <c r="F8719" t="s">
        <v>11972</v>
      </c>
    </row>
    <row r="8720" spans="1:6" x14ac:dyDescent="0.25">
      <c r="A8720" t="str">
        <f>"5009128420"</f>
        <v>5009128420</v>
      </c>
      <c r="B8720" t="s">
        <v>11973</v>
      </c>
      <c r="C8720" t="s">
        <v>7</v>
      </c>
      <c r="D8720" t="s">
        <v>674</v>
      </c>
      <c r="E8720" t="s">
        <v>11472</v>
      </c>
      <c r="F8720" t="s">
        <v>11974</v>
      </c>
    </row>
    <row r="8721" spans="1:6" x14ac:dyDescent="0.25">
      <c r="A8721" t="str">
        <f>"5009137048"</f>
        <v>5009137048</v>
      </c>
      <c r="B8721" t="s">
        <v>11975</v>
      </c>
      <c r="C8721" t="s">
        <v>7</v>
      </c>
      <c r="D8721" t="s">
        <v>189</v>
      </c>
      <c r="E8721" t="s">
        <v>11472</v>
      </c>
      <c r="F8721" t="s">
        <v>11976</v>
      </c>
    </row>
    <row r="8722" spans="1:6" x14ac:dyDescent="0.25">
      <c r="A8722" t="str">
        <f>"5009142030"</f>
        <v>5009142030</v>
      </c>
      <c r="B8722" t="s">
        <v>11977</v>
      </c>
      <c r="C8722" t="s">
        <v>7</v>
      </c>
      <c r="D8722" t="s">
        <v>33</v>
      </c>
      <c r="E8722" t="s">
        <v>11472</v>
      </c>
      <c r="F8722" t="s">
        <v>11978</v>
      </c>
    </row>
    <row r="8723" spans="1:6" x14ac:dyDescent="0.25">
      <c r="A8723" t="str">
        <f>"500915712335"</f>
        <v>500915712335</v>
      </c>
      <c r="B8723" t="s">
        <v>11979</v>
      </c>
      <c r="C8723" t="s">
        <v>7</v>
      </c>
      <c r="D8723" t="s">
        <v>14</v>
      </c>
      <c r="E8723" t="s">
        <v>11472</v>
      </c>
    </row>
    <row r="8724" spans="1:6" x14ac:dyDescent="0.25">
      <c r="A8724" t="str">
        <f>"5010054580"</f>
        <v>5010054580</v>
      </c>
      <c r="B8724" t="s">
        <v>11980</v>
      </c>
      <c r="C8724" t="s">
        <v>7</v>
      </c>
      <c r="D8724" t="s">
        <v>33</v>
      </c>
      <c r="E8724" t="s">
        <v>11472</v>
      </c>
      <c r="F8724" t="s">
        <v>11981</v>
      </c>
    </row>
    <row r="8725" spans="1:6" x14ac:dyDescent="0.25">
      <c r="A8725" t="str">
        <f>"5011024884"</f>
        <v>5011024884</v>
      </c>
      <c r="B8725" t="s">
        <v>11982</v>
      </c>
      <c r="C8725" t="s">
        <v>7</v>
      </c>
      <c r="D8725" t="s">
        <v>28</v>
      </c>
      <c r="E8725" t="s">
        <v>11472</v>
      </c>
      <c r="F8725" t="s">
        <v>11983</v>
      </c>
    </row>
    <row r="8726" spans="1:6" x14ac:dyDescent="0.25">
      <c r="A8726" t="str">
        <f>"5011036431"</f>
        <v>5011036431</v>
      </c>
      <c r="B8726" t="s">
        <v>11984</v>
      </c>
      <c r="C8726" t="s">
        <v>7</v>
      </c>
      <c r="D8726" t="s">
        <v>33</v>
      </c>
      <c r="E8726" t="s">
        <v>11472</v>
      </c>
      <c r="F8726" t="s">
        <v>11985</v>
      </c>
    </row>
    <row r="8727" spans="1:6" x14ac:dyDescent="0.25">
      <c r="A8727" t="str">
        <f>"7448161885"</f>
        <v>7448161885</v>
      </c>
      <c r="B8727" t="s">
        <v>11986</v>
      </c>
      <c r="C8727" t="s">
        <v>7</v>
      </c>
      <c r="D8727" t="s">
        <v>189</v>
      </c>
      <c r="E8727" t="s">
        <v>11472</v>
      </c>
      <c r="F8727" t="s">
        <v>11987</v>
      </c>
    </row>
    <row r="8728" spans="1:6" x14ac:dyDescent="0.25">
      <c r="A8728" t="str">
        <f>"370382134334"</f>
        <v>370382134334</v>
      </c>
      <c r="B8728" t="s">
        <v>11988</v>
      </c>
      <c r="C8728" t="s">
        <v>7</v>
      </c>
      <c r="D8728" t="s">
        <v>12</v>
      </c>
      <c r="E8728" t="s">
        <v>11472</v>
      </c>
    </row>
    <row r="8729" spans="1:6" x14ac:dyDescent="0.25">
      <c r="A8729" t="str">
        <f>"561111346449"</f>
        <v>561111346449</v>
      </c>
      <c r="B8729" t="s">
        <v>11989</v>
      </c>
      <c r="C8729" t="s">
        <v>7</v>
      </c>
      <c r="D8729" t="s">
        <v>14</v>
      </c>
      <c r="E8729" t="s">
        <v>11472</v>
      </c>
    </row>
    <row r="8730" spans="1:6" x14ac:dyDescent="0.25">
      <c r="A8730" t="str">
        <f>"740304216327"</f>
        <v>740304216327</v>
      </c>
      <c r="B8730" t="s">
        <v>11990</v>
      </c>
      <c r="C8730" t="s">
        <v>7</v>
      </c>
      <c r="D8730" t="s">
        <v>14</v>
      </c>
      <c r="E8730" t="s">
        <v>11472</v>
      </c>
    </row>
    <row r="8731" spans="1:6" x14ac:dyDescent="0.25">
      <c r="A8731" t="str">
        <f>"5751027990"</f>
        <v>5751027990</v>
      </c>
      <c r="B8731" t="s">
        <v>11991</v>
      </c>
      <c r="C8731" t="s">
        <v>7</v>
      </c>
      <c r="D8731" t="s">
        <v>14</v>
      </c>
      <c r="E8731" t="s">
        <v>11472</v>
      </c>
      <c r="F8731" t="s">
        <v>11992</v>
      </c>
    </row>
    <row r="8732" spans="1:6" x14ac:dyDescent="0.25">
      <c r="A8732" t="str">
        <f>"2721176999"</f>
        <v>2721176999</v>
      </c>
      <c r="B8732" t="s">
        <v>8622</v>
      </c>
      <c r="C8732" t="s">
        <v>7</v>
      </c>
      <c r="D8732" t="s">
        <v>14</v>
      </c>
      <c r="E8732" t="s">
        <v>11472</v>
      </c>
      <c r="F8732" t="s">
        <v>11993</v>
      </c>
    </row>
    <row r="8733" spans="1:6" x14ac:dyDescent="0.25">
      <c r="A8733" t="str">
        <f>"564604900684"</f>
        <v>564604900684</v>
      </c>
      <c r="B8733" t="s">
        <v>11994</v>
      </c>
      <c r="C8733" t="s">
        <v>7</v>
      </c>
      <c r="D8733" t="s">
        <v>12</v>
      </c>
      <c r="E8733" t="s">
        <v>11472</v>
      </c>
    </row>
    <row r="8734" spans="1:6" x14ac:dyDescent="0.25">
      <c r="A8734" t="str">
        <f>"5012014286"</f>
        <v>5012014286</v>
      </c>
      <c r="B8734" t="s">
        <v>11995</v>
      </c>
      <c r="C8734" t="s">
        <v>7</v>
      </c>
      <c r="D8734" t="s">
        <v>12</v>
      </c>
      <c r="E8734" t="s">
        <v>11472</v>
      </c>
      <c r="F8734" t="s">
        <v>11996</v>
      </c>
    </row>
    <row r="8735" spans="1:6" x14ac:dyDescent="0.25">
      <c r="A8735" t="str">
        <f>"501208427301"</f>
        <v>501208427301</v>
      </c>
      <c r="B8735" t="s">
        <v>11997</v>
      </c>
      <c r="C8735" t="s">
        <v>7</v>
      </c>
      <c r="D8735" t="s">
        <v>14</v>
      </c>
      <c r="E8735" t="s">
        <v>11472</v>
      </c>
    </row>
    <row r="8736" spans="1:6" x14ac:dyDescent="0.25">
      <c r="A8736" t="str">
        <f>"5012090752"</f>
        <v>5012090752</v>
      </c>
      <c r="B8736" t="s">
        <v>11998</v>
      </c>
      <c r="C8736" t="s">
        <v>7</v>
      </c>
      <c r="D8736" t="s">
        <v>674</v>
      </c>
      <c r="E8736" t="s">
        <v>11472</v>
      </c>
      <c r="F8736" t="s">
        <v>11999</v>
      </c>
    </row>
    <row r="8737" spans="1:6" x14ac:dyDescent="0.25">
      <c r="A8737" t="str">
        <f>"501209788519"</f>
        <v>501209788519</v>
      </c>
      <c r="B8737" t="s">
        <v>12000</v>
      </c>
      <c r="C8737" t="s">
        <v>7</v>
      </c>
      <c r="D8737" t="s">
        <v>12</v>
      </c>
      <c r="E8737" t="s">
        <v>11472</v>
      </c>
    </row>
    <row r="8738" spans="1:6" x14ac:dyDescent="0.25">
      <c r="A8738" t="str">
        <f>"5012098021"</f>
        <v>5012098021</v>
      </c>
      <c r="B8738" t="s">
        <v>12001</v>
      </c>
      <c r="C8738" t="s">
        <v>7</v>
      </c>
      <c r="D8738" t="s">
        <v>146</v>
      </c>
      <c r="E8738" t="s">
        <v>11472</v>
      </c>
      <c r="F8738" t="s">
        <v>12002</v>
      </c>
    </row>
    <row r="8739" spans="1:6" x14ac:dyDescent="0.25">
      <c r="A8739" t="str">
        <f>"5012110600"</f>
        <v>5012110600</v>
      </c>
      <c r="B8739" t="s">
        <v>12003</v>
      </c>
      <c r="C8739" t="s">
        <v>7</v>
      </c>
      <c r="D8739" t="s">
        <v>14</v>
      </c>
      <c r="E8739" t="s">
        <v>11472</v>
      </c>
      <c r="F8739" t="s">
        <v>12004</v>
      </c>
    </row>
    <row r="8740" spans="1:6" x14ac:dyDescent="0.25">
      <c r="A8740" t="str">
        <f>"501307470033"</f>
        <v>501307470033</v>
      </c>
      <c r="B8740" t="s">
        <v>12005</v>
      </c>
      <c r="C8740" t="s">
        <v>7</v>
      </c>
      <c r="D8740" t="s">
        <v>8</v>
      </c>
      <c r="E8740" t="s">
        <v>11472</v>
      </c>
    </row>
    <row r="8741" spans="1:6" x14ac:dyDescent="0.25">
      <c r="A8741" t="str">
        <f>"501401886430"</f>
        <v>501401886430</v>
      </c>
      <c r="B8741" t="s">
        <v>12006</v>
      </c>
      <c r="C8741" t="s">
        <v>7</v>
      </c>
      <c r="D8741" t="s">
        <v>14</v>
      </c>
      <c r="E8741" t="s">
        <v>11472</v>
      </c>
    </row>
    <row r="8742" spans="1:6" x14ac:dyDescent="0.25">
      <c r="A8742" t="str">
        <f>"501501121925"</f>
        <v>501501121925</v>
      </c>
      <c r="B8742" t="s">
        <v>12007</v>
      </c>
      <c r="C8742" t="s">
        <v>7</v>
      </c>
      <c r="D8742" t="s">
        <v>14</v>
      </c>
      <c r="E8742" t="s">
        <v>11472</v>
      </c>
    </row>
    <row r="8743" spans="1:6" x14ac:dyDescent="0.25">
      <c r="A8743" t="str">
        <f>"501702965809"</f>
        <v>501702965809</v>
      </c>
      <c r="B8743" t="s">
        <v>12008</v>
      </c>
      <c r="C8743" t="s">
        <v>7</v>
      </c>
      <c r="D8743" t="s">
        <v>12</v>
      </c>
      <c r="E8743" t="s">
        <v>11472</v>
      </c>
    </row>
    <row r="8744" spans="1:6" x14ac:dyDescent="0.25">
      <c r="A8744" t="str">
        <f>"5017046355"</f>
        <v>5017046355</v>
      </c>
      <c r="B8744" t="s">
        <v>12009</v>
      </c>
      <c r="C8744" t="s">
        <v>7</v>
      </c>
      <c r="D8744" t="s">
        <v>14</v>
      </c>
      <c r="E8744" t="s">
        <v>11472</v>
      </c>
      <c r="F8744" t="s">
        <v>12010</v>
      </c>
    </row>
    <row r="8745" spans="1:6" x14ac:dyDescent="0.25">
      <c r="A8745" t="str">
        <f>"501706301460"</f>
        <v>501706301460</v>
      </c>
      <c r="B8745" t="s">
        <v>12011</v>
      </c>
      <c r="C8745" t="s">
        <v>7</v>
      </c>
      <c r="D8745" t="s">
        <v>14</v>
      </c>
      <c r="E8745" t="s">
        <v>11472</v>
      </c>
    </row>
    <row r="8746" spans="1:6" x14ac:dyDescent="0.25">
      <c r="A8746" t="str">
        <f>"501707165098"</f>
        <v>501707165098</v>
      </c>
      <c r="B8746" t="s">
        <v>12012</v>
      </c>
      <c r="C8746" t="s">
        <v>7</v>
      </c>
      <c r="D8746" t="s">
        <v>14</v>
      </c>
      <c r="E8746" t="s">
        <v>11472</v>
      </c>
    </row>
    <row r="8747" spans="1:6" x14ac:dyDescent="0.25">
      <c r="A8747" t="str">
        <f>"501707665887"</f>
        <v>501707665887</v>
      </c>
      <c r="B8747" t="s">
        <v>12013</v>
      </c>
      <c r="C8747" t="s">
        <v>7</v>
      </c>
      <c r="D8747" t="s">
        <v>14</v>
      </c>
      <c r="E8747" t="s">
        <v>11472</v>
      </c>
    </row>
    <row r="8748" spans="1:6" x14ac:dyDescent="0.25">
      <c r="A8748" t="str">
        <f>"5017129114"</f>
        <v>5017129114</v>
      </c>
      <c r="B8748" t="s">
        <v>12014</v>
      </c>
      <c r="C8748" t="s">
        <v>7</v>
      </c>
      <c r="D8748" t="s">
        <v>14</v>
      </c>
      <c r="E8748" t="s">
        <v>11472</v>
      </c>
      <c r="F8748" t="s">
        <v>12015</v>
      </c>
    </row>
    <row r="8749" spans="1:6" x14ac:dyDescent="0.25">
      <c r="A8749" t="str">
        <f>"501800001680"</f>
        <v>501800001680</v>
      </c>
      <c r="B8749" t="s">
        <v>12016</v>
      </c>
      <c r="C8749" t="s">
        <v>7</v>
      </c>
      <c r="D8749" t="s">
        <v>12</v>
      </c>
      <c r="E8749" t="s">
        <v>11472</v>
      </c>
    </row>
    <row r="8750" spans="1:6" x14ac:dyDescent="0.25">
      <c r="A8750" t="str">
        <f>"501810908237"</f>
        <v>501810908237</v>
      </c>
      <c r="B8750" t="s">
        <v>12017</v>
      </c>
      <c r="C8750" t="s">
        <v>7</v>
      </c>
      <c r="D8750" t="s">
        <v>14</v>
      </c>
      <c r="E8750" t="s">
        <v>11472</v>
      </c>
    </row>
    <row r="8751" spans="1:6" x14ac:dyDescent="0.25">
      <c r="A8751" t="str">
        <f>"5018160195"</f>
        <v>5018160195</v>
      </c>
      <c r="B8751" t="s">
        <v>12018</v>
      </c>
      <c r="C8751" t="s">
        <v>7</v>
      </c>
      <c r="D8751" t="s">
        <v>14</v>
      </c>
      <c r="E8751" t="s">
        <v>11472</v>
      </c>
      <c r="F8751" t="s">
        <v>12019</v>
      </c>
    </row>
    <row r="8752" spans="1:6" x14ac:dyDescent="0.25">
      <c r="A8752" t="str">
        <f>"5018214700"</f>
        <v>5018214700</v>
      </c>
      <c r="B8752" t="s">
        <v>12020</v>
      </c>
      <c r="C8752" t="s">
        <v>7</v>
      </c>
      <c r="D8752" t="s">
        <v>12</v>
      </c>
      <c r="E8752" t="s">
        <v>11472</v>
      </c>
      <c r="F8752" t="s">
        <v>12021</v>
      </c>
    </row>
    <row r="8753" spans="1:6" x14ac:dyDescent="0.25">
      <c r="A8753" t="str">
        <f>"501904871342"</f>
        <v>501904871342</v>
      </c>
      <c r="B8753" t="s">
        <v>12022</v>
      </c>
      <c r="C8753" t="s">
        <v>7</v>
      </c>
      <c r="D8753" t="s">
        <v>14</v>
      </c>
      <c r="E8753" t="s">
        <v>11472</v>
      </c>
    </row>
    <row r="8754" spans="1:6" x14ac:dyDescent="0.25">
      <c r="A8754" t="str">
        <f>"501905708331"</f>
        <v>501905708331</v>
      </c>
      <c r="B8754" t="s">
        <v>12023</v>
      </c>
      <c r="C8754" t="s">
        <v>7</v>
      </c>
      <c r="D8754" t="s">
        <v>14</v>
      </c>
      <c r="E8754" t="s">
        <v>11472</v>
      </c>
    </row>
    <row r="8755" spans="1:6" x14ac:dyDescent="0.25">
      <c r="A8755" t="str">
        <f>"502000776834"</f>
        <v>502000776834</v>
      </c>
      <c r="B8755" t="s">
        <v>12024</v>
      </c>
      <c r="C8755" t="s">
        <v>7</v>
      </c>
      <c r="D8755" t="s">
        <v>14</v>
      </c>
      <c r="E8755" t="s">
        <v>11472</v>
      </c>
    </row>
    <row r="8756" spans="1:6" x14ac:dyDescent="0.25">
      <c r="A8756" t="str">
        <f>"502100061847"</f>
        <v>502100061847</v>
      </c>
      <c r="B8756" t="s">
        <v>12025</v>
      </c>
      <c r="C8756" t="s">
        <v>7</v>
      </c>
      <c r="D8756" t="s">
        <v>14</v>
      </c>
      <c r="E8756" t="s">
        <v>11472</v>
      </c>
    </row>
    <row r="8757" spans="1:6" x14ac:dyDescent="0.25">
      <c r="A8757" t="str">
        <f>"502200059760"</f>
        <v>502200059760</v>
      </c>
      <c r="B8757" t="s">
        <v>12026</v>
      </c>
      <c r="C8757" t="s">
        <v>7</v>
      </c>
      <c r="D8757" t="s">
        <v>14</v>
      </c>
      <c r="E8757" t="s">
        <v>11472</v>
      </c>
    </row>
    <row r="8758" spans="1:6" x14ac:dyDescent="0.25">
      <c r="A8758" t="str">
        <f>"5022040084"</f>
        <v>5022040084</v>
      </c>
      <c r="B8758" t="s">
        <v>12027</v>
      </c>
      <c r="C8758" t="s">
        <v>7</v>
      </c>
      <c r="D8758" t="s">
        <v>33</v>
      </c>
      <c r="E8758" t="s">
        <v>11472</v>
      </c>
      <c r="F8758" t="s">
        <v>12028</v>
      </c>
    </row>
    <row r="8759" spans="1:6" x14ac:dyDescent="0.25">
      <c r="A8759" t="str">
        <f>"502204422537"</f>
        <v>502204422537</v>
      </c>
      <c r="B8759" t="s">
        <v>12029</v>
      </c>
      <c r="C8759" t="s">
        <v>7</v>
      </c>
      <c r="D8759" t="s">
        <v>14</v>
      </c>
      <c r="E8759" t="s">
        <v>11472</v>
      </c>
    </row>
    <row r="8760" spans="1:6" x14ac:dyDescent="0.25">
      <c r="A8760" t="str">
        <f>"5022052393"</f>
        <v>5022052393</v>
      </c>
      <c r="B8760" t="s">
        <v>12030</v>
      </c>
      <c r="C8760" t="s">
        <v>7</v>
      </c>
      <c r="D8760" t="s">
        <v>33</v>
      </c>
      <c r="E8760" t="s">
        <v>11472</v>
      </c>
      <c r="F8760" t="s">
        <v>12031</v>
      </c>
    </row>
    <row r="8761" spans="1:6" x14ac:dyDescent="0.25">
      <c r="A8761" t="str">
        <f>"502206232997"</f>
        <v>502206232997</v>
      </c>
      <c r="B8761" t="s">
        <v>12032</v>
      </c>
      <c r="C8761" t="s">
        <v>7</v>
      </c>
      <c r="D8761" t="s">
        <v>14</v>
      </c>
      <c r="E8761" t="s">
        <v>11472</v>
      </c>
    </row>
    <row r="8762" spans="1:6" x14ac:dyDescent="0.25">
      <c r="A8762" t="str">
        <f>"5022077373"</f>
        <v>5022077373</v>
      </c>
      <c r="B8762" t="s">
        <v>12033</v>
      </c>
      <c r="C8762" t="s">
        <v>7</v>
      </c>
      <c r="D8762" t="s">
        <v>12</v>
      </c>
      <c r="E8762" t="s">
        <v>11472</v>
      </c>
      <c r="F8762" t="s">
        <v>12034</v>
      </c>
    </row>
    <row r="8763" spans="1:6" x14ac:dyDescent="0.25">
      <c r="A8763" t="str">
        <f>"5022077535"</f>
        <v>5022077535</v>
      </c>
      <c r="B8763" t="s">
        <v>12035</v>
      </c>
      <c r="C8763" t="s">
        <v>7</v>
      </c>
      <c r="D8763" t="s">
        <v>33</v>
      </c>
      <c r="E8763" t="s">
        <v>11472</v>
      </c>
      <c r="F8763" t="s">
        <v>12036</v>
      </c>
    </row>
    <row r="8764" spans="1:6" x14ac:dyDescent="0.25">
      <c r="A8764" t="str">
        <f>"502210138997"</f>
        <v>502210138997</v>
      </c>
      <c r="B8764" t="s">
        <v>12037</v>
      </c>
      <c r="C8764" t="s">
        <v>7</v>
      </c>
      <c r="D8764" t="s">
        <v>12</v>
      </c>
      <c r="E8764" t="s">
        <v>11472</v>
      </c>
    </row>
    <row r="8765" spans="1:6" x14ac:dyDescent="0.25">
      <c r="A8765" t="str">
        <f>"502210210259"</f>
        <v>502210210259</v>
      </c>
      <c r="B8765" t="s">
        <v>12038</v>
      </c>
      <c r="C8765" t="s">
        <v>7</v>
      </c>
      <c r="D8765" t="s">
        <v>12</v>
      </c>
      <c r="E8765" t="s">
        <v>11472</v>
      </c>
    </row>
    <row r="8766" spans="1:6" x14ac:dyDescent="0.25">
      <c r="A8766" t="str">
        <f>"502210527538"</f>
        <v>502210527538</v>
      </c>
      <c r="B8766" t="s">
        <v>12039</v>
      </c>
      <c r="C8766" t="s">
        <v>7</v>
      </c>
      <c r="D8766" t="s">
        <v>14</v>
      </c>
      <c r="E8766" t="s">
        <v>11472</v>
      </c>
    </row>
    <row r="8767" spans="1:6" x14ac:dyDescent="0.25">
      <c r="A8767" t="str">
        <f>"502213002120"</f>
        <v>502213002120</v>
      </c>
      <c r="B8767" t="s">
        <v>12040</v>
      </c>
      <c r="C8767" t="s">
        <v>7</v>
      </c>
      <c r="D8767" t="s">
        <v>14</v>
      </c>
      <c r="E8767" t="s">
        <v>11472</v>
      </c>
    </row>
    <row r="8768" spans="1:6" x14ac:dyDescent="0.25">
      <c r="A8768" t="str">
        <f>"502238604743"</f>
        <v>502238604743</v>
      </c>
      <c r="B8768" t="s">
        <v>12041</v>
      </c>
      <c r="C8768" t="s">
        <v>7</v>
      </c>
      <c r="D8768" t="s">
        <v>14</v>
      </c>
      <c r="E8768" t="s">
        <v>11472</v>
      </c>
    </row>
    <row r="8769" spans="1:6" x14ac:dyDescent="0.25">
      <c r="A8769" t="str">
        <f>"502239984720"</f>
        <v>502239984720</v>
      </c>
      <c r="B8769" t="s">
        <v>12042</v>
      </c>
      <c r="C8769" t="s">
        <v>7</v>
      </c>
      <c r="D8769" t="s">
        <v>14</v>
      </c>
      <c r="E8769" t="s">
        <v>11472</v>
      </c>
    </row>
    <row r="8770" spans="1:6" x14ac:dyDescent="0.25">
      <c r="A8770" t="str">
        <f>"5022555936"</f>
        <v>5022555936</v>
      </c>
      <c r="B8770" t="s">
        <v>12043</v>
      </c>
      <c r="C8770" t="s">
        <v>7</v>
      </c>
      <c r="D8770" t="s">
        <v>14</v>
      </c>
      <c r="E8770" t="s">
        <v>11472</v>
      </c>
      <c r="F8770" t="s">
        <v>12044</v>
      </c>
    </row>
    <row r="8771" spans="1:6" x14ac:dyDescent="0.25">
      <c r="A8771" t="str">
        <f>"5024089060"</f>
        <v>5024089060</v>
      </c>
      <c r="B8771" t="s">
        <v>12045</v>
      </c>
      <c r="C8771" t="s">
        <v>7</v>
      </c>
      <c r="D8771" t="s">
        <v>12</v>
      </c>
      <c r="E8771" t="s">
        <v>11472</v>
      </c>
      <c r="F8771" t="s">
        <v>12046</v>
      </c>
    </row>
    <row r="8772" spans="1:6" x14ac:dyDescent="0.25">
      <c r="A8772" t="str">
        <f>"5024090179"</f>
        <v>5024090179</v>
      </c>
      <c r="B8772" t="s">
        <v>12047</v>
      </c>
      <c r="C8772" t="s">
        <v>7</v>
      </c>
      <c r="D8772" t="s">
        <v>12</v>
      </c>
      <c r="E8772" t="s">
        <v>11472</v>
      </c>
      <c r="F8772" t="s">
        <v>12048</v>
      </c>
    </row>
    <row r="8773" spans="1:6" x14ac:dyDescent="0.25">
      <c r="A8773" t="str">
        <f>"5024107584"</f>
        <v>5024107584</v>
      </c>
      <c r="B8773" t="s">
        <v>12049</v>
      </c>
      <c r="C8773" t="s">
        <v>7</v>
      </c>
      <c r="D8773" t="s">
        <v>12</v>
      </c>
      <c r="E8773" t="s">
        <v>11472</v>
      </c>
      <c r="F8773" t="s">
        <v>12050</v>
      </c>
    </row>
    <row r="8774" spans="1:6" x14ac:dyDescent="0.25">
      <c r="A8774" t="str">
        <f>"5024145798"</f>
        <v>5024145798</v>
      </c>
      <c r="B8774" t="s">
        <v>12051</v>
      </c>
      <c r="C8774" t="s">
        <v>7</v>
      </c>
      <c r="D8774" t="s">
        <v>12</v>
      </c>
      <c r="E8774" t="s">
        <v>11472</v>
      </c>
      <c r="F8774" t="s">
        <v>12052</v>
      </c>
    </row>
    <row r="8775" spans="1:6" x14ac:dyDescent="0.25">
      <c r="A8775" t="str">
        <f>"5024175383"</f>
        <v>5024175383</v>
      </c>
      <c r="B8775" t="s">
        <v>12053</v>
      </c>
      <c r="C8775" t="s">
        <v>7</v>
      </c>
      <c r="D8775" t="s">
        <v>12</v>
      </c>
      <c r="E8775" t="s">
        <v>11472</v>
      </c>
      <c r="F8775" t="s">
        <v>12054</v>
      </c>
    </row>
    <row r="8776" spans="1:6" x14ac:dyDescent="0.25">
      <c r="A8776" t="str">
        <f>"5024181482"</f>
        <v>5024181482</v>
      </c>
      <c r="B8776" t="s">
        <v>12055</v>
      </c>
      <c r="C8776" t="s">
        <v>7</v>
      </c>
      <c r="D8776" t="s">
        <v>8</v>
      </c>
      <c r="E8776" t="s">
        <v>11472</v>
      </c>
      <c r="F8776" t="s">
        <v>12056</v>
      </c>
    </row>
    <row r="8777" spans="1:6" x14ac:dyDescent="0.25">
      <c r="A8777" t="str">
        <f>"5024220438"</f>
        <v>5024220438</v>
      </c>
      <c r="B8777" t="s">
        <v>12057</v>
      </c>
      <c r="C8777" t="s">
        <v>7</v>
      </c>
      <c r="D8777" t="s">
        <v>12</v>
      </c>
      <c r="E8777" t="s">
        <v>11472</v>
      </c>
      <c r="F8777" t="s">
        <v>12058</v>
      </c>
    </row>
    <row r="8778" spans="1:6" x14ac:dyDescent="0.25">
      <c r="A8778" t="str">
        <f>"5024224129"</f>
        <v>5024224129</v>
      </c>
      <c r="B8778" t="s">
        <v>12059</v>
      </c>
      <c r="C8778" t="s">
        <v>7</v>
      </c>
      <c r="D8778" t="s">
        <v>33</v>
      </c>
      <c r="E8778" t="s">
        <v>11472</v>
      </c>
      <c r="F8778" t="s">
        <v>12060</v>
      </c>
    </row>
    <row r="8779" spans="1:6" x14ac:dyDescent="0.25">
      <c r="A8779" t="str">
        <f>"5024231736"</f>
        <v>5024231736</v>
      </c>
      <c r="B8779" t="s">
        <v>12061</v>
      </c>
      <c r="C8779" t="s">
        <v>7</v>
      </c>
      <c r="D8779" t="s">
        <v>460</v>
      </c>
      <c r="E8779" t="s">
        <v>11472</v>
      </c>
      <c r="F8779" t="s">
        <v>12062</v>
      </c>
    </row>
    <row r="8780" spans="1:6" x14ac:dyDescent="0.25">
      <c r="A8780" t="str">
        <f>"5024233363"</f>
        <v>5024233363</v>
      </c>
      <c r="B8780" t="s">
        <v>12063</v>
      </c>
      <c r="C8780" t="s">
        <v>7</v>
      </c>
      <c r="D8780" t="s">
        <v>189</v>
      </c>
      <c r="E8780" t="s">
        <v>11472</v>
      </c>
      <c r="F8780" t="s">
        <v>12064</v>
      </c>
    </row>
    <row r="8781" spans="1:6" x14ac:dyDescent="0.25">
      <c r="A8781" t="str">
        <f>"502503425381"</f>
        <v>502503425381</v>
      </c>
      <c r="B8781" t="s">
        <v>12065</v>
      </c>
      <c r="C8781" t="s">
        <v>7</v>
      </c>
      <c r="D8781" t="s">
        <v>12</v>
      </c>
      <c r="E8781" t="s">
        <v>11472</v>
      </c>
    </row>
    <row r="8782" spans="1:6" x14ac:dyDescent="0.25">
      <c r="A8782" t="str">
        <f>"502504265162"</f>
        <v>502504265162</v>
      </c>
      <c r="B8782" t="s">
        <v>12066</v>
      </c>
      <c r="C8782" t="s">
        <v>7</v>
      </c>
      <c r="D8782" t="s">
        <v>12</v>
      </c>
      <c r="E8782" t="s">
        <v>11472</v>
      </c>
    </row>
    <row r="8783" spans="1:6" x14ac:dyDescent="0.25">
      <c r="A8783" t="str">
        <f>"502602580356"</f>
        <v>502602580356</v>
      </c>
      <c r="B8783" t="s">
        <v>12067</v>
      </c>
      <c r="C8783" t="s">
        <v>7</v>
      </c>
      <c r="D8783" t="s">
        <v>12</v>
      </c>
      <c r="E8783" t="s">
        <v>11472</v>
      </c>
    </row>
    <row r="8784" spans="1:6" x14ac:dyDescent="0.25">
      <c r="A8784" t="str">
        <f>"502602659493"</f>
        <v>502602659493</v>
      </c>
      <c r="B8784" t="s">
        <v>12068</v>
      </c>
      <c r="C8784" t="s">
        <v>7</v>
      </c>
      <c r="D8784" t="s">
        <v>12</v>
      </c>
      <c r="E8784" t="s">
        <v>11472</v>
      </c>
    </row>
    <row r="8785" spans="1:6" x14ac:dyDescent="0.25">
      <c r="A8785" t="str">
        <f>"502602759226"</f>
        <v>502602759226</v>
      </c>
      <c r="B8785" t="s">
        <v>12069</v>
      </c>
      <c r="C8785" t="s">
        <v>7</v>
      </c>
      <c r="D8785" t="s">
        <v>12</v>
      </c>
      <c r="E8785" t="s">
        <v>11472</v>
      </c>
    </row>
    <row r="8786" spans="1:6" x14ac:dyDescent="0.25">
      <c r="A8786" t="str">
        <f>"502602926212"</f>
        <v>502602926212</v>
      </c>
      <c r="B8786" t="s">
        <v>12070</v>
      </c>
      <c r="C8786" t="s">
        <v>7</v>
      </c>
      <c r="D8786" t="s">
        <v>12</v>
      </c>
      <c r="E8786" t="s">
        <v>11472</v>
      </c>
    </row>
    <row r="8787" spans="1:6" x14ac:dyDescent="0.25">
      <c r="A8787" t="str">
        <f>"502701548924"</f>
        <v>502701548924</v>
      </c>
      <c r="B8787" t="s">
        <v>12071</v>
      </c>
      <c r="C8787" t="s">
        <v>7</v>
      </c>
      <c r="D8787" t="s">
        <v>14</v>
      </c>
      <c r="E8787" t="s">
        <v>11472</v>
      </c>
    </row>
    <row r="8788" spans="1:6" x14ac:dyDescent="0.25">
      <c r="A8788" t="str">
        <f>"5027083067"</f>
        <v>5027083067</v>
      </c>
      <c r="B8788" t="s">
        <v>12072</v>
      </c>
      <c r="C8788" t="s">
        <v>7</v>
      </c>
      <c r="D8788" t="s">
        <v>14</v>
      </c>
      <c r="E8788" t="s">
        <v>11472</v>
      </c>
      <c r="F8788" t="s">
        <v>12073</v>
      </c>
    </row>
    <row r="8789" spans="1:6" x14ac:dyDescent="0.25">
      <c r="A8789" t="str">
        <f>"5027096299"</f>
        <v>5027096299</v>
      </c>
      <c r="B8789" t="s">
        <v>12074</v>
      </c>
      <c r="C8789" t="s">
        <v>7</v>
      </c>
      <c r="D8789" t="s">
        <v>12</v>
      </c>
      <c r="E8789" t="s">
        <v>11472</v>
      </c>
      <c r="F8789" t="s">
        <v>12075</v>
      </c>
    </row>
    <row r="8790" spans="1:6" x14ac:dyDescent="0.25">
      <c r="A8790" t="str">
        <f>"502716014629"</f>
        <v>502716014629</v>
      </c>
      <c r="B8790" t="s">
        <v>12076</v>
      </c>
      <c r="C8790" t="s">
        <v>7</v>
      </c>
      <c r="D8790" t="s">
        <v>12</v>
      </c>
      <c r="E8790" t="s">
        <v>11472</v>
      </c>
    </row>
    <row r="8791" spans="1:6" x14ac:dyDescent="0.25">
      <c r="A8791" t="str">
        <f>"5027160226"</f>
        <v>5027160226</v>
      </c>
      <c r="B8791" t="s">
        <v>12077</v>
      </c>
      <c r="C8791" t="s">
        <v>7</v>
      </c>
      <c r="D8791" t="s">
        <v>12</v>
      </c>
      <c r="E8791" t="s">
        <v>11472</v>
      </c>
      <c r="F8791" t="s">
        <v>12078</v>
      </c>
    </row>
    <row r="8792" spans="1:6" x14ac:dyDescent="0.25">
      <c r="A8792" t="str">
        <f>"5027160272"</f>
        <v>5027160272</v>
      </c>
      <c r="B8792" t="s">
        <v>12079</v>
      </c>
      <c r="C8792" t="s">
        <v>7</v>
      </c>
      <c r="D8792" t="s">
        <v>146</v>
      </c>
      <c r="E8792" t="s">
        <v>11472</v>
      </c>
      <c r="F8792" t="s">
        <v>12080</v>
      </c>
    </row>
    <row r="8793" spans="1:6" x14ac:dyDescent="0.25">
      <c r="A8793" t="str">
        <f>"501106641970"</f>
        <v>501106641970</v>
      </c>
      <c r="B8793" t="s">
        <v>12081</v>
      </c>
      <c r="C8793" t="s">
        <v>7</v>
      </c>
      <c r="D8793" t="s">
        <v>12</v>
      </c>
      <c r="E8793" t="s">
        <v>11472</v>
      </c>
    </row>
    <row r="8794" spans="1:6" x14ac:dyDescent="0.25">
      <c r="A8794" t="str">
        <f>"501107038193"</f>
        <v>501107038193</v>
      </c>
      <c r="B8794" t="s">
        <v>12082</v>
      </c>
      <c r="C8794" t="s">
        <v>7</v>
      </c>
      <c r="D8794" t="s">
        <v>14</v>
      </c>
      <c r="E8794" t="s">
        <v>11472</v>
      </c>
    </row>
    <row r="8795" spans="1:6" x14ac:dyDescent="0.25">
      <c r="A8795" t="str">
        <f>"501109164154"</f>
        <v>501109164154</v>
      </c>
      <c r="B8795" t="s">
        <v>12083</v>
      </c>
      <c r="C8795" t="s">
        <v>7</v>
      </c>
      <c r="D8795" t="s">
        <v>14</v>
      </c>
      <c r="E8795" t="s">
        <v>11472</v>
      </c>
    </row>
    <row r="8796" spans="1:6" x14ac:dyDescent="0.25">
      <c r="A8796" t="str">
        <f>"501110418300"</f>
        <v>501110418300</v>
      </c>
      <c r="B8796" t="s">
        <v>12084</v>
      </c>
      <c r="C8796" t="s">
        <v>7</v>
      </c>
      <c r="D8796" t="s">
        <v>14</v>
      </c>
      <c r="E8796" t="s">
        <v>11472</v>
      </c>
    </row>
    <row r="8797" spans="1:6" x14ac:dyDescent="0.25">
      <c r="A8797" t="str">
        <f>"5012014399"</f>
        <v>5012014399</v>
      </c>
      <c r="B8797" t="s">
        <v>12085</v>
      </c>
      <c r="C8797" t="s">
        <v>7</v>
      </c>
      <c r="D8797" t="s">
        <v>12</v>
      </c>
      <c r="E8797" t="s">
        <v>11472</v>
      </c>
      <c r="F8797" t="s">
        <v>12086</v>
      </c>
    </row>
    <row r="8798" spans="1:6" x14ac:dyDescent="0.25">
      <c r="A8798" t="str">
        <f>"5012030070"</f>
        <v>5012030070</v>
      </c>
      <c r="B8798" t="s">
        <v>12087</v>
      </c>
      <c r="C8798" t="s">
        <v>7</v>
      </c>
      <c r="D8798" t="s">
        <v>33</v>
      </c>
      <c r="E8798" t="s">
        <v>11472</v>
      </c>
      <c r="F8798" t="s">
        <v>12088</v>
      </c>
    </row>
    <row r="8799" spans="1:6" x14ac:dyDescent="0.25">
      <c r="A8799" t="str">
        <f>"5012083040"</f>
        <v>5012083040</v>
      </c>
      <c r="B8799" t="s">
        <v>12089</v>
      </c>
      <c r="C8799" t="s">
        <v>7</v>
      </c>
      <c r="D8799" t="s">
        <v>12</v>
      </c>
      <c r="E8799" t="s">
        <v>11472</v>
      </c>
      <c r="F8799" t="s">
        <v>12090</v>
      </c>
    </row>
    <row r="8800" spans="1:6" x14ac:dyDescent="0.25">
      <c r="A8800" t="str">
        <f>"5012086555"</f>
        <v>5012086555</v>
      </c>
      <c r="B8800" t="s">
        <v>12091</v>
      </c>
      <c r="C8800" t="s">
        <v>7</v>
      </c>
      <c r="D8800" t="s">
        <v>12</v>
      </c>
      <c r="E8800" t="s">
        <v>11472</v>
      </c>
      <c r="F8800" t="s">
        <v>12092</v>
      </c>
    </row>
    <row r="8801" spans="1:6" x14ac:dyDescent="0.25">
      <c r="A8801" t="str">
        <f>"501209894901"</f>
        <v>501209894901</v>
      </c>
      <c r="B8801" t="s">
        <v>12093</v>
      </c>
      <c r="C8801" t="s">
        <v>7</v>
      </c>
      <c r="D8801" t="s">
        <v>12</v>
      </c>
      <c r="E8801" t="s">
        <v>11472</v>
      </c>
    </row>
    <row r="8802" spans="1:6" x14ac:dyDescent="0.25">
      <c r="A8802" t="str">
        <f>"501304294982"</f>
        <v>501304294982</v>
      </c>
      <c r="B8802" t="s">
        <v>12094</v>
      </c>
      <c r="C8802" t="s">
        <v>7</v>
      </c>
      <c r="D8802" t="s">
        <v>12</v>
      </c>
      <c r="E8802" t="s">
        <v>11472</v>
      </c>
    </row>
    <row r="8803" spans="1:6" x14ac:dyDescent="0.25">
      <c r="A8803" t="str">
        <f>"5013048344"</f>
        <v>5013048344</v>
      </c>
      <c r="B8803" t="s">
        <v>12095</v>
      </c>
      <c r="C8803" t="s">
        <v>7</v>
      </c>
      <c r="D8803" t="s">
        <v>33</v>
      </c>
      <c r="E8803" t="s">
        <v>11472</v>
      </c>
      <c r="F8803" t="s">
        <v>12096</v>
      </c>
    </row>
    <row r="8804" spans="1:6" x14ac:dyDescent="0.25">
      <c r="A8804" t="str">
        <f>"501306825251"</f>
        <v>501306825251</v>
      </c>
      <c r="B8804" t="s">
        <v>12097</v>
      </c>
      <c r="C8804" t="s">
        <v>7</v>
      </c>
      <c r="D8804" t="s">
        <v>14</v>
      </c>
      <c r="E8804" t="s">
        <v>11472</v>
      </c>
    </row>
    <row r="8805" spans="1:6" x14ac:dyDescent="0.25">
      <c r="A8805" t="str">
        <f>"5015013763"</f>
        <v>5015013763</v>
      </c>
      <c r="B8805" t="s">
        <v>12098</v>
      </c>
      <c r="C8805" t="s">
        <v>7</v>
      </c>
      <c r="D8805" t="s">
        <v>674</v>
      </c>
      <c r="E8805" t="s">
        <v>11472</v>
      </c>
      <c r="F8805" t="s">
        <v>12099</v>
      </c>
    </row>
    <row r="8806" spans="1:6" x14ac:dyDescent="0.25">
      <c r="A8806" t="str">
        <f>"501602639167"</f>
        <v>501602639167</v>
      </c>
      <c r="B8806" t="s">
        <v>12100</v>
      </c>
      <c r="C8806" t="s">
        <v>7</v>
      </c>
      <c r="D8806" t="s">
        <v>14</v>
      </c>
      <c r="E8806" t="s">
        <v>11472</v>
      </c>
    </row>
    <row r="8807" spans="1:6" x14ac:dyDescent="0.25">
      <c r="A8807" t="str">
        <f>"501605144860"</f>
        <v>501605144860</v>
      </c>
      <c r="B8807" t="s">
        <v>12101</v>
      </c>
      <c r="C8807" t="s">
        <v>7</v>
      </c>
      <c r="D8807" t="s">
        <v>12</v>
      </c>
      <c r="E8807" t="s">
        <v>11472</v>
      </c>
    </row>
    <row r="8808" spans="1:6" x14ac:dyDescent="0.25">
      <c r="A8808" t="str">
        <f>"5017083702"</f>
        <v>5017083702</v>
      </c>
      <c r="B8808" t="s">
        <v>12102</v>
      </c>
      <c r="C8808" t="s">
        <v>7</v>
      </c>
      <c r="D8808" t="s">
        <v>14</v>
      </c>
      <c r="E8808" t="s">
        <v>11472</v>
      </c>
      <c r="F8808" t="s">
        <v>12103</v>
      </c>
    </row>
    <row r="8809" spans="1:6" x14ac:dyDescent="0.25">
      <c r="A8809" t="str">
        <f>"501708963477"</f>
        <v>501708963477</v>
      </c>
      <c r="B8809" t="s">
        <v>12104</v>
      </c>
      <c r="C8809" t="s">
        <v>7</v>
      </c>
      <c r="D8809" t="s">
        <v>12</v>
      </c>
      <c r="E8809" t="s">
        <v>11472</v>
      </c>
    </row>
    <row r="8810" spans="1:6" x14ac:dyDescent="0.25">
      <c r="A8810" t="str">
        <f>"5018044544"</f>
        <v>5018044544</v>
      </c>
      <c r="B8810" t="s">
        <v>12105</v>
      </c>
      <c r="C8810" t="s">
        <v>7</v>
      </c>
      <c r="D8810" t="s">
        <v>14</v>
      </c>
      <c r="E8810" t="s">
        <v>11472</v>
      </c>
      <c r="F8810" t="s">
        <v>12106</v>
      </c>
    </row>
    <row r="8811" spans="1:6" x14ac:dyDescent="0.25">
      <c r="A8811" t="str">
        <f>"501808552054"</f>
        <v>501808552054</v>
      </c>
      <c r="B8811" t="s">
        <v>12107</v>
      </c>
      <c r="C8811" t="s">
        <v>7</v>
      </c>
      <c r="D8811" t="s">
        <v>14</v>
      </c>
      <c r="E8811" t="s">
        <v>11472</v>
      </c>
    </row>
    <row r="8812" spans="1:6" x14ac:dyDescent="0.25">
      <c r="A8812" t="str">
        <f>"5018186267"</f>
        <v>5018186267</v>
      </c>
      <c r="B8812" t="s">
        <v>12108</v>
      </c>
      <c r="C8812" t="s">
        <v>7</v>
      </c>
      <c r="D8812" t="s">
        <v>12</v>
      </c>
      <c r="E8812" t="s">
        <v>11472</v>
      </c>
      <c r="F8812" t="s">
        <v>12109</v>
      </c>
    </row>
    <row r="8813" spans="1:6" x14ac:dyDescent="0.25">
      <c r="A8813" t="str">
        <f>"5018190087"</f>
        <v>5018190087</v>
      </c>
      <c r="B8813" t="s">
        <v>12110</v>
      </c>
      <c r="C8813" t="s">
        <v>7</v>
      </c>
      <c r="D8813" t="s">
        <v>33</v>
      </c>
      <c r="E8813" t="s">
        <v>11472</v>
      </c>
      <c r="F8813" t="s">
        <v>12111</v>
      </c>
    </row>
    <row r="8814" spans="1:6" x14ac:dyDescent="0.25">
      <c r="A8814" t="str">
        <f>"5018219138"</f>
        <v>5018219138</v>
      </c>
      <c r="B8814" t="s">
        <v>10799</v>
      </c>
      <c r="C8814" t="s">
        <v>7</v>
      </c>
      <c r="D8814" t="s">
        <v>14</v>
      </c>
      <c r="E8814" t="s">
        <v>11472</v>
      </c>
      <c r="F8814" t="s">
        <v>12112</v>
      </c>
    </row>
    <row r="8815" spans="1:6" x14ac:dyDescent="0.25">
      <c r="A8815" t="str">
        <f>"5018220895"</f>
        <v>5018220895</v>
      </c>
      <c r="B8815" t="s">
        <v>12113</v>
      </c>
      <c r="C8815" t="s">
        <v>7</v>
      </c>
      <c r="D8815" t="s">
        <v>12</v>
      </c>
      <c r="E8815" t="s">
        <v>11472</v>
      </c>
      <c r="F8815" t="s">
        <v>12114</v>
      </c>
    </row>
    <row r="8816" spans="1:6" x14ac:dyDescent="0.25">
      <c r="A8816" t="str">
        <f>"501904378881"</f>
        <v>501904378881</v>
      </c>
      <c r="B8816" t="s">
        <v>12115</v>
      </c>
      <c r="C8816" t="s">
        <v>7</v>
      </c>
      <c r="D8816" t="s">
        <v>12</v>
      </c>
      <c r="E8816" t="s">
        <v>11472</v>
      </c>
    </row>
    <row r="8817" spans="1:6" x14ac:dyDescent="0.25">
      <c r="A8817" t="str">
        <f>"502000103290"</f>
        <v>502000103290</v>
      </c>
      <c r="B8817" t="s">
        <v>12116</v>
      </c>
      <c r="C8817" t="s">
        <v>7</v>
      </c>
      <c r="D8817" t="s">
        <v>14</v>
      </c>
      <c r="E8817" t="s">
        <v>11472</v>
      </c>
    </row>
    <row r="8818" spans="1:6" x14ac:dyDescent="0.25">
      <c r="A8818" t="str">
        <f>"502000952984"</f>
        <v>502000952984</v>
      </c>
      <c r="B8818" t="s">
        <v>12117</v>
      </c>
      <c r="C8818" t="s">
        <v>7</v>
      </c>
      <c r="D8818" t="s">
        <v>14</v>
      </c>
      <c r="E8818" t="s">
        <v>11472</v>
      </c>
    </row>
    <row r="8819" spans="1:6" x14ac:dyDescent="0.25">
      <c r="A8819" t="str">
        <f>"502009822299"</f>
        <v>502009822299</v>
      </c>
      <c r="B8819" t="s">
        <v>12118</v>
      </c>
      <c r="C8819" t="s">
        <v>7</v>
      </c>
      <c r="D8819" t="s">
        <v>14</v>
      </c>
      <c r="E8819" t="s">
        <v>11472</v>
      </c>
    </row>
    <row r="8820" spans="1:6" x14ac:dyDescent="0.25">
      <c r="A8820" t="str">
        <f>"502011039462"</f>
        <v>502011039462</v>
      </c>
      <c r="B8820" t="s">
        <v>12119</v>
      </c>
      <c r="C8820" t="s">
        <v>7</v>
      </c>
      <c r="D8820" t="s">
        <v>12</v>
      </c>
      <c r="E8820" t="s">
        <v>11472</v>
      </c>
    </row>
    <row r="8821" spans="1:6" x14ac:dyDescent="0.25">
      <c r="A8821" t="str">
        <f>"5021000339"</f>
        <v>5021000339</v>
      </c>
      <c r="B8821" t="s">
        <v>12120</v>
      </c>
      <c r="C8821" t="s">
        <v>7</v>
      </c>
      <c r="D8821" t="s">
        <v>14</v>
      </c>
      <c r="E8821" t="s">
        <v>11472</v>
      </c>
      <c r="F8821" t="s">
        <v>12121</v>
      </c>
    </row>
    <row r="8822" spans="1:6" x14ac:dyDescent="0.25">
      <c r="A8822" t="str">
        <f>"5021012493"</f>
        <v>5021012493</v>
      </c>
      <c r="B8822" t="s">
        <v>12122</v>
      </c>
      <c r="C8822" t="s">
        <v>7</v>
      </c>
      <c r="D8822" t="s">
        <v>12</v>
      </c>
      <c r="E8822" t="s">
        <v>11472</v>
      </c>
      <c r="F8822" t="s">
        <v>12123</v>
      </c>
    </row>
    <row r="8823" spans="1:6" x14ac:dyDescent="0.25">
      <c r="A8823" t="str">
        <f>"5021012655"</f>
        <v>5021012655</v>
      </c>
      <c r="B8823" t="s">
        <v>12124</v>
      </c>
      <c r="C8823" t="s">
        <v>7</v>
      </c>
      <c r="D8823" t="s">
        <v>1430</v>
      </c>
      <c r="E8823" t="s">
        <v>11472</v>
      </c>
      <c r="F8823" t="s">
        <v>12125</v>
      </c>
    </row>
    <row r="8824" spans="1:6" x14ac:dyDescent="0.25">
      <c r="A8824" t="str">
        <f>"502200147304"</f>
        <v>502200147304</v>
      </c>
      <c r="B8824" t="s">
        <v>12126</v>
      </c>
      <c r="C8824" t="s">
        <v>7</v>
      </c>
      <c r="D8824" t="s">
        <v>14</v>
      </c>
      <c r="E8824" t="s">
        <v>11472</v>
      </c>
    </row>
    <row r="8825" spans="1:6" x14ac:dyDescent="0.25">
      <c r="A8825" t="str">
        <f>"502200297370"</f>
        <v>502200297370</v>
      </c>
      <c r="B8825" t="s">
        <v>12127</v>
      </c>
      <c r="C8825" t="s">
        <v>7</v>
      </c>
      <c r="D8825" t="s">
        <v>14</v>
      </c>
      <c r="E8825" t="s">
        <v>11472</v>
      </c>
    </row>
    <row r="8826" spans="1:6" x14ac:dyDescent="0.25">
      <c r="A8826" t="str">
        <f>"502200419501"</f>
        <v>502200419501</v>
      </c>
      <c r="B8826" t="s">
        <v>12128</v>
      </c>
      <c r="C8826" t="s">
        <v>7</v>
      </c>
      <c r="D8826" t="s">
        <v>14</v>
      </c>
      <c r="E8826" t="s">
        <v>11472</v>
      </c>
    </row>
    <row r="8827" spans="1:6" x14ac:dyDescent="0.25">
      <c r="A8827" t="str">
        <f>"502202280340"</f>
        <v>502202280340</v>
      </c>
      <c r="B8827" t="s">
        <v>12129</v>
      </c>
      <c r="C8827" t="s">
        <v>7</v>
      </c>
      <c r="D8827" t="s">
        <v>14</v>
      </c>
      <c r="E8827" t="s">
        <v>11472</v>
      </c>
    </row>
    <row r="8828" spans="1:6" x14ac:dyDescent="0.25">
      <c r="A8828" t="str">
        <f>"502203268280"</f>
        <v>502203268280</v>
      </c>
      <c r="B8828" t="s">
        <v>12130</v>
      </c>
      <c r="C8828" t="s">
        <v>7</v>
      </c>
      <c r="D8828" t="s">
        <v>14</v>
      </c>
      <c r="E8828" t="s">
        <v>11472</v>
      </c>
    </row>
    <row r="8829" spans="1:6" x14ac:dyDescent="0.25">
      <c r="A8829" t="str">
        <f>"502203996401"</f>
        <v>502203996401</v>
      </c>
      <c r="B8829" t="s">
        <v>12131</v>
      </c>
      <c r="C8829" t="s">
        <v>7</v>
      </c>
      <c r="D8829" t="s">
        <v>14</v>
      </c>
      <c r="E8829" t="s">
        <v>11472</v>
      </c>
    </row>
    <row r="8830" spans="1:6" x14ac:dyDescent="0.25">
      <c r="A8830" t="str">
        <f>"502206874306"</f>
        <v>502206874306</v>
      </c>
      <c r="B8830" t="s">
        <v>12132</v>
      </c>
      <c r="C8830" t="s">
        <v>7</v>
      </c>
      <c r="D8830" t="s">
        <v>12</v>
      </c>
      <c r="E8830" t="s">
        <v>11472</v>
      </c>
    </row>
    <row r="8831" spans="1:6" x14ac:dyDescent="0.25">
      <c r="A8831" t="str">
        <f>"5022073450"</f>
        <v>5022073450</v>
      </c>
      <c r="B8831" t="s">
        <v>12133</v>
      </c>
      <c r="C8831" t="s">
        <v>7</v>
      </c>
      <c r="D8831" t="s">
        <v>33</v>
      </c>
      <c r="E8831" t="s">
        <v>11472</v>
      </c>
      <c r="F8831" t="s">
        <v>12134</v>
      </c>
    </row>
    <row r="8832" spans="1:6" x14ac:dyDescent="0.25">
      <c r="A8832" t="str">
        <f>"5022076034"</f>
        <v>5022076034</v>
      </c>
      <c r="B8832" t="s">
        <v>12135</v>
      </c>
      <c r="C8832" t="s">
        <v>7</v>
      </c>
      <c r="D8832" t="s">
        <v>12</v>
      </c>
      <c r="E8832" t="s">
        <v>11472</v>
      </c>
      <c r="F8832" t="s">
        <v>12136</v>
      </c>
    </row>
    <row r="8833" spans="1:6" x14ac:dyDescent="0.25">
      <c r="A8833" t="str">
        <f>"5022078850"</f>
        <v>5022078850</v>
      </c>
      <c r="B8833" t="s">
        <v>12137</v>
      </c>
      <c r="C8833" t="s">
        <v>7</v>
      </c>
      <c r="D8833" t="s">
        <v>98</v>
      </c>
      <c r="E8833" t="s">
        <v>11472</v>
      </c>
      <c r="F8833" t="s">
        <v>12138</v>
      </c>
    </row>
    <row r="8834" spans="1:6" x14ac:dyDescent="0.25">
      <c r="A8834" t="str">
        <f>"502208601488"</f>
        <v>502208601488</v>
      </c>
      <c r="B8834" t="s">
        <v>12139</v>
      </c>
      <c r="C8834" t="s">
        <v>7</v>
      </c>
      <c r="D8834" t="s">
        <v>12</v>
      </c>
      <c r="E8834" t="s">
        <v>11472</v>
      </c>
    </row>
    <row r="8835" spans="1:6" x14ac:dyDescent="0.25">
      <c r="A8835" t="str">
        <f>"502209933951"</f>
        <v>502209933951</v>
      </c>
      <c r="B8835" t="s">
        <v>12140</v>
      </c>
      <c r="C8835" t="s">
        <v>7</v>
      </c>
      <c r="D8835" t="s">
        <v>12</v>
      </c>
      <c r="E8835" t="s">
        <v>11472</v>
      </c>
    </row>
    <row r="8836" spans="1:6" x14ac:dyDescent="0.25">
      <c r="A8836" t="str">
        <f>"502211912035"</f>
        <v>502211912035</v>
      </c>
      <c r="B8836" t="s">
        <v>12141</v>
      </c>
      <c r="C8836" t="s">
        <v>7</v>
      </c>
      <c r="D8836" t="s">
        <v>14</v>
      </c>
      <c r="E8836" t="s">
        <v>11472</v>
      </c>
    </row>
    <row r="8837" spans="1:6" x14ac:dyDescent="0.25">
      <c r="A8837" t="str">
        <f>"502239990675"</f>
        <v>502239990675</v>
      </c>
      <c r="B8837" t="s">
        <v>12142</v>
      </c>
      <c r="C8837" t="s">
        <v>7</v>
      </c>
      <c r="D8837" t="s">
        <v>14</v>
      </c>
      <c r="E8837" t="s">
        <v>11472</v>
      </c>
    </row>
    <row r="8838" spans="1:6" x14ac:dyDescent="0.25">
      <c r="A8838" t="str">
        <f>"502400493157"</f>
        <v>502400493157</v>
      </c>
      <c r="B8838" t="s">
        <v>12143</v>
      </c>
      <c r="C8838" t="s">
        <v>7</v>
      </c>
      <c r="D8838" t="s">
        <v>12</v>
      </c>
      <c r="E8838" t="s">
        <v>11472</v>
      </c>
    </row>
    <row r="8839" spans="1:6" x14ac:dyDescent="0.25">
      <c r="A8839" t="str">
        <f>"5024095900"</f>
        <v>5024095900</v>
      </c>
      <c r="B8839" t="s">
        <v>12144</v>
      </c>
      <c r="C8839" t="s">
        <v>7</v>
      </c>
      <c r="D8839" t="s">
        <v>33</v>
      </c>
      <c r="E8839" t="s">
        <v>11472</v>
      </c>
      <c r="F8839" t="s">
        <v>12145</v>
      </c>
    </row>
    <row r="8840" spans="1:6" x14ac:dyDescent="0.25">
      <c r="A8840" t="str">
        <f>"5024155450"</f>
        <v>5024155450</v>
      </c>
      <c r="B8840" t="s">
        <v>4131</v>
      </c>
      <c r="C8840" t="s">
        <v>7</v>
      </c>
      <c r="D8840" t="s">
        <v>33</v>
      </c>
      <c r="E8840" t="s">
        <v>11472</v>
      </c>
      <c r="F8840" t="s">
        <v>12146</v>
      </c>
    </row>
    <row r="8841" spans="1:6" x14ac:dyDescent="0.25">
      <c r="A8841" t="str">
        <f>"5024184998"</f>
        <v>5024184998</v>
      </c>
      <c r="B8841" t="s">
        <v>12147</v>
      </c>
      <c r="C8841" t="s">
        <v>7</v>
      </c>
      <c r="D8841" t="s">
        <v>674</v>
      </c>
      <c r="E8841" t="s">
        <v>11472</v>
      </c>
      <c r="F8841" t="s">
        <v>12148</v>
      </c>
    </row>
    <row r="8842" spans="1:6" x14ac:dyDescent="0.25">
      <c r="A8842" t="str">
        <f>"5024188907"</f>
        <v>5024188907</v>
      </c>
      <c r="B8842" t="s">
        <v>12149</v>
      </c>
      <c r="C8842" t="s">
        <v>7</v>
      </c>
      <c r="D8842" t="s">
        <v>14</v>
      </c>
      <c r="E8842" t="s">
        <v>11472</v>
      </c>
      <c r="F8842" t="s">
        <v>12150</v>
      </c>
    </row>
    <row r="8843" spans="1:6" x14ac:dyDescent="0.25">
      <c r="A8843" t="str">
        <f>"5024238072"</f>
        <v>5024238072</v>
      </c>
      <c r="B8843" t="s">
        <v>12151</v>
      </c>
      <c r="C8843" t="s">
        <v>7</v>
      </c>
      <c r="D8843" t="s">
        <v>674</v>
      </c>
      <c r="E8843" t="s">
        <v>11472</v>
      </c>
      <c r="F8843" t="s">
        <v>12152</v>
      </c>
    </row>
    <row r="8844" spans="1:6" x14ac:dyDescent="0.25">
      <c r="A8844" t="str">
        <f>"5024242671"</f>
        <v>5024242671</v>
      </c>
      <c r="B8844" t="s">
        <v>12153</v>
      </c>
      <c r="C8844" t="s">
        <v>7</v>
      </c>
      <c r="D8844" t="s">
        <v>674</v>
      </c>
      <c r="E8844" t="s">
        <v>11472</v>
      </c>
      <c r="F8844" t="s">
        <v>12154</v>
      </c>
    </row>
    <row r="8845" spans="1:6" x14ac:dyDescent="0.25">
      <c r="A8845" t="str">
        <f>"502504856310"</f>
        <v>502504856310</v>
      </c>
      <c r="B8845" t="s">
        <v>12155</v>
      </c>
      <c r="C8845" t="s">
        <v>7</v>
      </c>
      <c r="D8845" t="s">
        <v>14</v>
      </c>
      <c r="E8845" t="s">
        <v>11472</v>
      </c>
    </row>
    <row r="8846" spans="1:6" x14ac:dyDescent="0.25">
      <c r="A8846" t="str">
        <f>"5026011990"</f>
        <v>5026011990</v>
      </c>
      <c r="B8846" t="s">
        <v>12156</v>
      </c>
      <c r="C8846" t="s">
        <v>7</v>
      </c>
      <c r="D8846" t="s">
        <v>674</v>
      </c>
      <c r="E8846" t="s">
        <v>11472</v>
      </c>
      <c r="F8846" t="s">
        <v>12157</v>
      </c>
    </row>
    <row r="8847" spans="1:6" x14ac:dyDescent="0.25">
      <c r="A8847" t="str">
        <f>"502703145399"</f>
        <v>502703145399</v>
      </c>
      <c r="B8847" t="s">
        <v>12158</v>
      </c>
      <c r="C8847" t="s">
        <v>7</v>
      </c>
      <c r="D8847" t="s">
        <v>12</v>
      </c>
      <c r="E8847" t="s">
        <v>11472</v>
      </c>
    </row>
    <row r="8848" spans="1:6" x14ac:dyDescent="0.25">
      <c r="A8848" t="str">
        <f>"501105675493"</f>
        <v>501105675493</v>
      </c>
      <c r="B8848" t="s">
        <v>12159</v>
      </c>
      <c r="C8848" t="s">
        <v>7</v>
      </c>
      <c r="D8848" t="s">
        <v>12</v>
      </c>
      <c r="E8848" t="s">
        <v>11472</v>
      </c>
    </row>
    <row r="8849" spans="1:6" x14ac:dyDescent="0.25">
      <c r="A8849" t="str">
        <f>"501106161081"</f>
        <v>501106161081</v>
      </c>
      <c r="B8849" t="s">
        <v>12160</v>
      </c>
      <c r="C8849" t="s">
        <v>7</v>
      </c>
      <c r="D8849" t="s">
        <v>14</v>
      </c>
      <c r="E8849" t="s">
        <v>11472</v>
      </c>
    </row>
    <row r="8850" spans="1:6" x14ac:dyDescent="0.25">
      <c r="A8850" t="str">
        <f>"501106295092"</f>
        <v>501106295092</v>
      </c>
      <c r="B8850" t="s">
        <v>12161</v>
      </c>
      <c r="C8850" t="s">
        <v>7</v>
      </c>
      <c r="D8850" t="s">
        <v>14</v>
      </c>
      <c r="E8850" t="s">
        <v>11472</v>
      </c>
    </row>
    <row r="8851" spans="1:6" x14ac:dyDescent="0.25">
      <c r="A8851" t="str">
        <f>"5012069045"</f>
        <v>5012069045</v>
      </c>
      <c r="B8851" t="s">
        <v>12162</v>
      </c>
      <c r="C8851" t="s">
        <v>7</v>
      </c>
      <c r="D8851" t="s">
        <v>189</v>
      </c>
      <c r="E8851" t="s">
        <v>11472</v>
      </c>
      <c r="F8851" t="s">
        <v>12163</v>
      </c>
    </row>
    <row r="8852" spans="1:6" x14ac:dyDescent="0.25">
      <c r="A8852" t="str">
        <f>"5012079371"</f>
        <v>5012079371</v>
      </c>
      <c r="B8852" t="s">
        <v>12164</v>
      </c>
      <c r="C8852" t="s">
        <v>7</v>
      </c>
      <c r="D8852" t="s">
        <v>33</v>
      </c>
      <c r="E8852" t="s">
        <v>11472</v>
      </c>
      <c r="F8852" t="s">
        <v>12165</v>
      </c>
    </row>
    <row r="8853" spans="1:6" x14ac:dyDescent="0.25">
      <c r="A8853" t="str">
        <f>"5012097081"</f>
        <v>5012097081</v>
      </c>
      <c r="B8853" t="s">
        <v>12166</v>
      </c>
      <c r="C8853" t="s">
        <v>7</v>
      </c>
      <c r="D8853" t="s">
        <v>674</v>
      </c>
      <c r="E8853" t="s">
        <v>11472</v>
      </c>
      <c r="F8853" t="s">
        <v>12167</v>
      </c>
    </row>
    <row r="8854" spans="1:6" x14ac:dyDescent="0.25">
      <c r="A8854" t="str">
        <f>"5012105286"</f>
        <v>5012105286</v>
      </c>
      <c r="B8854" t="s">
        <v>12168</v>
      </c>
      <c r="C8854" t="s">
        <v>7</v>
      </c>
      <c r="D8854" t="s">
        <v>33</v>
      </c>
      <c r="E8854" t="s">
        <v>11472</v>
      </c>
      <c r="F8854" t="s">
        <v>12169</v>
      </c>
    </row>
    <row r="8855" spans="1:6" x14ac:dyDescent="0.25">
      <c r="A8855" t="str">
        <f>"501212144715"</f>
        <v>501212144715</v>
      </c>
      <c r="B8855" t="s">
        <v>12170</v>
      </c>
      <c r="C8855" t="s">
        <v>7</v>
      </c>
      <c r="D8855" t="s">
        <v>33</v>
      </c>
      <c r="E8855" t="s">
        <v>11472</v>
      </c>
    </row>
    <row r="8856" spans="1:6" x14ac:dyDescent="0.25">
      <c r="A8856" t="str">
        <f>"501217595246"</f>
        <v>501217595246</v>
      </c>
      <c r="B8856" t="s">
        <v>12171</v>
      </c>
      <c r="C8856" t="s">
        <v>7</v>
      </c>
      <c r="D8856" t="s">
        <v>14</v>
      </c>
      <c r="E8856" t="s">
        <v>11472</v>
      </c>
    </row>
    <row r="8857" spans="1:6" x14ac:dyDescent="0.25">
      <c r="A8857" t="str">
        <f>"501300174701"</f>
        <v>501300174701</v>
      </c>
      <c r="B8857" t="s">
        <v>12172</v>
      </c>
      <c r="C8857" t="s">
        <v>7</v>
      </c>
      <c r="D8857" t="s">
        <v>14</v>
      </c>
      <c r="E8857" t="s">
        <v>11472</v>
      </c>
    </row>
    <row r="8858" spans="1:6" x14ac:dyDescent="0.25">
      <c r="A8858" t="str">
        <f>"5013045992"</f>
        <v>5013045992</v>
      </c>
      <c r="B8858" t="s">
        <v>12173</v>
      </c>
      <c r="C8858" t="s">
        <v>7</v>
      </c>
      <c r="D8858" t="s">
        <v>8</v>
      </c>
      <c r="E8858" t="s">
        <v>11472</v>
      </c>
      <c r="F8858" t="s">
        <v>12174</v>
      </c>
    </row>
    <row r="8859" spans="1:6" x14ac:dyDescent="0.25">
      <c r="A8859" t="str">
        <f>"501500030418"</f>
        <v>501500030418</v>
      </c>
      <c r="B8859" t="s">
        <v>12175</v>
      </c>
      <c r="C8859" t="s">
        <v>7</v>
      </c>
      <c r="D8859" t="s">
        <v>14</v>
      </c>
      <c r="E8859" t="s">
        <v>11472</v>
      </c>
    </row>
    <row r="8860" spans="1:6" x14ac:dyDescent="0.25">
      <c r="A8860" t="str">
        <f>"501500120213"</f>
        <v>501500120213</v>
      </c>
      <c r="B8860" t="s">
        <v>12176</v>
      </c>
      <c r="C8860" t="s">
        <v>7</v>
      </c>
      <c r="D8860" t="s">
        <v>14</v>
      </c>
      <c r="E8860" t="s">
        <v>11472</v>
      </c>
    </row>
    <row r="8861" spans="1:6" x14ac:dyDescent="0.25">
      <c r="A8861" t="str">
        <f>"5016015428"</f>
        <v>5016015428</v>
      </c>
      <c r="B8861" t="s">
        <v>12177</v>
      </c>
      <c r="C8861" t="s">
        <v>7</v>
      </c>
      <c r="D8861" t="s">
        <v>463</v>
      </c>
      <c r="E8861" t="s">
        <v>11472</v>
      </c>
      <c r="F8861" t="s">
        <v>12178</v>
      </c>
    </row>
    <row r="8862" spans="1:6" x14ac:dyDescent="0.25">
      <c r="A8862" t="str">
        <f>"5016020499"</f>
        <v>5016020499</v>
      </c>
      <c r="B8862" t="s">
        <v>12179</v>
      </c>
      <c r="C8862" t="s">
        <v>7</v>
      </c>
      <c r="D8862" t="s">
        <v>33</v>
      </c>
      <c r="E8862" t="s">
        <v>11472</v>
      </c>
      <c r="F8862" t="s">
        <v>12180</v>
      </c>
    </row>
    <row r="8863" spans="1:6" x14ac:dyDescent="0.25">
      <c r="A8863" t="str">
        <f>"501603010935"</f>
        <v>501603010935</v>
      </c>
      <c r="B8863" t="s">
        <v>12181</v>
      </c>
      <c r="C8863" t="s">
        <v>7</v>
      </c>
      <c r="D8863" t="s">
        <v>12</v>
      </c>
      <c r="E8863" t="s">
        <v>11472</v>
      </c>
    </row>
    <row r="8864" spans="1:6" x14ac:dyDescent="0.25">
      <c r="A8864" t="str">
        <f>"501603764837"</f>
        <v>501603764837</v>
      </c>
      <c r="B8864" t="s">
        <v>12182</v>
      </c>
      <c r="C8864" t="s">
        <v>7</v>
      </c>
      <c r="D8864" t="s">
        <v>8</v>
      </c>
      <c r="E8864" t="s">
        <v>11472</v>
      </c>
    </row>
    <row r="8865" spans="1:6" x14ac:dyDescent="0.25">
      <c r="A8865" t="str">
        <f>"501700101289"</f>
        <v>501700101289</v>
      </c>
      <c r="B8865" t="s">
        <v>12183</v>
      </c>
      <c r="C8865" t="s">
        <v>7</v>
      </c>
      <c r="D8865" t="s">
        <v>14</v>
      </c>
      <c r="E8865" t="s">
        <v>11472</v>
      </c>
    </row>
    <row r="8866" spans="1:6" x14ac:dyDescent="0.25">
      <c r="A8866" t="str">
        <f>"5017007155"</f>
        <v>5017007155</v>
      </c>
      <c r="B8866" t="s">
        <v>12184</v>
      </c>
      <c r="C8866" t="s">
        <v>7</v>
      </c>
      <c r="D8866" t="s">
        <v>12</v>
      </c>
      <c r="E8866" t="s">
        <v>11472</v>
      </c>
      <c r="F8866" t="s">
        <v>12185</v>
      </c>
    </row>
    <row r="8867" spans="1:6" x14ac:dyDescent="0.25">
      <c r="A8867" t="str">
        <f>"501704847600"</f>
        <v>501704847600</v>
      </c>
      <c r="B8867" t="s">
        <v>12186</v>
      </c>
      <c r="C8867" t="s">
        <v>7</v>
      </c>
      <c r="D8867" t="s">
        <v>14</v>
      </c>
      <c r="E8867" t="s">
        <v>11472</v>
      </c>
    </row>
    <row r="8868" spans="1:6" x14ac:dyDescent="0.25">
      <c r="A8868" t="str">
        <f>"501706360427"</f>
        <v>501706360427</v>
      </c>
      <c r="B8868" t="s">
        <v>12187</v>
      </c>
      <c r="C8868" t="s">
        <v>7</v>
      </c>
      <c r="D8868" t="s">
        <v>14</v>
      </c>
      <c r="E8868" t="s">
        <v>11472</v>
      </c>
    </row>
    <row r="8869" spans="1:6" x14ac:dyDescent="0.25">
      <c r="A8869" t="str">
        <f>"5017074472"</f>
        <v>5017074472</v>
      </c>
      <c r="B8869" t="s">
        <v>12188</v>
      </c>
      <c r="C8869" t="s">
        <v>7</v>
      </c>
      <c r="D8869" t="s">
        <v>14</v>
      </c>
      <c r="E8869" t="s">
        <v>11472</v>
      </c>
      <c r="F8869" t="s">
        <v>12189</v>
      </c>
    </row>
    <row r="8870" spans="1:6" x14ac:dyDescent="0.25">
      <c r="A8870" t="str">
        <f>"501708032220"</f>
        <v>501708032220</v>
      </c>
      <c r="B8870" t="s">
        <v>12190</v>
      </c>
      <c r="C8870" t="s">
        <v>7</v>
      </c>
      <c r="D8870" t="s">
        <v>12</v>
      </c>
      <c r="E8870" t="s">
        <v>11472</v>
      </c>
    </row>
    <row r="8871" spans="1:6" x14ac:dyDescent="0.25">
      <c r="A8871" t="str">
        <f>"501708469638"</f>
        <v>501708469638</v>
      </c>
      <c r="B8871" t="s">
        <v>12191</v>
      </c>
      <c r="C8871" t="s">
        <v>7</v>
      </c>
      <c r="D8871" t="s">
        <v>12</v>
      </c>
      <c r="E8871" t="s">
        <v>11472</v>
      </c>
    </row>
    <row r="8872" spans="1:6" x14ac:dyDescent="0.25">
      <c r="A8872" t="str">
        <f>"5017085643"</f>
        <v>5017085643</v>
      </c>
      <c r="B8872" t="s">
        <v>12192</v>
      </c>
      <c r="C8872" t="s">
        <v>7</v>
      </c>
      <c r="D8872" t="s">
        <v>14</v>
      </c>
      <c r="E8872" t="s">
        <v>11472</v>
      </c>
      <c r="F8872" t="s">
        <v>12193</v>
      </c>
    </row>
    <row r="8873" spans="1:6" x14ac:dyDescent="0.25">
      <c r="A8873" t="str">
        <f>"501709831025"</f>
        <v>501709831025</v>
      </c>
      <c r="B8873" t="s">
        <v>12194</v>
      </c>
      <c r="C8873" t="s">
        <v>7</v>
      </c>
      <c r="D8873" t="s">
        <v>12</v>
      </c>
      <c r="E8873" t="s">
        <v>11472</v>
      </c>
    </row>
    <row r="8874" spans="1:6" x14ac:dyDescent="0.25">
      <c r="A8874" t="str">
        <f>"5017106558"</f>
        <v>5017106558</v>
      </c>
      <c r="B8874" t="s">
        <v>12195</v>
      </c>
      <c r="C8874" t="s">
        <v>7</v>
      </c>
      <c r="D8874" t="s">
        <v>14</v>
      </c>
      <c r="E8874" t="s">
        <v>11472</v>
      </c>
      <c r="F8874" t="s">
        <v>12196</v>
      </c>
    </row>
    <row r="8875" spans="1:6" x14ac:dyDescent="0.25">
      <c r="A8875" t="str">
        <f>"5017110280"</f>
        <v>5017110280</v>
      </c>
      <c r="B8875" t="s">
        <v>12197</v>
      </c>
      <c r="C8875" t="s">
        <v>7</v>
      </c>
      <c r="D8875" t="s">
        <v>33</v>
      </c>
      <c r="E8875" t="s">
        <v>11472</v>
      </c>
      <c r="F8875" t="s">
        <v>12198</v>
      </c>
    </row>
    <row r="8876" spans="1:6" x14ac:dyDescent="0.25">
      <c r="A8876" t="str">
        <f>"501715611740"</f>
        <v>501715611740</v>
      </c>
      <c r="B8876" t="s">
        <v>12199</v>
      </c>
      <c r="C8876" t="s">
        <v>7</v>
      </c>
      <c r="D8876" t="s">
        <v>14</v>
      </c>
      <c r="E8876" t="s">
        <v>11472</v>
      </c>
    </row>
    <row r="8877" spans="1:6" x14ac:dyDescent="0.25">
      <c r="A8877" t="str">
        <f>"501800293908"</f>
        <v>501800293908</v>
      </c>
      <c r="B8877" t="s">
        <v>12200</v>
      </c>
      <c r="C8877" t="s">
        <v>7</v>
      </c>
      <c r="D8877" t="s">
        <v>14</v>
      </c>
      <c r="E8877" t="s">
        <v>11472</v>
      </c>
    </row>
    <row r="8878" spans="1:6" x14ac:dyDescent="0.25">
      <c r="A8878" t="str">
        <f>"5018023350"</f>
        <v>5018023350</v>
      </c>
      <c r="B8878" t="s">
        <v>12201</v>
      </c>
      <c r="C8878" t="s">
        <v>7</v>
      </c>
      <c r="D8878" t="s">
        <v>14</v>
      </c>
      <c r="E8878" t="s">
        <v>11472</v>
      </c>
      <c r="F8878" t="s">
        <v>12202</v>
      </c>
    </row>
    <row r="8879" spans="1:6" x14ac:dyDescent="0.25">
      <c r="A8879" t="str">
        <f>"501809124781"</f>
        <v>501809124781</v>
      </c>
      <c r="B8879" t="s">
        <v>12203</v>
      </c>
      <c r="C8879" t="s">
        <v>7</v>
      </c>
      <c r="D8879" t="s">
        <v>14</v>
      </c>
      <c r="E8879" t="s">
        <v>11472</v>
      </c>
    </row>
    <row r="8880" spans="1:6" x14ac:dyDescent="0.25">
      <c r="A8880" t="str">
        <f>"501809372713"</f>
        <v>501809372713</v>
      </c>
      <c r="B8880" t="s">
        <v>12204</v>
      </c>
      <c r="C8880" t="s">
        <v>7</v>
      </c>
      <c r="D8880" t="s">
        <v>14</v>
      </c>
      <c r="E8880" t="s">
        <v>11472</v>
      </c>
    </row>
    <row r="8881" spans="1:6" x14ac:dyDescent="0.25">
      <c r="A8881" t="str">
        <f>"501810160720"</f>
        <v>501810160720</v>
      </c>
      <c r="B8881" t="s">
        <v>12205</v>
      </c>
      <c r="C8881" t="s">
        <v>7</v>
      </c>
      <c r="D8881" t="s">
        <v>14</v>
      </c>
      <c r="E8881" t="s">
        <v>11472</v>
      </c>
    </row>
    <row r="8882" spans="1:6" x14ac:dyDescent="0.25">
      <c r="A8882" t="str">
        <f>"501810528034"</f>
        <v>501810528034</v>
      </c>
      <c r="B8882" t="s">
        <v>12206</v>
      </c>
      <c r="C8882" t="s">
        <v>7</v>
      </c>
      <c r="D8882" t="s">
        <v>14</v>
      </c>
      <c r="E8882" t="s">
        <v>11472</v>
      </c>
    </row>
    <row r="8883" spans="1:6" x14ac:dyDescent="0.25">
      <c r="A8883" t="str">
        <f>"5018130169"</f>
        <v>5018130169</v>
      </c>
      <c r="B8883" t="s">
        <v>12207</v>
      </c>
      <c r="C8883" t="s">
        <v>7</v>
      </c>
      <c r="D8883" t="s">
        <v>14</v>
      </c>
      <c r="E8883" t="s">
        <v>11472</v>
      </c>
      <c r="F8883" t="s">
        <v>12208</v>
      </c>
    </row>
    <row r="8884" spans="1:6" x14ac:dyDescent="0.25">
      <c r="A8884" t="str">
        <f>"5018144845"</f>
        <v>5018144845</v>
      </c>
      <c r="B8884" t="s">
        <v>12209</v>
      </c>
      <c r="C8884" t="s">
        <v>7</v>
      </c>
      <c r="D8884" t="s">
        <v>12</v>
      </c>
      <c r="E8884" t="s">
        <v>11472</v>
      </c>
      <c r="F8884" t="s">
        <v>12210</v>
      </c>
    </row>
    <row r="8885" spans="1:6" x14ac:dyDescent="0.25">
      <c r="A8885" t="str">
        <f>"5018151930"</f>
        <v>5018151930</v>
      </c>
      <c r="B8885" t="s">
        <v>12211</v>
      </c>
      <c r="C8885" t="s">
        <v>7</v>
      </c>
      <c r="D8885" t="s">
        <v>12</v>
      </c>
      <c r="E8885" t="s">
        <v>11472</v>
      </c>
      <c r="F8885" t="s">
        <v>12212</v>
      </c>
    </row>
    <row r="8886" spans="1:6" x14ac:dyDescent="0.25">
      <c r="A8886" t="str">
        <f>"5018181364"</f>
        <v>5018181364</v>
      </c>
      <c r="B8886" t="s">
        <v>7124</v>
      </c>
      <c r="C8886" t="s">
        <v>7</v>
      </c>
      <c r="D8886" t="s">
        <v>33</v>
      </c>
      <c r="E8886" t="s">
        <v>11472</v>
      </c>
      <c r="F8886" t="s">
        <v>12213</v>
      </c>
    </row>
    <row r="8887" spans="1:6" x14ac:dyDescent="0.25">
      <c r="A8887" t="str">
        <f>"5018203040"</f>
        <v>5018203040</v>
      </c>
      <c r="B8887" t="s">
        <v>12214</v>
      </c>
      <c r="C8887" t="s">
        <v>7</v>
      </c>
      <c r="D8887" t="s">
        <v>12</v>
      </c>
      <c r="E8887" t="s">
        <v>11472</v>
      </c>
      <c r="F8887" t="s">
        <v>12215</v>
      </c>
    </row>
    <row r="8888" spans="1:6" x14ac:dyDescent="0.25">
      <c r="A8888" t="str">
        <f>"5018217042"</f>
        <v>5018217042</v>
      </c>
      <c r="B8888" t="s">
        <v>12216</v>
      </c>
      <c r="C8888" t="s">
        <v>7</v>
      </c>
      <c r="D8888" t="s">
        <v>33</v>
      </c>
      <c r="E8888" t="s">
        <v>11472</v>
      </c>
      <c r="F8888" t="s">
        <v>12217</v>
      </c>
    </row>
    <row r="8889" spans="1:6" x14ac:dyDescent="0.25">
      <c r="A8889" t="str">
        <f>"5019014180"</f>
        <v>5019014180</v>
      </c>
      <c r="B8889" t="s">
        <v>12218</v>
      </c>
      <c r="C8889" t="s">
        <v>7</v>
      </c>
      <c r="D8889" t="s">
        <v>12</v>
      </c>
      <c r="E8889" t="s">
        <v>11472</v>
      </c>
      <c r="F8889" t="s">
        <v>12219</v>
      </c>
    </row>
    <row r="8890" spans="1:6" x14ac:dyDescent="0.25">
      <c r="A8890" t="str">
        <f>"5019024910"</f>
        <v>5019024910</v>
      </c>
      <c r="B8890" t="s">
        <v>12220</v>
      </c>
      <c r="C8890" t="s">
        <v>7</v>
      </c>
      <c r="D8890" t="s">
        <v>14</v>
      </c>
      <c r="E8890" t="s">
        <v>11472</v>
      </c>
      <c r="F8890" t="s">
        <v>12221</v>
      </c>
    </row>
    <row r="8891" spans="1:6" x14ac:dyDescent="0.25">
      <c r="A8891" t="str">
        <f>"501906051553"</f>
        <v>501906051553</v>
      </c>
      <c r="B8891" t="s">
        <v>12222</v>
      </c>
      <c r="C8891" t="s">
        <v>7</v>
      </c>
      <c r="D8891" t="s">
        <v>14</v>
      </c>
      <c r="E8891" t="s">
        <v>11472</v>
      </c>
    </row>
    <row r="8892" spans="1:6" x14ac:dyDescent="0.25">
      <c r="A8892" t="str">
        <f>"501906810360"</f>
        <v>501906810360</v>
      </c>
      <c r="B8892" t="s">
        <v>12223</v>
      </c>
      <c r="C8892" t="s">
        <v>7</v>
      </c>
      <c r="D8892" t="s">
        <v>14</v>
      </c>
      <c r="E8892" t="s">
        <v>11472</v>
      </c>
    </row>
    <row r="8893" spans="1:6" x14ac:dyDescent="0.25">
      <c r="A8893" t="str">
        <f>"502000217473"</f>
        <v>502000217473</v>
      </c>
      <c r="B8893" t="s">
        <v>12224</v>
      </c>
      <c r="C8893" t="s">
        <v>7</v>
      </c>
      <c r="D8893" t="s">
        <v>12</v>
      </c>
      <c r="E8893" t="s">
        <v>11472</v>
      </c>
    </row>
    <row r="8894" spans="1:6" x14ac:dyDescent="0.25">
      <c r="A8894" t="str">
        <f>"5020004845"</f>
        <v>5020004845</v>
      </c>
      <c r="B8894" t="s">
        <v>12225</v>
      </c>
      <c r="C8894" t="s">
        <v>7</v>
      </c>
      <c r="D8894" t="s">
        <v>14</v>
      </c>
      <c r="E8894" t="s">
        <v>11472</v>
      </c>
      <c r="F8894" t="s">
        <v>12226</v>
      </c>
    </row>
    <row r="8895" spans="1:6" x14ac:dyDescent="0.25">
      <c r="A8895" t="str">
        <f>"502003033964"</f>
        <v>502003033964</v>
      </c>
      <c r="B8895" t="s">
        <v>12227</v>
      </c>
      <c r="C8895" t="s">
        <v>7</v>
      </c>
      <c r="D8895" t="s">
        <v>14</v>
      </c>
      <c r="E8895" t="s">
        <v>11472</v>
      </c>
    </row>
    <row r="8896" spans="1:6" x14ac:dyDescent="0.25">
      <c r="A8896" t="str">
        <f>"502005683460"</f>
        <v>502005683460</v>
      </c>
      <c r="B8896" t="s">
        <v>12228</v>
      </c>
      <c r="C8896" t="s">
        <v>7</v>
      </c>
      <c r="D8896" t="s">
        <v>14</v>
      </c>
      <c r="E8896" t="s">
        <v>11472</v>
      </c>
    </row>
    <row r="8897" spans="1:6" x14ac:dyDescent="0.25">
      <c r="A8897" t="str">
        <f>"502100035928"</f>
        <v>502100035928</v>
      </c>
      <c r="B8897" t="s">
        <v>12229</v>
      </c>
      <c r="C8897" t="s">
        <v>7</v>
      </c>
      <c r="D8897" t="s">
        <v>14</v>
      </c>
      <c r="E8897" t="s">
        <v>11472</v>
      </c>
    </row>
    <row r="8898" spans="1:6" x14ac:dyDescent="0.25">
      <c r="A8898" t="str">
        <f>"5021012334"</f>
        <v>5021012334</v>
      </c>
      <c r="B8898" t="s">
        <v>12230</v>
      </c>
      <c r="C8898" t="s">
        <v>7</v>
      </c>
      <c r="D8898" t="s">
        <v>14</v>
      </c>
      <c r="E8898" t="s">
        <v>11472</v>
      </c>
      <c r="F8898" t="s">
        <v>12231</v>
      </c>
    </row>
    <row r="8899" spans="1:6" x14ac:dyDescent="0.25">
      <c r="A8899" t="str">
        <f>"502102768575"</f>
        <v>502102768575</v>
      </c>
      <c r="B8899" t="s">
        <v>12232</v>
      </c>
      <c r="C8899" t="s">
        <v>7</v>
      </c>
      <c r="D8899" t="s">
        <v>14</v>
      </c>
      <c r="E8899" t="s">
        <v>11472</v>
      </c>
    </row>
    <row r="8900" spans="1:6" x14ac:dyDescent="0.25">
      <c r="A8900" t="str">
        <f>"502205984514"</f>
        <v>502205984514</v>
      </c>
      <c r="B8900" t="s">
        <v>12233</v>
      </c>
      <c r="C8900" t="s">
        <v>7</v>
      </c>
      <c r="D8900" t="s">
        <v>12</v>
      </c>
      <c r="E8900" t="s">
        <v>11472</v>
      </c>
    </row>
    <row r="8901" spans="1:6" x14ac:dyDescent="0.25">
      <c r="A8901" t="str">
        <f>"5022061782"</f>
        <v>5022061782</v>
      </c>
      <c r="B8901" t="s">
        <v>12234</v>
      </c>
      <c r="C8901" t="s">
        <v>7</v>
      </c>
      <c r="D8901" t="s">
        <v>33</v>
      </c>
      <c r="E8901" t="s">
        <v>11472</v>
      </c>
      <c r="F8901" t="s">
        <v>12235</v>
      </c>
    </row>
    <row r="8902" spans="1:6" x14ac:dyDescent="0.25">
      <c r="A8902" t="str">
        <f>"502209327238"</f>
        <v>502209327238</v>
      </c>
      <c r="B8902" t="s">
        <v>12236</v>
      </c>
      <c r="C8902" t="s">
        <v>7</v>
      </c>
      <c r="D8902" t="s">
        <v>14</v>
      </c>
      <c r="E8902" t="s">
        <v>11472</v>
      </c>
    </row>
    <row r="8903" spans="1:6" x14ac:dyDescent="0.25">
      <c r="A8903" t="str">
        <f>"502209683109"</f>
        <v>502209683109</v>
      </c>
      <c r="B8903" t="s">
        <v>12237</v>
      </c>
      <c r="C8903" t="s">
        <v>7</v>
      </c>
      <c r="D8903" t="s">
        <v>14</v>
      </c>
      <c r="E8903" t="s">
        <v>11472</v>
      </c>
    </row>
    <row r="8904" spans="1:6" x14ac:dyDescent="0.25">
      <c r="A8904" t="str">
        <f>"502210315452"</f>
        <v>502210315452</v>
      </c>
      <c r="B8904" t="s">
        <v>12238</v>
      </c>
      <c r="C8904" t="s">
        <v>7</v>
      </c>
      <c r="D8904" t="s">
        <v>12</v>
      </c>
      <c r="E8904" t="s">
        <v>11472</v>
      </c>
    </row>
    <row r="8905" spans="1:6" x14ac:dyDescent="0.25">
      <c r="A8905" t="str">
        <f>"502210695317"</f>
        <v>502210695317</v>
      </c>
      <c r="B8905" t="s">
        <v>12239</v>
      </c>
      <c r="C8905" t="s">
        <v>7</v>
      </c>
      <c r="D8905" t="s">
        <v>14</v>
      </c>
      <c r="E8905" t="s">
        <v>11472</v>
      </c>
    </row>
    <row r="8906" spans="1:6" x14ac:dyDescent="0.25">
      <c r="A8906" t="str">
        <f>"502211047478"</f>
        <v>502211047478</v>
      </c>
      <c r="B8906" t="s">
        <v>12240</v>
      </c>
      <c r="C8906" t="s">
        <v>7</v>
      </c>
      <c r="D8906" t="s">
        <v>14</v>
      </c>
      <c r="E8906" t="s">
        <v>11472</v>
      </c>
    </row>
    <row r="8907" spans="1:6" x14ac:dyDescent="0.25">
      <c r="A8907" t="str">
        <f>"502214434757"</f>
        <v>502214434757</v>
      </c>
      <c r="B8907" t="s">
        <v>12241</v>
      </c>
      <c r="C8907" t="s">
        <v>7</v>
      </c>
      <c r="D8907" t="s">
        <v>14</v>
      </c>
      <c r="E8907" t="s">
        <v>11472</v>
      </c>
    </row>
    <row r="8908" spans="1:6" x14ac:dyDescent="0.25">
      <c r="A8908" t="str">
        <f>"5024033678"</f>
        <v>5024033678</v>
      </c>
      <c r="B8908" t="s">
        <v>12242</v>
      </c>
      <c r="C8908" t="s">
        <v>7</v>
      </c>
      <c r="D8908" t="s">
        <v>14</v>
      </c>
      <c r="E8908" t="s">
        <v>11472</v>
      </c>
      <c r="F8908" t="s">
        <v>12243</v>
      </c>
    </row>
    <row r="8909" spans="1:6" x14ac:dyDescent="0.25">
      <c r="A8909" t="str">
        <f>"5024078982"</f>
        <v>5024078982</v>
      </c>
      <c r="B8909" t="s">
        <v>12244</v>
      </c>
      <c r="C8909" t="s">
        <v>7</v>
      </c>
      <c r="D8909" t="s">
        <v>14</v>
      </c>
      <c r="E8909" t="s">
        <v>11472</v>
      </c>
      <c r="F8909" t="s">
        <v>12245</v>
      </c>
    </row>
    <row r="8910" spans="1:6" x14ac:dyDescent="0.25">
      <c r="A8910" t="str">
        <f>"5024079351"</f>
        <v>5024079351</v>
      </c>
      <c r="B8910" t="s">
        <v>12246</v>
      </c>
      <c r="C8910" t="s">
        <v>7</v>
      </c>
      <c r="D8910" t="s">
        <v>12</v>
      </c>
      <c r="E8910" t="s">
        <v>11472</v>
      </c>
      <c r="F8910" t="s">
        <v>12247</v>
      </c>
    </row>
    <row r="8911" spans="1:6" x14ac:dyDescent="0.25">
      <c r="A8911" t="str">
        <f>"5024084190"</f>
        <v>5024084190</v>
      </c>
      <c r="B8911" t="s">
        <v>12248</v>
      </c>
      <c r="C8911" t="s">
        <v>7</v>
      </c>
      <c r="D8911" t="s">
        <v>12</v>
      </c>
      <c r="E8911" t="s">
        <v>11472</v>
      </c>
      <c r="F8911" t="s">
        <v>12249</v>
      </c>
    </row>
    <row r="8912" spans="1:6" x14ac:dyDescent="0.25">
      <c r="A8912" t="str">
        <f>"5024089078"</f>
        <v>5024089078</v>
      </c>
      <c r="B8912" t="s">
        <v>12250</v>
      </c>
      <c r="C8912" t="s">
        <v>7</v>
      </c>
      <c r="D8912" t="s">
        <v>12</v>
      </c>
      <c r="E8912" t="s">
        <v>11472</v>
      </c>
      <c r="F8912" t="s">
        <v>12251</v>
      </c>
    </row>
    <row r="8913" spans="1:6" x14ac:dyDescent="0.25">
      <c r="A8913" t="str">
        <f>"502410355484"</f>
        <v>502410355484</v>
      </c>
      <c r="B8913" t="s">
        <v>12252</v>
      </c>
      <c r="C8913" t="s">
        <v>7</v>
      </c>
      <c r="D8913" t="s">
        <v>14</v>
      </c>
      <c r="E8913" t="s">
        <v>11472</v>
      </c>
    </row>
    <row r="8914" spans="1:6" x14ac:dyDescent="0.25">
      <c r="A8914" t="str">
        <f>"502410383308"</f>
        <v>502410383308</v>
      </c>
      <c r="B8914" t="s">
        <v>12253</v>
      </c>
      <c r="C8914" t="s">
        <v>7</v>
      </c>
      <c r="D8914" t="s">
        <v>14</v>
      </c>
      <c r="E8914" t="s">
        <v>11472</v>
      </c>
    </row>
    <row r="8915" spans="1:6" x14ac:dyDescent="0.25">
      <c r="A8915" t="str">
        <f>"502410592421"</f>
        <v>502410592421</v>
      </c>
      <c r="B8915" t="s">
        <v>12254</v>
      </c>
      <c r="C8915" t="s">
        <v>7</v>
      </c>
      <c r="D8915" t="s">
        <v>460</v>
      </c>
      <c r="E8915" t="s">
        <v>11472</v>
      </c>
    </row>
    <row r="8916" spans="1:6" x14ac:dyDescent="0.25">
      <c r="A8916" t="str">
        <f>"502410647575"</f>
        <v>502410647575</v>
      </c>
      <c r="B8916" t="s">
        <v>12255</v>
      </c>
      <c r="C8916" t="s">
        <v>7</v>
      </c>
      <c r="D8916" t="s">
        <v>14</v>
      </c>
      <c r="E8916" t="s">
        <v>11472</v>
      </c>
    </row>
    <row r="8917" spans="1:6" x14ac:dyDescent="0.25">
      <c r="A8917" t="str">
        <f>"502411433103"</f>
        <v>502411433103</v>
      </c>
      <c r="B8917" t="s">
        <v>12256</v>
      </c>
      <c r="C8917" t="s">
        <v>7</v>
      </c>
      <c r="D8917" t="s">
        <v>6745</v>
      </c>
      <c r="E8917" t="s">
        <v>11472</v>
      </c>
    </row>
    <row r="8918" spans="1:6" x14ac:dyDescent="0.25">
      <c r="A8918" t="str">
        <f>"5024141218"</f>
        <v>5024141218</v>
      </c>
      <c r="B8918" t="s">
        <v>12257</v>
      </c>
      <c r="C8918" t="s">
        <v>7</v>
      </c>
      <c r="D8918" t="s">
        <v>12</v>
      </c>
      <c r="E8918" t="s">
        <v>11472</v>
      </c>
      <c r="F8918" t="s">
        <v>12258</v>
      </c>
    </row>
    <row r="8919" spans="1:6" x14ac:dyDescent="0.25">
      <c r="A8919" t="str">
        <f>"5024142941"</f>
        <v>5024142941</v>
      </c>
      <c r="B8919" t="s">
        <v>12259</v>
      </c>
      <c r="C8919" t="s">
        <v>7</v>
      </c>
      <c r="D8919" t="s">
        <v>33</v>
      </c>
      <c r="E8919" t="s">
        <v>11472</v>
      </c>
      <c r="F8919" t="s">
        <v>12260</v>
      </c>
    </row>
    <row r="8920" spans="1:6" x14ac:dyDescent="0.25">
      <c r="A8920" t="str">
        <f>"5024143381"</f>
        <v>5024143381</v>
      </c>
      <c r="B8920" t="s">
        <v>12261</v>
      </c>
      <c r="C8920" t="s">
        <v>7</v>
      </c>
      <c r="D8920" t="s">
        <v>33</v>
      </c>
      <c r="E8920" t="s">
        <v>11472</v>
      </c>
      <c r="F8920" t="s">
        <v>12262</v>
      </c>
    </row>
    <row r="8921" spans="1:6" x14ac:dyDescent="0.25">
      <c r="A8921" t="str">
        <f>"5024176690"</f>
        <v>5024176690</v>
      </c>
      <c r="B8921" t="s">
        <v>12263</v>
      </c>
      <c r="C8921" t="s">
        <v>7</v>
      </c>
      <c r="D8921" t="s">
        <v>12</v>
      </c>
      <c r="E8921" t="s">
        <v>11472</v>
      </c>
      <c r="F8921" t="s">
        <v>12264</v>
      </c>
    </row>
    <row r="8922" spans="1:6" x14ac:dyDescent="0.25">
      <c r="A8922" t="str">
        <f>"5024178828"</f>
        <v>5024178828</v>
      </c>
      <c r="B8922" t="s">
        <v>12265</v>
      </c>
      <c r="C8922" t="s">
        <v>7</v>
      </c>
      <c r="D8922" t="s">
        <v>189</v>
      </c>
      <c r="E8922" t="s">
        <v>11472</v>
      </c>
      <c r="F8922" t="s">
        <v>12266</v>
      </c>
    </row>
    <row r="8923" spans="1:6" x14ac:dyDescent="0.25">
      <c r="A8923" t="str">
        <f>"5024189058"</f>
        <v>5024189058</v>
      </c>
      <c r="B8923" t="s">
        <v>12267</v>
      </c>
      <c r="C8923" t="s">
        <v>7</v>
      </c>
      <c r="D8923" t="s">
        <v>12</v>
      </c>
      <c r="E8923" t="s">
        <v>11472</v>
      </c>
      <c r="F8923" t="s">
        <v>12268</v>
      </c>
    </row>
    <row r="8924" spans="1:6" x14ac:dyDescent="0.25">
      <c r="A8924" t="str">
        <f>"5024239301"</f>
        <v>5024239301</v>
      </c>
      <c r="B8924" t="s">
        <v>12269</v>
      </c>
      <c r="C8924" t="s">
        <v>7</v>
      </c>
      <c r="D8924" t="s">
        <v>33</v>
      </c>
      <c r="E8924" t="s">
        <v>11472</v>
      </c>
      <c r="F8924" t="s">
        <v>12270</v>
      </c>
    </row>
    <row r="8925" spans="1:6" x14ac:dyDescent="0.25">
      <c r="A8925" t="str">
        <f>"5024245552"</f>
        <v>5024245552</v>
      </c>
      <c r="B8925" t="s">
        <v>12271</v>
      </c>
      <c r="C8925" t="s">
        <v>7</v>
      </c>
      <c r="D8925" t="s">
        <v>460</v>
      </c>
      <c r="E8925" t="s">
        <v>11472</v>
      </c>
      <c r="F8925" t="s">
        <v>12062</v>
      </c>
    </row>
    <row r="8926" spans="1:6" x14ac:dyDescent="0.25">
      <c r="A8926" t="str">
        <f>"5025025750"</f>
        <v>5025025750</v>
      </c>
      <c r="B8926" t="s">
        <v>12272</v>
      </c>
      <c r="C8926" t="s">
        <v>7</v>
      </c>
      <c r="D8926" t="s">
        <v>12</v>
      </c>
      <c r="E8926" t="s">
        <v>11472</v>
      </c>
      <c r="F8926" t="s">
        <v>12273</v>
      </c>
    </row>
    <row r="8927" spans="1:6" x14ac:dyDescent="0.25">
      <c r="A8927" t="str">
        <f>"502502674963"</f>
        <v>502502674963</v>
      </c>
      <c r="B8927" t="s">
        <v>12274</v>
      </c>
      <c r="C8927" t="s">
        <v>7</v>
      </c>
      <c r="D8927" t="s">
        <v>14</v>
      </c>
      <c r="E8927" t="s">
        <v>11472</v>
      </c>
    </row>
    <row r="8928" spans="1:6" x14ac:dyDescent="0.25">
      <c r="A8928" t="str">
        <f>"5025033254"</f>
        <v>5025033254</v>
      </c>
      <c r="B8928" t="s">
        <v>12275</v>
      </c>
      <c r="C8928" t="s">
        <v>7</v>
      </c>
      <c r="D8928" t="s">
        <v>463</v>
      </c>
      <c r="E8928" t="s">
        <v>11472</v>
      </c>
      <c r="F8928" t="s">
        <v>12276</v>
      </c>
    </row>
    <row r="8929" spans="1:6" x14ac:dyDescent="0.25">
      <c r="A8929" t="str">
        <f>"502602628103"</f>
        <v>502602628103</v>
      </c>
      <c r="B8929" t="s">
        <v>12277</v>
      </c>
      <c r="C8929" t="s">
        <v>7</v>
      </c>
      <c r="D8929" t="s">
        <v>14</v>
      </c>
      <c r="E8929" t="s">
        <v>11472</v>
      </c>
    </row>
    <row r="8930" spans="1:6" x14ac:dyDescent="0.25">
      <c r="A8930" t="str">
        <f>"502711352430"</f>
        <v>502711352430</v>
      </c>
      <c r="B8930" t="s">
        <v>12278</v>
      </c>
      <c r="C8930" t="s">
        <v>7</v>
      </c>
      <c r="D8930" t="s">
        <v>12</v>
      </c>
      <c r="E8930" t="s">
        <v>11472</v>
      </c>
    </row>
    <row r="8931" spans="1:6" x14ac:dyDescent="0.25">
      <c r="A8931" t="str">
        <f>"5751054390"</f>
        <v>5751054390</v>
      </c>
      <c r="B8931" t="s">
        <v>12279</v>
      </c>
      <c r="C8931" t="s">
        <v>7</v>
      </c>
      <c r="D8931" t="s">
        <v>146</v>
      </c>
      <c r="E8931" t="s">
        <v>11472</v>
      </c>
      <c r="F8931" t="s">
        <v>12280</v>
      </c>
    </row>
    <row r="8932" spans="1:6" x14ac:dyDescent="0.25">
      <c r="A8932" t="str">
        <f>"130905069473"</f>
        <v>130905069473</v>
      </c>
      <c r="B8932" t="s">
        <v>12281</v>
      </c>
      <c r="C8932" t="s">
        <v>7</v>
      </c>
      <c r="D8932" t="s">
        <v>8</v>
      </c>
      <c r="E8932" t="s">
        <v>11472</v>
      </c>
    </row>
    <row r="8933" spans="1:6" x14ac:dyDescent="0.25">
      <c r="A8933" t="str">
        <f>"132303154943"</f>
        <v>132303154943</v>
      </c>
      <c r="B8933" t="s">
        <v>12282</v>
      </c>
      <c r="C8933" t="s">
        <v>7</v>
      </c>
      <c r="D8933" t="s">
        <v>33</v>
      </c>
      <c r="E8933" t="s">
        <v>11472</v>
      </c>
    </row>
    <row r="8934" spans="1:6" x14ac:dyDescent="0.25">
      <c r="A8934" t="str">
        <f>"583704802843"</f>
        <v>583704802843</v>
      </c>
      <c r="B8934" t="s">
        <v>12283</v>
      </c>
      <c r="C8934" t="s">
        <v>7</v>
      </c>
      <c r="D8934" t="s">
        <v>14</v>
      </c>
      <c r="E8934" t="s">
        <v>11472</v>
      </c>
    </row>
    <row r="8935" spans="1:6" x14ac:dyDescent="0.25">
      <c r="A8935" t="str">
        <f>"290138846060"</f>
        <v>290138846060</v>
      </c>
      <c r="B8935" t="s">
        <v>12284</v>
      </c>
      <c r="C8935" t="s">
        <v>7</v>
      </c>
      <c r="D8935" t="s">
        <v>14</v>
      </c>
      <c r="E8935" t="s">
        <v>11472</v>
      </c>
    </row>
    <row r="8936" spans="1:6" x14ac:dyDescent="0.25">
      <c r="A8936" t="str">
        <f>"7604084976"</f>
        <v>7604084976</v>
      </c>
      <c r="B8936" t="s">
        <v>12285</v>
      </c>
      <c r="C8936" t="s">
        <v>7</v>
      </c>
      <c r="D8936" t="s">
        <v>14</v>
      </c>
      <c r="E8936" t="s">
        <v>11472</v>
      </c>
      <c r="F8936" t="s">
        <v>12286</v>
      </c>
    </row>
    <row r="8937" spans="1:6" x14ac:dyDescent="0.25">
      <c r="A8937" t="str">
        <f>"502719335638"</f>
        <v>502719335638</v>
      </c>
      <c r="B8937" t="s">
        <v>12287</v>
      </c>
      <c r="C8937" t="s">
        <v>7</v>
      </c>
      <c r="D8937" t="s">
        <v>14</v>
      </c>
      <c r="E8937" t="s">
        <v>11472</v>
      </c>
    </row>
    <row r="8938" spans="1:6" x14ac:dyDescent="0.25">
      <c r="A8938" t="str">
        <f>"5027225868"</f>
        <v>5027225868</v>
      </c>
      <c r="B8938" t="s">
        <v>12288</v>
      </c>
      <c r="C8938" t="s">
        <v>7</v>
      </c>
      <c r="D8938" t="s">
        <v>98</v>
      </c>
      <c r="E8938" t="s">
        <v>11472</v>
      </c>
      <c r="F8938" t="s">
        <v>12289</v>
      </c>
    </row>
    <row r="8939" spans="1:6" x14ac:dyDescent="0.25">
      <c r="A8939" t="str">
        <f>"5027248713"</f>
        <v>5027248713</v>
      </c>
      <c r="B8939" t="s">
        <v>1386</v>
      </c>
      <c r="C8939" t="s">
        <v>7</v>
      </c>
      <c r="D8939" t="s">
        <v>14</v>
      </c>
      <c r="E8939" t="s">
        <v>11472</v>
      </c>
      <c r="F8939" t="s">
        <v>12290</v>
      </c>
    </row>
    <row r="8940" spans="1:6" x14ac:dyDescent="0.25">
      <c r="A8940" t="str">
        <f>"5027263542"</f>
        <v>5027263542</v>
      </c>
      <c r="B8940" t="s">
        <v>12291</v>
      </c>
      <c r="C8940" t="s">
        <v>7</v>
      </c>
      <c r="D8940" t="s">
        <v>12</v>
      </c>
      <c r="E8940" t="s">
        <v>11472</v>
      </c>
      <c r="F8940" t="s">
        <v>12292</v>
      </c>
    </row>
    <row r="8941" spans="1:6" x14ac:dyDescent="0.25">
      <c r="A8941" t="str">
        <f>"5027320840"</f>
        <v>5027320840</v>
      </c>
      <c r="B8941" t="s">
        <v>12293</v>
      </c>
      <c r="C8941" t="s">
        <v>7</v>
      </c>
      <c r="D8941" t="s">
        <v>98</v>
      </c>
      <c r="E8941" t="s">
        <v>11472</v>
      </c>
      <c r="F8941" t="s">
        <v>12294</v>
      </c>
    </row>
    <row r="8942" spans="1:6" x14ac:dyDescent="0.25">
      <c r="A8942" t="str">
        <f>"5027329144"</f>
        <v>5027329144</v>
      </c>
      <c r="B8942" t="s">
        <v>12295</v>
      </c>
      <c r="C8942" t="s">
        <v>7</v>
      </c>
      <c r="D8942" t="s">
        <v>14</v>
      </c>
      <c r="E8942" t="s">
        <v>11472</v>
      </c>
      <c r="F8942" t="s">
        <v>12296</v>
      </c>
    </row>
    <row r="8943" spans="1:6" x14ac:dyDescent="0.25">
      <c r="A8943" t="str">
        <f>"5029060347"</f>
        <v>5029060347</v>
      </c>
      <c r="B8943" t="s">
        <v>12297</v>
      </c>
      <c r="C8943" t="s">
        <v>7</v>
      </c>
      <c r="D8943" t="s">
        <v>98</v>
      </c>
      <c r="E8943" t="s">
        <v>11472</v>
      </c>
      <c r="F8943" t="s">
        <v>12298</v>
      </c>
    </row>
    <row r="8944" spans="1:6" x14ac:dyDescent="0.25">
      <c r="A8944" t="str">
        <f>"5029091345"</f>
        <v>5029091345</v>
      </c>
      <c r="B8944" t="s">
        <v>12299</v>
      </c>
      <c r="C8944" t="s">
        <v>7</v>
      </c>
      <c r="D8944" t="s">
        <v>33</v>
      </c>
      <c r="E8944" t="s">
        <v>11472</v>
      </c>
      <c r="F8944" t="s">
        <v>12300</v>
      </c>
    </row>
    <row r="8945" spans="1:6" x14ac:dyDescent="0.25">
      <c r="A8945" t="str">
        <f>"502909445607"</f>
        <v>502909445607</v>
      </c>
      <c r="B8945" t="s">
        <v>12301</v>
      </c>
      <c r="C8945" t="s">
        <v>7</v>
      </c>
      <c r="D8945" t="s">
        <v>12</v>
      </c>
      <c r="E8945" t="s">
        <v>11472</v>
      </c>
    </row>
    <row r="8946" spans="1:6" x14ac:dyDescent="0.25">
      <c r="A8946" t="str">
        <f>"5029101201"</f>
        <v>5029101201</v>
      </c>
      <c r="B8946" t="s">
        <v>12302</v>
      </c>
      <c r="C8946" t="s">
        <v>7</v>
      </c>
      <c r="D8946" t="s">
        <v>33</v>
      </c>
      <c r="E8946" t="s">
        <v>11472</v>
      </c>
      <c r="F8946" t="s">
        <v>12303</v>
      </c>
    </row>
    <row r="8947" spans="1:6" x14ac:dyDescent="0.25">
      <c r="A8947" t="str">
        <f>"5029169023"</f>
        <v>5029169023</v>
      </c>
      <c r="B8947" t="s">
        <v>12304</v>
      </c>
      <c r="C8947" t="s">
        <v>7</v>
      </c>
      <c r="D8947" t="s">
        <v>14</v>
      </c>
      <c r="E8947" t="s">
        <v>11472</v>
      </c>
      <c r="F8947" t="s">
        <v>12305</v>
      </c>
    </row>
    <row r="8948" spans="1:6" x14ac:dyDescent="0.25">
      <c r="A8948" t="str">
        <f>"5029190787"</f>
        <v>5029190787</v>
      </c>
      <c r="B8948" t="s">
        <v>12306</v>
      </c>
      <c r="C8948" t="s">
        <v>7</v>
      </c>
      <c r="D8948" t="s">
        <v>14</v>
      </c>
      <c r="E8948" t="s">
        <v>11472</v>
      </c>
      <c r="F8948" t="s">
        <v>12307</v>
      </c>
    </row>
    <row r="8949" spans="1:6" x14ac:dyDescent="0.25">
      <c r="A8949" t="str">
        <f>"5029199740"</f>
        <v>5029199740</v>
      </c>
      <c r="B8949" t="s">
        <v>12308</v>
      </c>
      <c r="C8949" t="s">
        <v>7</v>
      </c>
      <c r="D8949" t="s">
        <v>33</v>
      </c>
      <c r="E8949" t="s">
        <v>11472</v>
      </c>
      <c r="F8949" t="s">
        <v>12309</v>
      </c>
    </row>
    <row r="8950" spans="1:6" x14ac:dyDescent="0.25">
      <c r="A8950" t="str">
        <f>"5029218256"</f>
        <v>5029218256</v>
      </c>
      <c r="B8950" t="s">
        <v>12310</v>
      </c>
      <c r="C8950" t="s">
        <v>7</v>
      </c>
      <c r="D8950" t="s">
        <v>12</v>
      </c>
      <c r="E8950" t="s">
        <v>11472</v>
      </c>
      <c r="F8950" t="s">
        <v>12311</v>
      </c>
    </row>
    <row r="8951" spans="1:6" x14ac:dyDescent="0.25">
      <c r="A8951" t="str">
        <f>"5029223986"</f>
        <v>5029223986</v>
      </c>
      <c r="B8951" t="s">
        <v>12312</v>
      </c>
      <c r="C8951" t="s">
        <v>7</v>
      </c>
      <c r="D8951" t="s">
        <v>33</v>
      </c>
      <c r="E8951" t="s">
        <v>11472</v>
      </c>
      <c r="F8951" t="s">
        <v>12313</v>
      </c>
    </row>
    <row r="8952" spans="1:6" x14ac:dyDescent="0.25">
      <c r="A8952" t="str">
        <f>"5029259936"</f>
        <v>5029259936</v>
      </c>
      <c r="B8952" t="s">
        <v>12314</v>
      </c>
      <c r="C8952" t="s">
        <v>7</v>
      </c>
      <c r="D8952" t="s">
        <v>33</v>
      </c>
      <c r="E8952" t="s">
        <v>11472</v>
      </c>
      <c r="F8952" t="s">
        <v>12315</v>
      </c>
    </row>
    <row r="8953" spans="1:6" x14ac:dyDescent="0.25">
      <c r="A8953" t="str">
        <f>"5029260272"</f>
        <v>5029260272</v>
      </c>
      <c r="B8953" t="s">
        <v>12316</v>
      </c>
      <c r="C8953" t="s">
        <v>7</v>
      </c>
      <c r="D8953" t="s">
        <v>33</v>
      </c>
      <c r="E8953" t="s">
        <v>11472</v>
      </c>
      <c r="F8953" t="s">
        <v>12317</v>
      </c>
    </row>
    <row r="8954" spans="1:6" x14ac:dyDescent="0.25">
      <c r="A8954" t="str">
        <f>"5029267246"</f>
        <v>5029267246</v>
      </c>
      <c r="B8954" t="s">
        <v>12318</v>
      </c>
      <c r="C8954" t="s">
        <v>7</v>
      </c>
      <c r="D8954" t="s">
        <v>674</v>
      </c>
      <c r="E8954" t="s">
        <v>11472</v>
      </c>
      <c r="F8954" t="s">
        <v>12319</v>
      </c>
    </row>
    <row r="8955" spans="1:6" x14ac:dyDescent="0.25">
      <c r="A8955" t="str">
        <f>"5029276787"</f>
        <v>5029276787</v>
      </c>
      <c r="B8955" t="s">
        <v>12320</v>
      </c>
      <c r="C8955" t="s">
        <v>7</v>
      </c>
      <c r="D8955" t="s">
        <v>14</v>
      </c>
      <c r="E8955" t="s">
        <v>11472</v>
      </c>
      <c r="F8955" t="s">
        <v>12321</v>
      </c>
    </row>
    <row r="8956" spans="1:6" x14ac:dyDescent="0.25">
      <c r="A8956" t="str">
        <f>"5029288912"</f>
        <v>5029288912</v>
      </c>
      <c r="B8956" t="s">
        <v>12322</v>
      </c>
      <c r="C8956" t="s">
        <v>7</v>
      </c>
      <c r="D8956" t="s">
        <v>33</v>
      </c>
      <c r="E8956" t="s">
        <v>11472</v>
      </c>
      <c r="F8956" t="s">
        <v>12323</v>
      </c>
    </row>
    <row r="8957" spans="1:6" x14ac:dyDescent="0.25">
      <c r="A8957" t="str">
        <f>"5029294218"</f>
        <v>5029294218</v>
      </c>
      <c r="B8957" t="s">
        <v>12324</v>
      </c>
      <c r="C8957" t="s">
        <v>7</v>
      </c>
      <c r="D8957" t="s">
        <v>460</v>
      </c>
      <c r="E8957" t="s">
        <v>11472</v>
      </c>
      <c r="F8957" t="s">
        <v>12325</v>
      </c>
    </row>
    <row r="8958" spans="1:6" x14ac:dyDescent="0.25">
      <c r="A8958" t="str">
        <f>"503000259852"</f>
        <v>503000259852</v>
      </c>
      <c r="B8958" t="s">
        <v>12326</v>
      </c>
      <c r="C8958" t="s">
        <v>7</v>
      </c>
      <c r="D8958" t="s">
        <v>14</v>
      </c>
      <c r="E8958" t="s">
        <v>11472</v>
      </c>
    </row>
    <row r="8959" spans="1:6" x14ac:dyDescent="0.25">
      <c r="A8959" t="str">
        <f>"5030091396"</f>
        <v>5030091396</v>
      </c>
      <c r="B8959" t="s">
        <v>12327</v>
      </c>
      <c r="C8959" t="s">
        <v>7</v>
      </c>
      <c r="D8959" t="s">
        <v>12</v>
      </c>
      <c r="E8959" t="s">
        <v>11472</v>
      </c>
      <c r="F8959" t="s">
        <v>12328</v>
      </c>
    </row>
    <row r="8960" spans="1:6" x14ac:dyDescent="0.25">
      <c r="A8960" t="str">
        <f>"503012392104"</f>
        <v>503012392104</v>
      </c>
      <c r="B8960" t="s">
        <v>12329</v>
      </c>
      <c r="C8960" t="s">
        <v>7</v>
      </c>
      <c r="D8960" t="s">
        <v>14</v>
      </c>
      <c r="E8960" t="s">
        <v>11472</v>
      </c>
    </row>
    <row r="8961" spans="1:6" x14ac:dyDescent="0.25">
      <c r="A8961" t="str">
        <f>"503021299334"</f>
        <v>503021299334</v>
      </c>
      <c r="B8961" t="s">
        <v>12330</v>
      </c>
      <c r="C8961" t="s">
        <v>7</v>
      </c>
      <c r="D8961" t="s">
        <v>14</v>
      </c>
      <c r="E8961" t="s">
        <v>11472</v>
      </c>
    </row>
    <row r="8962" spans="1:6" x14ac:dyDescent="0.25">
      <c r="A8962" t="str">
        <f>"503022712709"</f>
        <v>503022712709</v>
      </c>
      <c r="B8962" t="s">
        <v>12331</v>
      </c>
      <c r="C8962" t="s">
        <v>7</v>
      </c>
      <c r="D8962" t="s">
        <v>14</v>
      </c>
      <c r="E8962" t="s">
        <v>11472</v>
      </c>
    </row>
    <row r="8963" spans="1:6" x14ac:dyDescent="0.25">
      <c r="A8963" t="str">
        <f>"5031040370"</f>
        <v>5031040370</v>
      </c>
      <c r="B8963" t="s">
        <v>12332</v>
      </c>
      <c r="C8963" t="s">
        <v>7</v>
      </c>
      <c r="D8963" t="s">
        <v>12</v>
      </c>
      <c r="E8963" t="s">
        <v>11472</v>
      </c>
      <c r="F8963" t="s">
        <v>12333</v>
      </c>
    </row>
    <row r="8964" spans="1:6" x14ac:dyDescent="0.25">
      <c r="A8964" t="str">
        <f>"5031093043"</f>
        <v>5031093043</v>
      </c>
      <c r="B8964" t="s">
        <v>12334</v>
      </c>
      <c r="C8964" t="s">
        <v>7</v>
      </c>
      <c r="D8964" t="s">
        <v>674</v>
      </c>
      <c r="E8964" t="s">
        <v>11472</v>
      </c>
      <c r="F8964" t="s">
        <v>12335</v>
      </c>
    </row>
    <row r="8965" spans="1:6" x14ac:dyDescent="0.25">
      <c r="A8965" t="str">
        <f>"5031105700"</f>
        <v>5031105700</v>
      </c>
      <c r="B8965" t="s">
        <v>12336</v>
      </c>
      <c r="C8965" t="s">
        <v>7</v>
      </c>
      <c r="D8965" t="s">
        <v>33</v>
      </c>
      <c r="E8965" t="s">
        <v>11472</v>
      </c>
      <c r="F8965" t="s">
        <v>12337</v>
      </c>
    </row>
    <row r="8966" spans="1:6" x14ac:dyDescent="0.25">
      <c r="A8966" t="str">
        <f>"503110664797"</f>
        <v>503110664797</v>
      </c>
      <c r="B8966" t="s">
        <v>12338</v>
      </c>
      <c r="C8966" t="s">
        <v>7</v>
      </c>
      <c r="D8966" t="s">
        <v>14</v>
      </c>
      <c r="E8966" t="s">
        <v>11472</v>
      </c>
    </row>
    <row r="8967" spans="1:6" x14ac:dyDescent="0.25">
      <c r="A8967" t="str">
        <f>"5031118033"</f>
        <v>5031118033</v>
      </c>
      <c r="B8967" t="s">
        <v>10463</v>
      </c>
      <c r="C8967" t="s">
        <v>7</v>
      </c>
      <c r="D8967" t="s">
        <v>12</v>
      </c>
      <c r="E8967" t="s">
        <v>11472</v>
      </c>
      <c r="F8967" t="s">
        <v>12339</v>
      </c>
    </row>
    <row r="8968" spans="1:6" x14ac:dyDescent="0.25">
      <c r="A8968" t="str">
        <f>"5031123280"</f>
        <v>5031123280</v>
      </c>
      <c r="B8968" t="s">
        <v>12340</v>
      </c>
      <c r="C8968" t="s">
        <v>7</v>
      </c>
      <c r="D8968" t="s">
        <v>33</v>
      </c>
      <c r="E8968" t="s">
        <v>11472</v>
      </c>
      <c r="F8968" t="s">
        <v>12341</v>
      </c>
    </row>
    <row r="8969" spans="1:6" x14ac:dyDescent="0.25">
      <c r="A8969" t="str">
        <f>"5031136970"</f>
        <v>5031136970</v>
      </c>
      <c r="B8969" t="s">
        <v>12342</v>
      </c>
      <c r="C8969" t="s">
        <v>7</v>
      </c>
      <c r="D8969" t="s">
        <v>33</v>
      </c>
      <c r="E8969" t="s">
        <v>11472</v>
      </c>
      <c r="F8969" t="s">
        <v>12343</v>
      </c>
    </row>
    <row r="8970" spans="1:6" x14ac:dyDescent="0.25">
      <c r="A8970" t="str">
        <f>"5031138801"</f>
        <v>5031138801</v>
      </c>
      <c r="B8970" t="s">
        <v>12344</v>
      </c>
      <c r="C8970" t="s">
        <v>7</v>
      </c>
      <c r="D8970" t="s">
        <v>674</v>
      </c>
      <c r="E8970" t="s">
        <v>11472</v>
      </c>
      <c r="F8970" t="s">
        <v>12345</v>
      </c>
    </row>
    <row r="8971" spans="1:6" x14ac:dyDescent="0.25">
      <c r="A8971" t="str">
        <f>"5031149761"</f>
        <v>5031149761</v>
      </c>
      <c r="B8971" t="s">
        <v>12346</v>
      </c>
      <c r="C8971" t="s">
        <v>7</v>
      </c>
      <c r="D8971" t="s">
        <v>33</v>
      </c>
      <c r="E8971" t="s">
        <v>11472</v>
      </c>
      <c r="F8971" t="s">
        <v>12347</v>
      </c>
    </row>
    <row r="8972" spans="1:6" x14ac:dyDescent="0.25">
      <c r="A8972" t="str">
        <f>"5031161913"</f>
        <v>5031161913</v>
      </c>
      <c r="B8972" t="s">
        <v>12348</v>
      </c>
      <c r="C8972" t="s">
        <v>7</v>
      </c>
      <c r="D8972" t="s">
        <v>12</v>
      </c>
      <c r="E8972" t="s">
        <v>11472</v>
      </c>
      <c r="F8972" t="s">
        <v>12349</v>
      </c>
    </row>
    <row r="8973" spans="1:6" x14ac:dyDescent="0.25">
      <c r="A8973" t="str">
        <f>"503200225730"</f>
        <v>503200225730</v>
      </c>
      <c r="B8973" t="s">
        <v>12350</v>
      </c>
      <c r="C8973" t="s">
        <v>7</v>
      </c>
      <c r="D8973" t="s">
        <v>14</v>
      </c>
      <c r="E8973" t="s">
        <v>11472</v>
      </c>
    </row>
    <row r="8974" spans="1:6" x14ac:dyDescent="0.25">
      <c r="A8974" t="str">
        <f>"503202756624"</f>
        <v>503202756624</v>
      </c>
      <c r="B8974" t="s">
        <v>12351</v>
      </c>
      <c r="C8974" t="s">
        <v>7</v>
      </c>
      <c r="D8974" t="s">
        <v>12</v>
      </c>
      <c r="E8974" t="s">
        <v>11472</v>
      </c>
    </row>
    <row r="8975" spans="1:6" x14ac:dyDescent="0.25">
      <c r="A8975" t="str">
        <f>"5032066860"</f>
        <v>5032066860</v>
      </c>
      <c r="B8975" t="s">
        <v>12352</v>
      </c>
      <c r="C8975" t="s">
        <v>7</v>
      </c>
      <c r="D8975" t="s">
        <v>14</v>
      </c>
      <c r="E8975" t="s">
        <v>11472</v>
      </c>
      <c r="F8975" t="s">
        <v>12353</v>
      </c>
    </row>
    <row r="8976" spans="1:6" x14ac:dyDescent="0.25">
      <c r="A8976" t="str">
        <f>"503215889710"</f>
        <v>503215889710</v>
      </c>
      <c r="B8976" t="s">
        <v>12354</v>
      </c>
      <c r="C8976" t="s">
        <v>7</v>
      </c>
      <c r="D8976" t="s">
        <v>14</v>
      </c>
      <c r="E8976" t="s">
        <v>11472</v>
      </c>
    </row>
    <row r="8977" spans="1:6" x14ac:dyDescent="0.25">
      <c r="A8977" t="str">
        <f>"503218543100"</f>
        <v>503218543100</v>
      </c>
      <c r="B8977" t="s">
        <v>12355</v>
      </c>
      <c r="C8977" t="s">
        <v>7</v>
      </c>
      <c r="D8977" t="s">
        <v>14</v>
      </c>
      <c r="E8977" t="s">
        <v>11472</v>
      </c>
    </row>
    <row r="8978" spans="1:6" x14ac:dyDescent="0.25">
      <c r="A8978" t="str">
        <f>"5032254310"</f>
        <v>5032254310</v>
      </c>
      <c r="B8978" t="s">
        <v>12356</v>
      </c>
      <c r="C8978" t="s">
        <v>7</v>
      </c>
      <c r="D8978" t="s">
        <v>12</v>
      </c>
      <c r="E8978" t="s">
        <v>11472</v>
      </c>
      <c r="F8978" t="s">
        <v>12357</v>
      </c>
    </row>
    <row r="8979" spans="1:6" x14ac:dyDescent="0.25">
      <c r="A8979" t="str">
        <f>"5032256357"</f>
        <v>5032256357</v>
      </c>
      <c r="B8979" t="s">
        <v>12358</v>
      </c>
      <c r="C8979" t="s">
        <v>7</v>
      </c>
      <c r="D8979" t="s">
        <v>12</v>
      </c>
      <c r="E8979" t="s">
        <v>11472</v>
      </c>
      <c r="F8979" t="s">
        <v>12359</v>
      </c>
    </row>
    <row r="8980" spans="1:6" x14ac:dyDescent="0.25">
      <c r="A8980" t="str">
        <f>"5032266316"</f>
        <v>5032266316</v>
      </c>
      <c r="B8980" t="s">
        <v>12360</v>
      </c>
      <c r="C8980" t="s">
        <v>7</v>
      </c>
      <c r="D8980" t="s">
        <v>189</v>
      </c>
      <c r="E8980" t="s">
        <v>11472</v>
      </c>
      <c r="F8980" t="s">
        <v>12361</v>
      </c>
    </row>
    <row r="8981" spans="1:6" x14ac:dyDescent="0.25">
      <c r="A8981" t="str">
        <f>"5032270513"</f>
        <v>5032270513</v>
      </c>
      <c r="B8981" t="s">
        <v>12362</v>
      </c>
      <c r="C8981" t="s">
        <v>7</v>
      </c>
      <c r="D8981" t="s">
        <v>12</v>
      </c>
      <c r="E8981" t="s">
        <v>11472</v>
      </c>
      <c r="F8981" t="s">
        <v>12357</v>
      </c>
    </row>
    <row r="8982" spans="1:6" x14ac:dyDescent="0.25">
      <c r="A8982" t="str">
        <f>"5032289923"</f>
        <v>5032289923</v>
      </c>
      <c r="B8982" t="s">
        <v>12363</v>
      </c>
      <c r="C8982" t="s">
        <v>7</v>
      </c>
      <c r="D8982" t="s">
        <v>12</v>
      </c>
      <c r="E8982" t="s">
        <v>11472</v>
      </c>
      <c r="F8982" t="s">
        <v>12364</v>
      </c>
    </row>
    <row r="8983" spans="1:6" x14ac:dyDescent="0.25">
      <c r="A8983" t="str">
        <f>"5032290284"</f>
        <v>5032290284</v>
      </c>
      <c r="B8983" t="s">
        <v>12365</v>
      </c>
      <c r="C8983" t="s">
        <v>7</v>
      </c>
      <c r="D8983" t="s">
        <v>12</v>
      </c>
      <c r="E8983" t="s">
        <v>11472</v>
      </c>
      <c r="F8983" t="s">
        <v>12366</v>
      </c>
    </row>
    <row r="8984" spans="1:6" x14ac:dyDescent="0.25">
      <c r="A8984" t="str">
        <f>"5032295003"</f>
        <v>5032295003</v>
      </c>
      <c r="B8984" t="s">
        <v>12367</v>
      </c>
      <c r="C8984" t="s">
        <v>7</v>
      </c>
      <c r="D8984" t="s">
        <v>14</v>
      </c>
      <c r="E8984" t="s">
        <v>11472</v>
      </c>
      <c r="F8984" t="s">
        <v>12368</v>
      </c>
    </row>
    <row r="8985" spans="1:6" x14ac:dyDescent="0.25">
      <c r="A8985" t="str">
        <f>"5032299424"</f>
        <v>5032299424</v>
      </c>
      <c r="B8985" t="s">
        <v>12369</v>
      </c>
      <c r="C8985" t="s">
        <v>7</v>
      </c>
      <c r="D8985" t="s">
        <v>14</v>
      </c>
      <c r="E8985" t="s">
        <v>11472</v>
      </c>
      <c r="F8985" t="s">
        <v>12370</v>
      </c>
    </row>
    <row r="8986" spans="1:6" x14ac:dyDescent="0.25">
      <c r="A8986" t="str">
        <f>"5032320891"</f>
        <v>5032320891</v>
      </c>
      <c r="B8986" t="s">
        <v>1957</v>
      </c>
      <c r="C8986" t="s">
        <v>7</v>
      </c>
      <c r="D8986" t="s">
        <v>1430</v>
      </c>
      <c r="E8986" t="s">
        <v>11472</v>
      </c>
      <c r="F8986" t="s">
        <v>12371</v>
      </c>
    </row>
    <row r="8987" spans="1:6" x14ac:dyDescent="0.25">
      <c r="A8987" t="str">
        <f>"5032334615"</f>
        <v>5032334615</v>
      </c>
      <c r="B8987" t="s">
        <v>12372</v>
      </c>
      <c r="C8987" t="s">
        <v>7</v>
      </c>
      <c r="D8987" t="s">
        <v>14</v>
      </c>
      <c r="E8987" t="s">
        <v>11472</v>
      </c>
      <c r="F8987" t="s">
        <v>12373</v>
      </c>
    </row>
    <row r="8988" spans="1:6" x14ac:dyDescent="0.25">
      <c r="A8988" t="str">
        <f>"860405396336"</f>
        <v>860405396336</v>
      </c>
      <c r="B8988" t="s">
        <v>12374</v>
      </c>
      <c r="C8988" t="s">
        <v>7</v>
      </c>
      <c r="D8988" t="s">
        <v>14</v>
      </c>
      <c r="E8988" t="s">
        <v>11472</v>
      </c>
    </row>
    <row r="8989" spans="1:6" x14ac:dyDescent="0.25">
      <c r="A8989" t="str">
        <f>"502713217300"</f>
        <v>502713217300</v>
      </c>
      <c r="B8989" t="s">
        <v>12375</v>
      </c>
      <c r="C8989" t="s">
        <v>7</v>
      </c>
      <c r="D8989" t="s">
        <v>14</v>
      </c>
      <c r="E8989" t="s">
        <v>11472</v>
      </c>
    </row>
    <row r="8990" spans="1:6" x14ac:dyDescent="0.25">
      <c r="A8990" t="str">
        <f>"502713792719"</f>
        <v>502713792719</v>
      </c>
      <c r="B8990" t="s">
        <v>12376</v>
      </c>
      <c r="C8990" t="s">
        <v>7</v>
      </c>
      <c r="D8990" t="s">
        <v>14</v>
      </c>
      <c r="E8990" t="s">
        <v>11472</v>
      </c>
    </row>
    <row r="8991" spans="1:6" x14ac:dyDescent="0.25">
      <c r="A8991" t="str">
        <f>"502715499032"</f>
        <v>502715499032</v>
      </c>
      <c r="B8991" t="s">
        <v>12377</v>
      </c>
      <c r="C8991" t="s">
        <v>7</v>
      </c>
      <c r="D8991" t="s">
        <v>14</v>
      </c>
      <c r="E8991" t="s">
        <v>11472</v>
      </c>
    </row>
    <row r="8992" spans="1:6" x14ac:dyDescent="0.25">
      <c r="A8992" t="str">
        <f>"5027164118"</f>
        <v>5027164118</v>
      </c>
      <c r="B8992" t="s">
        <v>12378</v>
      </c>
      <c r="C8992" t="s">
        <v>7</v>
      </c>
      <c r="D8992" t="s">
        <v>14</v>
      </c>
      <c r="E8992" t="s">
        <v>11472</v>
      </c>
      <c r="F8992" t="s">
        <v>12379</v>
      </c>
    </row>
    <row r="8993" spans="1:6" x14ac:dyDescent="0.25">
      <c r="A8993" t="str">
        <f>"5027204353"</f>
        <v>5027204353</v>
      </c>
      <c r="B8993" t="s">
        <v>12380</v>
      </c>
      <c r="C8993" t="s">
        <v>7</v>
      </c>
      <c r="D8993" t="s">
        <v>33</v>
      </c>
      <c r="E8993" t="s">
        <v>11472</v>
      </c>
      <c r="F8993" t="s">
        <v>12381</v>
      </c>
    </row>
    <row r="8994" spans="1:6" x14ac:dyDescent="0.25">
      <c r="A8994" t="str">
        <f>"5027231893"</f>
        <v>5027231893</v>
      </c>
      <c r="B8994" t="s">
        <v>12382</v>
      </c>
      <c r="C8994" t="s">
        <v>7</v>
      </c>
      <c r="D8994" t="s">
        <v>674</v>
      </c>
      <c r="E8994" t="s">
        <v>11472</v>
      </c>
      <c r="F8994" t="s">
        <v>12383</v>
      </c>
    </row>
    <row r="8995" spans="1:6" x14ac:dyDescent="0.25">
      <c r="A8995" t="str">
        <f>"5027264867"</f>
        <v>5027264867</v>
      </c>
      <c r="B8995" t="s">
        <v>12384</v>
      </c>
      <c r="C8995" t="s">
        <v>7</v>
      </c>
      <c r="D8995" t="s">
        <v>674</v>
      </c>
      <c r="E8995" t="s">
        <v>11472</v>
      </c>
      <c r="F8995" t="s">
        <v>12385</v>
      </c>
    </row>
    <row r="8996" spans="1:6" x14ac:dyDescent="0.25">
      <c r="A8996" t="str">
        <f>"5027283355"</f>
        <v>5027283355</v>
      </c>
      <c r="B8996" t="s">
        <v>12386</v>
      </c>
      <c r="C8996" t="s">
        <v>7</v>
      </c>
      <c r="D8996" t="s">
        <v>674</v>
      </c>
      <c r="E8996" t="s">
        <v>11472</v>
      </c>
      <c r="F8996" t="s">
        <v>12387</v>
      </c>
    </row>
    <row r="8997" spans="1:6" x14ac:dyDescent="0.25">
      <c r="A8997" t="str">
        <f>"502729596847"</f>
        <v>502729596847</v>
      </c>
      <c r="B8997" t="s">
        <v>12388</v>
      </c>
      <c r="C8997" t="s">
        <v>7</v>
      </c>
      <c r="D8997" t="s">
        <v>12</v>
      </c>
      <c r="E8997" t="s">
        <v>11472</v>
      </c>
    </row>
    <row r="8998" spans="1:6" x14ac:dyDescent="0.25">
      <c r="A8998" t="str">
        <f>"5027317300"</f>
        <v>5027317300</v>
      </c>
      <c r="B8998" t="s">
        <v>12389</v>
      </c>
      <c r="C8998" t="s">
        <v>7</v>
      </c>
      <c r="D8998" t="s">
        <v>674</v>
      </c>
      <c r="E8998" t="s">
        <v>11472</v>
      </c>
      <c r="F8998" t="s">
        <v>12390</v>
      </c>
    </row>
    <row r="8999" spans="1:6" x14ac:dyDescent="0.25">
      <c r="A8999" t="str">
        <f>"502801520129"</f>
        <v>502801520129</v>
      </c>
      <c r="B8999" t="s">
        <v>12391</v>
      </c>
      <c r="C8999" t="s">
        <v>7</v>
      </c>
      <c r="D8999" t="s">
        <v>14</v>
      </c>
      <c r="E8999" t="s">
        <v>11472</v>
      </c>
    </row>
    <row r="9000" spans="1:6" x14ac:dyDescent="0.25">
      <c r="A9000" t="str">
        <f>"502801784516"</f>
        <v>502801784516</v>
      </c>
      <c r="B9000" t="s">
        <v>12392</v>
      </c>
      <c r="C9000" t="s">
        <v>7</v>
      </c>
      <c r="D9000" t="s">
        <v>14</v>
      </c>
      <c r="E9000" t="s">
        <v>11472</v>
      </c>
    </row>
    <row r="9001" spans="1:6" x14ac:dyDescent="0.25">
      <c r="A9001" t="str">
        <f>"5029069967"</f>
        <v>5029069967</v>
      </c>
      <c r="B9001" t="s">
        <v>12393</v>
      </c>
      <c r="C9001" t="s">
        <v>7</v>
      </c>
      <c r="D9001" t="s">
        <v>14</v>
      </c>
      <c r="E9001" t="s">
        <v>11472</v>
      </c>
      <c r="F9001" t="s">
        <v>12394</v>
      </c>
    </row>
    <row r="9002" spans="1:6" x14ac:dyDescent="0.25">
      <c r="A9002" t="str">
        <f>"5029121776"</f>
        <v>5029121776</v>
      </c>
      <c r="B9002" t="s">
        <v>1159</v>
      </c>
      <c r="C9002" t="s">
        <v>7</v>
      </c>
      <c r="D9002" t="s">
        <v>12</v>
      </c>
      <c r="E9002" t="s">
        <v>11472</v>
      </c>
      <c r="F9002" t="s">
        <v>12395</v>
      </c>
    </row>
    <row r="9003" spans="1:6" x14ac:dyDescent="0.25">
      <c r="A9003" t="str">
        <f>"5029122699"</f>
        <v>5029122699</v>
      </c>
      <c r="B9003" t="s">
        <v>12396</v>
      </c>
      <c r="C9003" t="s">
        <v>7</v>
      </c>
      <c r="D9003" t="s">
        <v>674</v>
      </c>
      <c r="E9003" t="s">
        <v>11472</v>
      </c>
      <c r="F9003" t="s">
        <v>12397</v>
      </c>
    </row>
    <row r="9004" spans="1:6" x14ac:dyDescent="0.25">
      <c r="A9004" t="str">
        <f>"5029152728"</f>
        <v>5029152728</v>
      </c>
      <c r="B9004" t="s">
        <v>12398</v>
      </c>
      <c r="C9004" t="s">
        <v>7</v>
      </c>
      <c r="D9004" t="s">
        <v>674</v>
      </c>
      <c r="E9004" t="s">
        <v>11472</v>
      </c>
      <c r="F9004" t="s">
        <v>12399</v>
      </c>
    </row>
    <row r="9005" spans="1:6" x14ac:dyDescent="0.25">
      <c r="A9005" t="str">
        <f>"5029191928"</f>
        <v>5029191928</v>
      </c>
      <c r="B9005" t="s">
        <v>12400</v>
      </c>
      <c r="C9005" t="s">
        <v>7</v>
      </c>
      <c r="D9005" t="s">
        <v>33</v>
      </c>
      <c r="E9005" t="s">
        <v>11472</v>
      </c>
      <c r="F9005" t="s">
        <v>12401</v>
      </c>
    </row>
    <row r="9006" spans="1:6" x14ac:dyDescent="0.25">
      <c r="A9006" t="str">
        <f>"5029236551"</f>
        <v>5029236551</v>
      </c>
      <c r="B9006" t="s">
        <v>12402</v>
      </c>
      <c r="C9006" t="s">
        <v>7</v>
      </c>
      <c r="D9006" t="s">
        <v>14</v>
      </c>
      <c r="E9006" t="s">
        <v>11472</v>
      </c>
      <c r="F9006" t="s">
        <v>12403</v>
      </c>
    </row>
    <row r="9007" spans="1:6" x14ac:dyDescent="0.25">
      <c r="A9007" t="str">
        <f>"5029238090"</f>
        <v>5029238090</v>
      </c>
      <c r="B9007" t="s">
        <v>12404</v>
      </c>
      <c r="C9007" t="s">
        <v>7</v>
      </c>
      <c r="D9007" t="s">
        <v>12</v>
      </c>
      <c r="E9007" t="s">
        <v>11472</v>
      </c>
      <c r="F9007" t="s">
        <v>12405</v>
      </c>
    </row>
    <row r="9008" spans="1:6" x14ac:dyDescent="0.25">
      <c r="A9008" t="str">
        <f>"5029275818"</f>
        <v>5029275818</v>
      </c>
      <c r="B9008" t="s">
        <v>12406</v>
      </c>
      <c r="C9008" t="s">
        <v>7</v>
      </c>
      <c r="D9008" t="s">
        <v>12</v>
      </c>
      <c r="E9008" t="s">
        <v>11472</v>
      </c>
      <c r="F9008" t="s">
        <v>12407</v>
      </c>
    </row>
    <row r="9009" spans="1:6" x14ac:dyDescent="0.25">
      <c r="A9009" t="str">
        <f>"5029277773"</f>
        <v>5029277773</v>
      </c>
      <c r="B9009" t="s">
        <v>12408</v>
      </c>
      <c r="C9009" t="s">
        <v>7</v>
      </c>
      <c r="D9009" t="s">
        <v>12</v>
      </c>
      <c r="E9009" t="s">
        <v>11472</v>
      </c>
      <c r="F9009" t="s">
        <v>12409</v>
      </c>
    </row>
    <row r="9010" spans="1:6" x14ac:dyDescent="0.25">
      <c r="A9010" t="str">
        <f>"5029289634"</f>
        <v>5029289634</v>
      </c>
      <c r="B9010" t="s">
        <v>12410</v>
      </c>
      <c r="C9010" t="s">
        <v>7</v>
      </c>
      <c r="D9010" t="s">
        <v>12</v>
      </c>
      <c r="E9010" t="s">
        <v>11472</v>
      </c>
      <c r="F9010" t="s">
        <v>12411</v>
      </c>
    </row>
    <row r="9011" spans="1:6" x14ac:dyDescent="0.25">
      <c r="A9011" t="str">
        <f>"503000269716"</f>
        <v>503000269716</v>
      </c>
      <c r="B9011" t="s">
        <v>12412</v>
      </c>
      <c r="C9011" t="s">
        <v>7</v>
      </c>
      <c r="D9011" t="s">
        <v>14</v>
      </c>
      <c r="E9011" t="s">
        <v>11472</v>
      </c>
    </row>
    <row r="9012" spans="1:6" x14ac:dyDescent="0.25">
      <c r="A9012" t="str">
        <f>"503009092799"</f>
        <v>503009092799</v>
      </c>
      <c r="B9012" t="s">
        <v>12413</v>
      </c>
      <c r="C9012" t="s">
        <v>7</v>
      </c>
      <c r="D9012" t="s">
        <v>14</v>
      </c>
      <c r="E9012" t="s">
        <v>11472</v>
      </c>
    </row>
    <row r="9013" spans="1:6" x14ac:dyDescent="0.25">
      <c r="A9013" t="str">
        <f>"5030104687"</f>
        <v>5030104687</v>
      </c>
      <c r="B9013" t="s">
        <v>12414</v>
      </c>
      <c r="C9013" t="s">
        <v>7</v>
      </c>
      <c r="D9013" t="s">
        <v>33</v>
      </c>
      <c r="E9013" t="s">
        <v>11472</v>
      </c>
      <c r="F9013" t="s">
        <v>12415</v>
      </c>
    </row>
    <row r="9014" spans="1:6" x14ac:dyDescent="0.25">
      <c r="A9014" t="str">
        <f>"503023619043"</f>
        <v>503023619043</v>
      </c>
      <c r="B9014" t="s">
        <v>12416</v>
      </c>
      <c r="C9014" t="s">
        <v>7</v>
      </c>
      <c r="D9014" t="s">
        <v>12</v>
      </c>
      <c r="E9014" t="s">
        <v>11472</v>
      </c>
    </row>
    <row r="9015" spans="1:6" x14ac:dyDescent="0.25">
      <c r="A9015" t="str">
        <f>"5031006080"</f>
        <v>5031006080</v>
      </c>
      <c r="B9015" t="s">
        <v>12417</v>
      </c>
      <c r="C9015" t="s">
        <v>7</v>
      </c>
      <c r="D9015" t="s">
        <v>33</v>
      </c>
      <c r="E9015" t="s">
        <v>11472</v>
      </c>
      <c r="F9015" t="s">
        <v>12418</v>
      </c>
    </row>
    <row r="9016" spans="1:6" x14ac:dyDescent="0.25">
      <c r="A9016" t="str">
        <f>"503110450604"</f>
        <v>503110450604</v>
      </c>
      <c r="B9016" t="s">
        <v>12419</v>
      </c>
      <c r="C9016" t="s">
        <v>7</v>
      </c>
      <c r="D9016" t="s">
        <v>14</v>
      </c>
      <c r="E9016" t="s">
        <v>11472</v>
      </c>
    </row>
    <row r="9017" spans="1:6" x14ac:dyDescent="0.25">
      <c r="A9017" t="str">
        <f>"503111231595"</f>
        <v>503111231595</v>
      </c>
      <c r="B9017" t="s">
        <v>12420</v>
      </c>
      <c r="C9017" t="s">
        <v>7</v>
      </c>
      <c r="D9017" t="s">
        <v>14</v>
      </c>
      <c r="E9017" t="s">
        <v>11472</v>
      </c>
    </row>
    <row r="9018" spans="1:6" x14ac:dyDescent="0.25">
      <c r="A9018" t="str">
        <f>"503112582902"</f>
        <v>503112582902</v>
      </c>
      <c r="B9018" t="s">
        <v>12421</v>
      </c>
      <c r="C9018" t="s">
        <v>7</v>
      </c>
      <c r="D9018" t="s">
        <v>14</v>
      </c>
      <c r="E9018" t="s">
        <v>11472</v>
      </c>
    </row>
    <row r="9019" spans="1:6" x14ac:dyDescent="0.25">
      <c r="A9019" t="str">
        <f>"5031130150"</f>
        <v>5031130150</v>
      </c>
      <c r="B9019" t="s">
        <v>12422</v>
      </c>
      <c r="C9019" t="s">
        <v>7</v>
      </c>
      <c r="D9019" t="s">
        <v>33</v>
      </c>
      <c r="E9019" t="s">
        <v>11472</v>
      </c>
      <c r="F9019" t="s">
        <v>12423</v>
      </c>
    </row>
    <row r="9020" spans="1:6" x14ac:dyDescent="0.25">
      <c r="A9020" t="str">
        <f>"5031130425"</f>
        <v>5031130425</v>
      </c>
      <c r="B9020" t="s">
        <v>12424</v>
      </c>
      <c r="C9020" t="s">
        <v>7</v>
      </c>
      <c r="D9020" t="s">
        <v>14</v>
      </c>
      <c r="E9020" t="s">
        <v>11472</v>
      </c>
      <c r="F9020" t="s">
        <v>12425</v>
      </c>
    </row>
    <row r="9021" spans="1:6" x14ac:dyDescent="0.25">
      <c r="A9021" t="str">
        <f>"5031159216"</f>
        <v>5031159216</v>
      </c>
      <c r="B9021" t="s">
        <v>12426</v>
      </c>
      <c r="C9021" t="s">
        <v>7</v>
      </c>
      <c r="D9021" t="s">
        <v>14</v>
      </c>
      <c r="E9021" t="s">
        <v>11472</v>
      </c>
      <c r="F9021" t="s">
        <v>12427</v>
      </c>
    </row>
    <row r="9022" spans="1:6" x14ac:dyDescent="0.25">
      <c r="A9022" t="str">
        <f>"503116717808"</f>
        <v>503116717808</v>
      </c>
      <c r="B9022" t="s">
        <v>12428</v>
      </c>
      <c r="C9022" t="s">
        <v>7</v>
      </c>
      <c r="D9022" t="s">
        <v>28</v>
      </c>
      <c r="E9022" t="s">
        <v>11472</v>
      </c>
    </row>
    <row r="9023" spans="1:6" x14ac:dyDescent="0.25">
      <c r="A9023" t="str">
        <f>"503198890977"</f>
        <v>503198890977</v>
      </c>
      <c r="B9023" t="s">
        <v>12429</v>
      </c>
      <c r="C9023" t="s">
        <v>7</v>
      </c>
      <c r="D9023" t="s">
        <v>12</v>
      </c>
      <c r="E9023" t="s">
        <v>11472</v>
      </c>
    </row>
    <row r="9024" spans="1:6" x14ac:dyDescent="0.25">
      <c r="A9024" t="str">
        <f>"5032046800"</f>
        <v>5032046800</v>
      </c>
      <c r="B9024" t="s">
        <v>12430</v>
      </c>
      <c r="C9024" t="s">
        <v>7</v>
      </c>
      <c r="D9024" t="s">
        <v>14</v>
      </c>
      <c r="E9024" t="s">
        <v>11472</v>
      </c>
      <c r="F9024" t="s">
        <v>12431</v>
      </c>
    </row>
    <row r="9025" spans="1:6" x14ac:dyDescent="0.25">
      <c r="A9025" t="str">
        <f>"5032053389"</f>
        <v>5032053389</v>
      </c>
      <c r="B9025" t="s">
        <v>12432</v>
      </c>
      <c r="C9025" t="s">
        <v>7</v>
      </c>
      <c r="D9025" t="s">
        <v>14</v>
      </c>
      <c r="E9025" t="s">
        <v>11472</v>
      </c>
      <c r="F9025" t="s">
        <v>12433</v>
      </c>
    </row>
    <row r="9026" spans="1:6" x14ac:dyDescent="0.25">
      <c r="A9026" t="str">
        <f>"503205610077"</f>
        <v>503205610077</v>
      </c>
      <c r="B9026" t="s">
        <v>12434</v>
      </c>
      <c r="C9026" t="s">
        <v>7</v>
      </c>
      <c r="D9026" t="s">
        <v>14</v>
      </c>
      <c r="E9026" t="s">
        <v>11472</v>
      </c>
    </row>
    <row r="9027" spans="1:6" x14ac:dyDescent="0.25">
      <c r="A9027" t="str">
        <f>"5032114426"</f>
        <v>5032114426</v>
      </c>
      <c r="B9027" t="s">
        <v>12435</v>
      </c>
      <c r="C9027" t="s">
        <v>7</v>
      </c>
      <c r="D9027" t="s">
        <v>14</v>
      </c>
      <c r="E9027" t="s">
        <v>11472</v>
      </c>
      <c r="F9027" t="s">
        <v>12436</v>
      </c>
    </row>
    <row r="9028" spans="1:6" x14ac:dyDescent="0.25">
      <c r="A9028" t="str">
        <f>"503211679341"</f>
        <v>503211679341</v>
      </c>
      <c r="B9028" t="s">
        <v>12437</v>
      </c>
      <c r="C9028" t="s">
        <v>7</v>
      </c>
      <c r="D9028" t="s">
        <v>33</v>
      </c>
      <c r="E9028" t="s">
        <v>11472</v>
      </c>
    </row>
    <row r="9029" spans="1:6" x14ac:dyDescent="0.25">
      <c r="A9029" t="str">
        <f>"503214459270"</f>
        <v>503214459270</v>
      </c>
      <c r="B9029" t="s">
        <v>12438</v>
      </c>
      <c r="C9029" t="s">
        <v>7</v>
      </c>
      <c r="D9029" t="s">
        <v>12</v>
      </c>
      <c r="E9029" t="s">
        <v>11472</v>
      </c>
    </row>
    <row r="9030" spans="1:6" x14ac:dyDescent="0.25">
      <c r="A9030" t="str">
        <f>"503216162412"</f>
        <v>503216162412</v>
      </c>
      <c r="B9030" t="s">
        <v>12439</v>
      </c>
      <c r="C9030" t="s">
        <v>7</v>
      </c>
      <c r="D9030" t="s">
        <v>14</v>
      </c>
      <c r="E9030" t="s">
        <v>11472</v>
      </c>
    </row>
    <row r="9031" spans="1:6" x14ac:dyDescent="0.25">
      <c r="A9031" t="str">
        <f>"5032164233"</f>
        <v>5032164233</v>
      </c>
      <c r="B9031" t="s">
        <v>12440</v>
      </c>
      <c r="C9031" t="s">
        <v>7</v>
      </c>
      <c r="D9031" t="s">
        <v>674</v>
      </c>
      <c r="E9031" t="s">
        <v>11472</v>
      </c>
      <c r="F9031" t="s">
        <v>12441</v>
      </c>
    </row>
    <row r="9032" spans="1:6" x14ac:dyDescent="0.25">
      <c r="A9032" t="str">
        <f>"5032178010"</f>
        <v>5032178010</v>
      </c>
      <c r="B9032" t="s">
        <v>12442</v>
      </c>
      <c r="C9032" t="s">
        <v>7</v>
      </c>
      <c r="D9032" t="s">
        <v>14</v>
      </c>
      <c r="E9032" t="s">
        <v>11472</v>
      </c>
      <c r="F9032" t="s">
        <v>12443</v>
      </c>
    </row>
    <row r="9033" spans="1:6" x14ac:dyDescent="0.25">
      <c r="A9033" t="str">
        <f>"5032195400"</f>
        <v>5032195400</v>
      </c>
      <c r="B9033" t="s">
        <v>12444</v>
      </c>
      <c r="C9033" t="s">
        <v>7</v>
      </c>
      <c r="D9033" t="s">
        <v>14</v>
      </c>
      <c r="E9033" t="s">
        <v>11472</v>
      </c>
      <c r="F9033" t="s">
        <v>12445</v>
      </c>
    </row>
    <row r="9034" spans="1:6" x14ac:dyDescent="0.25">
      <c r="A9034" t="str">
        <f>"5032228399"</f>
        <v>5032228399</v>
      </c>
      <c r="B9034" t="s">
        <v>12446</v>
      </c>
      <c r="C9034" t="s">
        <v>7</v>
      </c>
      <c r="D9034" t="s">
        <v>14</v>
      </c>
      <c r="E9034" t="s">
        <v>11472</v>
      </c>
      <c r="F9034" t="s">
        <v>12447</v>
      </c>
    </row>
    <row r="9035" spans="1:6" x14ac:dyDescent="0.25">
      <c r="A9035" t="str">
        <f>"5032249416"</f>
        <v>5032249416</v>
      </c>
      <c r="B9035" t="s">
        <v>12448</v>
      </c>
      <c r="C9035" t="s">
        <v>7</v>
      </c>
      <c r="D9035" t="s">
        <v>8</v>
      </c>
      <c r="E9035" t="s">
        <v>11472</v>
      </c>
      <c r="F9035" t="s">
        <v>12449</v>
      </c>
    </row>
    <row r="9036" spans="1:6" x14ac:dyDescent="0.25">
      <c r="A9036" t="str">
        <f>"5032265337"</f>
        <v>5032265337</v>
      </c>
      <c r="B9036" t="s">
        <v>12450</v>
      </c>
      <c r="C9036" t="s">
        <v>7</v>
      </c>
      <c r="D9036" t="s">
        <v>98</v>
      </c>
      <c r="E9036" t="s">
        <v>11472</v>
      </c>
      <c r="F9036" t="s">
        <v>12451</v>
      </c>
    </row>
    <row r="9037" spans="1:6" x14ac:dyDescent="0.25">
      <c r="A9037" t="str">
        <f>"8603198186"</f>
        <v>8603198186</v>
      </c>
      <c r="B9037" t="s">
        <v>12452</v>
      </c>
      <c r="C9037" t="s">
        <v>7</v>
      </c>
      <c r="D9037" t="s">
        <v>33</v>
      </c>
      <c r="E9037" t="s">
        <v>11472</v>
      </c>
      <c r="F9037" t="s">
        <v>12453</v>
      </c>
    </row>
    <row r="9038" spans="1:6" x14ac:dyDescent="0.25">
      <c r="A9038" t="str">
        <f>"5027202821"</f>
        <v>5027202821</v>
      </c>
      <c r="B9038" t="s">
        <v>12454</v>
      </c>
      <c r="C9038" t="s">
        <v>7</v>
      </c>
      <c r="D9038" t="s">
        <v>14</v>
      </c>
      <c r="E9038" t="s">
        <v>11472</v>
      </c>
      <c r="F9038" t="s">
        <v>12455</v>
      </c>
    </row>
    <row r="9039" spans="1:6" x14ac:dyDescent="0.25">
      <c r="A9039" t="str">
        <f>"5027206537"</f>
        <v>5027206537</v>
      </c>
      <c r="B9039" t="s">
        <v>2235</v>
      </c>
      <c r="C9039" t="s">
        <v>7</v>
      </c>
      <c r="D9039" t="s">
        <v>14</v>
      </c>
      <c r="E9039" t="s">
        <v>11472</v>
      </c>
      <c r="F9039" t="s">
        <v>12456</v>
      </c>
    </row>
    <row r="9040" spans="1:6" x14ac:dyDescent="0.25">
      <c r="A9040" t="str">
        <f>"5027207820"</f>
        <v>5027207820</v>
      </c>
      <c r="B9040" t="s">
        <v>12457</v>
      </c>
      <c r="C9040" t="s">
        <v>7</v>
      </c>
      <c r="D9040" t="s">
        <v>12</v>
      </c>
      <c r="E9040" t="s">
        <v>11472</v>
      </c>
      <c r="F9040" t="s">
        <v>12458</v>
      </c>
    </row>
    <row r="9041" spans="1:6" x14ac:dyDescent="0.25">
      <c r="A9041" t="str">
        <f>"5027213485"</f>
        <v>5027213485</v>
      </c>
      <c r="B9041" t="s">
        <v>12459</v>
      </c>
      <c r="C9041" t="s">
        <v>7</v>
      </c>
      <c r="D9041" t="s">
        <v>33</v>
      </c>
      <c r="E9041" t="s">
        <v>11472</v>
      </c>
      <c r="F9041" t="s">
        <v>12460</v>
      </c>
    </row>
    <row r="9042" spans="1:6" x14ac:dyDescent="0.25">
      <c r="A9042" t="str">
        <f>"5027215500"</f>
        <v>5027215500</v>
      </c>
      <c r="B9042" t="s">
        <v>2798</v>
      </c>
      <c r="C9042" t="s">
        <v>7</v>
      </c>
      <c r="D9042" t="s">
        <v>12</v>
      </c>
      <c r="E9042" t="s">
        <v>11472</v>
      </c>
      <c r="F9042" t="s">
        <v>12461</v>
      </c>
    </row>
    <row r="9043" spans="1:6" x14ac:dyDescent="0.25">
      <c r="A9043" t="str">
        <f>"5027222144"</f>
        <v>5027222144</v>
      </c>
      <c r="B9043" t="s">
        <v>12462</v>
      </c>
      <c r="C9043" t="s">
        <v>7</v>
      </c>
      <c r="D9043" t="s">
        <v>33</v>
      </c>
      <c r="E9043" t="s">
        <v>11472</v>
      </c>
      <c r="F9043" t="s">
        <v>12463</v>
      </c>
    </row>
    <row r="9044" spans="1:6" x14ac:dyDescent="0.25">
      <c r="A9044" t="str">
        <f>"5027236330"</f>
        <v>5027236330</v>
      </c>
      <c r="B9044" t="s">
        <v>12464</v>
      </c>
      <c r="C9044" t="s">
        <v>7</v>
      </c>
      <c r="D9044" t="s">
        <v>674</v>
      </c>
      <c r="E9044" t="s">
        <v>11472</v>
      </c>
      <c r="F9044" t="s">
        <v>12465</v>
      </c>
    </row>
    <row r="9045" spans="1:6" x14ac:dyDescent="0.25">
      <c r="A9045" t="str">
        <f>"5027245790"</f>
        <v>5027245790</v>
      </c>
      <c r="B9045" t="s">
        <v>12466</v>
      </c>
      <c r="C9045" t="s">
        <v>7</v>
      </c>
      <c r="D9045" t="s">
        <v>463</v>
      </c>
      <c r="E9045" t="s">
        <v>11472</v>
      </c>
      <c r="F9045" t="s">
        <v>12467</v>
      </c>
    </row>
    <row r="9046" spans="1:6" x14ac:dyDescent="0.25">
      <c r="A9046" t="str">
        <f>"5027276894"</f>
        <v>5027276894</v>
      </c>
      <c r="B9046" t="s">
        <v>12468</v>
      </c>
      <c r="C9046" t="s">
        <v>7</v>
      </c>
      <c r="D9046" t="s">
        <v>33</v>
      </c>
      <c r="E9046" t="s">
        <v>11472</v>
      </c>
      <c r="F9046" t="s">
        <v>12469</v>
      </c>
    </row>
    <row r="9047" spans="1:6" x14ac:dyDescent="0.25">
      <c r="A9047" t="str">
        <f>"5027323978"</f>
        <v>5027323978</v>
      </c>
      <c r="B9047" t="s">
        <v>12470</v>
      </c>
      <c r="C9047" t="s">
        <v>7</v>
      </c>
      <c r="D9047" t="s">
        <v>189</v>
      </c>
      <c r="E9047" t="s">
        <v>11472</v>
      </c>
      <c r="F9047" t="s">
        <v>12471</v>
      </c>
    </row>
    <row r="9048" spans="1:6" x14ac:dyDescent="0.25">
      <c r="A9048" t="str">
        <f>"502759211357"</f>
        <v>502759211357</v>
      </c>
      <c r="B9048" t="s">
        <v>12472</v>
      </c>
      <c r="C9048" t="s">
        <v>7</v>
      </c>
      <c r="D9048" t="s">
        <v>14</v>
      </c>
      <c r="E9048" t="s">
        <v>11472</v>
      </c>
    </row>
    <row r="9049" spans="1:6" x14ac:dyDescent="0.25">
      <c r="A9049" t="str">
        <f>"502805869658"</f>
        <v>502805869658</v>
      </c>
      <c r="B9049" t="s">
        <v>12473</v>
      </c>
      <c r="C9049" t="s">
        <v>7</v>
      </c>
      <c r="D9049" t="s">
        <v>14</v>
      </c>
      <c r="E9049" t="s">
        <v>11472</v>
      </c>
    </row>
    <row r="9050" spans="1:6" x14ac:dyDescent="0.25">
      <c r="A9050" t="str">
        <f>"502807546109"</f>
        <v>502807546109</v>
      </c>
      <c r="B9050" t="s">
        <v>12474</v>
      </c>
      <c r="C9050" t="s">
        <v>7</v>
      </c>
      <c r="D9050" t="s">
        <v>14</v>
      </c>
      <c r="E9050" t="s">
        <v>11472</v>
      </c>
    </row>
    <row r="9051" spans="1:6" x14ac:dyDescent="0.25">
      <c r="A9051" t="str">
        <f>"5029036344"</f>
        <v>5029036344</v>
      </c>
      <c r="B9051" t="s">
        <v>12475</v>
      </c>
      <c r="C9051" t="s">
        <v>7</v>
      </c>
      <c r="D9051" t="s">
        <v>1430</v>
      </c>
      <c r="E9051" t="s">
        <v>11472</v>
      </c>
      <c r="F9051" t="s">
        <v>12476</v>
      </c>
    </row>
    <row r="9052" spans="1:6" x14ac:dyDescent="0.25">
      <c r="A9052" t="str">
        <f>"502914222469"</f>
        <v>502914222469</v>
      </c>
      <c r="B9052" t="s">
        <v>12477</v>
      </c>
      <c r="C9052" t="s">
        <v>7</v>
      </c>
      <c r="D9052" t="s">
        <v>12</v>
      </c>
      <c r="E9052" t="s">
        <v>11472</v>
      </c>
    </row>
    <row r="9053" spans="1:6" x14ac:dyDescent="0.25">
      <c r="A9053" t="str">
        <f>"5029146160"</f>
        <v>5029146160</v>
      </c>
      <c r="B9053" t="s">
        <v>12478</v>
      </c>
      <c r="C9053" t="s">
        <v>7</v>
      </c>
      <c r="D9053" t="s">
        <v>12</v>
      </c>
      <c r="E9053" t="s">
        <v>11472</v>
      </c>
      <c r="F9053" t="s">
        <v>12479</v>
      </c>
    </row>
    <row r="9054" spans="1:6" x14ac:dyDescent="0.25">
      <c r="A9054" t="str">
        <f>"502915618671"</f>
        <v>502915618671</v>
      </c>
      <c r="B9054" t="s">
        <v>12480</v>
      </c>
      <c r="C9054" t="s">
        <v>7</v>
      </c>
      <c r="D9054" t="s">
        <v>14</v>
      </c>
      <c r="E9054" t="s">
        <v>11472</v>
      </c>
    </row>
    <row r="9055" spans="1:6" x14ac:dyDescent="0.25">
      <c r="A9055" t="str">
        <f>"5029159096"</f>
        <v>5029159096</v>
      </c>
      <c r="B9055" t="s">
        <v>12481</v>
      </c>
      <c r="C9055" t="s">
        <v>7</v>
      </c>
      <c r="D9055" t="s">
        <v>8</v>
      </c>
      <c r="E9055" t="s">
        <v>11472</v>
      </c>
      <c r="F9055" t="s">
        <v>12482</v>
      </c>
    </row>
    <row r="9056" spans="1:6" x14ac:dyDescent="0.25">
      <c r="A9056" t="str">
        <f>"502919601319"</f>
        <v>502919601319</v>
      </c>
      <c r="B9056" t="s">
        <v>12483</v>
      </c>
      <c r="C9056" t="s">
        <v>7</v>
      </c>
      <c r="D9056" t="s">
        <v>33</v>
      </c>
      <c r="E9056" t="s">
        <v>11472</v>
      </c>
    </row>
    <row r="9057" spans="1:6" x14ac:dyDescent="0.25">
      <c r="A9057" t="str">
        <f>"5029206927"</f>
        <v>5029206927</v>
      </c>
      <c r="B9057" t="s">
        <v>7813</v>
      </c>
      <c r="C9057" t="s">
        <v>7</v>
      </c>
      <c r="D9057" t="s">
        <v>14</v>
      </c>
      <c r="E9057" t="s">
        <v>11472</v>
      </c>
      <c r="F9057" t="s">
        <v>12484</v>
      </c>
    </row>
    <row r="9058" spans="1:6" x14ac:dyDescent="0.25">
      <c r="A9058" t="str">
        <f>"5029218320"</f>
        <v>5029218320</v>
      </c>
      <c r="B9058" t="s">
        <v>12485</v>
      </c>
      <c r="C9058" t="s">
        <v>7</v>
      </c>
      <c r="D9058" t="s">
        <v>33</v>
      </c>
      <c r="E9058" t="s">
        <v>11472</v>
      </c>
      <c r="F9058" t="s">
        <v>12486</v>
      </c>
    </row>
    <row r="9059" spans="1:6" x14ac:dyDescent="0.25">
      <c r="A9059" t="str">
        <f>"5029227532"</f>
        <v>5029227532</v>
      </c>
      <c r="B9059" t="s">
        <v>12487</v>
      </c>
      <c r="C9059" t="s">
        <v>7</v>
      </c>
      <c r="D9059" t="s">
        <v>33</v>
      </c>
      <c r="E9059" t="s">
        <v>11472</v>
      </c>
      <c r="F9059" t="s">
        <v>12488</v>
      </c>
    </row>
    <row r="9060" spans="1:6" x14ac:dyDescent="0.25">
      <c r="A9060" t="str">
        <f>"5029271700"</f>
        <v>5029271700</v>
      </c>
      <c r="B9060" t="s">
        <v>12489</v>
      </c>
      <c r="C9060" t="s">
        <v>7</v>
      </c>
      <c r="D9060" t="s">
        <v>14</v>
      </c>
      <c r="E9060" t="s">
        <v>11472</v>
      </c>
      <c r="F9060" t="s">
        <v>12490</v>
      </c>
    </row>
    <row r="9061" spans="1:6" x14ac:dyDescent="0.25">
      <c r="A9061" t="str">
        <f>"503000136762"</f>
        <v>503000136762</v>
      </c>
      <c r="B9061" t="s">
        <v>12491</v>
      </c>
      <c r="C9061" t="s">
        <v>7</v>
      </c>
      <c r="D9061" t="s">
        <v>14</v>
      </c>
      <c r="E9061" t="s">
        <v>11472</v>
      </c>
    </row>
    <row r="9062" spans="1:6" x14ac:dyDescent="0.25">
      <c r="A9062" t="str">
        <f>"503000471070"</f>
        <v>503000471070</v>
      </c>
      <c r="B9062" t="s">
        <v>12492</v>
      </c>
      <c r="C9062" t="s">
        <v>7</v>
      </c>
      <c r="D9062" t="s">
        <v>14</v>
      </c>
      <c r="E9062" t="s">
        <v>11472</v>
      </c>
    </row>
    <row r="9063" spans="1:6" x14ac:dyDescent="0.25">
      <c r="A9063" t="str">
        <f>"503002401328"</f>
        <v>503002401328</v>
      </c>
      <c r="B9063" t="s">
        <v>12493</v>
      </c>
      <c r="C9063" t="s">
        <v>7</v>
      </c>
      <c r="D9063" t="s">
        <v>14</v>
      </c>
      <c r="E9063" t="s">
        <v>11472</v>
      </c>
    </row>
    <row r="9064" spans="1:6" x14ac:dyDescent="0.25">
      <c r="A9064" t="str">
        <f>"5030053827"</f>
        <v>5030053827</v>
      </c>
      <c r="B9064" t="s">
        <v>12494</v>
      </c>
      <c r="C9064" t="s">
        <v>7</v>
      </c>
      <c r="D9064" t="s">
        <v>33</v>
      </c>
      <c r="E9064" t="s">
        <v>11472</v>
      </c>
      <c r="F9064" t="s">
        <v>12495</v>
      </c>
    </row>
    <row r="9065" spans="1:6" x14ac:dyDescent="0.25">
      <c r="A9065" t="str">
        <f>"503006537640"</f>
        <v>503006537640</v>
      </c>
      <c r="B9065" t="s">
        <v>12496</v>
      </c>
      <c r="C9065" t="s">
        <v>7</v>
      </c>
      <c r="D9065" t="s">
        <v>14</v>
      </c>
      <c r="E9065" t="s">
        <v>11472</v>
      </c>
    </row>
    <row r="9066" spans="1:6" x14ac:dyDescent="0.25">
      <c r="A9066" t="str">
        <f>"503007732115"</f>
        <v>503007732115</v>
      </c>
      <c r="B9066" t="s">
        <v>12497</v>
      </c>
      <c r="C9066" t="s">
        <v>7</v>
      </c>
      <c r="D9066" t="s">
        <v>14</v>
      </c>
      <c r="E9066" t="s">
        <v>11472</v>
      </c>
    </row>
    <row r="9067" spans="1:6" x14ac:dyDescent="0.25">
      <c r="A9067" t="str">
        <f>"5030085160"</f>
        <v>5030085160</v>
      </c>
      <c r="B9067" t="s">
        <v>12498</v>
      </c>
      <c r="C9067" t="s">
        <v>7</v>
      </c>
      <c r="D9067" t="s">
        <v>14</v>
      </c>
      <c r="E9067" t="s">
        <v>11472</v>
      </c>
      <c r="F9067" t="s">
        <v>12499</v>
      </c>
    </row>
    <row r="9068" spans="1:6" x14ac:dyDescent="0.25">
      <c r="A9068" t="str">
        <f>"503011924420"</f>
        <v>503011924420</v>
      </c>
      <c r="B9068" t="s">
        <v>12500</v>
      </c>
      <c r="C9068" t="s">
        <v>7</v>
      </c>
      <c r="D9068" t="s">
        <v>8</v>
      </c>
      <c r="E9068" t="s">
        <v>11472</v>
      </c>
    </row>
    <row r="9069" spans="1:6" x14ac:dyDescent="0.25">
      <c r="A9069" t="str">
        <f>"503012883208"</f>
        <v>503012883208</v>
      </c>
      <c r="B9069" t="s">
        <v>12501</v>
      </c>
      <c r="C9069" t="s">
        <v>7</v>
      </c>
      <c r="D9069" t="s">
        <v>14</v>
      </c>
      <c r="E9069" t="s">
        <v>11472</v>
      </c>
    </row>
    <row r="9070" spans="1:6" x14ac:dyDescent="0.25">
      <c r="A9070" t="str">
        <f>"503020673885"</f>
        <v>503020673885</v>
      </c>
      <c r="B9070" t="s">
        <v>12502</v>
      </c>
      <c r="C9070" t="s">
        <v>7</v>
      </c>
      <c r="D9070" t="s">
        <v>14</v>
      </c>
      <c r="E9070" t="s">
        <v>11472</v>
      </c>
    </row>
    <row r="9071" spans="1:6" x14ac:dyDescent="0.25">
      <c r="A9071" t="str">
        <f>"5031111133"</f>
        <v>5031111133</v>
      </c>
      <c r="B9071" t="s">
        <v>12503</v>
      </c>
      <c r="C9071" t="s">
        <v>7</v>
      </c>
      <c r="D9071" t="s">
        <v>12</v>
      </c>
      <c r="E9071" t="s">
        <v>11472</v>
      </c>
      <c r="F9071" t="s">
        <v>12504</v>
      </c>
    </row>
    <row r="9072" spans="1:6" x14ac:dyDescent="0.25">
      <c r="A9072" t="str">
        <f>"503112601947"</f>
        <v>503112601947</v>
      </c>
      <c r="B9072" t="s">
        <v>12505</v>
      </c>
      <c r="C9072" t="s">
        <v>7</v>
      </c>
      <c r="D9072" t="s">
        <v>14</v>
      </c>
      <c r="E9072" t="s">
        <v>11472</v>
      </c>
    </row>
    <row r="9073" spans="1:6" x14ac:dyDescent="0.25">
      <c r="A9073" t="str">
        <f>"5031132969"</f>
        <v>5031132969</v>
      </c>
      <c r="B9073" t="s">
        <v>12506</v>
      </c>
      <c r="C9073" t="s">
        <v>7</v>
      </c>
      <c r="D9073" t="s">
        <v>33</v>
      </c>
      <c r="E9073" t="s">
        <v>11472</v>
      </c>
      <c r="F9073" t="s">
        <v>12507</v>
      </c>
    </row>
    <row r="9074" spans="1:6" x14ac:dyDescent="0.25">
      <c r="A9074" t="str">
        <f>"503114512234"</f>
        <v>503114512234</v>
      </c>
      <c r="B9074" t="s">
        <v>12508</v>
      </c>
      <c r="C9074" t="s">
        <v>7</v>
      </c>
      <c r="D9074" t="s">
        <v>463</v>
      </c>
      <c r="E9074" t="s">
        <v>11472</v>
      </c>
    </row>
    <row r="9075" spans="1:6" x14ac:dyDescent="0.25">
      <c r="A9075" t="str">
        <f>"5031157868"</f>
        <v>5031157868</v>
      </c>
      <c r="B9075" t="s">
        <v>12509</v>
      </c>
      <c r="C9075" t="s">
        <v>7</v>
      </c>
      <c r="D9075" t="s">
        <v>12</v>
      </c>
      <c r="E9075" t="s">
        <v>11472</v>
      </c>
      <c r="F9075" t="s">
        <v>12510</v>
      </c>
    </row>
    <row r="9076" spans="1:6" x14ac:dyDescent="0.25">
      <c r="A9076" t="str">
        <f>"5031159311"</f>
        <v>5031159311</v>
      </c>
      <c r="B9076" t="s">
        <v>12511</v>
      </c>
      <c r="C9076" t="s">
        <v>7</v>
      </c>
      <c r="D9076" t="s">
        <v>14</v>
      </c>
      <c r="E9076" t="s">
        <v>11472</v>
      </c>
      <c r="F9076" t="s">
        <v>12512</v>
      </c>
    </row>
    <row r="9077" spans="1:6" x14ac:dyDescent="0.25">
      <c r="A9077" t="str">
        <f>"503202198909"</f>
        <v>503202198909</v>
      </c>
      <c r="B9077" t="s">
        <v>12513</v>
      </c>
      <c r="C9077" t="s">
        <v>7</v>
      </c>
      <c r="D9077" t="s">
        <v>14</v>
      </c>
      <c r="E9077" t="s">
        <v>11472</v>
      </c>
    </row>
    <row r="9078" spans="1:6" x14ac:dyDescent="0.25">
      <c r="A9078" t="str">
        <f>"5032073106"</f>
        <v>5032073106</v>
      </c>
      <c r="B9078" t="s">
        <v>12514</v>
      </c>
      <c r="C9078" t="s">
        <v>7</v>
      </c>
      <c r="D9078" t="s">
        <v>12</v>
      </c>
      <c r="E9078" t="s">
        <v>11472</v>
      </c>
      <c r="F9078" t="s">
        <v>12515</v>
      </c>
    </row>
    <row r="9079" spans="1:6" x14ac:dyDescent="0.25">
      <c r="A9079" t="str">
        <f>"5032111175"</f>
        <v>5032111175</v>
      </c>
      <c r="B9079" t="s">
        <v>12516</v>
      </c>
      <c r="C9079" t="s">
        <v>7</v>
      </c>
      <c r="D9079" t="s">
        <v>8</v>
      </c>
      <c r="E9079" t="s">
        <v>11472</v>
      </c>
      <c r="F9079" t="s">
        <v>12517</v>
      </c>
    </row>
    <row r="9080" spans="1:6" x14ac:dyDescent="0.25">
      <c r="A9080" t="str">
        <f>"503213004954"</f>
        <v>503213004954</v>
      </c>
      <c r="B9080" t="s">
        <v>12518</v>
      </c>
      <c r="C9080" t="s">
        <v>7</v>
      </c>
      <c r="D9080" t="s">
        <v>12</v>
      </c>
      <c r="E9080" t="s">
        <v>11472</v>
      </c>
    </row>
    <row r="9081" spans="1:6" x14ac:dyDescent="0.25">
      <c r="A9081" t="str">
        <f>"5032143466"</f>
        <v>5032143466</v>
      </c>
      <c r="B9081" t="s">
        <v>12519</v>
      </c>
      <c r="C9081" t="s">
        <v>7</v>
      </c>
      <c r="D9081" t="s">
        <v>28</v>
      </c>
      <c r="E9081" t="s">
        <v>11472</v>
      </c>
      <c r="F9081" t="s">
        <v>12520</v>
      </c>
    </row>
    <row r="9082" spans="1:6" x14ac:dyDescent="0.25">
      <c r="A9082" t="str">
        <f>"5032158825"</f>
        <v>5032158825</v>
      </c>
      <c r="B9082" t="s">
        <v>12521</v>
      </c>
      <c r="C9082" t="s">
        <v>7</v>
      </c>
      <c r="D9082" t="s">
        <v>14</v>
      </c>
      <c r="E9082" t="s">
        <v>11472</v>
      </c>
      <c r="F9082" t="s">
        <v>12522</v>
      </c>
    </row>
    <row r="9083" spans="1:6" x14ac:dyDescent="0.25">
      <c r="A9083" t="str">
        <f>"503217934020"</f>
        <v>503217934020</v>
      </c>
      <c r="B9083" t="s">
        <v>12523</v>
      </c>
      <c r="C9083" t="s">
        <v>7</v>
      </c>
      <c r="D9083" t="s">
        <v>14</v>
      </c>
      <c r="E9083" t="s">
        <v>11472</v>
      </c>
    </row>
    <row r="9084" spans="1:6" x14ac:dyDescent="0.25">
      <c r="A9084" t="str">
        <f>"5032202859"</f>
        <v>5032202859</v>
      </c>
      <c r="B9084" t="s">
        <v>12524</v>
      </c>
      <c r="C9084" t="s">
        <v>7</v>
      </c>
      <c r="D9084" t="s">
        <v>12</v>
      </c>
      <c r="E9084" t="s">
        <v>11472</v>
      </c>
      <c r="F9084" t="s">
        <v>12525</v>
      </c>
    </row>
    <row r="9085" spans="1:6" x14ac:dyDescent="0.25">
      <c r="A9085" t="str">
        <f>"503223801726"</f>
        <v>503223801726</v>
      </c>
      <c r="B9085" t="s">
        <v>12526</v>
      </c>
      <c r="C9085" t="s">
        <v>7</v>
      </c>
      <c r="D9085" t="s">
        <v>14</v>
      </c>
      <c r="E9085" t="s">
        <v>11472</v>
      </c>
    </row>
    <row r="9086" spans="1:6" x14ac:dyDescent="0.25">
      <c r="A9086" t="str">
        <f>"5032271860"</f>
        <v>5032271860</v>
      </c>
      <c r="B9086" t="s">
        <v>12527</v>
      </c>
      <c r="C9086" t="s">
        <v>7</v>
      </c>
      <c r="D9086" t="s">
        <v>12</v>
      </c>
      <c r="E9086" t="s">
        <v>11472</v>
      </c>
      <c r="F9086" t="s">
        <v>12528</v>
      </c>
    </row>
    <row r="9087" spans="1:6" x14ac:dyDescent="0.25">
      <c r="A9087" t="str">
        <f>"5032272711"</f>
        <v>5032272711</v>
      </c>
      <c r="B9087" t="s">
        <v>12529</v>
      </c>
      <c r="C9087" t="s">
        <v>7</v>
      </c>
      <c r="D9087" t="s">
        <v>12</v>
      </c>
      <c r="E9087" t="s">
        <v>11472</v>
      </c>
      <c r="F9087" t="s">
        <v>12528</v>
      </c>
    </row>
    <row r="9088" spans="1:6" x14ac:dyDescent="0.25">
      <c r="A9088" t="str">
        <f>"5032287891"</f>
        <v>5032287891</v>
      </c>
      <c r="B9088" t="s">
        <v>12530</v>
      </c>
      <c r="C9088" t="s">
        <v>7</v>
      </c>
      <c r="D9088" t="s">
        <v>14</v>
      </c>
      <c r="E9088" t="s">
        <v>11472</v>
      </c>
      <c r="F9088" t="s">
        <v>12531</v>
      </c>
    </row>
    <row r="9089" spans="1:6" x14ac:dyDescent="0.25">
      <c r="A9089" t="str">
        <f>"1628009663"</f>
        <v>1628009663</v>
      </c>
      <c r="B9089" t="s">
        <v>12532</v>
      </c>
      <c r="C9089" t="s">
        <v>7</v>
      </c>
      <c r="D9089" t="s">
        <v>674</v>
      </c>
      <c r="E9089" t="s">
        <v>11472</v>
      </c>
      <c r="F9089" t="s">
        <v>12533</v>
      </c>
    </row>
    <row r="9090" spans="1:6" x14ac:dyDescent="0.25">
      <c r="A9090" t="str">
        <f>"7701575218"</f>
        <v>7701575218</v>
      </c>
      <c r="B9090" t="s">
        <v>12534</v>
      </c>
      <c r="C9090" t="s">
        <v>7</v>
      </c>
      <c r="D9090" t="s">
        <v>674</v>
      </c>
      <c r="E9090" t="s">
        <v>11472</v>
      </c>
      <c r="F9090" t="s">
        <v>12535</v>
      </c>
    </row>
    <row r="9091" spans="1:6" x14ac:dyDescent="0.25">
      <c r="A9091" t="str">
        <f>"7701748020"</f>
        <v>7701748020</v>
      </c>
      <c r="B9091" t="s">
        <v>12536</v>
      </c>
      <c r="C9091" t="s">
        <v>7</v>
      </c>
      <c r="D9091" t="s">
        <v>33</v>
      </c>
      <c r="E9091" t="s">
        <v>11472</v>
      </c>
      <c r="F9091" t="s">
        <v>12537</v>
      </c>
    </row>
    <row r="9092" spans="1:6" x14ac:dyDescent="0.25">
      <c r="A9092" t="str">
        <f>"7702192017"</f>
        <v>7702192017</v>
      </c>
      <c r="B9092" t="s">
        <v>12538</v>
      </c>
      <c r="C9092" t="s">
        <v>7</v>
      </c>
      <c r="D9092" t="s">
        <v>33</v>
      </c>
      <c r="E9092" t="s">
        <v>11472</v>
      </c>
      <c r="F9092" t="s">
        <v>12539</v>
      </c>
    </row>
    <row r="9093" spans="1:6" x14ac:dyDescent="0.25">
      <c r="A9093" t="str">
        <f>"7702667334"</f>
        <v>7702667334</v>
      </c>
      <c r="B9093" t="s">
        <v>12540</v>
      </c>
      <c r="C9093" t="s">
        <v>7</v>
      </c>
      <c r="D9093" t="s">
        <v>8</v>
      </c>
      <c r="E9093" t="s">
        <v>11472</v>
      </c>
      <c r="F9093" t="s">
        <v>12541</v>
      </c>
    </row>
    <row r="9094" spans="1:6" x14ac:dyDescent="0.25">
      <c r="A9094" t="str">
        <f>"7703283010"</f>
        <v>7703283010</v>
      </c>
      <c r="B9094" t="s">
        <v>12542</v>
      </c>
      <c r="C9094" t="s">
        <v>7</v>
      </c>
      <c r="D9094" t="s">
        <v>146</v>
      </c>
      <c r="E9094" t="s">
        <v>11472</v>
      </c>
      <c r="F9094" t="s">
        <v>12543</v>
      </c>
    </row>
    <row r="9095" spans="1:6" x14ac:dyDescent="0.25">
      <c r="A9095" t="str">
        <f>"7703618121"</f>
        <v>7703618121</v>
      </c>
      <c r="B9095" t="s">
        <v>12544</v>
      </c>
      <c r="C9095" t="s">
        <v>7</v>
      </c>
      <c r="D9095" t="s">
        <v>12</v>
      </c>
      <c r="E9095" t="s">
        <v>11472</v>
      </c>
      <c r="F9095" t="s">
        <v>12545</v>
      </c>
    </row>
    <row r="9096" spans="1:6" x14ac:dyDescent="0.25">
      <c r="A9096" t="str">
        <f>"7703638985"</f>
        <v>7703638985</v>
      </c>
      <c r="B9096" t="s">
        <v>12546</v>
      </c>
      <c r="C9096" t="s">
        <v>7</v>
      </c>
      <c r="D9096" t="s">
        <v>12</v>
      </c>
      <c r="E9096" t="s">
        <v>11472</v>
      </c>
      <c r="F9096" t="s">
        <v>12547</v>
      </c>
    </row>
    <row r="9097" spans="1:6" x14ac:dyDescent="0.25">
      <c r="A9097" t="str">
        <f>"7703752046"</f>
        <v>7703752046</v>
      </c>
      <c r="B9097" t="s">
        <v>12548</v>
      </c>
      <c r="C9097" t="s">
        <v>7</v>
      </c>
      <c r="D9097" t="s">
        <v>12</v>
      </c>
      <c r="E9097" t="s">
        <v>11472</v>
      </c>
      <c r="F9097" t="s">
        <v>12549</v>
      </c>
    </row>
    <row r="9098" spans="1:6" x14ac:dyDescent="0.25">
      <c r="A9098" t="str">
        <f>"7706779624"</f>
        <v>7706779624</v>
      </c>
      <c r="B9098" t="s">
        <v>12550</v>
      </c>
      <c r="C9098" t="s">
        <v>7</v>
      </c>
      <c r="D9098" t="s">
        <v>33</v>
      </c>
      <c r="E9098" t="s">
        <v>11472</v>
      </c>
      <c r="F9098" t="s">
        <v>12551</v>
      </c>
    </row>
    <row r="9099" spans="1:6" x14ac:dyDescent="0.25">
      <c r="A9099" t="str">
        <f>"7707630176"</f>
        <v>7707630176</v>
      </c>
      <c r="B9099" t="s">
        <v>12552</v>
      </c>
      <c r="C9099" t="s">
        <v>7</v>
      </c>
      <c r="D9099" t="s">
        <v>14</v>
      </c>
      <c r="E9099" t="s">
        <v>11472</v>
      </c>
      <c r="F9099" t="s">
        <v>12553</v>
      </c>
    </row>
    <row r="9100" spans="1:6" x14ac:dyDescent="0.25">
      <c r="A9100" t="str">
        <f>"7708341515"</f>
        <v>7708341515</v>
      </c>
      <c r="B9100" t="s">
        <v>12554</v>
      </c>
      <c r="C9100" t="s">
        <v>7</v>
      </c>
      <c r="D9100" t="s">
        <v>12</v>
      </c>
      <c r="E9100" t="s">
        <v>11472</v>
      </c>
      <c r="F9100" t="s">
        <v>12555</v>
      </c>
    </row>
    <row r="9101" spans="1:6" x14ac:dyDescent="0.25">
      <c r="A9101" t="str">
        <f>"290138367798"</f>
        <v>290138367798</v>
      </c>
      <c r="B9101" t="s">
        <v>12556</v>
      </c>
      <c r="C9101" t="s">
        <v>7</v>
      </c>
      <c r="D9101" t="s">
        <v>14</v>
      </c>
      <c r="E9101" t="s">
        <v>11472</v>
      </c>
    </row>
    <row r="9102" spans="1:6" x14ac:dyDescent="0.25">
      <c r="A9102" t="str">
        <f>"235202616702"</f>
        <v>235202616702</v>
      </c>
      <c r="B9102" t="s">
        <v>12557</v>
      </c>
      <c r="C9102" t="s">
        <v>7</v>
      </c>
      <c r="D9102" t="s">
        <v>12</v>
      </c>
      <c r="E9102" t="s">
        <v>11472</v>
      </c>
    </row>
    <row r="9103" spans="1:6" x14ac:dyDescent="0.25">
      <c r="A9103" t="str">
        <f>"5032337302"</f>
        <v>5032337302</v>
      </c>
      <c r="B9103" t="s">
        <v>12558</v>
      </c>
      <c r="C9103" t="s">
        <v>7</v>
      </c>
      <c r="D9103" t="s">
        <v>14</v>
      </c>
      <c r="E9103" t="s">
        <v>11472</v>
      </c>
      <c r="F9103" t="s">
        <v>12559</v>
      </c>
    </row>
    <row r="9104" spans="1:6" x14ac:dyDescent="0.25">
      <c r="A9104" t="str">
        <f>"5032339420"</f>
        <v>5032339420</v>
      </c>
      <c r="B9104" t="s">
        <v>12560</v>
      </c>
      <c r="C9104" t="s">
        <v>7</v>
      </c>
      <c r="D9104" t="s">
        <v>12</v>
      </c>
      <c r="E9104" t="s">
        <v>11472</v>
      </c>
      <c r="F9104" t="s">
        <v>12561</v>
      </c>
    </row>
    <row r="9105" spans="1:6" x14ac:dyDescent="0.25">
      <c r="A9105" t="str">
        <f>"5032351755"</f>
        <v>5032351755</v>
      </c>
      <c r="B9105" t="s">
        <v>12562</v>
      </c>
      <c r="C9105" t="s">
        <v>7</v>
      </c>
      <c r="D9105" t="s">
        <v>14</v>
      </c>
      <c r="E9105" t="s">
        <v>11472</v>
      </c>
      <c r="F9105" t="s">
        <v>12563</v>
      </c>
    </row>
    <row r="9106" spans="1:6" x14ac:dyDescent="0.25">
      <c r="A9106" t="str">
        <f>"5032374897"</f>
        <v>5032374897</v>
      </c>
      <c r="B9106" t="s">
        <v>12564</v>
      </c>
      <c r="C9106" t="s">
        <v>7</v>
      </c>
      <c r="D9106" t="s">
        <v>33</v>
      </c>
      <c r="E9106" t="s">
        <v>11472</v>
      </c>
      <c r="F9106" t="s">
        <v>12565</v>
      </c>
    </row>
    <row r="9107" spans="1:6" x14ac:dyDescent="0.25">
      <c r="A9107" t="str">
        <f>"5032381083"</f>
        <v>5032381083</v>
      </c>
      <c r="B9107" t="s">
        <v>12566</v>
      </c>
      <c r="C9107" t="s">
        <v>7</v>
      </c>
      <c r="D9107" t="s">
        <v>33</v>
      </c>
      <c r="E9107" t="s">
        <v>11472</v>
      </c>
      <c r="F9107" t="s">
        <v>12567</v>
      </c>
    </row>
    <row r="9108" spans="1:6" x14ac:dyDescent="0.25">
      <c r="A9108" t="str">
        <f>"503238653566"</f>
        <v>503238653566</v>
      </c>
      <c r="B9108" t="s">
        <v>12568</v>
      </c>
      <c r="C9108" t="s">
        <v>7</v>
      </c>
      <c r="D9108" t="s">
        <v>14</v>
      </c>
      <c r="E9108" t="s">
        <v>11472</v>
      </c>
    </row>
    <row r="9109" spans="1:6" x14ac:dyDescent="0.25">
      <c r="A9109" t="str">
        <f>"503300048482"</f>
        <v>503300048482</v>
      </c>
      <c r="B9109" t="s">
        <v>12569</v>
      </c>
      <c r="C9109" t="s">
        <v>7</v>
      </c>
      <c r="D9109" t="s">
        <v>14</v>
      </c>
      <c r="E9109" t="s">
        <v>11472</v>
      </c>
    </row>
    <row r="9110" spans="1:6" x14ac:dyDescent="0.25">
      <c r="A9110" t="str">
        <f>"503300135142"</f>
        <v>503300135142</v>
      </c>
      <c r="B9110" t="s">
        <v>12570</v>
      </c>
      <c r="C9110" t="s">
        <v>7</v>
      </c>
      <c r="D9110" t="s">
        <v>14</v>
      </c>
      <c r="E9110" t="s">
        <v>11472</v>
      </c>
    </row>
    <row r="9111" spans="1:6" x14ac:dyDescent="0.25">
      <c r="A9111" t="str">
        <f>"5033001802"</f>
        <v>5033001802</v>
      </c>
      <c r="B9111" t="s">
        <v>12571</v>
      </c>
      <c r="C9111" t="s">
        <v>7</v>
      </c>
      <c r="D9111" t="s">
        <v>12</v>
      </c>
      <c r="E9111" t="s">
        <v>11472</v>
      </c>
      <c r="F9111" t="s">
        <v>12572</v>
      </c>
    </row>
    <row r="9112" spans="1:6" x14ac:dyDescent="0.25">
      <c r="A9112" t="str">
        <f>"503302793605"</f>
        <v>503302793605</v>
      </c>
      <c r="B9112" t="s">
        <v>12573</v>
      </c>
      <c r="C9112" t="s">
        <v>7</v>
      </c>
      <c r="D9112" t="s">
        <v>14</v>
      </c>
      <c r="E9112" t="s">
        <v>11472</v>
      </c>
    </row>
    <row r="9113" spans="1:6" x14ac:dyDescent="0.25">
      <c r="A9113" t="str">
        <f>"5034021079"</f>
        <v>5034021079</v>
      </c>
      <c r="B9113" t="s">
        <v>12574</v>
      </c>
      <c r="C9113" t="s">
        <v>7</v>
      </c>
      <c r="D9113" t="s">
        <v>14</v>
      </c>
      <c r="E9113" t="s">
        <v>11472</v>
      </c>
      <c r="F9113" t="s">
        <v>12575</v>
      </c>
    </row>
    <row r="9114" spans="1:6" x14ac:dyDescent="0.25">
      <c r="A9114" t="str">
        <f>"5034047937"</f>
        <v>5034047937</v>
      </c>
      <c r="B9114" t="s">
        <v>12576</v>
      </c>
      <c r="C9114" t="s">
        <v>7</v>
      </c>
      <c r="D9114" t="s">
        <v>14</v>
      </c>
      <c r="E9114" t="s">
        <v>11472</v>
      </c>
      <c r="F9114" t="s">
        <v>12577</v>
      </c>
    </row>
    <row r="9115" spans="1:6" x14ac:dyDescent="0.25">
      <c r="A9115" t="str">
        <f>"5034070414"</f>
        <v>5034070414</v>
      </c>
      <c r="B9115" t="s">
        <v>12578</v>
      </c>
      <c r="C9115" t="s">
        <v>7</v>
      </c>
      <c r="D9115" t="s">
        <v>12</v>
      </c>
      <c r="E9115" t="s">
        <v>11472</v>
      </c>
      <c r="F9115" t="s">
        <v>12579</v>
      </c>
    </row>
    <row r="9116" spans="1:6" x14ac:dyDescent="0.25">
      <c r="A9116" t="str">
        <f>"503407990544"</f>
        <v>503407990544</v>
      </c>
      <c r="B9116" t="s">
        <v>12580</v>
      </c>
      <c r="C9116" t="s">
        <v>7</v>
      </c>
      <c r="D9116" t="s">
        <v>14</v>
      </c>
      <c r="E9116" t="s">
        <v>11472</v>
      </c>
    </row>
    <row r="9117" spans="1:6" x14ac:dyDescent="0.25">
      <c r="A9117" t="str">
        <f>"5036042807"</f>
        <v>5036042807</v>
      </c>
      <c r="B9117" t="s">
        <v>12581</v>
      </c>
      <c r="C9117" t="s">
        <v>7</v>
      </c>
      <c r="D9117" t="s">
        <v>14</v>
      </c>
      <c r="E9117" t="s">
        <v>11472</v>
      </c>
      <c r="F9117" t="s">
        <v>12582</v>
      </c>
    </row>
    <row r="9118" spans="1:6" x14ac:dyDescent="0.25">
      <c r="A9118" t="str">
        <f>"503610449149"</f>
        <v>503610449149</v>
      </c>
      <c r="B9118" t="s">
        <v>12583</v>
      </c>
      <c r="C9118" t="s">
        <v>7</v>
      </c>
      <c r="D9118" t="s">
        <v>14</v>
      </c>
      <c r="E9118" t="s">
        <v>11472</v>
      </c>
    </row>
    <row r="9119" spans="1:6" x14ac:dyDescent="0.25">
      <c r="A9119" t="str">
        <f>"5036153930"</f>
        <v>5036153930</v>
      </c>
      <c r="B9119" t="s">
        <v>12584</v>
      </c>
      <c r="C9119" t="s">
        <v>7</v>
      </c>
      <c r="D9119" t="s">
        <v>14</v>
      </c>
      <c r="E9119" t="s">
        <v>11472</v>
      </c>
      <c r="F9119" t="s">
        <v>12585</v>
      </c>
    </row>
    <row r="9120" spans="1:6" x14ac:dyDescent="0.25">
      <c r="A9120" t="str">
        <f>"5036158625"</f>
        <v>5036158625</v>
      </c>
      <c r="B9120" t="s">
        <v>12586</v>
      </c>
      <c r="C9120" t="s">
        <v>7</v>
      </c>
      <c r="D9120" t="s">
        <v>14</v>
      </c>
      <c r="E9120" t="s">
        <v>11472</v>
      </c>
      <c r="F9120" t="s">
        <v>12587</v>
      </c>
    </row>
    <row r="9121" spans="1:6" x14ac:dyDescent="0.25">
      <c r="A9121" t="str">
        <f>"5036164019"</f>
        <v>5036164019</v>
      </c>
      <c r="B9121" t="s">
        <v>12588</v>
      </c>
      <c r="C9121" t="s">
        <v>7</v>
      </c>
      <c r="D9121" t="s">
        <v>12</v>
      </c>
      <c r="E9121" t="s">
        <v>11472</v>
      </c>
      <c r="F9121" t="s">
        <v>12589</v>
      </c>
    </row>
    <row r="9122" spans="1:6" x14ac:dyDescent="0.25">
      <c r="A9122" t="str">
        <f>"503700008967"</f>
        <v>503700008967</v>
      </c>
      <c r="B9122" t="s">
        <v>12590</v>
      </c>
      <c r="C9122" t="s">
        <v>7</v>
      </c>
      <c r="D9122" t="s">
        <v>14</v>
      </c>
      <c r="E9122" t="s">
        <v>11472</v>
      </c>
    </row>
    <row r="9123" spans="1:6" x14ac:dyDescent="0.25">
      <c r="A9123" t="str">
        <f>"503803150845"</f>
        <v>503803150845</v>
      </c>
      <c r="B9123" t="s">
        <v>12591</v>
      </c>
      <c r="C9123" t="s">
        <v>7</v>
      </c>
      <c r="D9123" t="s">
        <v>14</v>
      </c>
      <c r="E9123" t="s">
        <v>11472</v>
      </c>
    </row>
    <row r="9124" spans="1:6" x14ac:dyDescent="0.25">
      <c r="A9124" t="str">
        <f>"503806154407"</f>
        <v>503806154407</v>
      </c>
      <c r="B9124" t="s">
        <v>12592</v>
      </c>
      <c r="C9124" t="s">
        <v>7</v>
      </c>
      <c r="D9124" t="s">
        <v>14</v>
      </c>
      <c r="E9124" t="s">
        <v>11472</v>
      </c>
    </row>
    <row r="9125" spans="1:6" x14ac:dyDescent="0.25">
      <c r="A9125" t="str">
        <f>"5038078333"</f>
        <v>5038078333</v>
      </c>
      <c r="B9125" t="s">
        <v>12593</v>
      </c>
      <c r="C9125" t="s">
        <v>7</v>
      </c>
      <c r="D9125" t="s">
        <v>14</v>
      </c>
      <c r="E9125" t="s">
        <v>11472</v>
      </c>
      <c r="F9125" t="s">
        <v>12594</v>
      </c>
    </row>
    <row r="9126" spans="1:6" x14ac:dyDescent="0.25">
      <c r="A9126" t="str">
        <f>"5038081047"</f>
        <v>5038081047</v>
      </c>
      <c r="B9126" t="s">
        <v>12595</v>
      </c>
      <c r="C9126" t="s">
        <v>7</v>
      </c>
      <c r="D9126" t="s">
        <v>146</v>
      </c>
      <c r="E9126" t="s">
        <v>11472</v>
      </c>
      <c r="F9126" t="s">
        <v>12596</v>
      </c>
    </row>
    <row r="9127" spans="1:6" x14ac:dyDescent="0.25">
      <c r="A9127" t="str">
        <f>"503809243119"</f>
        <v>503809243119</v>
      </c>
      <c r="B9127" t="s">
        <v>12597</v>
      </c>
      <c r="C9127" t="s">
        <v>7</v>
      </c>
      <c r="D9127" t="s">
        <v>33</v>
      </c>
      <c r="E9127" t="s">
        <v>11472</v>
      </c>
    </row>
    <row r="9128" spans="1:6" x14ac:dyDescent="0.25">
      <c r="A9128" t="str">
        <f>"503809885557"</f>
        <v>503809885557</v>
      </c>
      <c r="B9128" t="s">
        <v>12598</v>
      </c>
      <c r="C9128" t="s">
        <v>7</v>
      </c>
      <c r="D9128" t="s">
        <v>14</v>
      </c>
      <c r="E9128" t="s">
        <v>11472</v>
      </c>
    </row>
    <row r="9129" spans="1:6" x14ac:dyDescent="0.25">
      <c r="A9129" t="str">
        <f>"5038101007"</f>
        <v>5038101007</v>
      </c>
      <c r="B9129" t="s">
        <v>12599</v>
      </c>
      <c r="C9129" t="s">
        <v>7</v>
      </c>
      <c r="D9129" t="s">
        <v>33</v>
      </c>
      <c r="E9129" t="s">
        <v>11472</v>
      </c>
      <c r="F9129" t="s">
        <v>12600</v>
      </c>
    </row>
    <row r="9130" spans="1:6" x14ac:dyDescent="0.25">
      <c r="A9130" t="str">
        <f>"5038105259"</f>
        <v>5038105259</v>
      </c>
      <c r="B9130" t="s">
        <v>12601</v>
      </c>
      <c r="C9130" t="s">
        <v>7</v>
      </c>
      <c r="D9130" t="s">
        <v>14</v>
      </c>
      <c r="E9130" t="s">
        <v>11472</v>
      </c>
      <c r="F9130" t="s">
        <v>12602</v>
      </c>
    </row>
    <row r="9131" spans="1:6" x14ac:dyDescent="0.25">
      <c r="A9131" t="str">
        <f>"5038134027"</f>
        <v>5038134027</v>
      </c>
      <c r="B9131" t="s">
        <v>12603</v>
      </c>
      <c r="C9131" t="s">
        <v>7</v>
      </c>
      <c r="D9131" t="s">
        <v>146</v>
      </c>
      <c r="E9131" t="s">
        <v>11472</v>
      </c>
      <c r="F9131" t="s">
        <v>12604</v>
      </c>
    </row>
    <row r="9132" spans="1:6" x14ac:dyDescent="0.25">
      <c r="A9132" t="str">
        <f>"503815485250"</f>
        <v>503815485250</v>
      </c>
      <c r="B9132" t="s">
        <v>12605</v>
      </c>
      <c r="C9132" t="s">
        <v>7</v>
      </c>
      <c r="D9132" t="s">
        <v>14</v>
      </c>
      <c r="E9132" t="s">
        <v>11472</v>
      </c>
    </row>
    <row r="9133" spans="1:6" x14ac:dyDescent="0.25">
      <c r="A9133" t="str">
        <f>"5038162592"</f>
        <v>5038162592</v>
      </c>
      <c r="B9133" t="s">
        <v>12606</v>
      </c>
      <c r="C9133" t="s">
        <v>7</v>
      </c>
      <c r="D9133" t="s">
        <v>14</v>
      </c>
      <c r="E9133" t="s">
        <v>11472</v>
      </c>
      <c r="F9133" t="s">
        <v>12607</v>
      </c>
    </row>
    <row r="9134" spans="1:6" x14ac:dyDescent="0.25">
      <c r="A9134" t="str">
        <f>"503900017214"</f>
        <v>503900017214</v>
      </c>
      <c r="B9134" t="s">
        <v>12608</v>
      </c>
      <c r="C9134" t="s">
        <v>7</v>
      </c>
      <c r="D9134" t="s">
        <v>14</v>
      </c>
      <c r="E9134" t="s">
        <v>11472</v>
      </c>
    </row>
    <row r="9135" spans="1:6" x14ac:dyDescent="0.25">
      <c r="A9135" t="str">
        <f>"503905642596"</f>
        <v>503905642596</v>
      </c>
      <c r="B9135" t="s">
        <v>12609</v>
      </c>
      <c r="C9135" t="s">
        <v>7</v>
      </c>
      <c r="D9135" t="s">
        <v>14</v>
      </c>
      <c r="E9135" t="s">
        <v>11472</v>
      </c>
    </row>
    <row r="9136" spans="1:6" x14ac:dyDescent="0.25">
      <c r="A9136" t="str">
        <f>"504004293711"</f>
        <v>504004293711</v>
      </c>
      <c r="B9136" t="s">
        <v>12610</v>
      </c>
      <c r="C9136" t="s">
        <v>7</v>
      </c>
      <c r="D9136" t="s">
        <v>14</v>
      </c>
      <c r="E9136" t="s">
        <v>11472</v>
      </c>
    </row>
    <row r="9137" spans="1:6" x14ac:dyDescent="0.25">
      <c r="A9137" t="str">
        <f>"5040118583"</f>
        <v>5040118583</v>
      </c>
      <c r="B9137" t="s">
        <v>12611</v>
      </c>
      <c r="C9137" t="s">
        <v>7</v>
      </c>
      <c r="D9137" t="s">
        <v>14</v>
      </c>
      <c r="E9137" t="s">
        <v>11472</v>
      </c>
      <c r="F9137" t="s">
        <v>12612</v>
      </c>
    </row>
    <row r="9138" spans="1:6" x14ac:dyDescent="0.25">
      <c r="A9138" t="str">
        <f>"504013035805"</f>
        <v>504013035805</v>
      </c>
      <c r="B9138" t="s">
        <v>12613</v>
      </c>
      <c r="C9138" t="s">
        <v>7</v>
      </c>
      <c r="D9138" t="s">
        <v>14</v>
      </c>
      <c r="E9138" t="s">
        <v>11472</v>
      </c>
    </row>
    <row r="9139" spans="1:6" x14ac:dyDescent="0.25">
      <c r="A9139" t="str">
        <f>"504014019570"</f>
        <v>504014019570</v>
      </c>
      <c r="B9139" t="s">
        <v>12614</v>
      </c>
      <c r="C9139" t="s">
        <v>7</v>
      </c>
      <c r="D9139" t="s">
        <v>12</v>
      </c>
      <c r="E9139" t="s">
        <v>11472</v>
      </c>
    </row>
    <row r="9140" spans="1:6" x14ac:dyDescent="0.25">
      <c r="A9140" t="str">
        <f>"5040164036"</f>
        <v>5040164036</v>
      </c>
      <c r="B9140" t="s">
        <v>12615</v>
      </c>
      <c r="C9140" t="s">
        <v>7</v>
      </c>
      <c r="D9140" t="s">
        <v>674</v>
      </c>
      <c r="E9140" t="s">
        <v>11472</v>
      </c>
      <c r="F9140" t="s">
        <v>12616</v>
      </c>
    </row>
    <row r="9141" spans="1:6" x14ac:dyDescent="0.25">
      <c r="A9141" t="str">
        <f>"504018053967"</f>
        <v>504018053967</v>
      </c>
      <c r="B9141" t="s">
        <v>12617</v>
      </c>
      <c r="C9141" t="s">
        <v>7</v>
      </c>
      <c r="D9141" t="s">
        <v>14</v>
      </c>
      <c r="E9141" t="s">
        <v>11472</v>
      </c>
    </row>
    <row r="9142" spans="1:6" x14ac:dyDescent="0.25">
      <c r="A9142" t="str">
        <f>"504024124479"</f>
        <v>504024124479</v>
      </c>
      <c r="B9142" t="s">
        <v>12618</v>
      </c>
      <c r="C9142" t="s">
        <v>7</v>
      </c>
      <c r="D9142" t="s">
        <v>14</v>
      </c>
      <c r="E9142" t="s">
        <v>11472</v>
      </c>
    </row>
    <row r="9143" spans="1:6" x14ac:dyDescent="0.25">
      <c r="A9143" t="str">
        <f>"504025896774"</f>
        <v>504025896774</v>
      </c>
      <c r="B9143" t="s">
        <v>12619</v>
      </c>
      <c r="C9143" t="s">
        <v>7</v>
      </c>
      <c r="D9143" t="s">
        <v>14</v>
      </c>
      <c r="E9143" t="s">
        <v>11472</v>
      </c>
    </row>
    <row r="9144" spans="1:6" x14ac:dyDescent="0.25">
      <c r="A9144" t="str">
        <f>"504102764775"</f>
        <v>504102764775</v>
      </c>
      <c r="B9144" t="s">
        <v>12620</v>
      </c>
      <c r="C9144" t="s">
        <v>7</v>
      </c>
      <c r="D9144" t="s">
        <v>33</v>
      </c>
      <c r="E9144" t="s">
        <v>11472</v>
      </c>
    </row>
    <row r="9145" spans="1:6" x14ac:dyDescent="0.25">
      <c r="A9145" t="str">
        <f>"504111412890"</f>
        <v>504111412890</v>
      </c>
      <c r="B9145" t="s">
        <v>12621</v>
      </c>
      <c r="C9145" t="s">
        <v>7</v>
      </c>
      <c r="D9145" t="s">
        <v>14</v>
      </c>
      <c r="E9145" t="s">
        <v>11472</v>
      </c>
    </row>
    <row r="9146" spans="1:6" x14ac:dyDescent="0.25">
      <c r="A9146" t="str">
        <f>"5042007769"</f>
        <v>5042007769</v>
      </c>
      <c r="B9146" t="s">
        <v>12622</v>
      </c>
      <c r="C9146" t="s">
        <v>7</v>
      </c>
      <c r="D9146" t="s">
        <v>463</v>
      </c>
      <c r="E9146" t="s">
        <v>11472</v>
      </c>
      <c r="F9146" t="s">
        <v>12623</v>
      </c>
    </row>
    <row r="9147" spans="1:6" x14ac:dyDescent="0.25">
      <c r="A9147" t="str">
        <f>"504206953329"</f>
        <v>504206953329</v>
      </c>
      <c r="B9147" t="s">
        <v>12624</v>
      </c>
      <c r="C9147" t="s">
        <v>7</v>
      </c>
      <c r="D9147" t="s">
        <v>14</v>
      </c>
      <c r="E9147" t="s">
        <v>11472</v>
      </c>
    </row>
    <row r="9148" spans="1:6" x14ac:dyDescent="0.25">
      <c r="A9148" t="str">
        <f>"5042105244"</f>
        <v>5042105244</v>
      </c>
      <c r="B9148" t="s">
        <v>12625</v>
      </c>
      <c r="C9148" t="s">
        <v>7</v>
      </c>
      <c r="D9148" t="s">
        <v>14</v>
      </c>
      <c r="E9148" t="s">
        <v>11472</v>
      </c>
      <c r="F9148" t="s">
        <v>12626</v>
      </c>
    </row>
    <row r="9149" spans="1:6" x14ac:dyDescent="0.25">
      <c r="A9149" t="str">
        <f>"5042144268"</f>
        <v>5042144268</v>
      </c>
      <c r="B9149" t="s">
        <v>12627</v>
      </c>
      <c r="C9149" t="s">
        <v>7</v>
      </c>
      <c r="D9149" t="s">
        <v>146</v>
      </c>
      <c r="E9149" t="s">
        <v>11472</v>
      </c>
      <c r="F9149" t="s">
        <v>12628</v>
      </c>
    </row>
    <row r="9150" spans="1:6" x14ac:dyDescent="0.25">
      <c r="A9150" t="str">
        <f>"5042150840"</f>
        <v>5042150840</v>
      </c>
      <c r="B9150" t="s">
        <v>12629</v>
      </c>
      <c r="C9150" t="s">
        <v>7</v>
      </c>
      <c r="D9150" t="s">
        <v>28</v>
      </c>
      <c r="E9150" t="s">
        <v>11472</v>
      </c>
      <c r="F9150" t="s">
        <v>12630</v>
      </c>
    </row>
    <row r="9151" spans="1:6" x14ac:dyDescent="0.25">
      <c r="A9151" t="str">
        <f>"5042153671"</f>
        <v>5042153671</v>
      </c>
      <c r="B9151" t="s">
        <v>12631</v>
      </c>
      <c r="C9151" t="s">
        <v>7</v>
      </c>
      <c r="D9151" t="s">
        <v>14</v>
      </c>
      <c r="E9151" t="s">
        <v>11472</v>
      </c>
      <c r="F9151" t="s">
        <v>12632</v>
      </c>
    </row>
    <row r="9152" spans="1:6" x14ac:dyDescent="0.25">
      <c r="A9152" t="str">
        <f>"504215981700"</f>
        <v>504215981700</v>
      </c>
      <c r="B9152" t="s">
        <v>12633</v>
      </c>
      <c r="C9152" t="s">
        <v>7</v>
      </c>
      <c r="D9152" t="s">
        <v>14</v>
      </c>
      <c r="E9152" t="s">
        <v>11472</v>
      </c>
    </row>
    <row r="9153" spans="1:6" x14ac:dyDescent="0.25">
      <c r="A9153" t="str">
        <f>"504216325820"</f>
        <v>504216325820</v>
      </c>
      <c r="B9153" t="s">
        <v>12634</v>
      </c>
      <c r="C9153" t="s">
        <v>7</v>
      </c>
      <c r="D9153" t="s">
        <v>14</v>
      </c>
      <c r="E9153" t="s">
        <v>11472</v>
      </c>
    </row>
    <row r="9154" spans="1:6" x14ac:dyDescent="0.25">
      <c r="A9154" t="str">
        <f>"504224259346"</f>
        <v>504224259346</v>
      </c>
      <c r="B9154" t="s">
        <v>12635</v>
      </c>
      <c r="C9154" t="s">
        <v>7</v>
      </c>
      <c r="D9154" t="s">
        <v>14</v>
      </c>
      <c r="E9154" t="s">
        <v>11472</v>
      </c>
    </row>
    <row r="9155" spans="1:6" x14ac:dyDescent="0.25">
      <c r="A9155" t="str">
        <f>"504300195104"</f>
        <v>504300195104</v>
      </c>
      <c r="B9155" t="s">
        <v>12636</v>
      </c>
      <c r="C9155" t="s">
        <v>7</v>
      </c>
      <c r="D9155" t="s">
        <v>12</v>
      </c>
      <c r="E9155" t="s">
        <v>11472</v>
      </c>
    </row>
    <row r="9156" spans="1:6" x14ac:dyDescent="0.25">
      <c r="A9156" t="str">
        <f>"5043028183"</f>
        <v>5043028183</v>
      </c>
      <c r="B9156" t="s">
        <v>12637</v>
      </c>
      <c r="C9156" t="s">
        <v>7</v>
      </c>
      <c r="D9156" t="s">
        <v>14</v>
      </c>
      <c r="E9156" t="s">
        <v>11472</v>
      </c>
      <c r="F9156" t="s">
        <v>12638</v>
      </c>
    </row>
    <row r="9157" spans="1:6" x14ac:dyDescent="0.25">
      <c r="A9157" t="str">
        <f>"5043065900"</f>
        <v>5043065900</v>
      </c>
      <c r="B9157" t="s">
        <v>12639</v>
      </c>
      <c r="C9157" t="s">
        <v>7</v>
      </c>
      <c r="D9157" t="s">
        <v>33</v>
      </c>
      <c r="E9157" t="s">
        <v>11472</v>
      </c>
      <c r="F9157" t="s">
        <v>12640</v>
      </c>
    </row>
    <row r="9158" spans="1:6" x14ac:dyDescent="0.25">
      <c r="A9158" t="str">
        <f>"504307131646"</f>
        <v>504307131646</v>
      </c>
      <c r="B9158" t="s">
        <v>12641</v>
      </c>
      <c r="C9158" t="s">
        <v>7</v>
      </c>
      <c r="D9158" t="s">
        <v>33</v>
      </c>
      <c r="E9158" t="s">
        <v>11472</v>
      </c>
    </row>
    <row r="9159" spans="1:6" x14ac:dyDescent="0.25">
      <c r="A9159" t="str">
        <f>"5043075803"</f>
        <v>5043075803</v>
      </c>
      <c r="B9159" t="s">
        <v>12642</v>
      </c>
      <c r="C9159" t="s">
        <v>7</v>
      </c>
      <c r="D9159" t="s">
        <v>33</v>
      </c>
      <c r="E9159" t="s">
        <v>11472</v>
      </c>
      <c r="F9159" t="s">
        <v>12643</v>
      </c>
    </row>
    <row r="9160" spans="1:6" x14ac:dyDescent="0.25">
      <c r="A9160" t="str">
        <f>"504308459895"</f>
        <v>504308459895</v>
      </c>
      <c r="B9160" t="s">
        <v>12644</v>
      </c>
      <c r="C9160" t="s">
        <v>7</v>
      </c>
      <c r="D9160" t="s">
        <v>14</v>
      </c>
      <c r="E9160" t="s">
        <v>11472</v>
      </c>
    </row>
    <row r="9161" spans="1:6" x14ac:dyDescent="0.25">
      <c r="A9161" t="str">
        <f>"1639058197"</f>
        <v>1639058197</v>
      </c>
      <c r="B9161" t="s">
        <v>12645</v>
      </c>
      <c r="C9161" t="s">
        <v>7</v>
      </c>
      <c r="D9161" t="s">
        <v>674</v>
      </c>
      <c r="E9161" t="s">
        <v>11472</v>
      </c>
      <c r="F9161" t="s">
        <v>12646</v>
      </c>
    </row>
    <row r="9162" spans="1:6" x14ac:dyDescent="0.25">
      <c r="A9162" t="str">
        <f>"5032317056"</f>
        <v>5032317056</v>
      </c>
      <c r="B9162" t="s">
        <v>12647</v>
      </c>
      <c r="C9162" t="s">
        <v>7</v>
      </c>
      <c r="D9162" t="s">
        <v>28</v>
      </c>
      <c r="E9162" t="s">
        <v>11472</v>
      </c>
      <c r="F9162" t="s">
        <v>12648</v>
      </c>
    </row>
    <row r="9163" spans="1:6" x14ac:dyDescent="0.25">
      <c r="A9163" t="str">
        <f>"5032331830"</f>
        <v>5032331830</v>
      </c>
      <c r="B9163" t="s">
        <v>12649</v>
      </c>
      <c r="C9163" t="s">
        <v>7</v>
      </c>
      <c r="D9163" t="s">
        <v>12</v>
      </c>
      <c r="E9163" t="s">
        <v>11472</v>
      </c>
      <c r="F9163" t="s">
        <v>12650</v>
      </c>
    </row>
    <row r="9164" spans="1:6" x14ac:dyDescent="0.25">
      <c r="A9164" t="str">
        <f>"5032338049"</f>
        <v>5032338049</v>
      </c>
      <c r="B9164" t="s">
        <v>12651</v>
      </c>
      <c r="C9164" t="s">
        <v>7</v>
      </c>
      <c r="D9164" t="s">
        <v>12</v>
      </c>
      <c r="E9164" t="s">
        <v>11472</v>
      </c>
      <c r="F9164" t="s">
        <v>12652</v>
      </c>
    </row>
    <row r="9165" spans="1:6" x14ac:dyDescent="0.25">
      <c r="A9165" t="str">
        <f>"5032339010"</f>
        <v>5032339010</v>
      </c>
      <c r="B9165" t="s">
        <v>12653</v>
      </c>
      <c r="C9165" t="s">
        <v>7</v>
      </c>
      <c r="D9165" t="s">
        <v>28</v>
      </c>
      <c r="E9165" t="s">
        <v>11472</v>
      </c>
      <c r="F9165" t="s">
        <v>12654</v>
      </c>
    </row>
    <row r="9166" spans="1:6" x14ac:dyDescent="0.25">
      <c r="A9166" t="str">
        <f>"5032342172"</f>
        <v>5032342172</v>
      </c>
      <c r="B9166" t="s">
        <v>12655</v>
      </c>
      <c r="C9166" t="s">
        <v>7</v>
      </c>
      <c r="D9166" t="s">
        <v>674</v>
      </c>
      <c r="E9166" t="s">
        <v>11472</v>
      </c>
      <c r="F9166" t="s">
        <v>12656</v>
      </c>
    </row>
    <row r="9167" spans="1:6" x14ac:dyDescent="0.25">
      <c r="A9167" t="str">
        <f>"5034014963"</f>
        <v>5034014963</v>
      </c>
      <c r="B9167" t="s">
        <v>12657</v>
      </c>
      <c r="C9167" t="s">
        <v>7</v>
      </c>
      <c r="D9167" t="s">
        <v>12</v>
      </c>
      <c r="E9167" t="s">
        <v>11472</v>
      </c>
      <c r="F9167" t="s">
        <v>12658</v>
      </c>
    </row>
    <row r="9168" spans="1:6" x14ac:dyDescent="0.25">
      <c r="A9168" t="str">
        <f>"503401970358"</f>
        <v>503401970358</v>
      </c>
      <c r="B9168" t="s">
        <v>12659</v>
      </c>
      <c r="C9168" t="s">
        <v>7</v>
      </c>
      <c r="D9168" t="s">
        <v>14</v>
      </c>
      <c r="E9168" t="s">
        <v>11472</v>
      </c>
    </row>
    <row r="9169" spans="1:6" x14ac:dyDescent="0.25">
      <c r="A9169" t="str">
        <f>"503404148900"</f>
        <v>503404148900</v>
      </c>
      <c r="B9169" t="s">
        <v>12660</v>
      </c>
      <c r="C9169" t="s">
        <v>7</v>
      </c>
      <c r="D9169" t="s">
        <v>33</v>
      </c>
      <c r="E9169" t="s">
        <v>11472</v>
      </c>
    </row>
    <row r="9170" spans="1:6" x14ac:dyDescent="0.25">
      <c r="A9170" t="str">
        <f>"5034059749"</f>
        <v>5034059749</v>
      </c>
      <c r="B9170" t="s">
        <v>12661</v>
      </c>
      <c r="C9170" t="s">
        <v>7</v>
      </c>
      <c r="D9170" t="s">
        <v>12</v>
      </c>
      <c r="E9170" t="s">
        <v>11472</v>
      </c>
      <c r="F9170" t="s">
        <v>12662</v>
      </c>
    </row>
    <row r="9171" spans="1:6" x14ac:dyDescent="0.25">
      <c r="A9171" t="str">
        <f>"503410387826"</f>
        <v>503410387826</v>
      </c>
      <c r="B9171" t="s">
        <v>12663</v>
      </c>
      <c r="C9171" t="s">
        <v>7</v>
      </c>
      <c r="D9171" t="s">
        <v>14</v>
      </c>
      <c r="E9171" t="s">
        <v>11472</v>
      </c>
    </row>
    <row r="9172" spans="1:6" x14ac:dyDescent="0.25">
      <c r="A9172" t="str">
        <f>"503411642405"</f>
        <v>503411642405</v>
      </c>
      <c r="B9172" t="s">
        <v>12664</v>
      </c>
      <c r="C9172" t="s">
        <v>7</v>
      </c>
      <c r="D9172" t="s">
        <v>98</v>
      </c>
      <c r="E9172" t="s">
        <v>11472</v>
      </c>
    </row>
    <row r="9173" spans="1:6" x14ac:dyDescent="0.25">
      <c r="A9173" t="str">
        <f>"503502156145"</f>
        <v>503502156145</v>
      </c>
      <c r="B9173" t="s">
        <v>12665</v>
      </c>
      <c r="C9173" t="s">
        <v>7</v>
      </c>
      <c r="D9173" t="s">
        <v>14</v>
      </c>
      <c r="E9173" t="s">
        <v>11472</v>
      </c>
    </row>
    <row r="9174" spans="1:6" x14ac:dyDescent="0.25">
      <c r="A9174" t="str">
        <f>"503502521334"</f>
        <v>503502521334</v>
      </c>
      <c r="B9174" t="s">
        <v>12666</v>
      </c>
      <c r="C9174" t="s">
        <v>7</v>
      </c>
      <c r="D9174" t="s">
        <v>14</v>
      </c>
      <c r="E9174" t="s">
        <v>11472</v>
      </c>
    </row>
    <row r="9175" spans="1:6" x14ac:dyDescent="0.25">
      <c r="A9175" t="str">
        <f>"503505014533"</f>
        <v>503505014533</v>
      </c>
      <c r="B9175" t="s">
        <v>12667</v>
      </c>
      <c r="C9175" t="s">
        <v>7</v>
      </c>
      <c r="D9175" t="s">
        <v>12</v>
      </c>
      <c r="E9175" t="s">
        <v>11472</v>
      </c>
    </row>
    <row r="9176" spans="1:6" x14ac:dyDescent="0.25">
      <c r="A9176" t="str">
        <f>"503602815289"</f>
        <v>503602815289</v>
      </c>
      <c r="B9176" t="s">
        <v>12668</v>
      </c>
      <c r="C9176" t="s">
        <v>7</v>
      </c>
      <c r="D9176" t="s">
        <v>14</v>
      </c>
      <c r="E9176" t="s">
        <v>11472</v>
      </c>
    </row>
    <row r="9177" spans="1:6" x14ac:dyDescent="0.25">
      <c r="A9177" t="str">
        <f>"503604746009"</f>
        <v>503604746009</v>
      </c>
      <c r="B9177" t="s">
        <v>12669</v>
      </c>
      <c r="C9177" t="s">
        <v>7</v>
      </c>
      <c r="D9177" t="s">
        <v>14</v>
      </c>
      <c r="E9177" t="s">
        <v>11472</v>
      </c>
    </row>
    <row r="9178" spans="1:6" x14ac:dyDescent="0.25">
      <c r="A9178" t="str">
        <f>"5036064790"</f>
        <v>5036064790</v>
      </c>
      <c r="B9178" t="s">
        <v>12670</v>
      </c>
      <c r="C9178" t="s">
        <v>7</v>
      </c>
      <c r="D9178" t="s">
        <v>14</v>
      </c>
      <c r="E9178" t="s">
        <v>11472</v>
      </c>
      <c r="F9178" t="s">
        <v>12671</v>
      </c>
    </row>
    <row r="9179" spans="1:6" x14ac:dyDescent="0.25">
      <c r="A9179" t="str">
        <f>"5036168863"</f>
        <v>5036168863</v>
      </c>
      <c r="B9179" t="s">
        <v>12672</v>
      </c>
      <c r="C9179" t="s">
        <v>7</v>
      </c>
      <c r="D9179" t="s">
        <v>12</v>
      </c>
      <c r="E9179" t="s">
        <v>11472</v>
      </c>
      <c r="F9179" t="s">
        <v>12673</v>
      </c>
    </row>
    <row r="9180" spans="1:6" x14ac:dyDescent="0.25">
      <c r="A9180" t="str">
        <f>"5036172066"</f>
        <v>5036172066</v>
      </c>
      <c r="B9180" t="s">
        <v>12674</v>
      </c>
      <c r="C9180" t="s">
        <v>7</v>
      </c>
      <c r="D9180" t="s">
        <v>12</v>
      </c>
      <c r="E9180" t="s">
        <v>11472</v>
      </c>
      <c r="F9180" t="s">
        <v>12675</v>
      </c>
    </row>
    <row r="9181" spans="1:6" x14ac:dyDescent="0.25">
      <c r="A9181" t="str">
        <f>"503703022550"</f>
        <v>503703022550</v>
      </c>
      <c r="B9181" t="s">
        <v>12676</v>
      </c>
      <c r="C9181" t="s">
        <v>7</v>
      </c>
      <c r="D9181" t="s">
        <v>14</v>
      </c>
      <c r="E9181" t="s">
        <v>11472</v>
      </c>
    </row>
    <row r="9182" spans="1:6" x14ac:dyDescent="0.25">
      <c r="A9182" t="str">
        <f>"5038021231"</f>
        <v>5038021231</v>
      </c>
      <c r="B9182" t="s">
        <v>12677</v>
      </c>
      <c r="C9182" t="s">
        <v>7</v>
      </c>
      <c r="D9182" t="s">
        <v>146</v>
      </c>
      <c r="E9182" t="s">
        <v>11472</v>
      </c>
      <c r="F9182" t="s">
        <v>12678</v>
      </c>
    </row>
    <row r="9183" spans="1:6" x14ac:dyDescent="0.25">
      <c r="A9183" t="str">
        <f>"5038032402"</f>
        <v>5038032402</v>
      </c>
      <c r="B9183" t="s">
        <v>12679</v>
      </c>
      <c r="C9183" t="s">
        <v>7</v>
      </c>
      <c r="D9183" t="s">
        <v>146</v>
      </c>
      <c r="E9183" t="s">
        <v>11472</v>
      </c>
      <c r="F9183" t="s">
        <v>12680</v>
      </c>
    </row>
    <row r="9184" spans="1:6" x14ac:dyDescent="0.25">
      <c r="A9184" t="str">
        <f>"5038076801"</f>
        <v>5038076801</v>
      </c>
      <c r="B9184" t="s">
        <v>871</v>
      </c>
      <c r="C9184" t="s">
        <v>7</v>
      </c>
      <c r="D9184" t="s">
        <v>14</v>
      </c>
      <c r="E9184" t="s">
        <v>11472</v>
      </c>
      <c r="F9184" t="s">
        <v>12681</v>
      </c>
    </row>
    <row r="9185" spans="1:6" x14ac:dyDescent="0.25">
      <c r="A9185" t="str">
        <f>"503808276538"</f>
        <v>503808276538</v>
      </c>
      <c r="B9185" t="s">
        <v>12682</v>
      </c>
      <c r="C9185" t="s">
        <v>7</v>
      </c>
      <c r="D9185" t="s">
        <v>14</v>
      </c>
      <c r="E9185" t="s">
        <v>11472</v>
      </c>
    </row>
    <row r="9186" spans="1:6" x14ac:dyDescent="0.25">
      <c r="A9186" t="str">
        <f>"503808516170"</f>
        <v>503808516170</v>
      </c>
      <c r="B9186" t="s">
        <v>7797</v>
      </c>
      <c r="C9186" t="s">
        <v>7</v>
      </c>
      <c r="D9186" t="s">
        <v>14</v>
      </c>
      <c r="E9186" t="s">
        <v>11472</v>
      </c>
    </row>
    <row r="9187" spans="1:6" x14ac:dyDescent="0.25">
      <c r="A9187" t="str">
        <f>"5038113669"</f>
        <v>5038113669</v>
      </c>
      <c r="B9187" t="s">
        <v>1265</v>
      </c>
      <c r="C9187" t="s">
        <v>7</v>
      </c>
      <c r="D9187" t="s">
        <v>33</v>
      </c>
      <c r="E9187" t="s">
        <v>11472</v>
      </c>
      <c r="F9187" t="s">
        <v>12683</v>
      </c>
    </row>
    <row r="9188" spans="1:6" x14ac:dyDescent="0.25">
      <c r="A9188" t="str">
        <f>"5038114670"</f>
        <v>5038114670</v>
      </c>
      <c r="B9188" t="s">
        <v>12684</v>
      </c>
      <c r="C9188" t="s">
        <v>7</v>
      </c>
      <c r="D9188" t="s">
        <v>33</v>
      </c>
      <c r="E9188" t="s">
        <v>11472</v>
      </c>
      <c r="F9188" t="s">
        <v>12685</v>
      </c>
    </row>
    <row r="9189" spans="1:6" x14ac:dyDescent="0.25">
      <c r="A9189" t="str">
        <f>"5038115730"</f>
        <v>5038115730</v>
      </c>
      <c r="B9189" t="s">
        <v>12686</v>
      </c>
      <c r="C9189" t="s">
        <v>7</v>
      </c>
      <c r="D9189" t="s">
        <v>14</v>
      </c>
      <c r="E9189" t="s">
        <v>11472</v>
      </c>
      <c r="F9189" t="s">
        <v>12687</v>
      </c>
    </row>
    <row r="9190" spans="1:6" x14ac:dyDescent="0.25">
      <c r="A9190" t="str">
        <f>"5038122663"</f>
        <v>5038122663</v>
      </c>
      <c r="B9190" t="s">
        <v>12688</v>
      </c>
      <c r="C9190" t="s">
        <v>7</v>
      </c>
      <c r="D9190" t="s">
        <v>14</v>
      </c>
      <c r="E9190" t="s">
        <v>11472</v>
      </c>
      <c r="F9190" t="s">
        <v>12689</v>
      </c>
    </row>
    <row r="9191" spans="1:6" x14ac:dyDescent="0.25">
      <c r="A9191" t="str">
        <f>"503824767607"</f>
        <v>503824767607</v>
      </c>
      <c r="B9191" t="s">
        <v>12690</v>
      </c>
      <c r="C9191" t="s">
        <v>7</v>
      </c>
      <c r="D9191" t="s">
        <v>12</v>
      </c>
      <c r="E9191" t="s">
        <v>11472</v>
      </c>
    </row>
    <row r="9192" spans="1:6" x14ac:dyDescent="0.25">
      <c r="A9192" t="str">
        <f>"503833011077"</f>
        <v>503833011077</v>
      </c>
      <c r="B9192" t="s">
        <v>12691</v>
      </c>
      <c r="C9192" t="s">
        <v>7</v>
      </c>
      <c r="D9192" t="s">
        <v>14</v>
      </c>
      <c r="E9192" t="s">
        <v>11472</v>
      </c>
    </row>
    <row r="9193" spans="1:6" x14ac:dyDescent="0.25">
      <c r="A9193" t="str">
        <f>"504001936876"</f>
        <v>504001936876</v>
      </c>
      <c r="B9193" t="s">
        <v>12692</v>
      </c>
      <c r="C9193" t="s">
        <v>7</v>
      </c>
      <c r="D9193" t="s">
        <v>14</v>
      </c>
      <c r="E9193" t="s">
        <v>11472</v>
      </c>
    </row>
    <row r="9194" spans="1:6" x14ac:dyDescent="0.25">
      <c r="A9194" t="str">
        <f>"504007009934"</f>
        <v>504007009934</v>
      </c>
      <c r="B9194" t="s">
        <v>12693</v>
      </c>
      <c r="C9194" t="s">
        <v>7</v>
      </c>
      <c r="D9194" t="s">
        <v>14</v>
      </c>
      <c r="E9194" t="s">
        <v>11472</v>
      </c>
    </row>
    <row r="9195" spans="1:6" x14ac:dyDescent="0.25">
      <c r="A9195" t="str">
        <f>"5040074801"</f>
        <v>5040074801</v>
      </c>
      <c r="B9195" t="s">
        <v>510</v>
      </c>
      <c r="C9195" t="s">
        <v>7</v>
      </c>
      <c r="D9195" t="s">
        <v>14</v>
      </c>
      <c r="E9195" t="s">
        <v>11472</v>
      </c>
      <c r="F9195" t="s">
        <v>12694</v>
      </c>
    </row>
    <row r="9196" spans="1:6" x14ac:dyDescent="0.25">
      <c r="A9196" t="str">
        <f>"504007613864"</f>
        <v>504007613864</v>
      </c>
      <c r="B9196" t="s">
        <v>12695</v>
      </c>
      <c r="C9196" t="s">
        <v>7</v>
      </c>
      <c r="D9196" t="s">
        <v>14</v>
      </c>
      <c r="E9196" t="s">
        <v>11472</v>
      </c>
    </row>
    <row r="9197" spans="1:6" x14ac:dyDescent="0.25">
      <c r="A9197" t="str">
        <f>"504009394079"</f>
        <v>504009394079</v>
      </c>
      <c r="B9197" t="s">
        <v>12696</v>
      </c>
      <c r="C9197" t="s">
        <v>7</v>
      </c>
      <c r="D9197" t="s">
        <v>14</v>
      </c>
      <c r="E9197" t="s">
        <v>11472</v>
      </c>
    </row>
    <row r="9198" spans="1:6" x14ac:dyDescent="0.25">
      <c r="A9198" t="str">
        <f>"504010932123"</f>
        <v>504010932123</v>
      </c>
      <c r="B9198" t="s">
        <v>12697</v>
      </c>
      <c r="C9198" t="s">
        <v>7</v>
      </c>
      <c r="D9198" t="s">
        <v>14</v>
      </c>
      <c r="E9198" t="s">
        <v>11472</v>
      </c>
    </row>
    <row r="9199" spans="1:6" x14ac:dyDescent="0.25">
      <c r="A9199" t="str">
        <f>"504011102679"</f>
        <v>504011102679</v>
      </c>
      <c r="B9199" t="s">
        <v>12698</v>
      </c>
      <c r="C9199" t="s">
        <v>7</v>
      </c>
      <c r="D9199" t="s">
        <v>33</v>
      </c>
      <c r="E9199" t="s">
        <v>11472</v>
      </c>
    </row>
    <row r="9200" spans="1:6" x14ac:dyDescent="0.25">
      <c r="A9200" t="str">
        <f>"504011621385"</f>
        <v>504011621385</v>
      </c>
      <c r="B9200" t="s">
        <v>12699</v>
      </c>
      <c r="C9200" t="s">
        <v>7</v>
      </c>
      <c r="D9200" t="s">
        <v>12</v>
      </c>
      <c r="E9200" t="s">
        <v>11472</v>
      </c>
    </row>
    <row r="9201" spans="1:6" x14ac:dyDescent="0.25">
      <c r="A9201" t="str">
        <f>"504014762867"</f>
        <v>504014762867</v>
      </c>
      <c r="B9201" t="s">
        <v>12700</v>
      </c>
      <c r="C9201" t="s">
        <v>7</v>
      </c>
      <c r="D9201" t="s">
        <v>14</v>
      </c>
      <c r="E9201" t="s">
        <v>11472</v>
      </c>
    </row>
    <row r="9202" spans="1:6" x14ac:dyDescent="0.25">
      <c r="A9202" t="str">
        <f>"5040176070"</f>
        <v>5040176070</v>
      </c>
      <c r="B9202" t="s">
        <v>12701</v>
      </c>
      <c r="C9202" t="s">
        <v>7</v>
      </c>
      <c r="D9202" t="s">
        <v>674</v>
      </c>
      <c r="E9202" t="s">
        <v>11472</v>
      </c>
      <c r="F9202" t="s">
        <v>12702</v>
      </c>
    </row>
    <row r="9203" spans="1:6" x14ac:dyDescent="0.25">
      <c r="A9203" t="str">
        <f>"5040181786"</f>
        <v>5040181786</v>
      </c>
      <c r="B9203" t="s">
        <v>12703</v>
      </c>
      <c r="C9203" t="s">
        <v>7</v>
      </c>
      <c r="D9203" t="s">
        <v>674</v>
      </c>
      <c r="E9203" t="s">
        <v>11472</v>
      </c>
      <c r="F9203" t="s">
        <v>12704</v>
      </c>
    </row>
    <row r="9204" spans="1:6" x14ac:dyDescent="0.25">
      <c r="A9204" t="str">
        <f>"5040195355"</f>
        <v>5040195355</v>
      </c>
      <c r="B9204" t="s">
        <v>12705</v>
      </c>
      <c r="C9204" t="s">
        <v>7</v>
      </c>
      <c r="D9204" t="s">
        <v>14</v>
      </c>
      <c r="E9204" t="s">
        <v>11472</v>
      </c>
      <c r="F9204" t="s">
        <v>12706</v>
      </c>
    </row>
    <row r="9205" spans="1:6" x14ac:dyDescent="0.25">
      <c r="A9205" t="str">
        <f>"504022415120"</f>
        <v>504022415120</v>
      </c>
      <c r="B9205" t="s">
        <v>12707</v>
      </c>
      <c r="C9205" t="s">
        <v>7</v>
      </c>
      <c r="D9205" t="s">
        <v>14</v>
      </c>
      <c r="E9205" t="s">
        <v>11472</v>
      </c>
    </row>
    <row r="9206" spans="1:6" x14ac:dyDescent="0.25">
      <c r="A9206" t="str">
        <f>"504105953072"</f>
        <v>504105953072</v>
      </c>
      <c r="B9206" t="s">
        <v>12708</v>
      </c>
      <c r="C9206" t="s">
        <v>7</v>
      </c>
      <c r="D9206" t="s">
        <v>12</v>
      </c>
      <c r="E9206" t="s">
        <v>11472</v>
      </c>
    </row>
    <row r="9207" spans="1:6" x14ac:dyDescent="0.25">
      <c r="A9207" t="str">
        <f>"5041204411"</f>
        <v>5041204411</v>
      </c>
      <c r="B9207" t="s">
        <v>5343</v>
      </c>
      <c r="C9207" t="s">
        <v>7</v>
      </c>
      <c r="D9207" t="s">
        <v>1430</v>
      </c>
      <c r="E9207" t="s">
        <v>11472</v>
      </c>
      <c r="F9207" t="s">
        <v>12709</v>
      </c>
    </row>
    <row r="9208" spans="1:6" x14ac:dyDescent="0.25">
      <c r="A9208" t="str">
        <f>"5041210662"</f>
        <v>5041210662</v>
      </c>
      <c r="B9208" t="s">
        <v>12710</v>
      </c>
      <c r="C9208" t="s">
        <v>7</v>
      </c>
      <c r="D9208" t="s">
        <v>189</v>
      </c>
      <c r="E9208" t="s">
        <v>11472</v>
      </c>
      <c r="F9208" t="s">
        <v>12711</v>
      </c>
    </row>
    <row r="9209" spans="1:6" x14ac:dyDescent="0.25">
      <c r="A9209" t="str">
        <f>"5041212349"</f>
        <v>5041212349</v>
      </c>
      <c r="B9209" t="s">
        <v>12712</v>
      </c>
      <c r="C9209" t="s">
        <v>7</v>
      </c>
      <c r="D9209" t="s">
        <v>14</v>
      </c>
      <c r="E9209" t="s">
        <v>11472</v>
      </c>
      <c r="F9209" t="s">
        <v>12713</v>
      </c>
    </row>
    <row r="9210" spans="1:6" x14ac:dyDescent="0.25">
      <c r="A9210" t="str">
        <f>"504200403294"</f>
        <v>504200403294</v>
      </c>
      <c r="B9210" t="s">
        <v>12714</v>
      </c>
      <c r="C9210" t="s">
        <v>7</v>
      </c>
      <c r="D9210" t="s">
        <v>14</v>
      </c>
      <c r="E9210" t="s">
        <v>11472</v>
      </c>
    </row>
    <row r="9211" spans="1:6" x14ac:dyDescent="0.25">
      <c r="A9211" t="str">
        <f>"504211409756"</f>
        <v>504211409756</v>
      </c>
      <c r="B9211" t="s">
        <v>12715</v>
      </c>
      <c r="C9211" t="s">
        <v>7</v>
      </c>
      <c r="D9211" t="s">
        <v>14</v>
      </c>
      <c r="E9211" t="s">
        <v>11472</v>
      </c>
    </row>
    <row r="9212" spans="1:6" x14ac:dyDescent="0.25">
      <c r="A9212" t="str">
        <f>"5042133386"</f>
        <v>5042133386</v>
      </c>
      <c r="B9212" t="s">
        <v>9689</v>
      </c>
      <c r="C9212" t="s">
        <v>7</v>
      </c>
      <c r="D9212" t="s">
        <v>33</v>
      </c>
      <c r="E9212" t="s">
        <v>11472</v>
      </c>
      <c r="F9212" t="s">
        <v>12716</v>
      </c>
    </row>
    <row r="9213" spans="1:6" x14ac:dyDescent="0.25">
      <c r="A9213" t="str">
        <f>"5042146522"</f>
        <v>5042146522</v>
      </c>
      <c r="B9213" t="s">
        <v>12717</v>
      </c>
      <c r="C9213" t="s">
        <v>7</v>
      </c>
      <c r="D9213" t="s">
        <v>33</v>
      </c>
      <c r="E9213" t="s">
        <v>11472</v>
      </c>
      <c r="F9213" t="s">
        <v>12718</v>
      </c>
    </row>
    <row r="9214" spans="1:6" x14ac:dyDescent="0.25">
      <c r="A9214" t="str">
        <f>"5042148713"</f>
        <v>5042148713</v>
      </c>
      <c r="B9214" t="s">
        <v>12719</v>
      </c>
      <c r="C9214" t="s">
        <v>7</v>
      </c>
      <c r="D9214" t="s">
        <v>12</v>
      </c>
      <c r="E9214" t="s">
        <v>11472</v>
      </c>
      <c r="F9214" t="s">
        <v>12720</v>
      </c>
    </row>
    <row r="9215" spans="1:6" x14ac:dyDescent="0.25">
      <c r="A9215" t="str">
        <f>"5042152646"</f>
        <v>5042152646</v>
      </c>
      <c r="B9215" t="s">
        <v>12721</v>
      </c>
      <c r="C9215" t="s">
        <v>7</v>
      </c>
      <c r="D9215" t="s">
        <v>12</v>
      </c>
      <c r="E9215" t="s">
        <v>11472</v>
      </c>
      <c r="F9215" t="s">
        <v>12722</v>
      </c>
    </row>
    <row r="9216" spans="1:6" x14ac:dyDescent="0.25">
      <c r="A9216" t="str">
        <f>"5042158648"</f>
        <v>5042158648</v>
      </c>
      <c r="B9216" t="s">
        <v>12723</v>
      </c>
      <c r="C9216" t="s">
        <v>7</v>
      </c>
      <c r="D9216" t="s">
        <v>33</v>
      </c>
      <c r="E9216" t="s">
        <v>11472</v>
      </c>
      <c r="F9216" t="s">
        <v>12724</v>
      </c>
    </row>
    <row r="9217" spans="1:6" x14ac:dyDescent="0.25">
      <c r="A9217" t="str">
        <f>"5042167071"</f>
        <v>5042167071</v>
      </c>
      <c r="B9217" t="s">
        <v>12725</v>
      </c>
      <c r="C9217" t="s">
        <v>7</v>
      </c>
      <c r="D9217" t="s">
        <v>14</v>
      </c>
      <c r="E9217" t="s">
        <v>11472</v>
      </c>
      <c r="F9217" t="s">
        <v>12726</v>
      </c>
    </row>
    <row r="9218" spans="1:6" x14ac:dyDescent="0.25">
      <c r="A9218" t="str">
        <f>"503230048221"</f>
        <v>503230048221</v>
      </c>
      <c r="B9218" t="s">
        <v>12727</v>
      </c>
      <c r="C9218" t="s">
        <v>7</v>
      </c>
      <c r="D9218" t="s">
        <v>14</v>
      </c>
      <c r="E9218" t="s">
        <v>11472</v>
      </c>
    </row>
    <row r="9219" spans="1:6" x14ac:dyDescent="0.25">
      <c r="A9219" t="str">
        <f>"5032305300"</f>
        <v>5032305300</v>
      </c>
      <c r="B9219" t="s">
        <v>12728</v>
      </c>
      <c r="C9219" t="s">
        <v>7</v>
      </c>
      <c r="D9219" t="s">
        <v>14</v>
      </c>
      <c r="E9219" t="s">
        <v>11472</v>
      </c>
      <c r="F9219" t="s">
        <v>12729</v>
      </c>
    </row>
    <row r="9220" spans="1:6" x14ac:dyDescent="0.25">
      <c r="A9220" t="str">
        <f>"5032329189"</f>
        <v>5032329189</v>
      </c>
      <c r="B9220" t="s">
        <v>12730</v>
      </c>
      <c r="C9220" t="s">
        <v>7</v>
      </c>
      <c r="D9220" t="s">
        <v>189</v>
      </c>
      <c r="E9220" t="s">
        <v>11472</v>
      </c>
      <c r="F9220" t="s">
        <v>12731</v>
      </c>
    </row>
    <row r="9221" spans="1:6" x14ac:dyDescent="0.25">
      <c r="A9221" t="str">
        <f>"5032335182"</f>
        <v>5032335182</v>
      </c>
      <c r="B9221" t="s">
        <v>12732</v>
      </c>
      <c r="C9221" t="s">
        <v>7</v>
      </c>
      <c r="D9221" t="s">
        <v>12</v>
      </c>
      <c r="E9221" t="s">
        <v>11472</v>
      </c>
      <c r="F9221" t="s">
        <v>12733</v>
      </c>
    </row>
    <row r="9222" spans="1:6" x14ac:dyDescent="0.25">
      <c r="A9222" t="str">
        <f>"5032336919"</f>
        <v>5032336919</v>
      </c>
      <c r="B9222" t="s">
        <v>12734</v>
      </c>
      <c r="C9222" t="s">
        <v>7</v>
      </c>
      <c r="D9222" t="s">
        <v>98</v>
      </c>
      <c r="E9222" t="s">
        <v>11472</v>
      </c>
      <c r="F9222" t="s">
        <v>12735</v>
      </c>
    </row>
    <row r="9223" spans="1:6" x14ac:dyDescent="0.25">
      <c r="A9223" t="str">
        <f>"5032337278"</f>
        <v>5032337278</v>
      </c>
      <c r="B9223" t="s">
        <v>12736</v>
      </c>
      <c r="C9223" t="s">
        <v>7</v>
      </c>
      <c r="D9223" t="s">
        <v>674</v>
      </c>
      <c r="E9223" t="s">
        <v>11472</v>
      </c>
      <c r="F9223" t="s">
        <v>12737</v>
      </c>
    </row>
    <row r="9224" spans="1:6" x14ac:dyDescent="0.25">
      <c r="A9224" t="str">
        <f>"503235106036"</f>
        <v>503235106036</v>
      </c>
      <c r="B9224" t="s">
        <v>12738</v>
      </c>
      <c r="C9224" t="s">
        <v>7</v>
      </c>
      <c r="D9224" t="s">
        <v>14</v>
      </c>
      <c r="E9224" t="s">
        <v>11472</v>
      </c>
    </row>
    <row r="9225" spans="1:6" x14ac:dyDescent="0.25">
      <c r="A9225" t="str">
        <f>"5032372762"</f>
        <v>5032372762</v>
      </c>
      <c r="B9225" t="s">
        <v>12739</v>
      </c>
      <c r="C9225" t="s">
        <v>7</v>
      </c>
      <c r="D9225" t="s">
        <v>33</v>
      </c>
      <c r="E9225" t="s">
        <v>11472</v>
      </c>
      <c r="F9225" t="s">
        <v>12740</v>
      </c>
    </row>
    <row r="9226" spans="1:6" x14ac:dyDescent="0.25">
      <c r="A9226" t="str">
        <f>"5032379020"</f>
        <v>5032379020</v>
      </c>
      <c r="B9226" t="s">
        <v>12741</v>
      </c>
      <c r="C9226" t="s">
        <v>7</v>
      </c>
      <c r="D9226" t="s">
        <v>674</v>
      </c>
      <c r="E9226" t="s">
        <v>11472</v>
      </c>
      <c r="F9226" t="s">
        <v>12742</v>
      </c>
    </row>
    <row r="9227" spans="1:6" x14ac:dyDescent="0.25">
      <c r="A9227" t="str">
        <f>"503302772740"</f>
        <v>503302772740</v>
      </c>
      <c r="B9227" t="s">
        <v>12743</v>
      </c>
      <c r="C9227" t="s">
        <v>7</v>
      </c>
      <c r="D9227" t="s">
        <v>14</v>
      </c>
      <c r="E9227" t="s">
        <v>11472</v>
      </c>
    </row>
    <row r="9228" spans="1:6" x14ac:dyDescent="0.25">
      <c r="A9228" t="str">
        <f>"5034037022"</f>
        <v>5034037022</v>
      </c>
      <c r="B9228" t="s">
        <v>12744</v>
      </c>
      <c r="C9228" t="s">
        <v>7</v>
      </c>
      <c r="D9228" t="s">
        <v>33</v>
      </c>
      <c r="E9228" t="s">
        <v>11472</v>
      </c>
      <c r="F9228" t="s">
        <v>12745</v>
      </c>
    </row>
    <row r="9229" spans="1:6" x14ac:dyDescent="0.25">
      <c r="A9229" t="str">
        <f>"5034059788"</f>
        <v>5034059788</v>
      </c>
      <c r="B9229" t="s">
        <v>12746</v>
      </c>
      <c r="C9229" t="s">
        <v>7</v>
      </c>
      <c r="D9229" t="s">
        <v>33</v>
      </c>
      <c r="E9229" t="s">
        <v>11472</v>
      </c>
      <c r="F9229" t="s">
        <v>12747</v>
      </c>
    </row>
    <row r="9230" spans="1:6" x14ac:dyDescent="0.25">
      <c r="A9230" t="str">
        <f>"503418010349"</f>
        <v>503418010349</v>
      </c>
      <c r="B9230" t="s">
        <v>12748</v>
      </c>
      <c r="C9230" t="s">
        <v>7</v>
      </c>
      <c r="D9230" t="s">
        <v>14</v>
      </c>
      <c r="E9230" t="s">
        <v>11472</v>
      </c>
    </row>
    <row r="9231" spans="1:6" x14ac:dyDescent="0.25">
      <c r="A9231" t="str">
        <f>"5035000064"</f>
        <v>5035000064</v>
      </c>
      <c r="B9231" t="s">
        <v>12749</v>
      </c>
      <c r="C9231" t="s">
        <v>7</v>
      </c>
      <c r="D9231" t="s">
        <v>98</v>
      </c>
      <c r="E9231" t="s">
        <v>11472</v>
      </c>
      <c r="F9231" t="s">
        <v>12750</v>
      </c>
    </row>
    <row r="9232" spans="1:6" x14ac:dyDescent="0.25">
      <c r="A9232" t="str">
        <f>"503507373922"</f>
        <v>503507373922</v>
      </c>
      <c r="B9232" t="s">
        <v>12751</v>
      </c>
      <c r="C9232" t="s">
        <v>7</v>
      </c>
      <c r="D9232" t="s">
        <v>12</v>
      </c>
      <c r="E9232" t="s">
        <v>11472</v>
      </c>
    </row>
    <row r="9233" spans="1:6" x14ac:dyDescent="0.25">
      <c r="A9233" t="str">
        <f>"5036042116"</f>
        <v>5036042116</v>
      </c>
      <c r="B9233" t="s">
        <v>12752</v>
      </c>
      <c r="C9233" t="s">
        <v>7</v>
      </c>
      <c r="D9233" t="s">
        <v>12</v>
      </c>
      <c r="E9233" t="s">
        <v>11472</v>
      </c>
      <c r="F9233" t="s">
        <v>12753</v>
      </c>
    </row>
    <row r="9234" spans="1:6" x14ac:dyDescent="0.25">
      <c r="A9234" t="str">
        <f>"503604945406"</f>
        <v>503604945406</v>
      </c>
      <c r="B9234" t="s">
        <v>12754</v>
      </c>
      <c r="C9234" t="s">
        <v>7</v>
      </c>
      <c r="D9234" t="s">
        <v>14</v>
      </c>
      <c r="E9234" t="s">
        <v>11472</v>
      </c>
    </row>
    <row r="9235" spans="1:6" x14ac:dyDescent="0.25">
      <c r="A9235" t="str">
        <f>"503608310598"</f>
        <v>503608310598</v>
      </c>
      <c r="B9235" t="s">
        <v>12755</v>
      </c>
      <c r="C9235" t="s">
        <v>7</v>
      </c>
      <c r="D9235" t="s">
        <v>14</v>
      </c>
      <c r="E9235" t="s">
        <v>11472</v>
      </c>
    </row>
    <row r="9236" spans="1:6" x14ac:dyDescent="0.25">
      <c r="A9236" t="str">
        <f>"5036117065"</f>
        <v>5036117065</v>
      </c>
      <c r="B9236" t="s">
        <v>12756</v>
      </c>
      <c r="C9236" t="s">
        <v>7</v>
      </c>
      <c r="D9236" t="s">
        <v>12</v>
      </c>
      <c r="E9236" t="s">
        <v>11472</v>
      </c>
      <c r="F9236" t="s">
        <v>12757</v>
      </c>
    </row>
    <row r="9237" spans="1:6" x14ac:dyDescent="0.25">
      <c r="A9237" t="str">
        <f>"503612325163"</f>
        <v>503612325163</v>
      </c>
      <c r="B9237" t="s">
        <v>12758</v>
      </c>
      <c r="C9237" t="s">
        <v>7</v>
      </c>
      <c r="D9237" t="s">
        <v>14</v>
      </c>
      <c r="E9237" t="s">
        <v>11472</v>
      </c>
    </row>
    <row r="9238" spans="1:6" x14ac:dyDescent="0.25">
      <c r="A9238" t="str">
        <f>"503701362230"</f>
        <v>503701362230</v>
      </c>
      <c r="B9238" t="s">
        <v>12759</v>
      </c>
      <c r="C9238" t="s">
        <v>7</v>
      </c>
      <c r="D9238" t="s">
        <v>14</v>
      </c>
      <c r="E9238" t="s">
        <v>11472</v>
      </c>
    </row>
    <row r="9239" spans="1:6" x14ac:dyDescent="0.25">
      <c r="A9239" t="str">
        <f>"503800837407"</f>
        <v>503800837407</v>
      </c>
      <c r="B9239" t="s">
        <v>12760</v>
      </c>
      <c r="C9239" t="s">
        <v>7</v>
      </c>
      <c r="D9239" t="s">
        <v>14</v>
      </c>
      <c r="E9239" t="s">
        <v>11472</v>
      </c>
    </row>
    <row r="9240" spans="1:6" x14ac:dyDescent="0.25">
      <c r="A9240" t="str">
        <f>"503801550319"</f>
        <v>503801550319</v>
      </c>
      <c r="B9240" t="s">
        <v>12761</v>
      </c>
      <c r="C9240" t="s">
        <v>7</v>
      </c>
      <c r="D9240" t="s">
        <v>12</v>
      </c>
      <c r="E9240" t="s">
        <v>11472</v>
      </c>
    </row>
    <row r="9241" spans="1:6" x14ac:dyDescent="0.25">
      <c r="A9241" t="str">
        <f>"5038032843"</f>
        <v>5038032843</v>
      </c>
      <c r="B9241" t="s">
        <v>12762</v>
      </c>
      <c r="C9241" t="s">
        <v>7</v>
      </c>
      <c r="D9241" t="s">
        <v>98</v>
      </c>
      <c r="E9241" t="s">
        <v>11472</v>
      </c>
      <c r="F9241" t="s">
        <v>12763</v>
      </c>
    </row>
    <row r="9242" spans="1:6" x14ac:dyDescent="0.25">
      <c r="A9242" t="str">
        <f>"5038044422"</f>
        <v>5038044422</v>
      </c>
      <c r="B9242" t="s">
        <v>12764</v>
      </c>
      <c r="C9242" t="s">
        <v>7</v>
      </c>
      <c r="D9242" t="s">
        <v>146</v>
      </c>
      <c r="E9242" t="s">
        <v>11472</v>
      </c>
      <c r="F9242" t="s">
        <v>12765</v>
      </c>
    </row>
    <row r="9243" spans="1:6" x14ac:dyDescent="0.25">
      <c r="A9243" t="str">
        <f>"5038077717"</f>
        <v>5038077717</v>
      </c>
      <c r="B9243" t="s">
        <v>12766</v>
      </c>
      <c r="C9243" t="s">
        <v>7</v>
      </c>
      <c r="D9243" t="s">
        <v>14</v>
      </c>
      <c r="E9243" t="s">
        <v>11472</v>
      </c>
      <c r="F9243" t="s">
        <v>12767</v>
      </c>
    </row>
    <row r="9244" spans="1:6" x14ac:dyDescent="0.25">
      <c r="A9244" t="str">
        <f>"503808554993"</f>
        <v>503808554993</v>
      </c>
      <c r="B9244" t="s">
        <v>12768</v>
      </c>
      <c r="C9244" t="s">
        <v>7</v>
      </c>
      <c r="D9244" t="s">
        <v>12</v>
      </c>
      <c r="E9244" t="s">
        <v>11472</v>
      </c>
    </row>
    <row r="9245" spans="1:6" x14ac:dyDescent="0.25">
      <c r="A9245" t="str">
        <f>"503810072690"</f>
        <v>503810072690</v>
      </c>
      <c r="B9245" t="s">
        <v>12769</v>
      </c>
      <c r="C9245" t="s">
        <v>7</v>
      </c>
      <c r="D9245" t="s">
        <v>14</v>
      </c>
      <c r="E9245" t="s">
        <v>11472</v>
      </c>
    </row>
    <row r="9246" spans="1:6" x14ac:dyDescent="0.25">
      <c r="A9246" t="str">
        <f>"5038110643"</f>
        <v>5038110643</v>
      </c>
      <c r="B9246" t="s">
        <v>12770</v>
      </c>
      <c r="C9246" t="s">
        <v>7</v>
      </c>
      <c r="D9246" t="s">
        <v>146</v>
      </c>
      <c r="E9246" t="s">
        <v>11472</v>
      </c>
      <c r="F9246" t="s">
        <v>12771</v>
      </c>
    </row>
    <row r="9247" spans="1:6" x14ac:dyDescent="0.25">
      <c r="A9247" t="str">
        <f>"5038118762"</f>
        <v>5038118762</v>
      </c>
      <c r="B9247" t="s">
        <v>12772</v>
      </c>
      <c r="C9247" t="s">
        <v>7</v>
      </c>
      <c r="D9247" t="s">
        <v>33</v>
      </c>
      <c r="E9247" t="s">
        <v>11472</v>
      </c>
      <c r="F9247" t="s">
        <v>12773</v>
      </c>
    </row>
    <row r="9248" spans="1:6" x14ac:dyDescent="0.25">
      <c r="A9248" t="str">
        <f>"5038127608"</f>
        <v>5038127608</v>
      </c>
      <c r="B9248" t="s">
        <v>12774</v>
      </c>
      <c r="C9248" t="s">
        <v>7</v>
      </c>
      <c r="D9248" t="s">
        <v>12</v>
      </c>
      <c r="E9248" t="s">
        <v>11472</v>
      </c>
      <c r="F9248" t="s">
        <v>12775</v>
      </c>
    </row>
    <row r="9249" spans="1:6" x14ac:dyDescent="0.25">
      <c r="A9249" t="str">
        <f>"5038164769"</f>
        <v>5038164769</v>
      </c>
      <c r="B9249" t="s">
        <v>12776</v>
      </c>
      <c r="C9249" t="s">
        <v>7</v>
      </c>
      <c r="D9249" t="s">
        <v>14</v>
      </c>
      <c r="E9249" t="s">
        <v>11472</v>
      </c>
      <c r="F9249" t="s">
        <v>12777</v>
      </c>
    </row>
    <row r="9250" spans="1:6" x14ac:dyDescent="0.25">
      <c r="A9250" t="str">
        <f>"5039007367"</f>
        <v>5039007367</v>
      </c>
      <c r="B9250" t="s">
        <v>12778</v>
      </c>
      <c r="C9250" t="s">
        <v>7</v>
      </c>
      <c r="D9250" t="s">
        <v>14</v>
      </c>
      <c r="E9250" t="s">
        <v>11472</v>
      </c>
      <c r="F9250" t="s">
        <v>12779</v>
      </c>
    </row>
    <row r="9251" spans="1:6" x14ac:dyDescent="0.25">
      <c r="A9251" t="str">
        <f>"504001295541"</f>
        <v>504001295541</v>
      </c>
      <c r="B9251" t="s">
        <v>12780</v>
      </c>
      <c r="C9251" t="s">
        <v>7</v>
      </c>
      <c r="D9251" t="s">
        <v>14</v>
      </c>
      <c r="E9251" t="s">
        <v>11472</v>
      </c>
    </row>
    <row r="9252" spans="1:6" x14ac:dyDescent="0.25">
      <c r="A9252" t="str">
        <f>"504007875852"</f>
        <v>504007875852</v>
      </c>
      <c r="B9252" t="s">
        <v>12781</v>
      </c>
      <c r="C9252" t="s">
        <v>7</v>
      </c>
      <c r="D9252" t="s">
        <v>33</v>
      </c>
      <c r="E9252" t="s">
        <v>11472</v>
      </c>
    </row>
    <row r="9253" spans="1:6" x14ac:dyDescent="0.25">
      <c r="A9253" t="str">
        <f>"5040080192"</f>
        <v>5040080192</v>
      </c>
      <c r="B9253" t="s">
        <v>12782</v>
      </c>
      <c r="C9253" t="s">
        <v>7</v>
      </c>
      <c r="D9253" t="s">
        <v>33</v>
      </c>
      <c r="E9253" t="s">
        <v>11472</v>
      </c>
      <c r="F9253" t="s">
        <v>12783</v>
      </c>
    </row>
    <row r="9254" spans="1:6" x14ac:dyDescent="0.25">
      <c r="A9254" t="str">
        <f>"504016530942"</f>
        <v>504016530942</v>
      </c>
      <c r="B9254" t="s">
        <v>12784</v>
      </c>
      <c r="C9254" t="s">
        <v>7</v>
      </c>
      <c r="D9254" t="s">
        <v>12</v>
      </c>
      <c r="E9254" t="s">
        <v>11472</v>
      </c>
    </row>
    <row r="9255" spans="1:6" x14ac:dyDescent="0.25">
      <c r="A9255" t="str">
        <f>"5040170350"</f>
        <v>5040170350</v>
      </c>
      <c r="B9255" t="s">
        <v>7329</v>
      </c>
      <c r="C9255" t="s">
        <v>7</v>
      </c>
      <c r="D9255" t="s">
        <v>12</v>
      </c>
      <c r="E9255" t="s">
        <v>11472</v>
      </c>
      <c r="F9255" t="s">
        <v>12785</v>
      </c>
    </row>
    <row r="9256" spans="1:6" x14ac:dyDescent="0.25">
      <c r="A9256" t="str">
        <f>"5040183991"</f>
        <v>5040183991</v>
      </c>
      <c r="B9256" t="s">
        <v>12786</v>
      </c>
      <c r="C9256" t="s">
        <v>7</v>
      </c>
      <c r="D9256" t="s">
        <v>33</v>
      </c>
      <c r="E9256" t="s">
        <v>11472</v>
      </c>
      <c r="F9256" t="s">
        <v>12787</v>
      </c>
    </row>
    <row r="9257" spans="1:6" x14ac:dyDescent="0.25">
      <c r="A9257" t="str">
        <f>"5040191093"</f>
        <v>5040191093</v>
      </c>
      <c r="B9257" t="s">
        <v>56</v>
      </c>
      <c r="C9257" t="s">
        <v>7</v>
      </c>
      <c r="D9257" t="s">
        <v>12</v>
      </c>
      <c r="E9257" t="s">
        <v>11472</v>
      </c>
      <c r="F9257" t="s">
        <v>12788</v>
      </c>
    </row>
    <row r="9258" spans="1:6" x14ac:dyDescent="0.25">
      <c r="A9258" t="str">
        <f>"504032856571"</f>
        <v>504032856571</v>
      </c>
      <c r="B9258" t="s">
        <v>12789</v>
      </c>
      <c r="C9258" t="s">
        <v>7</v>
      </c>
      <c r="D9258" t="s">
        <v>14</v>
      </c>
      <c r="E9258" t="s">
        <v>11472</v>
      </c>
    </row>
    <row r="9259" spans="1:6" x14ac:dyDescent="0.25">
      <c r="A9259" t="str">
        <f>"504101239854"</f>
        <v>504101239854</v>
      </c>
      <c r="B9259" t="s">
        <v>12790</v>
      </c>
      <c r="C9259" t="s">
        <v>7</v>
      </c>
      <c r="D9259" t="s">
        <v>14</v>
      </c>
      <c r="E9259" t="s">
        <v>11472</v>
      </c>
    </row>
    <row r="9260" spans="1:6" x14ac:dyDescent="0.25">
      <c r="A9260" t="str">
        <f>"504102227210"</f>
        <v>504102227210</v>
      </c>
      <c r="B9260" t="s">
        <v>12791</v>
      </c>
      <c r="C9260" t="s">
        <v>7</v>
      </c>
      <c r="D9260" t="s">
        <v>14</v>
      </c>
      <c r="E9260" t="s">
        <v>11472</v>
      </c>
    </row>
    <row r="9261" spans="1:6" x14ac:dyDescent="0.25">
      <c r="A9261" t="str">
        <f>"504200182422"</f>
        <v>504200182422</v>
      </c>
      <c r="B9261" t="s">
        <v>12792</v>
      </c>
      <c r="C9261" t="s">
        <v>7</v>
      </c>
      <c r="D9261" t="s">
        <v>12</v>
      </c>
      <c r="E9261" t="s">
        <v>11472</v>
      </c>
    </row>
    <row r="9262" spans="1:6" x14ac:dyDescent="0.25">
      <c r="A9262" t="str">
        <f>"504200202598"</f>
        <v>504200202598</v>
      </c>
      <c r="B9262" t="s">
        <v>12793</v>
      </c>
      <c r="C9262" t="s">
        <v>7</v>
      </c>
      <c r="D9262" t="s">
        <v>14</v>
      </c>
      <c r="E9262" t="s">
        <v>11472</v>
      </c>
    </row>
    <row r="9263" spans="1:6" x14ac:dyDescent="0.25">
      <c r="A9263" t="str">
        <f>"504200381509"</f>
        <v>504200381509</v>
      </c>
      <c r="B9263" t="s">
        <v>12794</v>
      </c>
      <c r="C9263" t="s">
        <v>7</v>
      </c>
      <c r="D9263" t="s">
        <v>14</v>
      </c>
      <c r="E9263" t="s">
        <v>11472</v>
      </c>
    </row>
    <row r="9264" spans="1:6" x14ac:dyDescent="0.25">
      <c r="A9264" t="str">
        <f>"5042008836"</f>
        <v>5042008836</v>
      </c>
      <c r="B9264" t="s">
        <v>12795</v>
      </c>
      <c r="C9264" t="s">
        <v>7</v>
      </c>
      <c r="D9264" t="s">
        <v>12</v>
      </c>
      <c r="E9264" t="s">
        <v>11472</v>
      </c>
      <c r="F9264" t="s">
        <v>12796</v>
      </c>
    </row>
    <row r="9265" spans="1:6" x14ac:dyDescent="0.25">
      <c r="A9265" t="str">
        <f>"504204213632"</f>
        <v>504204213632</v>
      </c>
      <c r="B9265" t="s">
        <v>12797</v>
      </c>
      <c r="C9265" t="s">
        <v>7</v>
      </c>
      <c r="D9265" t="s">
        <v>14</v>
      </c>
      <c r="E9265" t="s">
        <v>11472</v>
      </c>
    </row>
    <row r="9266" spans="1:6" x14ac:dyDescent="0.25">
      <c r="A9266" t="str">
        <f>"5042044023"</f>
        <v>5042044023</v>
      </c>
      <c r="B9266" t="s">
        <v>12798</v>
      </c>
      <c r="C9266" t="s">
        <v>7</v>
      </c>
      <c r="D9266" t="s">
        <v>14</v>
      </c>
      <c r="E9266" t="s">
        <v>11472</v>
      </c>
      <c r="F9266" t="s">
        <v>12799</v>
      </c>
    </row>
    <row r="9267" spans="1:6" x14ac:dyDescent="0.25">
      <c r="A9267" t="str">
        <f>"504211385287"</f>
        <v>504211385287</v>
      </c>
      <c r="B9267" t="s">
        <v>12800</v>
      </c>
      <c r="C9267" t="s">
        <v>7</v>
      </c>
      <c r="D9267" t="s">
        <v>14</v>
      </c>
      <c r="E9267" t="s">
        <v>11472</v>
      </c>
    </row>
    <row r="9268" spans="1:6" x14ac:dyDescent="0.25">
      <c r="A9268" t="str">
        <f>"504213162416"</f>
        <v>504213162416</v>
      </c>
      <c r="B9268" t="s">
        <v>12801</v>
      </c>
      <c r="C9268" t="s">
        <v>7</v>
      </c>
      <c r="D9268" t="s">
        <v>14</v>
      </c>
      <c r="E9268" t="s">
        <v>11472</v>
      </c>
    </row>
    <row r="9269" spans="1:6" x14ac:dyDescent="0.25">
      <c r="A9269" t="str">
        <f>"504213767700"</f>
        <v>504213767700</v>
      </c>
      <c r="B9269" t="s">
        <v>12802</v>
      </c>
      <c r="C9269" t="s">
        <v>7</v>
      </c>
      <c r="D9269" t="s">
        <v>14</v>
      </c>
      <c r="E9269" t="s">
        <v>11472</v>
      </c>
    </row>
    <row r="9270" spans="1:6" x14ac:dyDescent="0.25">
      <c r="A9270" t="str">
        <f>"5042139966"</f>
        <v>5042139966</v>
      </c>
      <c r="B9270" t="s">
        <v>12803</v>
      </c>
      <c r="C9270" t="s">
        <v>7</v>
      </c>
      <c r="D9270" t="s">
        <v>33</v>
      </c>
      <c r="E9270" t="s">
        <v>11472</v>
      </c>
      <c r="F9270" t="s">
        <v>12804</v>
      </c>
    </row>
    <row r="9271" spans="1:6" x14ac:dyDescent="0.25">
      <c r="A9271" t="str">
        <f>"504214900000"</f>
        <v>504214900000</v>
      </c>
      <c r="B9271" t="s">
        <v>12805</v>
      </c>
      <c r="C9271" t="s">
        <v>7</v>
      </c>
      <c r="D9271" t="s">
        <v>14</v>
      </c>
      <c r="E9271" t="s">
        <v>11472</v>
      </c>
    </row>
    <row r="9272" spans="1:6" x14ac:dyDescent="0.25">
      <c r="A9272" t="str">
        <f>"504217595717"</f>
        <v>504217595717</v>
      </c>
      <c r="B9272" t="s">
        <v>12806</v>
      </c>
      <c r="C9272" t="s">
        <v>7</v>
      </c>
      <c r="D9272" t="s">
        <v>14</v>
      </c>
      <c r="E9272" t="s">
        <v>11472</v>
      </c>
    </row>
    <row r="9273" spans="1:6" x14ac:dyDescent="0.25">
      <c r="A9273" t="str">
        <f>"504229238981"</f>
        <v>504229238981</v>
      </c>
      <c r="B9273" t="s">
        <v>12807</v>
      </c>
      <c r="C9273" t="s">
        <v>7</v>
      </c>
      <c r="D9273" t="s">
        <v>12</v>
      </c>
      <c r="E9273" t="s">
        <v>11472</v>
      </c>
    </row>
    <row r="9274" spans="1:6" x14ac:dyDescent="0.25">
      <c r="A9274" t="str">
        <f>"504300110206"</f>
        <v>504300110206</v>
      </c>
      <c r="B9274" t="s">
        <v>12808</v>
      </c>
      <c r="C9274" t="s">
        <v>7</v>
      </c>
      <c r="D9274" t="s">
        <v>14</v>
      </c>
      <c r="E9274" t="s">
        <v>11472</v>
      </c>
    </row>
    <row r="9275" spans="1:6" x14ac:dyDescent="0.25">
      <c r="A9275" t="str">
        <f>"504300271651"</f>
        <v>504300271651</v>
      </c>
      <c r="B9275" t="s">
        <v>12809</v>
      </c>
      <c r="C9275" t="s">
        <v>7</v>
      </c>
      <c r="D9275" t="s">
        <v>14</v>
      </c>
      <c r="E9275" t="s">
        <v>11472</v>
      </c>
    </row>
    <row r="9276" spans="1:6" x14ac:dyDescent="0.25">
      <c r="A9276" t="str">
        <f>"504303414065"</f>
        <v>504303414065</v>
      </c>
      <c r="B9276" t="s">
        <v>12810</v>
      </c>
      <c r="C9276" t="s">
        <v>7</v>
      </c>
      <c r="D9276" t="s">
        <v>14</v>
      </c>
      <c r="E9276" t="s">
        <v>11472</v>
      </c>
    </row>
    <row r="9277" spans="1:6" x14ac:dyDescent="0.25">
      <c r="A9277" t="str">
        <f>"504303422556"</f>
        <v>504303422556</v>
      </c>
      <c r="B9277" t="s">
        <v>12811</v>
      </c>
      <c r="C9277" t="s">
        <v>7</v>
      </c>
      <c r="D9277" t="s">
        <v>14</v>
      </c>
      <c r="E9277" t="s">
        <v>11472</v>
      </c>
    </row>
    <row r="9278" spans="1:6" x14ac:dyDescent="0.25">
      <c r="A9278" t="str">
        <f>"504304565980"</f>
        <v>504304565980</v>
      </c>
      <c r="B9278" t="s">
        <v>12812</v>
      </c>
      <c r="C9278" t="s">
        <v>7</v>
      </c>
      <c r="D9278" t="s">
        <v>33</v>
      </c>
      <c r="E9278" t="s">
        <v>11472</v>
      </c>
    </row>
    <row r="9279" spans="1:6" x14ac:dyDescent="0.25">
      <c r="A9279" t="str">
        <f>"7703270067"</f>
        <v>7703270067</v>
      </c>
      <c r="B9279" t="s">
        <v>12813</v>
      </c>
      <c r="C9279" t="s">
        <v>7</v>
      </c>
      <c r="D9279" t="s">
        <v>8</v>
      </c>
      <c r="E9279" t="s">
        <v>11472</v>
      </c>
      <c r="F9279" t="s">
        <v>12814</v>
      </c>
    </row>
    <row r="9280" spans="1:6" x14ac:dyDescent="0.25">
      <c r="A9280" t="str">
        <f>"590616753690"</f>
        <v>590616753690</v>
      </c>
      <c r="B9280" t="s">
        <v>12815</v>
      </c>
      <c r="C9280" t="s">
        <v>7</v>
      </c>
      <c r="D9280" t="s">
        <v>12</v>
      </c>
      <c r="E9280" t="s">
        <v>11472</v>
      </c>
    </row>
    <row r="9281" spans="1:6" x14ac:dyDescent="0.25">
      <c r="A9281" t="str">
        <f>"7703821437"</f>
        <v>7703821437</v>
      </c>
      <c r="B9281" t="s">
        <v>12816</v>
      </c>
      <c r="C9281" t="s">
        <v>7</v>
      </c>
      <c r="D9281" t="s">
        <v>33</v>
      </c>
      <c r="E9281" t="s">
        <v>11472</v>
      </c>
      <c r="F9281" t="s">
        <v>12817</v>
      </c>
    </row>
    <row r="9282" spans="1:6" x14ac:dyDescent="0.25">
      <c r="A9282" t="str">
        <f>"7710390358"</f>
        <v>7710390358</v>
      </c>
      <c r="B9282" t="s">
        <v>12818</v>
      </c>
      <c r="C9282" t="s">
        <v>7</v>
      </c>
      <c r="D9282" t="s">
        <v>146</v>
      </c>
      <c r="E9282" t="s">
        <v>11472</v>
      </c>
      <c r="F9282" t="s">
        <v>12819</v>
      </c>
    </row>
    <row r="9283" spans="1:6" x14ac:dyDescent="0.25">
      <c r="A9283" t="str">
        <f>"7710761161"</f>
        <v>7710761161</v>
      </c>
      <c r="B9283" t="s">
        <v>12820</v>
      </c>
      <c r="C9283" t="s">
        <v>7</v>
      </c>
      <c r="D9283" t="s">
        <v>8</v>
      </c>
      <c r="E9283" t="s">
        <v>11472</v>
      </c>
      <c r="F9283" t="s">
        <v>12821</v>
      </c>
    </row>
    <row r="9284" spans="1:6" x14ac:dyDescent="0.25">
      <c r="A9284" t="str">
        <f>"7713228949"</f>
        <v>7713228949</v>
      </c>
      <c r="B9284" t="s">
        <v>12822</v>
      </c>
      <c r="C9284" t="s">
        <v>7</v>
      </c>
      <c r="D9284" t="s">
        <v>146</v>
      </c>
      <c r="E9284" t="s">
        <v>11472</v>
      </c>
      <c r="F9284" t="s">
        <v>12823</v>
      </c>
    </row>
    <row r="9285" spans="1:6" x14ac:dyDescent="0.25">
      <c r="A9285" t="str">
        <f>"7713419372"</f>
        <v>7713419372</v>
      </c>
      <c r="B9285" t="s">
        <v>12824</v>
      </c>
      <c r="C9285" t="s">
        <v>7</v>
      </c>
      <c r="D9285" t="s">
        <v>33</v>
      </c>
      <c r="E9285" t="s">
        <v>11472</v>
      </c>
      <c r="F9285" t="s">
        <v>12825</v>
      </c>
    </row>
    <row r="9286" spans="1:6" x14ac:dyDescent="0.25">
      <c r="A9286" t="str">
        <f>"7715035251"</f>
        <v>7715035251</v>
      </c>
      <c r="B9286" t="s">
        <v>12826</v>
      </c>
      <c r="C9286" t="s">
        <v>7</v>
      </c>
      <c r="D9286" t="s">
        <v>12</v>
      </c>
      <c r="E9286" t="s">
        <v>11472</v>
      </c>
      <c r="F9286" t="s">
        <v>12827</v>
      </c>
    </row>
    <row r="9287" spans="1:6" x14ac:dyDescent="0.25">
      <c r="A9287" t="str">
        <f>"7716667101"</f>
        <v>7716667101</v>
      </c>
      <c r="B9287" t="s">
        <v>12828</v>
      </c>
      <c r="C9287" t="s">
        <v>7</v>
      </c>
      <c r="D9287" t="s">
        <v>14</v>
      </c>
      <c r="E9287" t="s">
        <v>11472</v>
      </c>
      <c r="F9287" t="s">
        <v>12829</v>
      </c>
    </row>
    <row r="9288" spans="1:6" x14ac:dyDescent="0.25">
      <c r="A9288" t="str">
        <f>"7720294371"</f>
        <v>7720294371</v>
      </c>
      <c r="B9288" t="s">
        <v>12830</v>
      </c>
      <c r="C9288" t="s">
        <v>7</v>
      </c>
      <c r="D9288" t="s">
        <v>12</v>
      </c>
      <c r="E9288" t="s">
        <v>11472</v>
      </c>
      <c r="F9288" t="s">
        <v>12831</v>
      </c>
    </row>
    <row r="9289" spans="1:6" x14ac:dyDescent="0.25">
      <c r="A9289" t="str">
        <f>"370649256061"</f>
        <v>370649256061</v>
      </c>
      <c r="B9289" t="s">
        <v>12832</v>
      </c>
      <c r="C9289" t="s">
        <v>7</v>
      </c>
      <c r="D9289" t="s">
        <v>12</v>
      </c>
      <c r="E9289" t="s">
        <v>11472</v>
      </c>
    </row>
    <row r="9290" spans="1:6" x14ac:dyDescent="0.25">
      <c r="A9290" t="str">
        <f>"4011027058"</f>
        <v>4011027058</v>
      </c>
      <c r="B9290" t="s">
        <v>12833</v>
      </c>
      <c r="C9290" t="s">
        <v>7</v>
      </c>
      <c r="D9290" t="s">
        <v>14</v>
      </c>
      <c r="E9290" t="s">
        <v>11472</v>
      </c>
      <c r="F9290" t="s">
        <v>12834</v>
      </c>
    </row>
    <row r="9291" spans="1:6" x14ac:dyDescent="0.25">
      <c r="A9291" t="str">
        <f>"402900479800"</f>
        <v>402900479800</v>
      </c>
      <c r="B9291" t="s">
        <v>12835</v>
      </c>
      <c r="C9291" t="s">
        <v>7</v>
      </c>
      <c r="D9291" t="s">
        <v>12</v>
      </c>
      <c r="E9291" t="s">
        <v>11472</v>
      </c>
    </row>
    <row r="9292" spans="1:6" x14ac:dyDescent="0.25">
      <c r="A9292" t="str">
        <f>"1650202670"</f>
        <v>1650202670</v>
      </c>
      <c r="B9292" t="s">
        <v>12836</v>
      </c>
      <c r="C9292" t="s">
        <v>7</v>
      </c>
      <c r="D9292" t="s">
        <v>146</v>
      </c>
      <c r="E9292" t="s">
        <v>11472</v>
      </c>
      <c r="F9292" t="s">
        <v>12837</v>
      </c>
    </row>
    <row r="9293" spans="1:6" x14ac:dyDescent="0.25">
      <c r="A9293" t="str">
        <f>"301704389471"</f>
        <v>301704389471</v>
      </c>
      <c r="B9293" t="s">
        <v>12838</v>
      </c>
      <c r="C9293" t="s">
        <v>7</v>
      </c>
      <c r="D9293" t="s">
        <v>14</v>
      </c>
      <c r="E9293" t="s">
        <v>11472</v>
      </c>
    </row>
    <row r="9294" spans="1:6" x14ac:dyDescent="0.25">
      <c r="A9294" t="str">
        <f>"602509636448"</f>
        <v>602509636448</v>
      </c>
      <c r="B9294" t="s">
        <v>12839</v>
      </c>
      <c r="C9294" t="s">
        <v>7</v>
      </c>
      <c r="D9294" t="s">
        <v>14</v>
      </c>
      <c r="E9294" t="s">
        <v>11472</v>
      </c>
    </row>
    <row r="9295" spans="1:6" x14ac:dyDescent="0.25">
      <c r="A9295" t="str">
        <f>"7709048728"</f>
        <v>7709048728</v>
      </c>
      <c r="B9295" t="s">
        <v>12840</v>
      </c>
      <c r="C9295" t="s">
        <v>7</v>
      </c>
      <c r="D9295" t="s">
        <v>98</v>
      </c>
      <c r="E9295" t="s">
        <v>11472</v>
      </c>
      <c r="F9295" t="s">
        <v>12841</v>
      </c>
    </row>
    <row r="9296" spans="1:6" x14ac:dyDescent="0.25">
      <c r="A9296" t="str">
        <f>"7709262947"</f>
        <v>7709262947</v>
      </c>
      <c r="B9296" t="s">
        <v>12842</v>
      </c>
      <c r="C9296" t="s">
        <v>7</v>
      </c>
      <c r="D9296" t="s">
        <v>98</v>
      </c>
      <c r="E9296" t="s">
        <v>11472</v>
      </c>
      <c r="F9296" t="s">
        <v>12843</v>
      </c>
    </row>
    <row r="9297" spans="1:6" x14ac:dyDescent="0.25">
      <c r="A9297" t="str">
        <f>"7712018177"</f>
        <v>7712018177</v>
      </c>
      <c r="B9297" t="s">
        <v>12844</v>
      </c>
      <c r="C9297" t="s">
        <v>7</v>
      </c>
      <c r="D9297" t="s">
        <v>146</v>
      </c>
      <c r="E9297" t="s">
        <v>11472</v>
      </c>
      <c r="F9297" t="s">
        <v>12845</v>
      </c>
    </row>
    <row r="9298" spans="1:6" x14ac:dyDescent="0.25">
      <c r="A9298" t="str">
        <f>"771316962377"</f>
        <v>771316962377</v>
      </c>
      <c r="B9298" t="s">
        <v>12846</v>
      </c>
      <c r="C9298" t="s">
        <v>7</v>
      </c>
      <c r="D9298" t="s">
        <v>463</v>
      </c>
      <c r="E9298" t="s">
        <v>11472</v>
      </c>
    </row>
    <row r="9299" spans="1:6" x14ac:dyDescent="0.25">
      <c r="A9299" t="str">
        <f>"771386787104"</f>
        <v>771386787104</v>
      </c>
      <c r="B9299" t="s">
        <v>12847</v>
      </c>
      <c r="C9299" t="s">
        <v>7</v>
      </c>
      <c r="D9299" t="s">
        <v>33</v>
      </c>
      <c r="E9299" t="s">
        <v>11472</v>
      </c>
    </row>
    <row r="9300" spans="1:6" x14ac:dyDescent="0.25">
      <c r="A9300" t="str">
        <f>"7714345645"</f>
        <v>7714345645</v>
      </c>
      <c r="B9300" t="s">
        <v>6926</v>
      </c>
      <c r="C9300" t="s">
        <v>7</v>
      </c>
      <c r="D9300" t="s">
        <v>33</v>
      </c>
      <c r="E9300" t="s">
        <v>11472</v>
      </c>
      <c r="F9300" t="s">
        <v>12848</v>
      </c>
    </row>
    <row r="9301" spans="1:6" x14ac:dyDescent="0.25">
      <c r="A9301" t="str">
        <f>"7714349030"</f>
        <v>7714349030</v>
      </c>
      <c r="B9301" t="s">
        <v>12849</v>
      </c>
      <c r="C9301" t="s">
        <v>7</v>
      </c>
      <c r="D9301" t="s">
        <v>8</v>
      </c>
      <c r="E9301" t="s">
        <v>11472</v>
      </c>
      <c r="F9301" t="s">
        <v>12850</v>
      </c>
    </row>
    <row r="9302" spans="1:6" x14ac:dyDescent="0.25">
      <c r="A9302" t="str">
        <f>"771474586157"</f>
        <v>771474586157</v>
      </c>
      <c r="B9302" t="s">
        <v>12851</v>
      </c>
      <c r="C9302" t="s">
        <v>7</v>
      </c>
      <c r="D9302" t="s">
        <v>14</v>
      </c>
      <c r="E9302" t="s">
        <v>11472</v>
      </c>
    </row>
    <row r="9303" spans="1:6" x14ac:dyDescent="0.25">
      <c r="A9303" t="str">
        <f>"7714848670"</f>
        <v>7714848670</v>
      </c>
      <c r="B9303" t="s">
        <v>12852</v>
      </c>
      <c r="C9303" t="s">
        <v>7</v>
      </c>
      <c r="D9303" t="s">
        <v>33</v>
      </c>
      <c r="E9303" t="s">
        <v>11472</v>
      </c>
      <c r="F9303" t="s">
        <v>12853</v>
      </c>
    </row>
    <row r="9304" spans="1:6" x14ac:dyDescent="0.25">
      <c r="A9304" t="str">
        <f>"5044005132"</f>
        <v>5044005132</v>
      </c>
      <c r="B9304" t="s">
        <v>12854</v>
      </c>
      <c r="C9304" t="s">
        <v>7</v>
      </c>
      <c r="D9304" t="s">
        <v>14</v>
      </c>
      <c r="E9304" t="s">
        <v>11472</v>
      </c>
      <c r="F9304" t="s">
        <v>12855</v>
      </c>
    </row>
    <row r="9305" spans="1:6" x14ac:dyDescent="0.25">
      <c r="A9305" t="str">
        <f>"504407599935"</f>
        <v>504407599935</v>
      </c>
      <c r="B9305" t="s">
        <v>12856</v>
      </c>
      <c r="C9305" t="s">
        <v>7</v>
      </c>
      <c r="D9305" t="s">
        <v>14</v>
      </c>
      <c r="E9305" t="s">
        <v>11472</v>
      </c>
    </row>
    <row r="9306" spans="1:6" x14ac:dyDescent="0.25">
      <c r="A9306" t="str">
        <f>"504408634580"</f>
        <v>504408634580</v>
      </c>
      <c r="B9306" t="s">
        <v>12857</v>
      </c>
      <c r="C9306" t="s">
        <v>7</v>
      </c>
      <c r="D9306" t="s">
        <v>14</v>
      </c>
      <c r="E9306" t="s">
        <v>11472</v>
      </c>
    </row>
    <row r="9307" spans="1:6" x14ac:dyDescent="0.25">
      <c r="A9307" t="str">
        <f>"504408758708"</f>
        <v>504408758708</v>
      </c>
      <c r="B9307" t="s">
        <v>12858</v>
      </c>
      <c r="C9307" t="s">
        <v>7</v>
      </c>
      <c r="D9307" t="s">
        <v>14</v>
      </c>
      <c r="E9307" t="s">
        <v>11472</v>
      </c>
    </row>
    <row r="9308" spans="1:6" x14ac:dyDescent="0.25">
      <c r="A9308" t="str">
        <f>"5044122950"</f>
        <v>5044122950</v>
      </c>
      <c r="B9308" t="s">
        <v>12859</v>
      </c>
      <c r="C9308" t="s">
        <v>7</v>
      </c>
      <c r="D9308" t="s">
        <v>33</v>
      </c>
      <c r="E9308" t="s">
        <v>11472</v>
      </c>
      <c r="F9308" t="s">
        <v>12860</v>
      </c>
    </row>
    <row r="9309" spans="1:6" x14ac:dyDescent="0.25">
      <c r="A9309" t="str">
        <f>"5044143686"</f>
        <v>5044143686</v>
      </c>
      <c r="B9309" t="s">
        <v>12861</v>
      </c>
      <c r="C9309" t="s">
        <v>7</v>
      </c>
      <c r="D9309" t="s">
        <v>14</v>
      </c>
      <c r="E9309" t="s">
        <v>11472</v>
      </c>
      <c r="F9309" t="s">
        <v>12862</v>
      </c>
    </row>
    <row r="9310" spans="1:6" x14ac:dyDescent="0.25">
      <c r="A9310" t="str">
        <f>"5044144369"</f>
        <v>5044144369</v>
      </c>
      <c r="B9310" t="s">
        <v>12863</v>
      </c>
      <c r="C9310" t="s">
        <v>7</v>
      </c>
      <c r="D9310" t="s">
        <v>14</v>
      </c>
      <c r="E9310" t="s">
        <v>11472</v>
      </c>
      <c r="F9310" t="s">
        <v>12864</v>
      </c>
    </row>
    <row r="9311" spans="1:6" x14ac:dyDescent="0.25">
      <c r="A9311" t="str">
        <f>"504500211226"</f>
        <v>504500211226</v>
      </c>
      <c r="B9311" t="s">
        <v>12865</v>
      </c>
      <c r="C9311" t="s">
        <v>7</v>
      </c>
      <c r="D9311" t="s">
        <v>14</v>
      </c>
      <c r="E9311" t="s">
        <v>11472</v>
      </c>
    </row>
    <row r="9312" spans="1:6" x14ac:dyDescent="0.25">
      <c r="A9312" t="str">
        <f>"5045022349"</f>
        <v>5045022349</v>
      </c>
      <c r="B9312" t="s">
        <v>12866</v>
      </c>
      <c r="C9312" t="s">
        <v>7</v>
      </c>
      <c r="D9312" t="s">
        <v>14</v>
      </c>
      <c r="E9312" t="s">
        <v>11472</v>
      </c>
      <c r="F9312" t="s">
        <v>12867</v>
      </c>
    </row>
    <row r="9313" spans="1:6" x14ac:dyDescent="0.25">
      <c r="A9313" t="str">
        <f>"5045040362"</f>
        <v>5045040362</v>
      </c>
      <c r="B9313" t="s">
        <v>12868</v>
      </c>
      <c r="C9313" t="s">
        <v>7</v>
      </c>
      <c r="D9313" t="s">
        <v>14</v>
      </c>
      <c r="E9313" t="s">
        <v>11472</v>
      </c>
      <c r="F9313" t="s">
        <v>12869</v>
      </c>
    </row>
    <row r="9314" spans="1:6" x14ac:dyDescent="0.25">
      <c r="A9314" t="str">
        <f>"5045068343"</f>
        <v>5045068343</v>
      </c>
      <c r="B9314" t="s">
        <v>12870</v>
      </c>
      <c r="C9314" t="s">
        <v>7</v>
      </c>
      <c r="D9314" t="s">
        <v>98</v>
      </c>
      <c r="E9314" t="s">
        <v>11472</v>
      </c>
      <c r="F9314" t="s">
        <v>12871</v>
      </c>
    </row>
    <row r="9315" spans="1:6" x14ac:dyDescent="0.25">
      <c r="A9315" t="str">
        <f>"504507382870"</f>
        <v>504507382870</v>
      </c>
      <c r="B9315" t="s">
        <v>12872</v>
      </c>
      <c r="C9315" t="s">
        <v>7</v>
      </c>
      <c r="D9315" t="s">
        <v>14</v>
      </c>
      <c r="E9315" t="s">
        <v>11472</v>
      </c>
    </row>
    <row r="9316" spans="1:6" x14ac:dyDescent="0.25">
      <c r="A9316" t="str">
        <f>"504700291444"</f>
        <v>504700291444</v>
      </c>
      <c r="B9316" t="s">
        <v>12873</v>
      </c>
      <c r="C9316" t="s">
        <v>7</v>
      </c>
      <c r="D9316" t="s">
        <v>33</v>
      </c>
      <c r="E9316" t="s">
        <v>11472</v>
      </c>
    </row>
    <row r="9317" spans="1:6" x14ac:dyDescent="0.25">
      <c r="A9317" t="str">
        <f>"504708241036"</f>
        <v>504708241036</v>
      </c>
      <c r="B9317" t="s">
        <v>12874</v>
      </c>
      <c r="C9317" t="s">
        <v>7</v>
      </c>
      <c r="D9317" t="s">
        <v>14</v>
      </c>
      <c r="E9317" t="s">
        <v>11472</v>
      </c>
    </row>
    <row r="9318" spans="1:6" x14ac:dyDescent="0.25">
      <c r="A9318" t="str">
        <f>"5047128326"</f>
        <v>5047128326</v>
      </c>
      <c r="B9318" t="s">
        <v>12875</v>
      </c>
      <c r="C9318" t="s">
        <v>7</v>
      </c>
      <c r="D9318" t="s">
        <v>33</v>
      </c>
      <c r="E9318" t="s">
        <v>11472</v>
      </c>
      <c r="F9318" t="s">
        <v>12876</v>
      </c>
    </row>
    <row r="9319" spans="1:6" x14ac:dyDescent="0.25">
      <c r="A9319" t="str">
        <f>"5047157207"</f>
        <v>5047157207</v>
      </c>
      <c r="B9319" t="s">
        <v>12877</v>
      </c>
      <c r="C9319" t="s">
        <v>7</v>
      </c>
      <c r="D9319" t="s">
        <v>674</v>
      </c>
      <c r="E9319" t="s">
        <v>11472</v>
      </c>
      <c r="F9319" t="s">
        <v>12878</v>
      </c>
    </row>
    <row r="9320" spans="1:6" x14ac:dyDescent="0.25">
      <c r="A9320" t="str">
        <f>"5047165230"</f>
        <v>5047165230</v>
      </c>
      <c r="B9320" t="s">
        <v>6782</v>
      </c>
      <c r="C9320" t="s">
        <v>7</v>
      </c>
      <c r="D9320" t="s">
        <v>33</v>
      </c>
      <c r="E9320" t="s">
        <v>11472</v>
      </c>
      <c r="F9320" t="s">
        <v>12879</v>
      </c>
    </row>
    <row r="9321" spans="1:6" x14ac:dyDescent="0.25">
      <c r="A9321" t="str">
        <f>"5047174450"</f>
        <v>5047174450</v>
      </c>
      <c r="B9321" t="s">
        <v>12880</v>
      </c>
      <c r="C9321" t="s">
        <v>7</v>
      </c>
      <c r="D9321" t="s">
        <v>33</v>
      </c>
      <c r="E9321" t="s">
        <v>11472</v>
      </c>
      <c r="F9321" t="s">
        <v>12881</v>
      </c>
    </row>
    <row r="9322" spans="1:6" x14ac:dyDescent="0.25">
      <c r="A9322" t="str">
        <f>"5047206790"</f>
        <v>5047206790</v>
      </c>
      <c r="B9322" t="s">
        <v>12882</v>
      </c>
      <c r="C9322" t="s">
        <v>7</v>
      </c>
      <c r="D9322" t="s">
        <v>28</v>
      </c>
      <c r="E9322" t="s">
        <v>11472</v>
      </c>
      <c r="F9322" t="s">
        <v>12883</v>
      </c>
    </row>
    <row r="9323" spans="1:6" x14ac:dyDescent="0.25">
      <c r="A9323" t="str">
        <f>"5047250894"</f>
        <v>5047250894</v>
      </c>
      <c r="B9323" t="s">
        <v>12884</v>
      </c>
      <c r="C9323" t="s">
        <v>7</v>
      </c>
      <c r="D9323" t="s">
        <v>12</v>
      </c>
      <c r="E9323" t="s">
        <v>11472</v>
      </c>
      <c r="F9323" t="s">
        <v>12885</v>
      </c>
    </row>
    <row r="9324" spans="1:6" x14ac:dyDescent="0.25">
      <c r="A9324" t="str">
        <f>"5047264939"</f>
        <v>5047264939</v>
      </c>
      <c r="B9324" t="s">
        <v>12886</v>
      </c>
      <c r="C9324" t="s">
        <v>7</v>
      </c>
      <c r="D9324" t="s">
        <v>12</v>
      </c>
      <c r="E9324" t="s">
        <v>11472</v>
      </c>
      <c r="F9324" t="s">
        <v>12887</v>
      </c>
    </row>
    <row r="9325" spans="1:6" x14ac:dyDescent="0.25">
      <c r="A9325" t="str">
        <f>"5047266414"</f>
        <v>5047266414</v>
      </c>
      <c r="B9325" t="s">
        <v>12888</v>
      </c>
      <c r="C9325" t="s">
        <v>7</v>
      </c>
      <c r="D9325" t="s">
        <v>33</v>
      </c>
      <c r="E9325" t="s">
        <v>11472</v>
      </c>
      <c r="F9325" t="s">
        <v>12889</v>
      </c>
    </row>
    <row r="9326" spans="1:6" x14ac:dyDescent="0.25">
      <c r="A9326" t="str">
        <f>"5047280465"</f>
        <v>5047280465</v>
      </c>
      <c r="B9326" t="s">
        <v>12890</v>
      </c>
      <c r="C9326" t="s">
        <v>7</v>
      </c>
      <c r="D9326" t="s">
        <v>12</v>
      </c>
      <c r="E9326" t="s">
        <v>11472</v>
      </c>
      <c r="F9326" t="s">
        <v>12891</v>
      </c>
    </row>
    <row r="9327" spans="1:6" x14ac:dyDescent="0.25">
      <c r="A9327" t="str">
        <f>"5047291636"</f>
        <v>5047291636</v>
      </c>
      <c r="B9327" t="s">
        <v>12892</v>
      </c>
      <c r="C9327" t="s">
        <v>7</v>
      </c>
      <c r="D9327" t="s">
        <v>12</v>
      </c>
      <c r="E9327" t="s">
        <v>11472</v>
      </c>
      <c r="F9327" t="s">
        <v>12893</v>
      </c>
    </row>
    <row r="9328" spans="1:6" x14ac:dyDescent="0.25">
      <c r="A9328" t="str">
        <f>"5047300859"</f>
        <v>5047300859</v>
      </c>
      <c r="B9328" t="s">
        <v>12894</v>
      </c>
      <c r="C9328" t="s">
        <v>7</v>
      </c>
      <c r="D9328" t="s">
        <v>33</v>
      </c>
      <c r="E9328" t="s">
        <v>11472</v>
      </c>
      <c r="F9328" t="s">
        <v>12895</v>
      </c>
    </row>
    <row r="9329" spans="1:6" x14ac:dyDescent="0.25">
      <c r="A9329" t="str">
        <f>"5047307893"</f>
        <v>5047307893</v>
      </c>
      <c r="B9329" t="s">
        <v>12896</v>
      </c>
      <c r="C9329" t="s">
        <v>7</v>
      </c>
      <c r="D9329" t="s">
        <v>33</v>
      </c>
      <c r="E9329" t="s">
        <v>11472</v>
      </c>
      <c r="F9329" t="s">
        <v>12897</v>
      </c>
    </row>
    <row r="9330" spans="1:6" x14ac:dyDescent="0.25">
      <c r="A9330" t="str">
        <f>"504901110377"</f>
        <v>504901110377</v>
      </c>
      <c r="B9330" t="s">
        <v>12898</v>
      </c>
      <c r="C9330" t="s">
        <v>7</v>
      </c>
      <c r="D9330" t="s">
        <v>14</v>
      </c>
      <c r="E9330" t="s">
        <v>11472</v>
      </c>
    </row>
    <row r="9331" spans="1:6" x14ac:dyDescent="0.25">
      <c r="A9331" t="str">
        <f>"505000222052"</f>
        <v>505000222052</v>
      </c>
      <c r="B9331" t="s">
        <v>12899</v>
      </c>
      <c r="C9331" t="s">
        <v>7</v>
      </c>
      <c r="D9331" t="s">
        <v>14</v>
      </c>
      <c r="E9331" t="s">
        <v>11472</v>
      </c>
    </row>
    <row r="9332" spans="1:6" x14ac:dyDescent="0.25">
      <c r="A9332" t="str">
        <f>"5050014985"</f>
        <v>5050014985</v>
      </c>
      <c r="B9332" t="s">
        <v>12900</v>
      </c>
      <c r="C9332" t="s">
        <v>7</v>
      </c>
      <c r="D9332" t="s">
        <v>14</v>
      </c>
      <c r="E9332" t="s">
        <v>11472</v>
      </c>
      <c r="F9332" t="s">
        <v>12901</v>
      </c>
    </row>
    <row r="9333" spans="1:6" x14ac:dyDescent="0.25">
      <c r="A9333" t="str">
        <f>"5050040270"</f>
        <v>5050040270</v>
      </c>
      <c r="B9333" t="s">
        <v>12902</v>
      </c>
      <c r="C9333" t="s">
        <v>7</v>
      </c>
      <c r="D9333" t="s">
        <v>14</v>
      </c>
      <c r="E9333" t="s">
        <v>11472</v>
      </c>
      <c r="F9333" t="s">
        <v>12903</v>
      </c>
    </row>
    <row r="9334" spans="1:6" x14ac:dyDescent="0.25">
      <c r="A9334" t="str">
        <f>"505006558570"</f>
        <v>505006558570</v>
      </c>
      <c r="B9334" t="s">
        <v>12904</v>
      </c>
      <c r="C9334" t="s">
        <v>7</v>
      </c>
      <c r="D9334" t="s">
        <v>14</v>
      </c>
      <c r="E9334" t="s">
        <v>11472</v>
      </c>
    </row>
    <row r="9335" spans="1:6" x14ac:dyDescent="0.25">
      <c r="A9335" t="str">
        <f>"5050123663"</f>
        <v>5050123663</v>
      </c>
      <c r="B9335" t="s">
        <v>12905</v>
      </c>
      <c r="C9335" t="s">
        <v>7</v>
      </c>
      <c r="D9335" t="s">
        <v>14</v>
      </c>
      <c r="E9335" t="s">
        <v>11472</v>
      </c>
      <c r="F9335" t="s">
        <v>12906</v>
      </c>
    </row>
    <row r="9336" spans="1:6" x14ac:dyDescent="0.25">
      <c r="A9336" t="str">
        <f>"5052010104"</f>
        <v>5052010104</v>
      </c>
      <c r="B9336" t="s">
        <v>12907</v>
      </c>
      <c r="C9336" t="s">
        <v>7</v>
      </c>
      <c r="D9336" t="s">
        <v>12</v>
      </c>
      <c r="E9336" t="s">
        <v>11472</v>
      </c>
      <c r="F9336" t="s">
        <v>12908</v>
      </c>
    </row>
    <row r="9337" spans="1:6" x14ac:dyDescent="0.25">
      <c r="A9337" t="str">
        <f>"5052012550"</f>
        <v>5052012550</v>
      </c>
      <c r="B9337" t="s">
        <v>12909</v>
      </c>
      <c r="C9337" t="s">
        <v>7</v>
      </c>
      <c r="D9337" t="s">
        <v>98</v>
      </c>
      <c r="E9337" t="s">
        <v>11472</v>
      </c>
      <c r="F9337" t="s">
        <v>12910</v>
      </c>
    </row>
    <row r="9338" spans="1:6" x14ac:dyDescent="0.25">
      <c r="A9338" t="str">
        <f>"505301555947"</f>
        <v>505301555947</v>
      </c>
      <c r="B9338" t="s">
        <v>12911</v>
      </c>
      <c r="C9338" t="s">
        <v>7</v>
      </c>
      <c r="D9338" t="s">
        <v>14</v>
      </c>
      <c r="E9338" t="s">
        <v>11472</v>
      </c>
    </row>
    <row r="9339" spans="1:6" x14ac:dyDescent="0.25">
      <c r="A9339" t="str">
        <f>"5053061006"</f>
        <v>5053061006</v>
      </c>
      <c r="B9339" t="s">
        <v>12912</v>
      </c>
      <c r="C9339" t="s">
        <v>7</v>
      </c>
      <c r="D9339" t="s">
        <v>98</v>
      </c>
      <c r="E9339" t="s">
        <v>11472</v>
      </c>
      <c r="F9339" t="s">
        <v>12913</v>
      </c>
    </row>
    <row r="9340" spans="1:6" x14ac:dyDescent="0.25">
      <c r="A9340" t="str">
        <f>"5053068280"</f>
        <v>5053068280</v>
      </c>
      <c r="B9340" t="s">
        <v>12914</v>
      </c>
      <c r="C9340" t="s">
        <v>7</v>
      </c>
      <c r="D9340" t="s">
        <v>674</v>
      </c>
      <c r="E9340" t="s">
        <v>11472</v>
      </c>
      <c r="F9340" t="s">
        <v>12915</v>
      </c>
    </row>
    <row r="9341" spans="1:6" x14ac:dyDescent="0.25">
      <c r="A9341" t="str">
        <f>"505309212243"</f>
        <v>505309212243</v>
      </c>
      <c r="B9341" t="s">
        <v>12916</v>
      </c>
      <c r="C9341" t="s">
        <v>7</v>
      </c>
      <c r="D9341" t="s">
        <v>12</v>
      </c>
      <c r="E9341" t="s">
        <v>11472</v>
      </c>
    </row>
    <row r="9342" spans="1:6" x14ac:dyDescent="0.25">
      <c r="A9342" t="str">
        <f>"505309707824"</f>
        <v>505309707824</v>
      </c>
      <c r="B9342" t="s">
        <v>12917</v>
      </c>
      <c r="C9342" t="s">
        <v>7</v>
      </c>
      <c r="D9342" t="s">
        <v>14</v>
      </c>
      <c r="E9342" t="s">
        <v>11472</v>
      </c>
    </row>
    <row r="9343" spans="1:6" x14ac:dyDescent="0.25">
      <c r="A9343" t="str">
        <f>"505311096185"</f>
        <v>505311096185</v>
      </c>
      <c r="B9343" t="s">
        <v>12918</v>
      </c>
      <c r="C9343" t="s">
        <v>7</v>
      </c>
      <c r="D9343" t="s">
        <v>14</v>
      </c>
      <c r="E9343" t="s">
        <v>11472</v>
      </c>
    </row>
    <row r="9344" spans="1:6" x14ac:dyDescent="0.25">
      <c r="A9344" t="str">
        <f>"505311512251"</f>
        <v>505311512251</v>
      </c>
      <c r="B9344" t="s">
        <v>12919</v>
      </c>
      <c r="C9344" t="s">
        <v>7</v>
      </c>
      <c r="D9344" t="s">
        <v>14</v>
      </c>
      <c r="E9344" t="s">
        <v>11472</v>
      </c>
    </row>
    <row r="9345" spans="1:6" x14ac:dyDescent="0.25">
      <c r="A9345" t="str">
        <f>"505312066433"</f>
        <v>505312066433</v>
      </c>
      <c r="B9345" t="s">
        <v>12920</v>
      </c>
      <c r="C9345" t="s">
        <v>7</v>
      </c>
      <c r="D9345" t="s">
        <v>14</v>
      </c>
      <c r="E9345" t="s">
        <v>11472</v>
      </c>
    </row>
    <row r="9346" spans="1:6" x14ac:dyDescent="0.25">
      <c r="A9346" t="str">
        <f>"505510511943"</f>
        <v>505510511943</v>
      </c>
      <c r="B9346" t="s">
        <v>12921</v>
      </c>
      <c r="C9346" t="s">
        <v>7</v>
      </c>
      <c r="D9346" t="s">
        <v>14</v>
      </c>
      <c r="E9346" t="s">
        <v>11472</v>
      </c>
    </row>
    <row r="9347" spans="1:6" x14ac:dyDescent="0.25">
      <c r="A9347" t="str">
        <f>"507000096997"</f>
        <v>507000096997</v>
      </c>
      <c r="B9347" t="s">
        <v>12922</v>
      </c>
      <c r="C9347" t="s">
        <v>7</v>
      </c>
      <c r="D9347" t="s">
        <v>14</v>
      </c>
      <c r="E9347" t="s">
        <v>11472</v>
      </c>
    </row>
    <row r="9348" spans="1:6" x14ac:dyDescent="0.25">
      <c r="A9348" t="str">
        <f>"507002574208"</f>
        <v>507002574208</v>
      </c>
      <c r="B9348" t="s">
        <v>12923</v>
      </c>
      <c r="C9348" t="s">
        <v>7</v>
      </c>
      <c r="D9348" t="s">
        <v>14</v>
      </c>
      <c r="E9348" t="s">
        <v>11472</v>
      </c>
    </row>
    <row r="9349" spans="1:6" x14ac:dyDescent="0.25">
      <c r="A9349" t="str">
        <f>"507205277169"</f>
        <v>507205277169</v>
      </c>
      <c r="B9349" t="s">
        <v>12924</v>
      </c>
      <c r="C9349" t="s">
        <v>7</v>
      </c>
      <c r="D9349" t="s">
        <v>14</v>
      </c>
      <c r="E9349" t="s">
        <v>11472</v>
      </c>
    </row>
    <row r="9350" spans="1:6" x14ac:dyDescent="0.25">
      <c r="A9350" t="str">
        <f>"507300242920"</f>
        <v>507300242920</v>
      </c>
      <c r="B9350" t="s">
        <v>12925</v>
      </c>
      <c r="C9350" t="s">
        <v>7</v>
      </c>
      <c r="D9350" t="s">
        <v>14</v>
      </c>
      <c r="E9350" t="s">
        <v>11472</v>
      </c>
    </row>
    <row r="9351" spans="1:6" x14ac:dyDescent="0.25">
      <c r="A9351" t="str">
        <f>"5074054592"</f>
        <v>5074054592</v>
      </c>
      <c r="B9351" t="s">
        <v>1380</v>
      </c>
      <c r="C9351" t="s">
        <v>7</v>
      </c>
      <c r="D9351" t="s">
        <v>12</v>
      </c>
      <c r="E9351" t="s">
        <v>11472</v>
      </c>
      <c r="F9351" t="s">
        <v>12926</v>
      </c>
    </row>
    <row r="9352" spans="1:6" x14ac:dyDescent="0.25">
      <c r="A9352" t="str">
        <f>"5074068348"</f>
        <v>5074068348</v>
      </c>
      <c r="B9352" t="s">
        <v>12927</v>
      </c>
      <c r="C9352" t="s">
        <v>7</v>
      </c>
      <c r="D9352" t="s">
        <v>8</v>
      </c>
      <c r="E9352" t="s">
        <v>11472</v>
      </c>
      <c r="F9352" t="s">
        <v>12928</v>
      </c>
    </row>
    <row r="9353" spans="1:6" x14ac:dyDescent="0.25">
      <c r="A9353" t="str">
        <f>"5074075803"</f>
        <v>5074075803</v>
      </c>
      <c r="B9353" t="s">
        <v>9052</v>
      </c>
      <c r="C9353" t="s">
        <v>7</v>
      </c>
      <c r="D9353" t="s">
        <v>33</v>
      </c>
      <c r="E9353" t="s">
        <v>11472</v>
      </c>
      <c r="F9353" t="s">
        <v>12929</v>
      </c>
    </row>
    <row r="9354" spans="1:6" x14ac:dyDescent="0.25">
      <c r="A9354" t="str">
        <f>"5074079205"</f>
        <v>5074079205</v>
      </c>
      <c r="B9354" t="s">
        <v>12930</v>
      </c>
      <c r="C9354" t="s">
        <v>7</v>
      </c>
      <c r="D9354" t="s">
        <v>12</v>
      </c>
      <c r="E9354" t="s">
        <v>11472</v>
      </c>
      <c r="F9354" t="s">
        <v>12931</v>
      </c>
    </row>
    <row r="9355" spans="1:6" x14ac:dyDescent="0.25">
      <c r="A9355" t="str">
        <f>"5074079660"</f>
        <v>5074079660</v>
      </c>
      <c r="B9355" t="s">
        <v>12932</v>
      </c>
      <c r="C9355" t="s">
        <v>7</v>
      </c>
      <c r="D9355" t="s">
        <v>12</v>
      </c>
      <c r="E9355" t="s">
        <v>11472</v>
      </c>
      <c r="F9355" t="s">
        <v>12933</v>
      </c>
    </row>
    <row r="9356" spans="1:6" x14ac:dyDescent="0.25">
      <c r="A9356" t="str">
        <f>"5074085625"</f>
        <v>5074085625</v>
      </c>
      <c r="B9356" t="s">
        <v>11845</v>
      </c>
      <c r="C9356" t="s">
        <v>7</v>
      </c>
      <c r="D9356" t="s">
        <v>1430</v>
      </c>
      <c r="E9356" t="s">
        <v>11472</v>
      </c>
      <c r="F9356" t="s">
        <v>12934</v>
      </c>
    </row>
    <row r="9357" spans="1:6" x14ac:dyDescent="0.25">
      <c r="A9357" t="str">
        <f>"5074086410"</f>
        <v>5074086410</v>
      </c>
      <c r="B9357" t="s">
        <v>12935</v>
      </c>
      <c r="C9357" t="s">
        <v>7</v>
      </c>
      <c r="D9357" t="s">
        <v>8</v>
      </c>
      <c r="E9357" t="s">
        <v>11472</v>
      </c>
      <c r="F9357" t="s">
        <v>12936</v>
      </c>
    </row>
    <row r="9358" spans="1:6" x14ac:dyDescent="0.25">
      <c r="A9358" t="str">
        <f>"910216063452"</f>
        <v>910216063452</v>
      </c>
      <c r="B9358" t="s">
        <v>12937</v>
      </c>
      <c r="C9358" t="s">
        <v>7</v>
      </c>
      <c r="D9358" t="s">
        <v>674</v>
      </c>
      <c r="E9358" t="s">
        <v>11472</v>
      </c>
    </row>
    <row r="9359" spans="1:6" x14ac:dyDescent="0.25">
      <c r="A9359" t="str">
        <f>"5043067680"</f>
        <v>5043067680</v>
      </c>
      <c r="B9359" t="s">
        <v>12938</v>
      </c>
      <c r="C9359" t="s">
        <v>7</v>
      </c>
      <c r="D9359" t="s">
        <v>14</v>
      </c>
      <c r="E9359" t="s">
        <v>11472</v>
      </c>
      <c r="F9359" t="s">
        <v>12939</v>
      </c>
    </row>
    <row r="9360" spans="1:6" x14ac:dyDescent="0.25">
      <c r="A9360" t="str">
        <f>"504309877292"</f>
        <v>504309877292</v>
      </c>
      <c r="B9360" t="s">
        <v>12940</v>
      </c>
      <c r="C9360" t="s">
        <v>7</v>
      </c>
      <c r="D9360" t="s">
        <v>33</v>
      </c>
      <c r="E9360" t="s">
        <v>11472</v>
      </c>
    </row>
    <row r="9361" spans="1:6" x14ac:dyDescent="0.25">
      <c r="A9361" t="str">
        <f>"504310163285"</f>
        <v>504310163285</v>
      </c>
      <c r="B9361" t="s">
        <v>12941</v>
      </c>
      <c r="C9361" t="s">
        <v>7</v>
      </c>
      <c r="D9361" t="s">
        <v>14</v>
      </c>
      <c r="E9361" t="s">
        <v>11472</v>
      </c>
    </row>
    <row r="9362" spans="1:6" x14ac:dyDescent="0.25">
      <c r="A9362" t="str">
        <f>"504316898529"</f>
        <v>504316898529</v>
      </c>
      <c r="B9362" t="s">
        <v>12942</v>
      </c>
      <c r="C9362" t="s">
        <v>7</v>
      </c>
      <c r="D9362" t="s">
        <v>14</v>
      </c>
      <c r="E9362" t="s">
        <v>11472</v>
      </c>
    </row>
    <row r="9363" spans="1:6" x14ac:dyDescent="0.25">
      <c r="A9363" t="str">
        <f>"504318126408"</f>
        <v>504318126408</v>
      </c>
      <c r="B9363" t="s">
        <v>12943</v>
      </c>
      <c r="C9363" t="s">
        <v>7</v>
      </c>
      <c r="D9363" t="s">
        <v>33</v>
      </c>
      <c r="E9363" t="s">
        <v>11472</v>
      </c>
    </row>
    <row r="9364" spans="1:6" x14ac:dyDescent="0.25">
      <c r="A9364" t="str">
        <f>"504405202743"</f>
        <v>504405202743</v>
      </c>
      <c r="B9364" t="s">
        <v>12944</v>
      </c>
      <c r="C9364" t="s">
        <v>7</v>
      </c>
      <c r="D9364" t="s">
        <v>12</v>
      </c>
      <c r="E9364" t="s">
        <v>11472</v>
      </c>
    </row>
    <row r="9365" spans="1:6" x14ac:dyDescent="0.25">
      <c r="A9365" t="str">
        <f>"5044073492"</f>
        <v>5044073492</v>
      </c>
      <c r="B9365" t="s">
        <v>12945</v>
      </c>
      <c r="C9365" t="s">
        <v>7</v>
      </c>
      <c r="D9365" t="s">
        <v>14</v>
      </c>
      <c r="E9365" t="s">
        <v>11472</v>
      </c>
      <c r="F9365" t="s">
        <v>12946</v>
      </c>
    </row>
    <row r="9366" spans="1:6" x14ac:dyDescent="0.25">
      <c r="A9366" t="str">
        <f>"504407436803"</f>
        <v>504407436803</v>
      </c>
      <c r="B9366" t="s">
        <v>12947</v>
      </c>
      <c r="C9366" t="s">
        <v>7</v>
      </c>
      <c r="D9366" t="s">
        <v>14</v>
      </c>
      <c r="E9366" t="s">
        <v>11472</v>
      </c>
    </row>
    <row r="9367" spans="1:6" x14ac:dyDescent="0.25">
      <c r="A9367" t="str">
        <f>"5044097060"</f>
        <v>5044097060</v>
      </c>
      <c r="B9367" t="s">
        <v>12948</v>
      </c>
      <c r="C9367" t="s">
        <v>7</v>
      </c>
      <c r="D9367" t="s">
        <v>12</v>
      </c>
      <c r="E9367" t="s">
        <v>11472</v>
      </c>
      <c r="F9367" t="s">
        <v>12949</v>
      </c>
    </row>
    <row r="9368" spans="1:6" x14ac:dyDescent="0.25">
      <c r="A9368" t="str">
        <f>"5044097172"</f>
        <v>5044097172</v>
      </c>
      <c r="B9368" t="s">
        <v>1339</v>
      </c>
      <c r="C9368" t="s">
        <v>7</v>
      </c>
      <c r="D9368" t="s">
        <v>8</v>
      </c>
      <c r="E9368" t="s">
        <v>11472</v>
      </c>
      <c r="F9368" t="s">
        <v>12950</v>
      </c>
    </row>
    <row r="9369" spans="1:6" x14ac:dyDescent="0.25">
      <c r="A9369" t="str">
        <f>"5044098553"</f>
        <v>5044098553</v>
      </c>
      <c r="B9369" t="s">
        <v>12951</v>
      </c>
      <c r="C9369" t="s">
        <v>7</v>
      </c>
      <c r="D9369" t="s">
        <v>12</v>
      </c>
      <c r="E9369" t="s">
        <v>11472</v>
      </c>
      <c r="F9369" t="s">
        <v>12952</v>
      </c>
    </row>
    <row r="9370" spans="1:6" x14ac:dyDescent="0.25">
      <c r="A9370" t="str">
        <f>"5044110120"</f>
        <v>5044110120</v>
      </c>
      <c r="B9370" t="s">
        <v>12953</v>
      </c>
      <c r="C9370" t="s">
        <v>7</v>
      </c>
      <c r="D9370" t="s">
        <v>674</v>
      </c>
      <c r="E9370" t="s">
        <v>11472</v>
      </c>
      <c r="F9370" t="s">
        <v>12954</v>
      </c>
    </row>
    <row r="9371" spans="1:6" x14ac:dyDescent="0.25">
      <c r="A9371" t="str">
        <f>"5044113219"</f>
        <v>5044113219</v>
      </c>
      <c r="B9371" t="s">
        <v>12955</v>
      </c>
      <c r="C9371" t="s">
        <v>7</v>
      </c>
      <c r="D9371" t="s">
        <v>14</v>
      </c>
      <c r="E9371" t="s">
        <v>11472</v>
      </c>
      <c r="F9371" t="s">
        <v>12956</v>
      </c>
    </row>
    <row r="9372" spans="1:6" x14ac:dyDescent="0.25">
      <c r="A9372" t="str">
        <f>"5044120576"</f>
        <v>5044120576</v>
      </c>
      <c r="B9372" t="s">
        <v>12957</v>
      </c>
      <c r="C9372" t="s">
        <v>7</v>
      </c>
      <c r="D9372" t="s">
        <v>189</v>
      </c>
      <c r="E9372" t="s">
        <v>11472</v>
      </c>
      <c r="F9372" t="s">
        <v>12958</v>
      </c>
    </row>
    <row r="9373" spans="1:6" x14ac:dyDescent="0.25">
      <c r="A9373" t="str">
        <f>"504501754433"</f>
        <v>504501754433</v>
      </c>
      <c r="B9373" t="s">
        <v>12959</v>
      </c>
      <c r="C9373" t="s">
        <v>7</v>
      </c>
      <c r="D9373" t="s">
        <v>14</v>
      </c>
      <c r="E9373" t="s">
        <v>11472</v>
      </c>
    </row>
    <row r="9374" spans="1:6" x14ac:dyDescent="0.25">
      <c r="A9374" t="str">
        <f>"5045022980"</f>
        <v>5045022980</v>
      </c>
      <c r="B9374" t="s">
        <v>12960</v>
      </c>
      <c r="C9374" t="s">
        <v>7</v>
      </c>
      <c r="D9374" t="s">
        <v>189</v>
      </c>
      <c r="E9374" t="s">
        <v>11472</v>
      </c>
      <c r="F9374" t="s">
        <v>12961</v>
      </c>
    </row>
    <row r="9375" spans="1:6" x14ac:dyDescent="0.25">
      <c r="A9375" t="str">
        <f>"504506713399"</f>
        <v>504506713399</v>
      </c>
      <c r="B9375" t="s">
        <v>12962</v>
      </c>
      <c r="C9375" t="s">
        <v>7</v>
      </c>
      <c r="D9375" t="s">
        <v>14</v>
      </c>
      <c r="E9375" t="s">
        <v>11472</v>
      </c>
    </row>
    <row r="9376" spans="1:6" x14ac:dyDescent="0.25">
      <c r="A9376" t="str">
        <f>"504507822866"</f>
        <v>504507822866</v>
      </c>
      <c r="B9376" t="s">
        <v>12963</v>
      </c>
      <c r="C9376" t="s">
        <v>7</v>
      </c>
      <c r="D9376" t="s">
        <v>14</v>
      </c>
      <c r="E9376" t="s">
        <v>11472</v>
      </c>
    </row>
    <row r="9377" spans="1:6" x14ac:dyDescent="0.25">
      <c r="A9377" t="str">
        <f>"504700588290"</f>
        <v>504700588290</v>
      </c>
      <c r="B9377" t="s">
        <v>12964</v>
      </c>
      <c r="C9377" t="s">
        <v>7</v>
      </c>
      <c r="D9377" t="s">
        <v>14</v>
      </c>
      <c r="E9377" t="s">
        <v>11472</v>
      </c>
    </row>
    <row r="9378" spans="1:6" x14ac:dyDescent="0.25">
      <c r="A9378" t="str">
        <f>"5047067909"</f>
        <v>5047067909</v>
      </c>
      <c r="B9378" t="s">
        <v>12965</v>
      </c>
      <c r="C9378" t="s">
        <v>7</v>
      </c>
      <c r="D9378" t="s">
        <v>674</v>
      </c>
      <c r="E9378" t="s">
        <v>11472</v>
      </c>
      <c r="F9378" t="s">
        <v>12966</v>
      </c>
    </row>
    <row r="9379" spans="1:6" x14ac:dyDescent="0.25">
      <c r="A9379" t="str">
        <f>"5047071944"</f>
        <v>5047071944</v>
      </c>
      <c r="B9379" t="s">
        <v>1281</v>
      </c>
      <c r="C9379" t="s">
        <v>7</v>
      </c>
      <c r="D9379" t="s">
        <v>189</v>
      </c>
      <c r="E9379" t="s">
        <v>11472</v>
      </c>
      <c r="F9379" t="s">
        <v>12533</v>
      </c>
    </row>
    <row r="9380" spans="1:6" x14ac:dyDescent="0.25">
      <c r="A9380" t="str">
        <f>"5047103554"</f>
        <v>5047103554</v>
      </c>
      <c r="B9380" t="s">
        <v>12967</v>
      </c>
      <c r="C9380" t="s">
        <v>7</v>
      </c>
      <c r="D9380" t="s">
        <v>674</v>
      </c>
      <c r="E9380" t="s">
        <v>11472</v>
      </c>
      <c r="F9380" t="s">
        <v>12968</v>
      </c>
    </row>
    <row r="9381" spans="1:6" x14ac:dyDescent="0.25">
      <c r="A9381" t="str">
        <f>"504715113437"</f>
        <v>504715113437</v>
      </c>
      <c r="B9381" t="s">
        <v>12969</v>
      </c>
      <c r="C9381" t="s">
        <v>7</v>
      </c>
      <c r="D9381" t="s">
        <v>14</v>
      </c>
      <c r="E9381" t="s">
        <v>11472</v>
      </c>
    </row>
    <row r="9382" spans="1:6" x14ac:dyDescent="0.25">
      <c r="A9382" t="str">
        <f>"5047161059"</f>
        <v>5047161059</v>
      </c>
      <c r="B9382" t="s">
        <v>12970</v>
      </c>
      <c r="C9382" t="s">
        <v>7</v>
      </c>
      <c r="D9382" t="s">
        <v>33</v>
      </c>
      <c r="E9382" t="s">
        <v>11472</v>
      </c>
      <c r="F9382" t="s">
        <v>12971</v>
      </c>
    </row>
    <row r="9383" spans="1:6" x14ac:dyDescent="0.25">
      <c r="A9383" t="str">
        <f>"5047188999"</f>
        <v>5047188999</v>
      </c>
      <c r="B9383" t="s">
        <v>12972</v>
      </c>
      <c r="C9383" t="s">
        <v>7</v>
      </c>
      <c r="D9383" t="s">
        <v>33</v>
      </c>
      <c r="E9383" t="s">
        <v>11472</v>
      </c>
      <c r="F9383" t="s">
        <v>12973</v>
      </c>
    </row>
    <row r="9384" spans="1:6" x14ac:dyDescent="0.25">
      <c r="A9384" t="str">
        <f>"5047208780"</f>
        <v>5047208780</v>
      </c>
      <c r="B9384" t="s">
        <v>755</v>
      </c>
      <c r="C9384" t="s">
        <v>7</v>
      </c>
      <c r="D9384" t="s">
        <v>189</v>
      </c>
      <c r="E9384" t="s">
        <v>11472</v>
      </c>
      <c r="F9384" t="s">
        <v>12974</v>
      </c>
    </row>
    <row r="9385" spans="1:6" x14ac:dyDescent="0.25">
      <c r="A9385" t="str">
        <f>"5047227782"</f>
        <v>5047227782</v>
      </c>
      <c r="B9385" t="s">
        <v>12975</v>
      </c>
      <c r="C9385" t="s">
        <v>7</v>
      </c>
      <c r="D9385" t="s">
        <v>14</v>
      </c>
      <c r="E9385" t="s">
        <v>11472</v>
      </c>
      <c r="F9385" t="s">
        <v>12976</v>
      </c>
    </row>
    <row r="9386" spans="1:6" x14ac:dyDescent="0.25">
      <c r="A9386" t="str">
        <f>"5047233828"</f>
        <v>5047233828</v>
      </c>
      <c r="B9386" t="s">
        <v>12977</v>
      </c>
      <c r="C9386" t="s">
        <v>7</v>
      </c>
      <c r="D9386" t="s">
        <v>33</v>
      </c>
      <c r="E9386" t="s">
        <v>11472</v>
      </c>
      <c r="F9386" t="s">
        <v>12978</v>
      </c>
    </row>
    <row r="9387" spans="1:6" x14ac:dyDescent="0.25">
      <c r="A9387" t="str">
        <f>"5047237830"</f>
        <v>5047237830</v>
      </c>
      <c r="B9387" t="s">
        <v>12979</v>
      </c>
      <c r="C9387" t="s">
        <v>7</v>
      </c>
      <c r="D9387" t="s">
        <v>33</v>
      </c>
      <c r="E9387" t="s">
        <v>11472</v>
      </c>
      <c r="F9387" t="s">
        <v>12980</v>
      </c>
    </row>
    <row r="9388" spans="1:6" x14ac:dyDescent="0.25">
      <c r="A9388" t="str">
        <f>"5047251873"</f>
        <v>5047251873</v>
      </c>
      <c r="B9388" t="s">
        <v>12981</v>
      </c>
      <c r="C9388" t="s">
        <v>7</v>
      </c>
      <c r="D9388" t="s">
        <v>14</v>
      </c>
      <c r="E9388" t="s">
        <v>11472</v>
      </c>
      <c r="F9388" t="s">
        <v>12982</v>
      </c>
    </row>
    <row r="9389" spans="1:6" x14ac:dyDescent="0.25">
      <c r="A9389" t="str">
        <f>"5047262378"</f>
        <v>5047262378</v>
      </c>
      <c r="B9389" t="s">
        <v>12983</v>
      </c>
      <c r="C9389" t="s">
        <v>7</v>
      </c>
      <c r="D9389" t="s">
        <v>674</v>
      </c>
      <c r="E9389" t="s">
        <v>11472</v>
      </c>
      <c r="F9389" t="s">
        <v>12984</v>
      </c>
    </row>
    <row r="9390" spans="1:6" x14ac:dyDescent="0.25">
      <c r="A9390" t="str">
        <f>"5047264696"</f>
        <v>5047264696</v>
      </c>
      <c r="B9390" t="s">
        <v>12985</v>
      </c>
      <c r="C9390" t="s">
        <v>7</v>
      </c>
      <c r="D9390" t="s">
        <v>12</v>
      </c>
      <c r="E9390" t="s">
        <v>11472</v>
      </c>
      <c r="F9390" t="s">
        <v>12986</v>
      </c>
    </row>
    <row r="9391" spans="1:6" x14ac:dyDescent="0.25">
      <c r="A9391" t="str">
        <f>"5047266284"</f>
        <v>5047266284</v>
      </c>
      <c r="B9391" t="s">
        <v>12987</v>
      </c>
      <c r="C9391" t="s">
        <v>7</v>
      </c>
      <c r="D9391" t="s">
        <v>189</v>
      </c>
      <c r="E9391" t="s">
        <v>11472</v>
      </c>
      <c r="F9391" t="s">
        <v>12988</v>
      </c>
    </row>
    <row r="9392" spans="1:6" x14ac:dyDescent="0.25">
      <c r="A9392" t="str">
        <f>"5047282335"</f>
        <v>5047282335</v>
      </c>
      <c r="B9392" t="s">
        <v>12989</v>
      </c>
      <c r="C9392" t="s">
        <v>7</v>
      </c>
      <c r="D9392" t="s">
        <v>189</v>
      </c>
      <c r="E9392" t="s">
        <v>11472</v>
      </c>
      <c r="F9392" t="s">
        <v>12990</v>
      </c>
    </row>
    <row r="9393" spans="1:6" x14ac:dyDescent="0.25">
      <c r="A9393" t="str">
        <f>"5047297324"</f>
        <v>5047297324</v>
      </c>
      <c r="B9393" t="s">
        <v>12991</v>
      </c>
      <c r="C9393" t="s">
        <v>7</v>
      </c>
      <c r="D9393" t="s">
        <v>12</v>
      </c>
      <c r="E9393" t="s">
        <v>11472</v>
      </c>
      <c r="F9393" t="s">
        <v>12992</v>
      </c>
    </row>
    <row r="9394" spans="1:6" x14ac:dyDescent="0.25">
      <c r="A9394" t="str">
        <f>"504800143873"</f>
        <v>504800143873</v>
      </c>
      <c r="B9394" t="s">
        <v>12993</v>
      </c>
      <c r="C9394" t="s">
        <v>7</v>
      </c>
      <c r="D9394" t="s">
        <v>14</v>
      </c>
      <c r="E9394" t="s">
        <v>11472</v>
      </c>
    </row>
    <row r="9395" spans="1:6" x14ac:dyDescent="0.25">
      <c r="A9395" t="str">
        <f>"504806711032"</f>
        <v>504806711032</v>
      </c>
      <c r="B9395" t="s">
        <v>12994</v>
      </c>
      <c r="C9395" t="s">
        <v>7</v>
      </c>
      <c r="D9395" t="s">
        <v>14</v>
      </c>
      <c r="E9395" t="s">
        <v>11472</v>
      </c>
    </row>
    <row r="9396" spans="1:6" x14ac:dyDescent="0.25">
      <c r="A9396" t="str">
        <f>"504902913401"</f>
        <v>504902913401</v>
      </c>
      <c r="B9396" t="s">
        <v>12995</v>
      </c>
      <c r="C9396" t="s">
        <v>7</v>
      </c>
      <c r="D9396" t="s">
        <v>14</v>
      </c>
      <c r="E9396" t="s">
        <v>11472</v>
      </c>
    </row>
    <row r="9397" spans="1:6" x14ac:dyDescent="0.25">
      <c r="A9397" t="str">
        <f>"5050022577"</f>
        <v>5050022577</v>
      </c>
      <c r="B9397" t="s">
        <v>12996</v>
      </c>
      <c r="C9397" t="s">
        <v>7</v>
      </c>
      <c r="D9397" t="s">
        <v>14</v>
      </c>
      <c r="E9397" t="s">
        <v>11472</v>
      </c>
      <c r="F9397" t="s">
        <v>12997</v>
      </c>
    </row>
    <row r="9398" spans="1:6" x14ac:dyDescent="0.25">
      <c r="A9398" t="str">
        <f>"5050034854"</f>
        <v>5050034854</v>
      </c>
      <c r="B9398" t="s">
        <v>12998</v>
      </c>
      <c r="C9398" t="s">
        <v>7</v>
      </c>
      <c r="D9398" t="s">
        <v>14</v>
      </c>
      <c r="E9398" t="s">
        <v>11472</v>
      </c>
      <c r="F9398" t="s">
        <v>12999</v>
      </c>
    </row>
    <row r="9399" spans="1:6" x14ac:dyDescent="0.25">
      <c r="A9399" t="str">
        <f>"5050059601"</f>
        <v>5050059601</v>
      </c>
      <c r="B9399" t="s">
        <v>13000</v>
      </c>
      <c r="C9399" t="s">
        <v>7</v>
      </c>
      <c r="D9399" t="s">
        <v>33</v>
      </c>
      <c r="E9399" t="s">
        <v>11472</v>
      </c>
      <c r="F9399" t="s">
        <v>13001</v>
      </c>
    </row>
    <row r="9400" spans="1:6" x14ac:dyDescent="0.25">
      <c r="A9400" t="str">
        <f>"5050077400"</f>
        <v>5050077400</v>
      </c>
      <c r="B9400" t="s">
        <v>13002</v>
      </c>
      <c r="C9400" t="s">
        <v>7</v>
      </c>
      <c r="D9400" t="s">
        <v>33</v>
      </c>
      <c r="E9400" t="s">
        <v>11472</v>
      </c>
      <c r="F9400" t="s">
        <v>13003</v>
      </c>
    </row>
    <row r="9401" spans="1:6" x14ac:dyDescent="0.25">
      <c r="A9401" t="str">
        <f>"5050090376"</f>
        <v>5050090376</v>
      </c>
      <c r="B9401" t="s">
        <v>13004</v>
      </c>
      <c r="C9401" t="s">
        <v>7</v>
      </c>
      <c r="D9401" t="s">
        <v>14</v>
      </c>
      <c r="E9401" t="s">
        <v>11472</v>
      </c>
      <c r="F9401" t="s">
        <v>13005</v>
      </c>
    </row>
    <row r="9402" spans="1:6" x14ac:dyDescent="0.25">
      <c r="A9402" t="str">
        <f>"505013683406"</f>
        <v>505013683406</v>
      </c>
      <c r="B9402" t="s">
        <v>13006</v>
      </c>
      <c r="C9402" t="s">
        <v>7</v>
      </c>
      <c r="D9402" t="s">
        <v>14</v>
      </c>
      <c r="E9402" t="s">
        <v>11472</v>
      </c>
    </row>
    <row r="9403" spans="1:6" x14ac:dyDescent="0.25">
      <c r="A9403" t="str">
        <f>"505200526315"</f>
        <v>505200526315</v>
      </c>
      <c r="B9403" t="s">
        <v>13007</v>
      </c>
      <c r="C9403" t="s">
        <v>7</v>
      </c>
      <c r="D9403" t="s">
        <v>14</v>
      </c>
      <c r="E9403" t="s">
        <v>11472</v>
      </c>
    </row>
    <row r="9404" spans="1:6" x14ac:dyDescent="0.25">
      <c r="A9404" t="str">
        <f>"505301714837"</f>
        <v>505301714837</v>
      </c>
      <c r="B9404" t="s">
        <v>13008</v>
      </c>
      <c r="C9404" t="s">
        <v>7</v>
      </c>
      <c r="D9404" t="s">
        <v>14</v>
      </c>
      <c r="E9404" t="s">
        <v>11472</v>
      </c>
    </row>
    <row r="9405" spans="1:6" x14ac:dyDescent="0.25">
      <c r="A9405" t="str">
        <f>"5053042927"</f>
        <v>5053042927</v>
      </c>
      <c r="B9405" t="s">
        <v>13009</v>
      </c>
      <c r="C9405" t="s">
        <v>7</v>
      </c>
      <c r="D9405" t="s">
        <v>12</v>
      </c>
      <c r="E9405" t="s">
        <v>11472</v>
      </c>
      <c r="F9405" t="s">
        <v>13010</v>
      </c>
    </row>
    <row r="9406" spans="1:6" x14ac:dyDescent="0.25">
      <c r="A9406" t="str">
        <f>"505306069605"</f>
        <v>505306069605</v>
      </c>
      <c r="B9406" t="s">
        <v>13011</v>
      </c>
      <c r="C9406" t="s">
        <v>7</v>
      </c>
      <c r="D9406" t="s">
        <v>14</v>
      </c>
      <c r="E9406" t="s">
        <v>11472</v>
      </c>
    </row>
    <row r="9407" spans="1:6" x14ac:dyDescent="0.25">
      <c r="A9407" t="str">
        <f>"505501202931"</f>
        <v>505501202931</v>
      </c>
      <c r="B9407" t="s">
        <v>13012</v>
      </c>
      <c r="C9407" t="s">
        <v>7</v>
      </c>
      <c r="D9407" t="s">
        <v>14</v>
      </c>
      <c r="E9407" t="s">
        <v>11472</v>
      </c>
    </row>
    <row r="9408" spans="1:6" x14ac:dyDescent="0.25">
      <c r="A9408" t="str">
        <f>"507205281630"</f>
        <v>507205281630</v>
      </c>
      <c r="B9408" t="s">
        <v>13013</v>
      </c>
      <c r="C9408" t="s">
        <v>7</v>
      </c>
      <c r="D9408" t="s">
        <v>14</v>
      </c>
      <c r="E9408" t="s">
        <v>11472</v>
      </c>
    </row>
    <row r="9409" spans="1:6" x14ac:dyDescent="0.25">
      <c r="A9409" t="str">
        <f>"507302723443"</f>
        <v>507302723443</v>
      </c>
      <c r="B9409" t="s">
        <v>13014</v>
      </c>
      <c r="C9409" t="s">
        <v>7</v>
      </c>
      <c r="D9409" t="s">
        <v>12</v>
      </c>
      <c r="E9409" t="s">
        <v>11472</v>
      </c>
    </row>
    <row r="9410" spans="1:6" x14ac:dyDescent="0.25">
      <c r="A9410" t="str">
        <f>"507305023584"</f>
        <v>507305023584</v>
      </c>
      <c r="B9410" t="s">
        <v>13015</v>
      </c>
      <c r="C9410" t="s">
        <v>7</v>
      </c>
      <c r="D9410" t="s">
        <v>14</v>
      </c>
      <c r="E9410" t="s">
        <v>11472</v>
      </c>
    </row>
    <row r="9411" spans="1:6" x14ac:dyDescent="0.25">
      <c r="A9411" t="str">
        <f>"507305046831"</f>
        <v>507305046831</v>
      </c>
      <c r="B9411" t="s">
        <v>13016</v>
      </c>
      <c r="C9411" t="s">
        <v>7</v>
      </c>
      <c r="D9411" t="s">
        <v>14</v>
      </c>
      <c r="E9411" t="s">
        <v>11472</v>
      </c>
    </row>
    <row r="9412" spans="1:6" x14ac:dyDescent="0.25">
      <c r="A9412" t="str">
        <f>"507401949459"</f>
        <v>507401949459</v>
      </c>
      <c r="B9412" t="s">
        <v>13017</v>
      </c>
      <c r="C9412" t="s">
        <v>7</v>
      </c>
      <c r="D9412" t="s">
        <v>33</v>
      </c>
      <c r="E9412" t="s">
        <v>11472</v>
      </c>
    </row>
    <row r="9413" spans="1:6" x14ac:dyDescent="0.25">
      <c r="A9413" t="str">
        <f>"5074055596"</f>
        <v>5074055596</v>
      </c>
      <c r="B9413" t="s">
        <v>13018</v>
      </c>
      <c r="C9413" t="s">
        <v>7</v>
      </c>
      <c r="D9413" t="s">
        <v>12</v>
      </c>
      <c r="E9413" t="s">
        <v>11472</v>
      </c>
      <c r="F9413" t="s">
        <v>13019</v>
      </c>
    </row>
    <row r="9414" spans="1:6" x14ac:dyDescent="0.25">
      <c r="A9414" t="str">
        <f>"5043066510"</f>
        <v>5043066510</v>
      </c>
      <c r="B9414" t="s">
        <v>13020</v>
      </c>
      <c r="C9414" t="s">
        <v>7</v>
      </c>
      <c r="D9414" t="s">
        <v>14</v>
      </c>
      <c r="E9414" t="s">
        <v>11472</v>
      </c>
      <c r="F9414" t="s">
        <v>13021</v>
      </c>
    </row>
    <row r="9415" spans="1:6" x14ac:dyDescent="0.25">
      <c r="A9415" t="str">
        <f>"5043083850"</f>
        <v>5043083850</v>
      </c>
      <c r="B9415" t="s">
        <v>13022</v>
      </c>
      <c r="C9415" t="s">
        <v>7</v>
      </c>
      <c r="D9415" t="s">
        <v>6745</v>
      </c>
      <c r="E9415" t="s">
        <v>11472</v>
      </c>
      <c r="F9415" t="s">
        <v>13023</v>
      </c>
    </row>
    <row r="9416" spans="1:6" x14ac:dyDescent="0.25">
      <c r="A9416" t="str">
        <f>"504314418209"</f>
        <v>504314418209</v>
      </c>
      <c r="B9416" t="s">
        <v>13024</v>
      </c>
      <c r="C9416" t="s">
        <v>7</v>
      </c>
      <c r="D9416" t="s">
        <v>12</v>
      </c>
      <c r="E9416" t="s">
        <v>11472</v>
      </c>
    </row>
    <row r="9417" spans="1:6" x14ac:dyDescent="0.25">
      <c r="A9417" t="str">
        <f>"5044019784"</f>
        <v>5044019784</v>
      </c>
      <c r="B9417" t="s">
        <v>13025</v>
      </c>
      <c r="C9417" t="s">
        <v>7</v>
      </c>
      <c r="D9417" t="s">
        <v>14</v>
      </c>
      <c r="E9417" t="s">
        <v>11472</v>
      </c>
      <c r="F9417" t="s">
        <v>13026</v>
      </c>
    </row>
    <row r="9418" spans="1:6" x14ac:dyDescent="0.25">
      <c r="A9418" t="str">
        <f>"504407353360"</f>
        <v>504407353360</v>
      </c>
      <c r="B9418" t="s">
        <v>13027</v>
      </c>
      <c r="C9418" t="s">
        <v>7</v>
      </c>
      <c r="D9418" t="s">
        <v>14</v>
      </c>
      <c r="E9418" t="s">
        <v>11472</v>
      </c>
    </row>
    <row r="9419" spans="1:6" x14ac:dyDescent="0.25">
      <c r="A9419" t="str">
        <f>"504407887309"</f>
        <v>504407887309</v>
      </c>
      <c r="B9419" t="s">
        <v>13028</v>
      </c>
      <c r="C9419" t="s">
        <v>7</v>
      </c>
      <c r="D9419" t="s">
        <v>14</v>
      </c>
      <c r="E9419" t="s">
        <v>11472</v>
      </c>
    </row>
    <row r="9420" spans="1:6" x14ac:dyDescent="0.25">
      <c r="A9420" t="str">
        <f>"5044087833"</f>
        <v>5044087833</v>
      </c>
      <c r="B9420" t="s">
        <v>13029</v>
      </c>
      <c r="C9420" t="s">
        <v>7</v>
      </c>
      <c r="D9420" t="s">
        <v>674</v>
      </c>
      <c r="E9420" t="s">
        <v>11472</v>
      </c>
      <c r="F9420" t="s">
        <v>13030</v>
      </c>
    </row>
    <row r="9421" spans="1:6" x14ac:dyDescent="0.25">
      <c r="A9421" t="str">
        <f>"5044093837"</f>
        <v>5044093837</v>
      </c>
      <c r="B9421" t="s">
        <v>13031</v>
      </c>
      <c r="C9421" t="s">
        <v>7</v>
      </c>
      <c r="D9421" t="s">
        <v>12</v>
      </c>
      <c r="E9421" t="s">
        <v>11472</v>
      </c>
      <c r="F9421" t="s">
        <v>13032</v>
      </c>
    </row>
    <row r="9422" spans="1:6" x14ac:dyDescent="0.25">
      <c r="A9422" t="str">
        <f>"504503153702"</f>
        <v>504503153702</v>
      </c>
      <c r="B9422" t="s">
        <v>13033</v>
      </c>
      <c r="C9422" t="s">
        <v>7</v>
      </c>
      <c r="D9422" t="s">
        <v>14</v>
      </c>
      <c r="E9422" t="s">
        <v>11472</v>
      </c>
    </row>
    <row r="9423" spans="1:6" x14ac:dyDescent="0.25">
      <c r="A9423" t="str">
        <f>"5045061468"</f>
        <v>5045061468</v>
      </c>
      <c r="B9423" t="s">
        <v>13034</v>
      </c>
      <c r="C9423" t="s">
        <v>7</v>
      </c>
      <c r="D9423" t="s">
        <v>12</v>
      </c>
      <c r="E9423" t="s">
        <v>11472</v>
      </c>
      <c r="F9423" t="s">
        <v>13035</v>
      </c>
    </row>
    <row r="9424" spans="1:6" x14ac:dyDescent="0.25">
      <c r="A9424" t="str">
        <f>"5045072269"</f>
        <v>5045072269</v>
      </c>
      <c r="B9424" t="s">
        <v>13036</v>
      </c>
      <c r="C9424" t="s">
        <v>7</v>
      </c>
      <c r="D9424" t="s">
        <v>12</v>
      </c>
      <c r="E9424" t="s">
        <v>11472</v>
      </c>
      <c r="F9424" t="s">
        <v>13037</v>
      </c>
    </row>
    <row r="9425" spans="1:6" x14ac:dyDescent="0.25">
      <c r="A9425" t="str">
        <f>"5047066327"</f>
        <v>5047066327</v>
      </c>
      <c r="B9425" t="s">
        <v>13038</v>
      </c>
      <c r="C9425" t="s">
        <v>7</v>
      </c>
      <c r="D9425" t="s">
        <v>12</v>
      </c>
      <c r="E9425" t="s">
        <v>11472</v>
      </c>
      <c r="F9425" t="s">
        <v>13039</v>
      </c>
    </row>
    <row r="9426" spans="1:6" x14ac:dyDescent="0.25">
      <c r="A9426" t="str">
        <f>"504707817172"</f>
        <v>504707817172</v>
      </c>
      <c r="B9426" t="s">
        <v>13040</v>
      </c>
      <c r="C9426" t="s">
        <v>7</v>
      </c>
      <c r="D9426" t="s">
        <v>14</v>
      </c>
      <c r="E9426" t="s">
        <v>11472</v>
      </c>
    </row>
    <row r="9427" spans="1:6" x14ac:dyDescent="0.25">
      <c r="A9427" t="str">
        <f>"5047085094"</f>
        <v>5047085094</v>
      </c>
      <c r="B9427" t="s">
        <v>13041</v>
      </c>
      <c r="C9427" t="s">
        <v>7</v>
      </c>
      <c r="D9427" t="s">
        <v>8</v>
      </c>
      <c r="E9427" t="s">
        <v>11472</v>
      </c>
      <c r="F9427" t="s">
        <v>13042</v>
      </c>
    </row>
    <row r="9428" spans="1:6" x14ac:dyDescent="0.25">
      <c r="A9428" t="str">
        <f>"5047091147"</f>
        <v>5047091147</v>
      </c>
      <c r="B9428" t="s">
        <v>13043</v>
      </c>
      <c r="C9428" t="s">
        <v>7</v>
      </c>
      <c r="D9428" t="s">
        <v>33</v>
      </c>
      <c r="E9428" t="s">
        <v>11472</v>
      </c>
      <c r="F9428" t="s">
        <v>13044</v>
      </c>
    </row>
    <row r="9429" spans="1:6" x14ac:dyDescent="0.25">
      <c r="A9429" t="str">
        <f>"5047096152"</f>
        <v>5047096152</v>
      </c>
      <c r="B9429" t="s">
        <v>13045</v>
      </c>
      <c r="C9429" t="s">
        <v>7</v>
      </c>
      <c r="D9429" t="s">
        <v>12</v>
      </c>
      <c r="E9429" t="s">
        <v>11472</v>
      </c>
      <c r="F9429" t="s">
        <v>13046</v>
      </c>
    </row>
    <row r="9430" spans="1:6" x14ac:dyDescent="0.25">
      <c r="A9430" t="str">
        <f>"5047097406"</f>
        <v>5047097406</v>
      </c>
      <c r="B9430" t="s">
        <v>13047</v>
      </c>
      <c r="C9430" t="s">
        <v>7</v>
      </c>
      <c r="D9430" t="s">
        <v>674</v>
      </c>
      <c r="E9430" t="s">
        <v>11472</v>
      </c>
      <c r="F9430" t="s">
        <v>13046</v>
      </c>
    </row>
    <row r="9431" spans="1:6" x14ac:dyDescent="0.25">
      <c r="A9431" t="str">
        <f>"5047148001"</f>
        <v>5047148001</v>
      </c>
      <c r="B9431" t="s">
        <v>13048</v>
      </c>
      <c r="C9431" t="s">
        <v>7</v>
      </c>
      <c r="D9431" t="s">
        <v>12</v>
      </c>
      <c r="E9431" t="s">
        <v>11472</v>
      </c>
      <c r="F9431" t="s">
        <v>13049</v>
      </c>
    </row>
    <row r="9432" spans="1:6" x14ac:dyDescent="0.25">
      <c r="A9432" t="str">
        <f>"5047155538"</f>
        <v>5047155538</v>
      </c>
      <c r="B9432" t="s">
        <v>13050</v>
      </c>
      <c r="C9432" t="s">
        <v>7</v>
      </c>
      <c r="D9432" t="s">
        <v>12</v>
      </c>
      <c r="E9432" t="s">
        <v>11472</v>
      </c>
      <c r="F9432" t="s">
        <v>13051</v>
      </c>
    </row>
    <row r="9433" spans="1:6" x14ac:dyDescent="0.25">
      <c r="A9433" t="str">
        <f>"5047205210"</f>
        <v>5047205210</v>
      </c>
      <c r="B9433" t="s">
        <v>13052</v>
      </c>
      <c r="C9433" t="s">
        <v>7</v>
      </c>
      <c r="D9433" t="s">
        <v>12</v>
      </c>
      <c r="E9433" t="s">
        <v>11472</v>
      </c>
      <c r="F9433" t="s">
        <v>13053</v>
      </c>
    </row>
    <row r="9434" spans="1:6" x14ac:dyDescent="0.25">
      <c r="A9434" t="str">
        <f>"5047221815"</f>
        <v>5047221815</v>
      </c>
      <c r="B9434" t="s">
        <v>13054</v>
      </c>
      <c r="C9434" t="s">
        <v>7</v>
      </c>
      <c r="D9434" t="s">
        <v>14</v>
      </c>
      <c r="E9434" t="s">
        <v>11472</v>
      </c>
      <c r="F9434" t="s">
        <v>13055</v>
      </c>
    </row>
    <row r="9435" spans="1:6" x14ac:dyDescent="0.25">
      <c r="A9435" t="str">
        <f>"5047222015"</f>
        <v>5047222015</v>
      </c>
      <c r="B9435" t="s">
        <v>13056</v>
      </c>
      <c r="C9435" t="s">
        <v>7</v>
      </c>
      <c r="D9435" t="s">
        <v>33</v>
      </c>
      <c r="E9435" t="s">
        <v>11472</v>
      </c>
      <c r="F9435" t="s">
        <v>13057</v>
      </c>
    </row>
    <row r="9436" spans="1:6" x14ac:dyDescent="0.25">
      <c r="A9436" t="str">
        <f>"5047234910"</f>
        <v>5047234910</v>
      </c>
      <c r="B9436" t="s">
        <v>13058</v>
      </c>
      <c r="C9436" t="s">
        <v>7</v>
      </c>
      <c r="D9436" t="s">
        <v>674</v>
      </c>
      <c r="E9436" t="s">
        <v>11472</v>
      </c>
      <c r="F9436" t="s">
        <v>13059</v>
      </c>
    </row>
    <row r="9437" spans="1:6" x14ac:dyDescent="0.25">
      <c r="A9437" t="str">
        <f>"5047254063"</f>
        <v>5047254063</v>
      </c>
      <c r="B9437" t="s">
        <v>13060</v>
      </c>
      <c r="C9437" t="s">
        <v>7</v>
      </c>
      <c r="D9437" t="s">
        <v>8</v>
      </c>
      <c r="E9437" t="s">
        <v>11472</v>
      </c>
      <c r="F9437" t="s">
        <v>13061</v>
      </c>
    </row>
    <row r="9438" spans="1:6" x14ac:dyDescent="0.25">
      <c r="A9438" t="str">
        <f>"5047267231"</f>
        <v>5047267231</v>
      </c>
      <c r="B9438" t="s">
        <v>13062</v>
      </c>
      <c r="C9438" t="s">
        <v>7</v>
      </c>
      <c r="D9438" t="s">
        <v>33</v>
      </c>
      <c r="E9438" t="s">
        <v>11472</v>
      </c>
      <c r="F9438" t="s">
        <v>13063</v>
      </c>
    </row>
    <row r="9439" spans="1:6" x14ac:dyDescent="0.25">
      <c r="A9439" t="str">
        <f>"5047270097"</f>
        <v>5047270097</v>
      </c>
      <c r="B9439" t="s">
        <v>13064</v>
      </c>
      <c r="C9439" t="s">
        <v>7</v>
      </c>
      <c r="D9439" t="s">
        <v>12</v>
      </c>
      <c r="E9439" t="s">
        <v>11472</v>
      </c>
      <c r="F9439" t="s">
        <v>13065</v>
      </c>
    </row>
    <row r="9440" spans="1:6" x14ac:dyDescent="0.25">
      <c r="A9440" t="str">
        <f>"5047273901"</f>
        <v>5047273901</v>
      </c>
      <c r="B9440" t="s">
        <v>13066</v>
      </c>
      <c r="C9440" t="s">
        <v>7</v>
      </c>
      <c r="D9440" t="s">
        <v>674</v>
      </c>
      <c r="E9440" t="s">
        <v>11472</v>
      </c>
      <c r="F9440" t="s">
        <v>13067</v>
      </c>
    </row>
    <row r="9441" spans="1:6" x14ac:dyDescent="0.25">
      <c r="A9441" t="str">
        <f>"5047275056"</f>
        <v>5047275056</v>
      </c>
      <c r="B9441" t="s">
        <v>13068</v>
      </c>
      <c r="C9441" t="s">
        <v>7</v>
      </c>
      <c r="D9441" t="s">
        <v>674</v>
      </c>
      <c r="E9441" t="s">
        <v>11472</v>
      </c>
      <c r="F9441" t="s">
        <v>13069</v>
      </c>
    </row>
    <row r="9442" spans="1:6" x14ac:dyDescent="0.25">
      <c r="A9442" t="str">
        <f>"5047295750"</f>
        <v>5047295750</v>
      </c>
      <c r="B9442" t="s">
        <v>13070</v>
      </c>
      <c r="C9442" t="s">
        <v>7</v>
      </c>
      <c r="D9442" t="s">
        <v>33</v>
      </c>
      <c r="E9442" t="s">
        <v>11472</v>
      </c>
      <c r="F9442" t="s">
        <v>13071</v>
      </c>
    </row>
    <row r="9443" spans="1:6" x14ac:dyDescent="0.25">
      <c r="A9443" t="str">
        <f>"5047297356"</f>
        <v>5047297356</v>
      </c>
      <c r="B9443" t="s">
        <v>13072</v>
      </c>
      <c r="C9443" t="s">
        <v>7</v>
      </c>
      <c r="D9443" t="s">
        <v>8</v>
      </c>
      <c r="E9443" t="s">
        <v>11472</v>
      </c>
      <c r="F9443" t="s">
        <v>13073</v>
      </c>
    </row>
    <row r="9444" spans="1:6" x14ac:dyDescent="0.25">
      <c r="A9444" t="str">
        <f>"5047298374"</f>
        <v>5047298374</v>
      </c>
      <c r="B9444" t="s">
        <v>13074</v>
      </c>
      <c r="C9444" t="s">
        <v>7</v>
      </c>
      <c r="D9444" t="s">
        <v>12</v>
      </c>
      <c r="E9444" t="s">
        <v>11472</v>
      </c>
      <c r="F9444" t="s">
        <v>13075</v>
      </c>
    </row>
    <row r="9445" spans="1:6" x14ac:dyDescent="0.25">
      <c r="A9445" t="str">
        <f>"5047310399"</f>
        <v>5047310399</v>
      </c>
      <c r="B9445" t="s">
        <v>13076</v>
      </c>
      <c r="C9445" t="s">
        <v>7</v>
      </c>
      <c r="D9445" t="s">
        <v>33</v>
      </c>
      <c r="E9445" t="s">
        <v>11472</v>
      </c>
      <c r="F9445" t="s">
        <v>13077</v>
      </c>
    </row>
    <row r="9446" spans="1:6" x14ac:dyDescent="0.25">
      <c r="A9446" t="str">
        <f>"5047310688"</f>
        <v>5047310688</v>
      </c>
      <c r="B9446" t="s">
        <v>13078</v>
      </c>
      <c r="C9446" t="s">
        <v>7</v>
      </c>
      <c r="D9446" t="s">
        <v>14</v>
      </c>
      <c r="E9446" t="s">
        <v>11472</v>
      </c>
      <c r="F9446" t="s">
        <v>13079</v>
      </c>
    </row>
    <row r="9447" spans="1:6" x14ac:dyDescent="0.25">
      <c r="A9447" t="str">
        <f>"5047315196"</f>
        <v>5047315196</v>
      </c>
      <c r="B9447" t="s">
        <v>13080</v>
      </c>
      <c r="C9447" t="s">
        <v>7</v>
      </c>
      <c r="D9447" t="s">
        <v>460</v>
      </c>
      <c r="E9447" t="s">
        <v>11472</v>
      </c>
      <c r="F9447" t="s">
        <v>13081</v>
      </c>
    </row>
    <row r="9448" spans="1:6" x14ac:dyDescent="0.25">
      <c r="A9448" t="str">
        <f>"5047316506"</f>
        <v>5047316506</v>
      </c>
      <c r="B9448" t="s">
        <v>13082</v>
      </c>
      <c r="C9448" t="s">
        <v>7</v>
      </c>
      <c r="D9448" t="s">
        <v>12</v>
      </c>
      <c r="E9448" t="s">
        <v>11472</v>
      </c>
      <c r="F9448" t="s">
        <v>13083</v>
      </c>
    </row>
    <row r="9449" spans="1:6" x14ac:dyDescent="0.25">
      <c r="A9449" t="str">
        <f>"504790490890"</f>
        <v>504790490890</v>
      </c>
      <c r="B9449" t="s">
        <v>13084</v>
      </c>
      <c r="C9449" t="s">
        <v>7</v>
      </c>
      <c r="D9449" t="s">
        <v>14</v>
      </c>
      <c r="E9449" t="s">
        <v>11472</v>
      </c>
    </row>
    <row r="9450" spans="1:6" x14ac:dyDescent="0.25">
      <c r="A9450" t="str">
        <f>"504795956736"</f>
        <v>504795956736</v>
      </c>
      <c r="B9450" t="s">
        <v>13085</v>
      </c>
      <c r="C9450" t="s">
        <v>7</v>
      </c>
      <c r="D9450" t="s">
        <v>12</v>
      </c>
      <c r="E9450" t="s">
        <v>11472</v>
      </c>
    </row>
    <row r="9451" spans="1:6" x14ac:dyDescent="0.25">
      <c r="A9451" t="str">
        <f>"5048037618"</f>
        <v>5048037618</v>
      </c>
      <c r="B9451" t="s">
        <v>13086</v>
      </c>
      <c r="C9451" t="s">
        <v>7</v>
      </c>
      <c r="D9451" t="s">
        <v>33</v>
      </c>
      <c r="E9451" t="s">
        <v>11472</v>
      </c>
      <c r="F9451" t="s">
        <v>13087</v>
      </c>
    </row>
    <row r="9452" spans="1:6" x14ac:dyDescent="0.25">
      <c r="A9452" t="str">
        <f>"504807351706"</f>
        <v>504807351706</v>
      </c>
      <c r="B9452" t="s">
        <v>13088</v>
      </c>
      <c r="C9452" t="s">
        <v>7</v>
      </c>
      <c r="D9452" t="s">
        <v>14</v>
      </c>
      <c r="E9452" t="s">
        <v>11472</v>
      </c>
    </row>
    <row r="9453" spans="1:6" x14ac:dyDescent="0.25">
      <c r="A9453" t="str">
        <f>"504807395132"</f>
        <v>504807395132</v>
      </c>
      <c r="B9453" t="s">
        <v>13089</v>
      </c>
      <c r="C9453" t="s">
        <v>7</v>
      </c>
      <c r="D9453" t="s">
        <v>14</v>
      </c>
      <c r="E9453" t="s">
        <v>11472</v>
      </c>
    </row>
    <row r="9454" spans="1:6" x14ac:dyDescent="0.25">
      <c r="A9454" t="str">
        <f>"504902298717"</f>
        <v>504902298717</v>
      </c>
      <c r="B9454" t="s">
        <v>13090</v>
      </c>
      <c r="C9454" t="s">
        <v>7</v>
      </c>
      <c r="D9454" t="s">
        <v>14</v>
      </c>
      <c r="E9454" t="s">
        <v>11472</v>
      </c>
    </row>
    <row r="9455" spans="1:6" x14ac:dyDescent="0.25">
      <c r="A9455" t="str">
        <f>"504902715209"</f>
        <v>504902715209</v>
      </c>
      <c r="B9455" t="s">
        <v>13091</v>
      </c>
      <c r="C9455" t="s">
        <v>7</v>
      </c>
      <c r="D9455" t="s">
        <v>14</v>
      </c>
      <c r="E9455" t="s">
        <v>11472</v>
      </c>
    </row>
    <row r="9456" spans="1:6" x14ac:dyDescent="0.25">
      <c r="A9456" t="str">
        <f>"504908464720"</f>
        <v>504908464720</v>
      </c>
      <c r="B9456" t="s">
        <v>13092</v>
      </c>
      <c r="C9456" t="s">
        <v>7</v>
      </c>
      <c r="D9456" t="s">
        <v>14</v>
      </c>
      <c r="E9456" t="s">
        <v>11472</v>
      </c>
    </row>
    <row r="9457" spans="1:6" x14ac:dyDescent="0.25">
      <c r="A9457" t="str">
        <f>"504911128447"</f>
        <v>504911128447</v>
      </c>
      <c r="B9457" t="s">
        <v>13093</v>
      </c>
      <c r="C9457" t="s">
        <v>7</v>
      </c>
      <c r="D9457" t="s">
        <v>14</v>
      </c>
      <c r="E9457" t="s">
        <v>11472</v>
      </c>
    </row>
    <row r="9458" spans="1:6" x14ac:dyDescent="0.25">
      <c r="A9458" t="str">
        <f>"505000073107"</f>
        <v>505000073107</v>
      </c>
      <c r="B9458" t="s">
        <v>13094</v>
      </c>
      <c r="C9458" t="s">
        <v>7</v>
      </c>
      <c r="D9458" t="s">
        <v>14</v>
      </c>
      <c r="E9458" t="s">
        <v>11472</v>
      </c>
    </row>
    <row r="9459" spans="1:6" x14ac:dyDescent="0.25">
      <c r="A9459" t="str">
        <f>"5050049875"</f>
        <v>5050049875</v>
      </c>
      <c r="B9459" t="s">
        <v>13095</v>
      </c>
      <c r="C9459" t="s">
        <v>7</v>
      </c>
      <c r="D9459" t="s">
        <v>12</v>
      </c>
      <c r="E9459" t="s">
        <v>11472</v>
      </c>
      <c r="F9459" t="s">
        <v>13096</v>
      </c>
    </row>
    <row r="9460" spans="1:6" x14ac:dyDescent="0.25">
      <c r="A9460" t="str">
        <f>"505013959220"</f>
        <v>505013959220</v>
      </c>
      <c r="B9460" t="s">
        <v>13097</v>
      </c>
      <c r="C9460" t="s">
        <v>7</v>
      </c>
      <c r="D9460" t="s">
        <v>14</v>
      </c>
      <c r="E9460" t="s">
        <v>11472</v>
      </c>
    </row>
    <row r="9461" spans="1:6" x14ac:dyDescent="0.25">
      <c r="A9461" t="str">
        <f>"5050147008"</f>
        <v>5050147008</v>
      </c>
      <c r="B9461" t="s">
        <v>13098</v>
      </c>
      <c r="C9461" t="s">
        <v>7</v>
      </c>
      <c r="D9461" t="s">
        <v>14</v>
      </c>
      <c r="E9461" t="s">
        <v>11472</v>
      </c>
      <c r="F9461" t="s">
        <v>13099</v>
      </c>
    </row>
    <row r="9462" spans="1:6" x14ac:dyDescent="0.25">
      <c r="A9462" t="str">
        <f>"5050166924"</f>
        <v>5050166924</v>
      </c>
      <c r="B9462" t="s">
        <v>13100</v>
      </c>
      <c r="C9462" t="s">
        <v>7</v>
      </c>
      <c r="D9462" t="s">
        <v>14</v>
      </c>
      <c r="E9462" t="s">
        <v>11472</v>
      </c>
      <c r="F9462" t="s">
        <v>13101</v>
      </c>
    </row>
    <row r="9463" spans="1:6" x14ac:dyDescent="0.25">
      <c r="A9463" t="str">
        <f>"505204579276"</f>
        <v>505204579276</v>
      </c>
      <c r="B9463" t="s">
        <v>13102</v>
      </c>
      <c r="C9463" t="s">
        <v>7</v>
      </c>
      <c r="D9463" t="s">
        <v>14</v>
      </c>
      <c r="E9463" t="s">
        <v>11472</v>
      </c>
    </row>
    <row r="9464" spans="1:6" x14ac:dyDescent="0.25">
      <c r="A9464" t="str">
        <f>"505300953208"</f>
        <v>505300953208</v>
      </c>
      <c r="B9464" t="s">
        <v>13103</v>
      </c>
      <c r="C9464" t="s">
        <v>7</v>
      </c>
      <c r="D9464" t="s">
        <v>14</v>
      </c>
      <c r="E9464" t="s">
        <v>11472</v>
      </c>
    </row>
    <row r="9465" spans="1:6" x14ac:dyDescent="0.25">
      <c r="A9465" t="str">
        <f>"505303896660"</f>
        <v>505303896660</v>
      </c>
      <c r="B9465" t="s">
        <v>13104</v>
      </c>
      <c r="C9465" t="s">
        <v>7</v>
      </c>
      <c r="D9465" t="s">
        <v>14</v>
      </c>
      <c r="E9465" t="s">
        <v>11472</v>
      </c>
    </row>
    <row r="9466" spans="1:6" x14ac:dyDescent="0.25">
      <c r="A9466" t="str">
        <f>"505305672602"</f>
        <v>505305672602</v>
      </c>
      <c r="B9466" t="s">
        <v>13105</v>
      </c>
      <c r="C9466" t="s">
        <v>7</v>
      </c>
      <c r="D9466" t="s">
        <v>14</v>
      </c>
      <c r="E9466" t="s">
        <v>11472</v>
      </c>
    </row>
    <row r="9467" spans="1:6" x14ac:dyDescent="0.25">
      <c r="A9467" t="str">
        <f>"505396318973"</f>
        <v>505396318973</v>
      </c>
      <c r="B9467" t="s">
        <v>13106</v>
      </c>
      <c r="C9467" t="s">
        <v>7</v>
      </c>
      <c r="D9467" t="s">
        <v>14</v>
      </c>
      <c r="E9467" t="s">
        <v>11472</v>
      </c>
    </row>
    <row r="9468" spans="1:6" x14ac:dyDescent="0.25">
      <c r="A9468" t="str">
        <f>"505396607397"</f>
        <v>505396607397</v>
      </c>
      <c r="B9468" t="s">
        <v>13107</v>
      </c>
      <c r="C9468" t="s">
        <v>7</v>
      </c>
      <c r="D9468" t="s">
        <v>14</v>
      </c>
      <c r="E9468" t="s">
        <v>11472</v>
      </c>
    </row>
    <row r="9469" spans="1:6" x14ac:dyDescent="0.25">
      <c r="A9469" t="str">
        <f>"5056008385"</f>
        <v>5056008385</v>
      </c>
      <c r="B9469" t="s">
        <v>13108</v>
      </c>
      <c r="C9469" t="s">
        <v>7</v>
      </c>
      <c r="D9469" t="s">
        <v>12</v>
      </c>
      <c r="E9469" t="s">
        <v>11472</v>
      </c>
      <c r="F9469" t="s">
        <v>13109</v>
      </c>
    </row>
    <row r="9470" spans="1:6" x14ac:dyDescent="0.25">
      <c r="A9470" t="str">
        <f>"5056009149"</f>
        <v>5056009149</v>
      </c>
      <c r="B9470" t="s">
        <v>13110</v>
      </c>
      <c r="C9470" t="s">
        <v>7</v>
      </c>
      <c r="D9470" t="s">
        <v>189</v>
      </c>
      <c r="E9470" t="s">
        <v>11472</v>
      </c>
      <c r="F9470" t="s">
        <v>13111</v>
      </c>
    </row>
    <row r="9471" spans="1:6" x14ac:dyDescent="0.25">
      <c r="A9471" t="str">
        <f>"507000908127"</f>
        <v>507000908127</v>
      </c>
      <c r="B9471" t="s">
        <v>13112</v>
      </c>
      <c r="C9471" t="s">
        <v>7</v>
      </c>
      <c r="D9471" t="s">
        <v>14</v>
      </c>
      <c r="E9471" t="s">
        <v>11472</v>
      </c>
    </row>
    <row r="9472" spans="1:6" x14ac:dyDescent="0.25">
      <c r="A9472" t="str">
        <f>"507001187301"</f>
        <v>507001187301</v>
      </c>
      <c r="B9472" t="s">
        <v>13113</v>
      </c>
      <c r="C9472" t="s">
        <v>7</v>
      </c>
      <c r="D9472" t="s">
        <v>12</v>
      </c>
      <c r="E9472" t="s">
        <v>11472</v>
      </c>
    </row>
    <row r="9473" spans="1:6" x14ac:dyDescent="0.25">
      <c r="A9473" t="str">
        <f>"507204501322"</f>
        <v>507204501322</v>
      </c>
      <c r="B9473" t="s">
        <v>13114</v>
      </c>
      <c r="C9473" t="s">
        <v>7</v>
      </c>
      <c r="D9473" t="s">
        <v>14</v>
      </c>
      <c r="E9473" t="s">
        <v>11472</v>
      </c>
    </row>
    <row r="9474" spans="1:6" x14ac:dyDescent="0.25">
      <c r="A9474" t="str">
        <f>"507306046496"</f>
        <v>507306046496</v>
      </c>
      <c r="B9474" t="s">
        <v>13115</v>
      </c>
      <c r="C9474" t="s">
        <v>7</v>
      </c>
      <c r="D9474" t="s">
        <v>14</v>
      </c>
      <c r="E9474" t="s">
        <v>11472</v>
      </c>
    </row>
    <row r="9475" spans="1:6" x14ac:dyDescent="0.25">
      <c r="A9475" t="str">
        <f>"5074000075"</f>
        <v>5074000075</v>
      </c>
      <c r="B9475" t="s">
        <v>13116</v>
      </c>
      <c r="C9475" t="s">
        <v>7</v>
      </c>
      <c r="D9475" t="s">
        <v>12</v>
      </c>
      <c r="E9475" t="s">
        <v>11472</v>
      </c>
      <c r="F9475" t="s">
        <v>13117</v>
      </c>
    </row>
    <row r="9476" spans="1:6" x14ac:dyDescent="0.25">
      <c r="A9476" t="str">
        <f>"507403867748"</f>
        <v>507403867748</v>
      </c>
      <c r="B9476" t="s">
        <v>13118</v>
      </c>
      <c r="C9476" t="s">
        <v>7</v>
      </c>
      <c r="D9476" t="s">
        <v>14</v>
      </c>
      <c r="E9476" t="s">
        <v>11472</v>
      </c>
    </row>
    <row r="9477" spans="1:6" x14ac:dyDescent="0.25">
      <c r="A9477" t="str">
        <f>"7708780985"</f>
        <v>7708780985</v>
      </c>
      <c r="B9477" t="s">
        <v>13119</v>
      </c>
      <c r="C9477" t="s">
        <v>7</v>
      </c>
      <c r="D9477" t="s">
        <v>33</v>
      </c>
      <c r="E9477" t="s">
        <v>11472</v>
      </c>
      <c r="F9477" t="s">
        <v>13120</v>
      </c>
    </row>
    <row r="9478" spans="1:6" x14ac:dyDescent="0.25">
      <c r="A9478" t="str">
        <f>"7710868997"</f>
        <v>7710868997</v>
      </c>
      <c r="B9478" t="s">
        <v>13121</v>
      </c>
      <c r="C9478" t="s">
        <v>7</v>
      </c>
      <c r="D9478" t="s">
        <v>8</v>
      </c>
      <c r="E9478" t="s">
        <v>11472</v>
      </c>
      <c r="F9478" t="s">
        <v>13122</v>
      </c>
    </row>
    <row r="9479" spans="1:6" x14ac:dyDescent="0.25">
      <c r="A9479" t="str">
        <f>"7714095226"</f>
        <v>7714095226</v>
      </c>
      <c r="B9479" t="s">
        <v>13123</v>
      </c>
      <c r="C9479" t="s">
        <v>7</v>
      </c>
      <c r="D9479" t="s">
        <v>12</v>
      </c>
      <c r="E9479" t="s">
        <v>11472</v>
      </c>
      <c r="F9479" t="s">
        <v>13124</v>
      </c>
    </row>
    <row r="9480" spans="1:6" x14ac:dyDescent="0.25">
      <c r="A9480" t="str">
        <f>"7715610825"</f>
        <v>7715610825</v>
      </c>
      <c r="B9480" t="s">
        <v>13125</v>
      </c>
      <c r="C9480" t="s">
        <v>7</v>
      </c>
      <c r="D9480" t="s">
        <v>674</v>
      </c>
      <c r="E9480" t="s">
        <v>11472</v>
      </c>
      <c r="F9480" t="s">
        <v>13126</v>
      </c>
    </row>
    <row r="9481" spans="1:6" x14ac:dyDescent="0.25">
      <c r="A9481" t="str">
        <f>"311603656670"</f>
        <v>311603656670</v>
      </c>
      <c r="B9481" t="s">
        <v>13127</v>
      </c>
      <c r="C9481" t="s">
        <v>7</v>
      </c>
      <c r="D9481" t="s">
        <v>12</v>
      </c>
      <c r="E9481" t="s">
        <v>11472</v>
      </c>
    </row>
    <row r="9482" spans="1:6" x14ac:dyDescent="0.25">
      <c r="A9482" t="str">
        <f>"402573574708"</f>
        <v>402573574708</v>
      </c>
      <c r="B9482" t="s">
        <v>13128</v>
      </c>
      <c r="C9482" t="s">
        <v>7</v>
      </c>
      <c r="D9482" t="s">
        <v>14</v>
      </c>
      <c r="E9482" t="s">
        <v>11472</v>
      </c>
    </row>
    <row r="9483" spans="1:6" x14ac:dyDescent="0.25">
      <c r="A9483" t="str">
        <f>"7706777962"</f>
        <v>7706777962</v>
      </c>
      <c r="B9483" t="s">
        <v>13129</v>
      </c>
      <c r="C9483" t="s">
        <v>7</v>
      </c>
      <c r="D9483" t="s">
        <v>674</v>
      </c>
      <c r="E9483" t="s">
        <v>11472</v>
      </c>
      <c r="F9483" t="s">
        <v>13130</v>
      </c>
    </row>
    <row r="9484" spans="1:6" x14ac:dyDescent="0.25">
      <c r="A9484" t="str">
        <f>"7707244950"</f>
        <v>7707244950</v>
      </c>
      <c r="B9484" t="s">
        <v>13131</v>
      </c>
      <c r="C9484" t="s">
        <v>7</v>
      </c>
      <c r="D9484" t="s">
        <v>12</v>
      </c>
      <c r="E9484" t="s">
        <v>11472</v>
      </c>
      <c r="F9484" t="s">
        <v>13132</v>
      </c>
    </row>
    <row r="9485" spans="1:6" x14ac:dyDescent="0.25">
      <c r="A9485" t="str">
        <f>"7721345935"</f>
        <v>7721345935</v>
      </c>
      <c r="B9485" t="s">
        <v>13133</v>
      </c>
      <c r="C9485" t="s">
        <v>7</v>
      </c>
      <c r="D9485" t="s">
        <v>189</v>
      </c>
      <c r="E9485" t="s">
        <v>11472</v>
      </c>
      <c r="F9485" t="s">
        <v>13134</v>
      </c>
    </row>
    <row r="9486" spans="1:6" x14ac:dyDescent="0.25">
      <c r="A9486" t="str">
        <f>"772210213669"</f>
        <v>772210213669</v>
      </c>
      <c r="B9486" t="s">
        <v>13135</v>
      </c>
      <c r="C9486" t="s">
        <v>7</v>
      </c>
      <c r="D9486" t="s">
        <v>14</v>
      </c>
      <c r="E9486" t="s">
        <v>11472</v>
      </c>
    </row>
    <row r="9487" spans="1:6" x14ac:dyDescent="0.25">
      <c r="A9487" t="str">
        <f>"772309966728"</f>
        <v>772309966728</v>
      </c>
      <c r="B9487" t="s">
        <v>13136</v>
      </c>
      <c r="C9487" t="s">
        <v>7</v>
      </c>
      <c r="D9487" t="s">
        <v>14</v>
      </c>
      <c r="E9487" t="s">
        <v>11472</v>
      </c>
    </row>
    <row r="9488" spans="1:6" x14ac:dyDescent="0.25">
      <c r="A9488" t="str">
        <f>"772318935282"</f>
        <v>772318935282</v>
      </c>
      <c r="B9488" t="s">
        <v>13137</v>
      </c>
      <c r="C9488" t="s">
        <v>7</v>
      </c>
      <c r="D9488" t="s">
        <v>14</v>
      </c>
      <c r="E9488" t="s">
        <v>11472</v>
      </c>
    </row>
    <row r="9489" spans="1:6" x14ac:dyDescent="0.25">
      <c r="A9489" t="str">
        <f>"772425503784"</f>
        <v>772425503784</v>
      </c>
      <c r="B9489" t="s">
        <v>13138</v>
      </c>
      <c r="C9489" t="s">
        <v>7</v>
      </c>
      <c r="D9489" t="s">
        <v>12</v>
      </c>
      <c r="E9489" t="s">
        <v>11472</v>
      </c>
    </row>
    <row r="9490" spans="1:6" x14ac:dyDescent="0.25">
      <c r="A9490" t="str">
        <f>"772583342917"</f>
        <v>772583342917</v>
      </c>
      <c r="B9490" t="s">
        <v>13139</v>
      </c>
      <c r="C9490" t="s">
        <v>7</v>
      </c>
      <c r="D9490" t="s">
        <v>12</v>
      </c>
      <c r="E9490" t="s">
        <v>11472</v>
      </c>
    </row>
    <row r="9491" spans="1:6" x14ac:dyDescent="0.25">
      <c r="A9491" t="str">
        <f>"772583446200"</f>
        <v>772583446200</v>
      </c>
      <c r="B9491" t="s">
        <v>13140</v>
      </c>
      <c r="C9491" t="s">
        <v>7</v>
      </c>
      <c r="D9491" t="s">
        <v>14</v>
      </c>
      <c r="E9491" t="s">
        <v>11472</v>
      </c>
    </row>
    <row r="9492" spans="1:6" x14ac:dyDescent="0.25">
      <c r="A9492" t="str">
        <f>"7727067057"</f>
        <v>7727067057</v>
      </c>
      <c r="B9492" t="s">
        <v>13141</v>
      </c>
      <c r="C9492" t="s">
        <v>7</v>
      </c>
      <c r="D9492" t="s">
        <v>12</v>
      </c>
      <c r="E9492" t="s">
        <v>11472</v>
      </c>
      <c r="F9492" t="s">
        <v>13142</v>
      </c>
    </row>
    <row r="9493" spans="1:6" x14ac:dyDescent="0.25">
      <c r="A9493" t="str">
        <f>"7734501356"</f>
        <v>7734501356</v>
      </c>
      <c r="B9493" t="s">
        <v>13143</v>
      </c>
      <c r="C9493" t="s">
        <v>7</v>
      </c>
      <c r="D9493" t="s">
        <v>674</v>
      </c>
      <c r="E9493" t="s">
        <v>11472</v>
      </c>
      <c r="F9493" t="s">
        <v>11641</v>
      </c>
    </row>
    <row r="9494" spans="1:6" x14ac:dyDescent="0.25">
      <c r="A9494" t="str">
        <f>"773500226968"</f>
        <v>773500226968</v>
      </c>
      <c r="B9494" t="s">
        <v>13144</v>
      </c>
      <c r="C9494" t="s">
        <v>7</v>
      </c>
      <c r="D9494" t="s">
        <v>14</v>
      </c>
      <c r="E9494" t="s">
        <v>11472</v>
      </c>
    </row>
    <row r="9495" spans="1:6" x14ac:dyDescent="0.25">
      <c r="A9495" t="str">
        <f>"670300684874"</f>
        <v>670300684874</v>
      </c>
      <c r="B9495" t="s">
        <v>13145</v>
      </c>
      <c r="C9495" t="s">
        <v>7</v>
      </c>
      <c r="D9495" t="s">
        <v>12</v>
      </c>
      <c r="E9495" t="s">
        <v>11472</v>
      </c>
    </row>
    <row r="9496" spans="1:6" x14ac:dyDescent="0.25">
      <c r="A9496" t="str">
        <f>"680503780160"</f>
        <v>680503780160</v>
      </c>
      <c r="B9496" t="s">
        <v>13146</v>
      </c>
      <c r="C9496" t="s">
        <v>7</v>
      </c>
      <c r="D9496" t="s">
        <v>12</v>
      </c>
      <c r="E9496" t="s">
        <v>11472</v>
      </c>
    </row>
    <row r="9497" spans="1:6" x14ac:dyDescent="0.25">
      <c r="A9497" t="str">
        <f>"320700516433"</f>
        <v>320700516433</v>
      </c>
      <c r="B9497" t="s">
        <v>13147</v>
      </c>
      <c r="C9497" t="s">
        <v>7</v>
      </c>
      <c r="D9497" t="s">
        <v>28</v>
      </c>
      <c r="E9497" t="s">
        <v>11472</v>
      </c>
    </row>
    <row r="9498" spans="1:6" x14ac:dyDescent="0.25">
      <c r="A9498" t="str">
        <f>"7716639217"</f>
        <v>7716639217</v>
      </c>
      <c r="B9498" t="s">
        <v>13148</v>
      </c>
      <c r="C9498" t="s">
        <v>7</v>
      </c>
      <c r="D9498" t="s">
        <v>12</v>
      </c>
      <c r="E9498" t="s">
        <v>11472</v>
      </c>
      <c r="F9498" t="s">
        <v>13149</v>
      </c>
    </row>
    <row r="9499" spans="1:6" x14ac:dyDescent="0.25">
      <c r="A9499" t="str">
        <f>"7719182634"</f>
        <v>7719182634</v>
      </c>
      <c r="B9499" t="s">
        <v>13150</v>
      </c>
      <c r="C9499" t="s">
        <v>7</v>
      </c>
      <c r="D9499" t="s">
        <v>1430</v>
      </c>
      <c r="E9499" t="s">
        <v>11472</v>
      </c>
      <c r="F9499" t="s">
        <v>13151</v>
      </c>
    </row>
    <row r="9500" spans="1:6" x14ac:dyDescent="0.25">
      <c r="A9500" t="str">
        <f>"7719841492"</f>
        <v>7719841492</v>
      </c>
      <c r="B9500" t="s">
        <v>13152</v>
      </c>
      <c r="C9500" t="s">
        <v>7</v>
      </c>
      <c r="D9500" t="s">
        <v>12</v>
      </c>
      <c r="E9500" t="s">
        <v>11472</v>
      </c>
      <c r="F9500" t="s">
        <v>13153</v>
      </c>
    </row>
    <row r="9501" spans="1:6" x14ac:dyDescent="0.25">
      <c r="A9501" t="str">
        <f>"7720711748"</f>
        <v>7720711748</v>
      </c>
      <c r="B9501" t="s">
        <v>13154</v>
      </c>
      <c r="C9501" t="s">
        <v>7</v>
      </c>
      <c r="D9501" t="s">
        <v>674</v>
      </c>
      <c r="E9501" t="s">
        <v>11472</v>
      </c>
      <c r="F9501" t="s">
        <v>13155</v>
      </c>
    </row>
    <row r="9502" spans="1:6" x14ac:dyDescent="0.25">
      <c r="A9502" t="str">
        <f>"7720749068"</f>
        <v>7720749068</v>
      </c>
      <c r="B9502" t="s">
        <v>13156</v>
      </c>
      <c r="C9502" t="s">
        <v>7</v>
      </c>
      <c r="D9502" t="s">
        <v>28</v>
      </c>
      <c r="E9502" t="s">
        <v>11472</v>
      </c>
      <c r="F9502" t="s">
        <v>13157</v>
      </c>
    </row>
    <row r="9503" spans="1:6" x14ac:dyDescent="0.25">
      <c r="A9503" t="str">
        <f>"772085477132"</f>
        <v>772085477132</v>
      </c>
      <c r="B9503" t="s">
        <v>13158</v>
      </c>
      <c r="C9503" t="s">
        <v>7</v>
      </c>
      <c r="D9503" t="s">
        <v>14</v>
      </c>
      <c r="E9503" t="s">
        <v>11472</v>
      </c>
    </row>
    <row r="9504" spans="1:6" x14ac:dyDescent="0.25">
      <c r="A9504" t="str">
        <f>"772097980291"</f>
        <v>772097980291</v>
      </c>
      <c r="B9504" t="s">
        <v>13159</v>
      </c>
      <c r="C9504" t="s">
        <v>7</v>
      </c>
      <c r="D9504" t="s">
        <v>14</v>
      </c>
      <c r="E9504" t="s">
        <v>11472</v>
      </c>
    </row>
    <row r="9505" spans="1:6" x14ac:dyDescent="0.25">
      <c r="A9505" t="str">
        <f>"507500068620"</f>
        <v>507500068620</v>
      </c>
      <c r="B9505" t="s">
        <v>13160</v>
      </c>
      <c r="C9505" t="s">
        <v>7</v>
      </c>
      <c r="D9505" t="s">
        <v>14</v>
      </c>
      <c r="E9505" t="s">
        <v>11472</v>
      </c>
    </row>
    <row r="9506" spans="1:6" x14ac:dyDescent="0.25">
      <c r="A9506" t="str">
        <f>"507500121754"</f>
        <v>507500121754</v>
      </c>
      <c r="B9506" t="s">
        <v>13161</v>
      </c>
      <c r="C9506" t="s">
        <v>7</v>
      </c>
      <c r="D9506" t="s">
        <v>14</v>
      </c>
      <c r="E9506" t="s">
        <v>11472</v>
      </c>
    </row>
    <row r="9507" spans="1:6" x14ac:dyDescent="0.25">
      <c r="A9507" t="str">
        <f>"507502416016"</f>
        <v>507502416016</v>
      </c>
      <c r="B9507" t="s">
        <v>13162</v>
      </c>
      <c r="C9507" t="s">
        <v>7</v>
      </c>
      <c r="D9507" t="s">
        <v>14</v>
      </c>
      <c r="E9507" t="s">
        <v>11472</v>
      </c>
    </row>
    <row r="9508" spans="1:6" x14ac:dyDescent="0.25">
      <c r="A9508" t="str">
        <f>"507502994578"</f>
        <v>507502994578</v>
      </c>
      <c r="B9508" t="s">
        <v>13163</v>
      </c>
      <c r="C9508" t="s">
        <v>7</v>
      </c>
      <c r="D9508" t="s">
        <v>14</v>
      </c>
      <c r="E9508" t="s">
        <v>11472</v>
      </c>
    </row>
    <row r="9509" spans="1:6" x14ac:dyDescent="0.25">
      <c r="A9509" t="str">
        <f>"507503251215"</f>
        <v>507503251215</v>
      </c>
      <c r="B9509" t="s">
        <v>13164</v>
      </c>
      <c r="C9509" t="s">
        <v>7</v>
      </c>
      <c r="D9509" t="s">
        <v>14</v>
      </c>
      <c r="E9509" t="s">
        <v>11472</v>
      </c>
    </row>
    <row r="9510" spans="1:6" x14ac:dyDescent="0.25">
      <c r="A9510" t="str">
        <f>"507560956684"</f>
        <v>507560956684</v>
      </c>
      <c r="B9510" t="s">
        <v>13165</v>
      </c>
      <c r="C9510" t="s">
        <v>7</v>
      </c>
      <c r="D9510" t="s">
        <v>14</v>
      </c>
      <c r="E9510" t="s">
        <v>11472</v>
      </c>
    </row>
    <row r="9511" spans="1:6" x14ac:dyDescent="0.25">
      <c r="A9511" t="str">
        <f>"507462816978"</f>
        <v>507462816978</v>
      </c>
      <c r="B9511" t="s">
        <v>13166</v>
      </c>
      <c r="C9511" t="s">
        <v>7</v>
      </c>
      <c r="D9511" t="s">
        <v>14</v>
      </c>
      <c r="E9511" t="s">
        <v>11472</v>
      </c>
    </row>
    <row r="9512" spans="1:6" x14ac:dyDescent="0.25">
      <c r="A9512" t="str">
        <f>"507500064785"</f>
        <v>507500064785</v>
      </c>
      <c r="B9512" t="s">
        <v>13167</v>
      </c>
      <c r="C9512" t="s">
        <v>7</v>
      </c>
      <c r="D9512" t="s">
        <v>14</v>
      </c>
      <c r="E9512" t="s">
        <v>11472</v>
      </c>
    </row>
    <row r="9513" spans="1:6" x14ac:dyDescent="0.25">
      <c r="A9513" t="str">
        <f>"507701474911"</f>
        <v>507701474911</v>
      </c>
      <c r="B9513" t="s">
        <v>13168</v>
      </c>
      <c r="C9513" t="s">
        <v>7</v>
      </c>
      <c r="D9513" t="s">
        <v>14</v>
      </c>
      <c r="E9513" t="s">
        <v>11472</v>
      </c>
    </row>
    <row r="9514" spans="1:6" x14ac:dyDescent="0.25">
      <c r="A9514" t="str">
        <f>"507703170309"</f>
        <v>507703170309</v>
      </c>
      <c r="B9514" t="s">
        <v>13169</v>
      </c>
      <c r="C9514" t="s">
        <v>7</v>
      </c>
      <c r="D9514" t="s">
        <v>12</v>
      </c>
      <c r="E9514" t="s">
        <v>11472</v>
      </c>
    </row>
    <row r="9515" spans="1:6" x14ac:dyDescent="0.25">
      <c r="A9515" t="str">
        <f>"507800003078"</f>
        <v>507800003078</v>
      </c>
      <c r="B9515" t="s">
        <v>13170</v>
      </c>
      <c r="C9515" t="s">
        <v>7</v>
      </c>
      <c r="D9515" t="s">
        <v>14</v>
      </c>
      <c r="E9515" t="s">
        <v>11472</v>
      </c>
    </row>
    <row r="9516" spans="1:6" x14ac:dyDescent="0.25">
      <c r="A9516" t="str">
        <f>"507800752782"</f>
        <v>507800752782</v>
      </c>
      <c r="B9516" t="s">
        <v>13171</v>
      </c>
      <c r="C9516" t="s">
        <v>7</v>
      </c>
      <c r="D9516" t="s">
        <v>14</v>
      </c>
      <c r="E9516" t="s">
        <v>11472</v>
      </c>
    </row>
    <row r="9517" spans="1:6" x14ac:dyDescent="0.25">
      <c r="A9517" t="str">
        <f>"507903251675"</f>
        <v>507903251675</v>
      </c>
      <c r="B9517" t="s">
        <v>13172</v>
      </c>
      <c r="C9517" t="s">
        <v>7</v>
      </c>
      <c r="D9517" t="s">
        <v>14</v>
      </c>
      <c r="E9517" t="s">
        <v>11472</v>
      </c>
    </row>
    <row r="9518" spans="1:6" x14ac:dyDescent="0.25">
      <c r="A9518" t="str">
        <f>"5074072496"</f>
        <v>5074072496</v>
      </c>
      <c r="B9518" t="s">
        <v>13173</v>
      </c>
      <c r="C9518" t="s">
        <v>7</v>
      </c>
      <c r="D9518" t="s">
        <v>33</v>
      </c>
      <c r="E9518" t="s">
        <v>11472</v>
      </c>
      <c r="F9518" t="s">
        <v>13174</v>
      </c>
    </row>
    <row r="9519" spans="1:6" x14ac:dyDescent="0.25">
      <c r="A9519" t="str">
        <f>"5074087260"</f>
        <v>5074087260</v>
      </c>
      <c r="B9519" t="s">
        <v>13175</v>
      </c>
      <c r="C9519" t="s">
        <v>7</v>
      </c>
      <c r="D9519" t="s">
        <v>33</v>
      </c>
      <c r="E9519" t="s">
        <v>11472</v>
      </c>
      <c r="F9519" t="s">
        <v>13176</v>
      </c>
    </row>
    <row r="9520" spans="1:6" x14ac:dyDescent="0.25">
      <c r="A9520" t="str">
        <f>"5074088231"</f>
        <v>5074088231</v>
      </c>
      <c r="B9520" t="s">
        <v>13177</v>
      </c>
      <c r="C9520" t="s">
        <v>7</v>
      </c>
      <c r="D9520" t="s">
        <v>189</v>
      </c>
      <c r="E9520" t="s">
        <v>11472</v>
      </c>
      <c r="F9520" t="s">
        <v>13178</v>
      </c>
    </row>
    <row r="9521" spans="1:6" x14ac:dyDescent="0.25">
      <c r="A9521" t="str">
        <f>"507500009022"</f>
        <v>507500009022</v>
      </c>
      <c r="B9521" t="s">
        <v>13179</v>
      </c>
      <c r="C9521" t="s">
        <v>7</v>
      </c>
      <c r="D9521" t="s">
        <v>14</v>
      </c>
      <c r="E9521" t="s">
        <v>11472</v>
      </c>
    </row>
    <row r="9522" spans="1:6" x14ac:dyDescent="0.25">
      <c r="A9522" t="str">
        <f>"507500044700"</f>
        <v>507500044700</v>
      </c>
      <c r="B9522" t="s">
        <v>13180</v>
      </c>
      <c r="C9522" t="s">
        <v>7</v>
      </c>
      <c r="D9522" t="s">
        <v>14</v>
      </c>
      <c r="E9522" t="s">
        <v>11472</v>
      </c>
    </row>
    <row r="9523" spans="1:6" x14ac:dyDescent="0.25">
      <c r="A9523" t="str">
        <f>"507500109718"</f>
        <v>507500109718</v>
      </c>
      <c r="B9523" t="s">
        <v>13181</v>
      </c>
      <c r="C9523" t="s">
        <v>7</v>
      </c>
      <c r="D9523" t="s">
        <v>14</v>
      </c>
      <c r="E9523" t="s">
        <v>11472</v>
      </c>
    </row>
    <row r="9524" spans="1:6" x14ac:dyDescent="0.25">
      <c r="A9524" t="str">
        <f>"507500136905"</f>
        <v>507500136905</v>
      </c>
      <c r="B9524" t="s">
        <v>13182</v>
      </c>
      <c r="C9524" t="s">
        <v>7</v>
      </c>
      <c r="D9524" t="s">
        <v>14</v>
      </c>
      <c r="E9524" t="s">
        <v>11472</v>
      </c>
    </row>
    <row r="9525" spans="1:6" x14ac:dyDescent="0.25">
      <c r="A9525" t="str">
        <f>"5075002685"</f>
        <v>5075002685</v>
      </c>
      <c r="B9525" t="s">
        <v>13183</v>
      </c>
      <c r="C9525" t="s">
        <v>7</v>
      </c>
      <c r="D9525" t="s">
        <v>14</v>
      </c>
      <c r="E9525" t="s">
        <v>11472</v>
      </c>
      <c r="F9525" t="s">
        <v>13184</v>
      </c>
    </row>
    <row r="9526" spans="1:6" x14ac:dyDescent="0.25">
      <c r="A9526" t="str">
        <f>"507560886395"</f>
        <v>507560886395</v>
      </c>
      <c r="B9526" t="s">
        <v>13185</v>
      </c>
      <c r="C9526" t="s">
        <v>7</v>
      </c>
      <c r="D9526" t="s">
        <v>14</v>
      </c>
      <c r="E9526" t="s">
        <v>11472</v>
      </c>
    </row>
    <row r="9527" spans="1:6" x14ac:dyDescent="0.25">
      <c r="A9527" t="str">
        <f>"507561221509"</f>
        <v>507561221509</v>
      </c>
      <c r="B9527" t="s">
        <v>13186</v>
      </c>
      <c r="C9527" t="s">
        <v>7</v>
      </c>
      <c r="D9527" t="s">
        <v>14</v>
      </c>
      <c r="E9527" t="s">
        <v>11472</v>
      </c>
    </row>
    <row r="9528" spans="1:6" x14ac:dyDescent="0.25">
      <c r="A9528" t="str">
        <f>"5076000218"</f>
        <v>5076000218</v>
      </c>
      <c r="B9528" t="s">
        <v>13187</v>
      </c>
      <c r="C9528" t="s">
        <v>7</v>
      </c>
      <c r="D9528" t="s">
        <v>14</v>
      </c>
      <c r="E9528" t="s">
        <v>11472</v>
      </c>
      <c r="F9528" t="s">
        <v>13188</v>
      </c>
    </row>
    <row r="9529" spans="1:6" x14ac:dyDescent="0.25">
      <c r="A9529" t="str">
        <f>"507601568429"</f>
        <v>507601568429</v>
      </c>
      <c r="B9529" t="s">
        <v>13189</v>
      </c>
      <c r="C9529" t="s">
        <v>7</v>
      </c>
      <c r="D9529" t="s">
        <v>14</v>
      </c>
      <c r="E9529" t="s">
        <v>11472</v>
      </c>
    </row>
    <row r="9530" spans="1:6" x14ac:dyDescent="0.25">
      <c r="A9530" t="str">
        <f>"507700054336"</f>
        <v>507700054336</v>
      </c>
      <c r="B9530" t="s">
        <v>13190</v>
      </c>
      <c r="C9530" t="s">
        <v>7</v>
      </c>
      <c r="D9530" t="s">
        <v>14</v>
      </c>
      <c r="E9530" t="s">
        <v>11472</v>
      </c>
    </row>
    <row r="9531" spans="1:6" x14ac:dyDescent="0.25">
      <c r="A9531" t="str">
        <f>"507800129377"</f>
        <v>507800129377</v>
      </c>
      <c r="B9531" t="s">
        <v>13191</v>
      </c>
      <c r="C9531" t="s">
        <v>7</v>
      </c>
      <c r="D9531" t="s">
        <v>14</v>
      </c>
      <c r="E9531" t="s">
        <v>11472</v>
      </c>
    </row>
    <row r="9532" spans="1:6" x14ac:dyDescent="0.25">
      <c r="A9532" t="str">
        <f>"5078022633"</f>
        <v>5078022633</v>
      </c>
      <c r="B9532" t="s">
        <v>13192</v>
      </c>
      <c r="C9532" t="s">
        <v>7</v>
      </c>
      <c r="D9532" t="s">
        <v>1430</v>
      </c>
      <c r="E9532" t="s">
        <v>11472</v>
      </c>
      <c r="F9532" t="s">
        <v>13193</v>
      </c>
    </row>
    <row r="9533" spans="1:6" x14ac:dyDescent="0.25">
      <c r="A9533" t="str">
        <f>"5079010091"</f>
        <v>5079010091</v>
      </c>
      <c r="B9533" t="s">
        <v>13194</v>
      </c>
      <c r="C9533" t="s">
        <v>7</v>
      </c>
      <c r="D9533" t="s">
        <v>12</v>
      </c>
      <c r="E9533" t="s">
        <v>11472</v>
      </c>
      <c r="F9533" t="s">
        <v>13195</v>
      </c>
    </row>
    <row r="9534" spans="1:6" x14ac:dyDescent="0.25">
      <c r="A9534" t="str">
        <f>"7716563825"</f>
        <v>7716563825</v>
      </c>
      <c r="B9534" t="s">
        <v>13196</v>
      </c>
      <c r="C9534" t="s">
        <v>7</v>
      </c>
      <c r="D9534" t="s">
        <v>674</v>
      </c>
      <c r="E9534" t="s">
        <v>11472</v>
      </c>
      <c r="F9534" t="s">
        <v>13197</v>
      </c>
    </row>
    <row r="9535" spans="1:6" x14ac:dyDescent="0.25">
      <c r="A9535" t="str">
        <f>"7716719825"</f>
        <v>7716719825</v>
      </c>
      <c r="B9535" t="s">
        <v>13198</v>
      </c>
      <c r="C9535" t="s">
        <v>7</v>
      </c>
      <c r="D9535" t="s">
        <v>33</v>
      </c>
      <c r="E9535" t="s">
        <v>11472</v>
      </c>
      <c r="F9535" t="s">
        <v>13199</v>
      </c>
    </row>
    <row r="9536" spans="1:6" x14ac:dyDescent="0.25">
      <c r="A9536" t="str">
        <f>"7718240330"</f>
        <v>7718240330</v>
      </c>
      <c r="B9536" t="s">
        <v>11461</v>
      </c>
      <c r="C9536" t="s">
        <v>7</v>
      </c>
      <c r="D9536" t="s">
        <v>12</v>
      </c>
      <c r="E9536" t="s">
        <v>11472</v>
      </c>
      <c r="F9536" t="s">
        <v>13200</v>
      </c>
    </row>
    <row r="9537" spans="1:6" x14ac:dyDescent="0.25">
      <c r="A9537" t="str">
        <f>"7718252617"</f>
        <v>7718252617</v>
      </c>
      <c r="B9537" t="s">
        <v>13201</v>
      </c>
      <c r="C9537" t="s">
        <v>7</v>
      </c>
      <c r="D9537" t="s">
        <v>12</v>
      </c>
      <c r="E9537" t="s">
        <v>11472</v>
      </c>
      <c r="F9537" t="s">
        <v>13202</v>
      </c>
    </row>
    <row r="9538" spans="1:6" x14ac:dyDescent="0.25">
      <c r="A9538" t="str">
        <f>"7707502720"</f>
        <v>7707502720</v>
      </c>
      <c r="B9538" t="s">
        <v>13203</v>
      </c>
      <c r="C9538" t="s">
        <v>7</v>
      </c>
      <c r="D9538" t="s">
        <v>12</v>
      </c>
      <c r="E9538" t="s">
        <v>11472</v>
      </c>
      <c r="F9538" t="s">
        <v>13204</v>
      </c>
    </row>
    <row r="9539" spans="1:6" x14ac:dyDescent="0.25">
      <c r="A9539" t="str">
        <f>"7708529669"</f>
        <v>7708529669</v>
      </c>
      <c r="B9539" t="s">
        <v>13205</v>
      </c>
      <c r="C9539" t="s">
        <v>7</v>
      </c>
      <c r="D9539" t="s">
        <v>8</v>
      </c>
      <c r="E9539" t="s">
        <v>11472</v>
      </c>
      <c r="F9539" t="s">
        <v>13206</v>
      </c>
    </row>
    <row r="9540" spans="1:6" x14ac:dyDescent="0.25">
      <c r="A9540" t="str">
        <f>"7708779940"</f>
        <v>7708779940</v>
      </c>
      <c r="B9540" t="s">
        <v>6782</v>
      </c>
      <c r="C9540" t="s">
        <v>7</v>
      </c>
      <c r="D9540" t="s">
        <v>33</v>
      </c>
      <c r="E9540" t="s">
        <v>11472</v>
      </c>
      <c r="F9540" t="s">
        <v>13207</v>
      </c>
    </row>
    <row r="9541" spans="1:6" x14ac:dyDescent="0.25">
      <c r="A9541" t="str">
        <f>"7709976878"</f>
        <v>7709976878</v>
      </c>
      <c r="B9541" t="s">
        <v>13208</v>
      </c>
      <c r="C9541" t="s">
        <v>7</v>
      </c>
      <c r="D9541" t="s">
        <v>12</v>
      </c>
      <c r="E9541" t="s">
        <v>11472</v>
      </c>
      <c r="F9541" t="s">
        <v>13209</v>
      </c>
    </row>
    <row r="9542" spans="1:6" x14ac:dyDescent="0.25">
      <c r="A9542" t="str">
        <f>"7713770799"</f>
        <v>7713770799</v>
      </c>
      <c r="B9542" t="s">
        <v>13210</v>
      </c>
      <c r="C9542" t="s">
        <v>7</v>
      </c>
      <c r="D9542" t="s">
        <v>14</v>
      </c>
      <c r="E9542" t="s">
        <v>11472</v>
      </c>
      <c r="F9542" t="s">
        <v>13211</v>
      </c>
    </row>
    <row r="9543" spans="1:6" x14ac:dyDescent="0.25">
      <c r="A9543" t="str">
        <f>"7714827952"</f>
        <v>7714827952</v>
      </c>
      <c r="B9543" t="s">
        <v>13212</v>
      </c>
      <c r="C9543" t="s">
        <v>7</v>
      </c>
      <c r="D9543" t="s">
        <v>33</v>
      </c>
      <c r="E9543" t="s">
        <v>11472</v>
      </c>
      <c r="F9543" t="s">
        <v>13213</v>
      </c>
    </row>
    <row r="9544" spans="1:6" x14ac:dyDescent="0.25">
      <c r="A9544" t="str">
        <f>"7715441711"</f>
        <v>7715441711</v>
      </c>
      <c r="B9544" t="s">
        <v>13214</v>
      </c>
      <c r="C9544" t="s">
        <v>7</v>
      </c>
      <c r="D9544" t="s">
        <v>12</v>
      </c>
      <c r="E9544" t="s">
        <v>11472</v>
      </c>
      <c r="F9544" t="s">
        <v>13215</v>
      </c>
    </row>
    <row r="9545" spans="1:6" x14ac:dyDescent="0.25">
      <c r="A9545" t="str">
        <f>"771553566499"</f>
        <v>771553566499</v>
      </c>
      <c r="B9545" t="s">
        <v>13216</v>
      </c>
      <c r="C9545" t="s">
        <v>7</v>
      </c>
      <c r="D9545" t="s">
        <v>33</v>
      </c>
      <c r="E9545" t="s">
        <v>11472</v>
      </c>
    </row>
    <row r="9546" spans="1:6" x14ac:dyDescent="0.25">
      <c r="A9546" t="str">
        <f>"672604850510"</f>
        <v>672604850510</v>
      </c>
      <c r="B9546" t="s">
        <v>13217</v>
      </c>
      <c r="C9546" t="s">
        <v>7</v>
      </c>
      <c r="D9546" t="s">
        <v>12</v>
      </c>
      <c r="E9546" t="s">
        <v>11472</v>
      </c>
    </row>
    <row r="9547" spans="1:6" x14ac:dyDescent="0.25">
      <c r="A9547" t="str">
        <f>"673202954038"</f>
        <v>673202954038</v>
      </c>
      <c r="B9547" t="s">
        <v>13218</v>
      </c>
      <c r="C9547" t="s">
        <v>7</v>
      </c>
      <c r="D9547" t="s">
        <v>14</v>
      </c>
      <c r="E9547" t="s">
        <v>11472</v>
      </c>
    </row>
    <row r="9548" spans="1:6" x14ac:dyDescent="0.25">
      <c r="A9548" t="str">
        <f>"681205294551"</f>
        <v>681205294551</v>
      </c>
      <c r="B9548" t="s">
        <v>13219</v>
      </c>
      <c r="C9548" t="s">
        <v>7</v>
      </c>
      <c r="D9548" t="s">
        <v>28</v>
      </c>
      <c r="E9548" t="s">
        <v>11472</v>
      </c>
    </row>
    <row r="9549" spans="1:6" x14ac:dyDescent="0.25">
      <c r="A9549" t="str">
        <f>"682700469303"</f>
        <v>682700469303</v>
      </c>
      <c r="B9549" t="s">
        <v>13220</v>
      </c>
      <c r="C9549" t="s">
        <v>7</v>
      </c>
      <c r="D9549" t="s">
        <v>12</v>
      </c>
      <c r="E9549" t="s">
        <v>11472</v>
      </c>
    </row>
    <row r="9550" spans="1:6" x14ac:dyDescent="0.25">
      <c r="A9550" t="str">
        <f>"7716519632"</f>
        <v>7716519632</v>
      </c>
      <c r="B9550" t="s">
        <v>13221</v>
      </c>
      <c r="C9550" t="s">
        <v>7</v>
      </c>
      <c r="D9550" t="s">
        <v>33</v>
      </c>
      <c r="E9550" t="s">
        <v>11472</v>
      </c>
      <c r="F9550" t="s">
        <v>13222</v>
      </c>
    </row>
    <row r="9551" spans="1:6" x14ac:dyDescent="0.25">
      <c r="A9551" t="str">
        <f>"7717774201"</f>
        <v>7717774201</v>
      </c>
      <c r="B9551" t="s">
        <v>13198</v>
      </c>
      <c r="C9551" t="s">
        <v>7</v>
      </c>
      <c r="D9551" t="s">
        <v>33</v>
      </c>
      <c r="E9551" t="s">
        <v>11472</v>
      </c>
      <c r="F9551" t="s">
        <v>13223</v>
      </c>
    </row>
    <row r="9552" spans="1:6" x14ac:dyDescent="0.25">
      <c r="A9552" t="str">
        <f>"771889343666"</f>
        <v>771889343666</v>
      </c>
      <c r="B9552" t="s">
        <v>13224</v>
      </c>
      <c r="C9552" t="s">
        <v>7</v>
      </c>
      <c r="D9552" t="s">
        <v>14</v>
      </c>
      <c r="E9552" t="s">
        <v>11472</v>
      </c>
    </row>
    <row r="9553" spans="1:6" x14ac:dyDescent="0.25">
      <c r="A9553" t="str">
        <f>"7719269331"</f>
        <v>7719269331</v>
      </c>
      <c r="B9553" t="s">
        <v>13225</v>
      </c>
      <c r="C9553" t="s">
        <v>7</v>
      </c>
      <c r="D9553" t="s">
        <v>12</v>
      </c>
      <c r="E9553" t="s">
        <v>11472</v>
      </c>
      <c r="F9553" t="s">
        <v>13226</v>
      </c>
    </row>
    <row r="9554" spans="1:6" x14ac:dyDescent="0.25">
      <c r="A9554" t="str">
        <f>"7719438340"</f>
        <v>7719438340</v>
      </c>
      <c r="B9554" t="s">
        <v>13227</v>
      </c>
      <c r="C9554" t="s">
        <v>7</v>
      </c>
      <c r="D9554" t="s">
        <v>98</v>
      </c>
      <c r="E9554" t="s">
        <v>11472</v>
      </c>
      <c r="F9554" t="s">
        <v>13228</v>
      </c>
    </row>
    <row r="9555" spans="1:6" x14ac:dyDescent="0.25">
      <c r="A9555" t="str">
        <f>"7720522966"</f>
        <v>7720522966</v>
      </c>
      <c r="B9555" t="s">
        <v>13229</v>
      </c>
      <c r="C9555" t="s">
        <v>7</v>
      </c>
      <c r="D9555" t="s">
        <v>33</v>
      </c>
      <c r="E9555" t="s">
        <v>11472</v>
      </c>
      <c r="F9555" t="s">
        <v>13230</v>
      </c>
    </row>
    <row r="9556" spans="1:6" x14ac:dyDescent="0.25">
      <c r="A9556" t="str">
        <f>"7720602428"</f>
        <v>7720602428</v>
      </c>
      <c r="B9556" t="s">
        <v>13231</v>
      </c>
      <c r="C9556" t="s">
        <v>7</v>
      </c>
      <c r="D9556" t="s">
        <v>33</v>
      </c>
      <c r="E9556" t="s">
        <v>11472</v>
      </c>
      <c r="F9556" t="s">
        <v>13232</v>
      </c>
    </row>
    <row r="9557" spans="1:6" x14ac:dyDescent="0.25">
      <c r="A9557" t="str">
        <f>"9704043737"</f>
        <v>9704043737</v>
      </c>
      <c r="B9557" t="s">
        <v>13233</v>
      </c>
      <c r="C9557" t="s">
        <v>7</v>
      </c>
      <c r="D9557" t="s">
        <v>28</v>
      </c>
      <c r="E9557" t="s">
        <v>11472</v>
      </c>
      <c r="F9557" t="s">
        <v>13234</v>
      </c>
    </row>
    <row r="9558" spans="1:6" x14ac:dyDescent="0.25">
      <c r="A9558" t="str">
        <f>"9709059258"</f>
        <v>9709059258</v>
      </c>
      <c r="B9558" t="s">
        <v>13235</v>
      </c>
      <c r="C9558" t="s">
        <v>7</v>
      </c>
      <c r="D9558" t="s">
        <v>1430</v>
      </c>
      <c r="E9558" t="s">
        <v>11472</v>
      </c>
      <c r="F9558" t="s">
        <v>13236</v>
      </c>
    </row>
    <row r="9559" spans="1:6" x14ac:dyDescent="0.25">
      <c r="A9559" t="str">
        <f>"9705129000"</f>
        <v>9705129000</v>
      </c>
      <c r="B9559" t="s">
        <v>13237</v>
      </c>
      <c r="C9559" t="s">
        <v>7</v>
      </c>
      <c r="D9559" t="s">
        <v>33</v>
      </c>
      <c r="E9559" t="s">
        <v>11472</v>
      </c>
      <c r="F9559" t="s">
        <v>13238</v>
      </c>
    </row>
    <row r="9560" spans="1:6" x14ac:dyDescent="0.25">
      <c r="A9560" t="str">
        <f>"9705156349"</f>
        <v>9705156349</v>
      </c>
      <c r="B9560" t="s">
        <v>13239</v>
      </c>
      <c r="C9560" t="s">
        <v>7</v>
      </c>
      <c r="D9560" t="s">
        <v>12</v>
      </c>
      <c r="E9560" t="s">
        <v>11472</v>
      </c>
      <c r="F9560" t="s">
        <v>13240</v>
      </c>
    </row>
    <row r="9561" spans="1:6" x14ac:dyDescent="0.25">
      <c r="A9561" t="str">
        <f>"9714053621"</f>
        <v>9714053621</v>
      </c>
      <c r="B9561" t="s">
        <v>13241</v>
      </c>
      <c r="C9561" t="s">
        <v>7</v>
      </c>
      <c r="D9561" t="s">
        <v>14</v>
      </c>
      <c r="E9561" t="s">
        <v>11472</v>
      </c>
      <c r="F9561" t="s">
        <v>13242</v>
      </c>
    </row>
    <row r="9562" spans="1:6" x14ac:dyDescent="0.25">
      <c r="A9562" t="str">
        <f>"9718148070"</f>
        <v>9718148070</v>
      </c>
      <c r="B9562" t="s">
        <v>13243</v>
      </c>
      <c r="C9562" t="s">
        <v>7</v>
      </c>
      <c r="D9562" t="s">
        <v>674</v>
      </c>
      <c r="E9562" t="s">
        <v>11472</v>
      </c>
      <c r="F9562" t="s">
        <v>13244</v>
      </c>
    </row>
    <row r="9563" spans="1:6" x14ac:dyDescent="0.25">
      <c r="A9563" t="str">
        <f>"9715241314"</f>
        <v>9715241314</v>
      </c>
      <c r="B9563" t="s">
        <v>13245</v>
      </c>
      <c r="C9563" t="s">
        <v>7</v>
      </c>
      <c r="D9563" t="s">
        <v>12</v>
      </c>
      <c r="E9563" t="s">
        <v>11472</v>
      </c>
      <c r="F9563" t="s">
        <v>13246</v>
      </c>
    </row>
    <row r="9564" spans="1:6" x14ac:dyDescent="0.25">
      <c r="A9564" t="str">
        <f>"9715422840"</f>
        <v>9715422840</v>
      </c>
      <c r="B9564" t="s">
        <v>13247</v>
      </c>
      <c r="C9564" t="s">
        <v>7</v>
      </c>
      <c r="D9564" t="s">
        <v>189</v>
      </c>
      <c r="E9564" t="s">
        <v>11472</v>
      </c>
      <c r="F9564" t="s">
        <v>13248</v>
      </c>
    </row>
    <row r="9565" spans="1:6" x14ac:dyDescent="0.25">
      <c r="A9565" t="str">
        <f>"9718041641"</f>
        <v>9718041641</v>
      </c>
      <c r="B9565" t="s">
        <v>13249</v>
      </c>
      <c r="C9565" t="s">
        <v>7</v>
      </c>
      <c r="D9565" t="s">
        <v>33</v>
      </c>
      <c r="E9565" t="s">
        <v>11472</v>
      </c>
      <c r="F9565" t="s">
        <v>13250</v>
      </c>
    </row>
    <row r="9566" spans="1:6" x14ac:dyDescent="0.25">
      <c r="A9566" t="str">
        <f>"9724064439"</f>
        <v>9724064439</v>
      </c>
      <c r="B9566" t="s">
        <v>13251</v>
      </c>
      <c r="C9566" t="s">
        <v>7</v>
      </c>
      <c r="D9566" t="s">
        <v>33</v>
      </c>
      <c r="E9566" t="s">
        <v>11472</v>
      </c>
      <c r="F9566" t="s">
        <v>13252</v>
      </c>
    </row>
    <row r="9567" spans="1:6" x14ac:dyDescent="0.25">
      <c r="A9567" t="str">
        <f>"9724048490"</f>
        <v>9724048490</v>
      </c>
      <c r="B9567" t="s">
        <v>13253</v>
      </c>
      <c r="C9567" t="s">
        <v>7</v>
      </c>
      <c r="D9567" t="s">
        <v>146</v>
      </c>
      <c r="E9567" t="s">
        <v>11472</v>
      </c>
      <c r="F9567" t="s">
        <v>13254</v>
      </c>
    </row>
    <row r="9568" spans="1:6" x14ac:dyDescent="0.25">
      <c r="A9568" t="str">
        <f>"9724141010"</f>
        <v>9724141010</v>
      </c>
      <c r="B9568" t="s">
        <v>13255</v>
      </c>
      <c r="C9568" t="s">
        <v>7</v>
      </c>
      <c r="D9568" t="s">
        <v>33</v>
      </c>
      <c r="E9568" t="s">
        <v>11472</v>
      </c>
      <c r="F9568" t="s">
        <v>13256</v>
      </c>
    </row>
    <row r="9569" spans="1:6" x14ac:dyDescent="0.25">
      <c r="A9569" t="str">
        <f>"973301968343"</f>
        <v>973301968343</v>
      </c>
      <c r="B9569" t="s">
        <v>13257</v>
      </c>
      <c r="C9569" t="s">
        <v>7</v>
      </c>
      <c r="D9569" t="s">
        <v>12</v>
      </c>
      <c r="E9569" t="s">
        <v>11472</v>
      </c>
    </row>
    <row r="9570" spans="1:6" x14ac:dyDescent="0.25">
      <c r="A9570" t="str">
        <f>"510100199100"</f>
        <v>510100199100</v>
      </c>
      <c r="B9570" t="s">
        <v>13258</v>
      </c>
      <c r="C9570" t="s">
        <v>7</v>
      </c>
      <c r="D9570" t="s">
        <v>14</v>
      </c>
      <c r="E9570" t="s">
        <v>13259</v>
      </c>
    </row>
    <row r="9571" spans="1:6" x14ac:dyDescent="0.25">
      <c r="A9571" t="str">
        <f>"5107914045"</f>
        <v>5107914045</v>
      </c>
      <c r="B9571" t="s">
        <v>13260</v>
      </c>
      <c r="C9571" t="s">
        <v>7</v>
      </c>
      <c r="D9571" t="s">
        <v>14</v>
      </c>
      <c r="E9571" t="s">
        <v>13259</v>
      </c>
      <c r="F9571" t="s">
        <v>13261</v>
      </c>
    </row>
    <row r="9572" spans="1:6" x14ac:dyDescent="0.25">
      <c r="A9572" t="str">
        <f>"5190009833"</f>
        <v>5190009833</v>
      </c>
      <c r="B9572" t="s">
        <v>13262</v>
      </c>
      <c r="C9572" t="s">
        <v>7</v>
      </c>
      <c r="D9572" t="s">
        <v>33</v>
      </c>
      <c r="E9572" t="s">
        <v>13259</v>
      </c>
      <c r="F9572" t="s">
        <v>13263</v>
      </c>
    </row>
    <row r="9573" spans="1:6" x14ac:dyDescent="0.25">
      <c r="A9573" t="str">
        <f>"519015291461"</f>
        <v>519015291461</v>
      </c>
      <c r="B9573" t="s">
        <v>13264</v>
      </c>
      <c r="C9573" t="s">
        <v>7</v>
      </c>
      <c r="D9573" t="s">
        <v>189</v>
      </c>
      <c r="E9573" t="s">
        <v>13259</v>
      </c>
    </row>
    <row r="9574" spans="1:6" x14ac:dyDescent="0.25">
      <c r="A9574" t="str">
        <f>"5190303426"</f>
        <v>5190303426</v>
      </c>
      <c r="B9574" t="s">
        <v>13265</v>
      </c>
      <c r="C9574" t="s">
        <v>7</v>
      </c>
      <c r="D9574" t="s">
        <v>14</v>
      </c>
      <c r="E9574" t="s">
        <v>13259</v>
      </c>
      <c r="F9574" t="s">
        <v>13266</v>
      </c>
    </row>
    <row r="9575" spans="1:6" x14ac:dyDescent="0.25">
      <c r="A9575" t="str">
        <f>"519034425329"</f>
        <v>519034425329</v>
      </c>
      <c r="B9575" t="s">
        <v>13267</v>
      </c>
      <c r="C9575" t="s">
        <v>7</v>
      </c>
      <c r="D9575" t="s">
        <v>14</v>
      </c>
      <c r="E9575" t="s">
        <v>13259</v>
      </c>
    </row>
    <row r="9576" spans="1:6" x14ac:dyDescent="0.25">
      <c r="A9576" t="str">
        <f>"5190408250"</f>
        <v>5190408250</v>
      </c>
      <c r="B9576" t="s">
        <v>13268</v>
      </c>
      <c r="C9576" t="s">
        <v>7</v>
      </c>
      <c r="D9576" t="s">
        <v>12</v>
      </c>
      <c r="E9576" t="s">
        <v>13259</v>
      </c>
      <c r="F9576" t="s">
        <v>13263</v>
      </c>
    </row>
    <row r="9577" spans="1:6" x14ac:dyDescent="0.25">
      <c r="A9577" t="str">
        <f>"519047816016"</f>
        <v>519047816016</v>
      </c>
      <c r="B9577" t="s">
        <v>13269</v>
      </c>
      <c r="C9577" t="s">
        <v>7</v>
      </c>
      <c r="D9577" t="s">
        <v>33</v>
      </c>
      <c r="E9577" t="s">
        <v>13259</v>
      </c>
    </row>
    <row r="9578" spans="1:6" x14ac:dyDescent="0.25">
      <c r="A9578" t="str">
        <f>"519051821812"</f>
        <v>519051821812</v>
      </c>
      <c r="B9578" t="s">
        <v>13270</v>
      </c>
      <c r="C9578" t="s">
        <v>7</v>
      </c>
      <c r="D9578" t="s">
        <v>33</v>
      </c>
      <c r="E9578" t="s">
        <v>13259</v>
      </c>
    </row>
    <row r="9579" spans="1:6" x14ac:dyDescent="0.25">
      <c r="A9579" t="str">
        <f>"519100276961"</f>
        <v>519100276961</v>
      </c>
      <c r="B9579" t="s">
        <v>13271</v>
      </c>
      <c r="C9579" t="s">
        <v>7</v>
      </c>
      <c r="D9579" t="s">
        <v>12</v>
      </c>
      <c r="E9579" t="s">
        <v>13259</v>
      </c>
    </row>
    <row r="9580" spans="1:6" x14ac:dyDescent="0.25">
      <c r="A9580" t="str">
        <f>"519300759162"</f>
        <v>519300759162</v>
      </c>
      <c r="B9580" t="s">
        <v>13272</v>
      </c>
      <c r="C9580" t="s">
        <v>7</v>
      </c>
      <c r="D9580" t="s">
        <v>14</v>
      </c>
      <c r="E9580" t="s">
        <v>13259</v>
      </c>
    </row>
    <row r="9581" spans="1:6" x14ac:dyDescent="0.25">
      <c r="A9581" t="str">
        <f>"100122571413"</f>
        <v>100122571413</v>
      </c>
      <c r="B9581" t="s">
        <v>13273</v>
      </c>
      <c r="C9581" t="s">
        <v>7</v>
      </c>
      <c r="D9581" t="s">
        <v>33</v>
      </c>
      <c r="E9581" t="s">
        <v>13259</v>
      </c>
    </row>
    <row r="9582" spans="1:6" x14ac:dyDescent="0.25">
      <c r="A9582" t="str">
        <f>"120300044685"</f>
        <v>120300044685</v>
      </c>
      <c r="B9582" t="s">
        <v>13274</v>
      </c>
      <c r="C9582" t="s">
        <v>7</v>
      </c>
      <c r="D9582" t="s">
        <v>14</v>
      </c>
      <c r="E9582" t="s">
        <v>13259</v>
      </c>
    </row>
    <row r="9583" spans="1:6" x14ac:dyDescent="0.25">
      <c r="A9583" t="str">
        <f>"312702376299"</f>
        <v>312702376299</v>
      </c>
      <c r="B9583" t="s">
        <v>13275</v>
      </c>
      <c r="C9583" t="s">
        <v>7</v>
      </c>
      <c r="D9583" t="s">
        <v>14</v>
      </c>
      <c r="E9583" t="s">
        <v>13259</v>
      </c>
    </row>
    <row r="9584" spans="1:6" x14ac:dyDescent="0.25">
      <c r="A9584" t="str">
        <f>"510205175770"</f>
        <v>510205175770</v>
      </c>
      <c r="B9584" t="s">
        <v>13276</v>
      </c>
      <c r="C9584" t="s">
        <v>7</v>
      </c>
      <c r="D9584" t="s">
        <v>14</v>
      </c>
      <c r="E9584" t="s">
        <v>13259</v>
      </c>
    </row>
    <row r="9585" spans="1:6" x14ac:dyDescent="0.25">
      <c r="A9585" t="str">
        <f>"510500268013"</f>
        <v>510500268013</v>
      </c>
      <c r="B9585" t="s">
        <v>13277</v>
      </c>
      <c r="C9585" t="s">
        <v>7</v>
      </c>
      <c r="D9585" t="s">
        <v>14</v>
      </c>
      <c r="E9585" t="s">
        <v>13259</v>
      </c>
    </row>
    <row r="9586" spans="1:6" x14ac:dyDescent="0.25">
      <c r="A9586" t="str">
        <f>"510600028706"</f>
        <v>510600028706</v>
      </c>
      <c r="B9586" t="s">
        <v>13278</v>
      </c>
      <c r="C9586" t="s">
        <v>7</v>
      </c>
      <c r="D9586" t="s">
        <v>14</v>
      </c>
      <c r="E9586" t="s">
        <v>13259</v>
      </c>
    </row>
    <row r="9587" spans="1:6" x14ac:dyDescent="0.25">
      <c r="A9587" t="str">
        <f>"510800124118"</f>
        <v>510800124118</v>
      </c>
      <c r="B9587" t="s">
        <v>13279</v>
      </c>
      <c r="C9587" t="s">
        <v>7</v>
      </c>
      <c r="D9587" t="s">
        <v>14</v>
      </c>
      <c r="E9587" t="s">
        <v>13259</v>
      </c>
    </row>
    <row r="9588" spans="1:6" x14ac:dyDescent="0.25">
      <c r="A9588" t="str">
        <f>"510900491390"</f>
        <v>510900491390</v>
      </c>
      <c r="B9588" t="s">
        <v>13280</v>
      </c>
      <c r="C9588" t="s">
        <v>7</v>
      </c>
      <c r="D9588" t="s">
        <v>14</v>
      </c>
      <c r="E9588" t="s">
        <v>13259</v>
      </c>
    </row>
    <row r="9589" spans="1:6" x14ac:dyDescent="0.25">
      <c r="A9589" t="str">
        <f>"511007604405"</f>
        <v>511007604405</v>
      </c>
      <c r="B9589" t="s">
        <v>13281</v>
      </c>
      <c r="C9589" t="s">
        <v>7</v>
      </c>
      <c r="D9589" t="s">
        <v>14</v>
      </c>
      <c r="E9589" t="s">
        <v>13259</v>
      </c>
    </row>
    <row r="9590" spans="1:6" x14ac:dyDescent="0.25">
      <c r="A9590" t="str">
        <f>"511201024885"</f>
        <v>511201024885</v>
      </c>
      <c r="B9590" t="s">
        <v>13282</v>
      </c>
      <c r="C9590" t="s">
        <v>7</v>
      </c>
      <c r="D9590" t="s">
        <v>14</v>
      </c>
      <c r="E9590" t="s">
        <v>13259</v>
      </c>
    </row>
    <row r="9591" spans="1:6" x14ac:dyDescent="0.25">
      <c r="A9591" t="str">
        <f>"5190006374"</f>
        <v>5190006374</v>
      </c>
      <c r="B9591" t="s">
        <v>13283</v>
      </c>
      <c r="C9591" t="s">
        <v>7</v>
      </c>
      <c r="D9591" t="s">
        <v>33</v>
      </c>
      <c r="E9591" t="s">
        <v>13259</v>
      </c>
      <c r="F9591" t="s">
        <v>13284</v>
      </c>
    </row>
    <row r="9592" spans="1:6" x14ac:dyDescent="0.25">
      <c r="A9592" t="str">
        <f>"5190017129"</f>
        <v>5190017129</v>
      </c>
      <c r="B9592" t="s">
        <v>13285</v>
      </c>
      <c r="C9592" t="s">
        <v>7</v>
      </c>
      <c r="D9592" t="s">
        <v>14</v>
      </c>
      <c r="E9592" t="s">
        <v>13259</v>
      </c>
      <c r="F9592" t="s">
        <v>13286</v>
      </c>
    </row>
    <row r="9593" spans="1:6" x14ac:dyDescent="0.25">
      <c r="A9593" t="str">
        <f>"5190034244"</f>
        <v>5190034244</v>
      </c>
      <c r="B9593" t="s">
        <v>13287</v>
      </c>
      <c r="C9593" t="s">
        <v>7</v>
      </c>
      <c r="D9593" t="s">
        <v>12</v>
      </c>
      <c r="E9593" t="s">
        <v>13259</v>
      </c>
      <c r="F9593" t="s">
        <v>13288</v>
      </c>
    </row>
    <row r="9594" spans="1:6" x14ac:dyDescent="0.25">
      <c r="A9594" t="str">
        <f>"5190046962"</f>
        <v>5190046962</v>
      </c>
      <c r="B9594" t="s">
        <v>13289</v>
      </c>
      <c r="C9594" t="s">
        <v>7</v>
      </c>
      <c r="D9594" t="s">
        <v>33</v>
      </c>
      <c r="E9594" t="s">
        <v>13259</v>
      </c>
      <c r="F9594" t="s">
        <v>13290</v>
      </c>
    </row>
    <row r="9595" spans="1:6" x14ac:dyDescent="0.25">
      <c r="A9595" t="str">
        <f>"5190054586"</f>
        <v>5190054586</v>
      </c>
      <c r="B9595" t="s">
        <v>13291</v>
      </c>
      <c r="C9595" t="s">
        <v>7</v>
      </c>
      <c r="D9595" t="s">
        <v>33</v>
      </c>
      <c r="E9595" t="s">
        <v>13259</v>
      </c>
      <c r="F9595" t="s">
        <v>13292</v>
      </c>
    </row>
    <row r="9596" spans="1:6" x14ac:dyDescent="0.25">
      <c r="A9596" t="str">
        <f>"5190056488"</f>
        <v>5190056488</v>
      </c>
      <c r="B9596" t="s">
        <v>13293</v>
      </c>
      <c r="C9596" t="s">
        <v>7</v>
      </c>
      <c r="D9596" t="s">
        <v>14</v>
      </c>
      <c r="E9596" t="s">
        <v>13259</v>
      </c>
      <c r="F9596" t="s">
        <v>13294</v>
      </c>
    </row>
    <row r="9597" spans="1:6" x14ac:dyDescent="0.25">
      <c r="A9597" t="str">
        <f>"5190082209"</f>
        <v>5190082209</v>
      </c>
      <c r="B9597" t="s">
        <v>13295</v>
      </c>
      <c r="C9597" t="s">
        <v>7</v>
      </c>
      <c r="D9597" t="s">
        <v>460</v>
      </c>
      <c r="E9597" t="s">
        <v>13259</v>
      </c>
      <c r="F9597" t="s">
        <v>13296</v>
      </c>
    </row>
    <row r="9598" spans="1:6" x14ac:dyDescent="0.25">
      <c r="A9598" t="str">
        <f>"519098432025"</f>
        <v>519098432025</v>
      </c>
      <c r="B9598" t="s">
        <v>13297</v>
      </c>
      <c r="C9598" t="s">
        <v>7</v>
      </c>
      <c r="D9598" t="s">
        <v>14</v>
      </c>
      <c r="E9598" t="s">
        <v>13259</v>
      </c>
    </row>
    <row r="9599" spans="1:6" x14ac:dyDescent="0.25">
      <c r="A9599" t="str">
        <f>"519200092559"</f>
        <v>519200092559</v>
      </c>
      <c r="B9599" t="s">
        <v>13298</v>
      </c>
      <c r="C9599" t="s">
        <v>7</v>
      </c>
      <c r="D9599" t="s">
        <v>14</v>
      </c>
      <c r="E9599" t="s">
        <v>13259</v>
      </c>
    </row>
    <row r="9600" spans="1:6" x14ac:dyDescent="0.25">
      <c r="A9600" t="str">
        <f>"519300098716"</f>
        <v>519300098716</v>
      </c>
      <c r="B9600" t="s">
        <v>13299</v>
      </c>
      <c r="C9600" t="s">
        <v>7</v>
      </c>
      <c r="D9600" t="s">
        <v>33</v>
      </c>
      <c r="E9600" t="s">
        <v>13259</v>
      </c>
    </row>
    <row r="9601" spans="1:6" x14ac:dyDescent="0.25">
      <c r="A9601" t="str">
        <f>"519300216141"</f>
        <v>519300216141</v>
      </c>
      <c r="B9601" t="s">
        <v>13300</v>
      </c>
      <c r="C9601" t="s">
        <v>7</v>
      </c>
      <c r="D9601" t="s">
        <v>14</v>
      </c>
      <c r="E9601" t="s">
        <v>13259</v>
      </c>
    </row>
    <row r="9602" spans="1:6" x14ac:dyDescent="0.25">
      <c r="A9602" t="str">
        <f>"510106519759"</f>
        <v>510106519759</v>
      </c>
      <c r="B9602" t="s">
        <v>13301</v>
      </c>
      <c r="C9602" t="s">
        <v>7</v>
      </c>
      <c r="D9602" t="s">
        <v>14</v>
      </c>
      <c r="E9602" t="s">
        <v>13259</v>
      </c>
    </row>
    <row r="9603" spans="1:6" x14ac:dyDescent="0.25">
      <c r="A9603" t="str">
        <f>"5104002234"</f>
        <v>5104002234</v>
      </c>
      <c r="B9603" t="s">
        <v>13302</v>
      </c>
      <c r="C9603" t="s">
        <v>7</v>
      </c>
      <c r="D9603" t="s">
        <v>14</v>
      </c>
      <c r="E9603" t="s">
        <v>13259</v>
      </c>
      <c r="F9603" t="s">
        <v>13303</v>
      </c>
    </row>
    <row r="9604" spans="1:6" x14ac:dyDescent="0.25">
      <c r="A9604" t="str">
        <f>"510401610229"</f>
        <v>510401610229</v>
      </c>
      <c r="B9604" t="s">
        <v>13304</v>
      </c>
      <c r="C9604" t="s">
        <v>7</v>
      </c>
      <c r="D9604" t="s">
        <v>14</v>
      </c>
      <c r="E9604" t="s">
        <v>13259</v>
      </c>
    </row>
    <row r="9605" spans="1:6" x14ac:dyDescent="0.25">
      <c r="A9605" t="str">
        <f>"5105013895"</f>
        <v>5105013895</v>
      </c>
      <c r="B9605" t="s">
        <v>13305</v>
      </c>
      <c r="C9605" t="s">
        <v>7</v>
      </c>
      <c r="D9605" t="s">
        <v>33</v>
      </c>
      <c r="E9605" t="s">
        <v>13259</v>
      </c>
      <c r="F9605" t="s">
        <v>13306</v>
      </c>
    </row>
    <row r="9606" spans="1:6" x14ac:dyDescent="0.25">
      <c r="A9606" t="str">
        <f>"510502234154"</f>
        <v>510502234154</v>
      </c>
      <c r="B9606" t="s">
        <v>13307</v>
      </c>
      <c r="C9606" t="s">
        <v>7</v>
      </c>
      <c r="D9606" t="s">
        <v>14</v>
      </c>
      <c r="E9606" t="s">
        <v>13259</v>
      </c>
    </row>
    <row r="9607" spans="1:6" x14ac:dyDescent="0.25">
      <c r="A9607" t="str">
        <f>"510515214148"</f>
        <v>510515214148</v>
      </c>
      <c r="B9607" t="s">
        <v>13308</v>
      </c>
      <c r="C9607" t="s">
        <v>7</v>
      </c>
      <c r="D9607" t="s">
        <v>12</v>
      </c>
      <c r="E9607" t="s">
        <v>13259</v>
      </c>
    </row>
    <row r="9608" spans="1:6" x14ac:dyDescent="0.25">
      <c r="A9608" t="str">
        <f>"510704932338"</f>
        <v>510704932338</v>
      </c>
      <c r="B9608" t="s">
        <v>13309</v>
      </c>
      <c r="C9608" t="s">
        <v>7</v>
      </c>
      <c r="D9608" t="s">
        <v>14</v>
      </c>
      <c r="E9608" t="s">
        <v>13259</v>
      </c>
    </row>
    <row r="9609" spans="1:6" x14ac:dyDescent="0.25">
      <c r="A9609" t="str">
        <f>"5109002573"</f>
        <v>5109002573</v>
      </c>
      <c r="B9609" t="s">
        <v>13310</v>
      </c>
      <c r="C9609" t="s">
        <v>7</v>
      </c>
      <c r="D9609" t="s">
        <v>14</v>
      </c>
      <c r="E9609" t="s">
        <v>13259</v>
      </c>
      <c r="F9609" t="s">
        <v>13311</v>
      </c>
    </row>
    <row r="9610" spans="1:6" x14ac:dyDescent="0.25">
      <c r="A9610" t="str">
        <f>"510901040440"</f>
        <v>510901040440</v>
      </c>
      <c r="B9610" t="s">
        <v>13312</v>
      </c>
      <c r="C9610" t="s">
        <v>7</v>
      </c>
      <c r="D9610" t="s">
        <v>14</v>
      </c>
      <c r="E9610" t="s">
        <v>13259</v>
      </c>
    </row>
    <row r="9611" spans="1:6" x14ac:dyDescent="0.25">
      <c r="A9611" t="str">
        <f>"5110005515"</f>
        <v>5110005515</v>
      </c>
      <c r="B9611" t="s">
        <v>13313</v>
      </c>
      <c r="C9611" t="s">
        <v>7</v>
      </c>
      <c r="D9611" t="s">
        <v>33</v>
      </c>
      <c r="E9611" t="s">
        <v>13259</v>
      </c>
      <c r="F9611" t="s">
        <v>13314</v>
      </c>
    </row>
    <row r="9612" spans="1:6" x14ac:dyDescent="0.25">
      <c r="A9612" t="str">
        <f>"5118006729"</f>
        <v>5118006729</v>
      </c>
      <c r="B9612" t="s">
        <v>13315</v>
      </c>
      <c r="C9612" t="s">
        <v>7</v>
      </c>
      <c r="D9612" t="s">
        <v>14</v>
      </c>
      <c r="E9612" t="s">
        <v>13259</v>
      </c>
      <c r="F9612" t="s">
        <v>13316</v>
      </c>
    </row>
    <row r="9613" spans="1:6" x14ac:dyDescent="0.25">
      <c r="A9613" t="str">
        <f>"5190010797"</f>
        <v>5190010797</v>
      </c>
      <c r="B9613" t="s">
        <v>13317</v>
      </c>
      <c r="C9613" t="s">
        <v>7</v>
      </c>
      <c r="D9613" t="s">
        <v>33</v>
      </c>
      <c r="E9613" t="s">
        <v>13259</v>
      </c>
      <c r="F9613" t="s">
        <v>13318</v>
      </c>
    </row>
    <row r="9614" spans="1:6" x14ac:dyDescent="0.25">
      <c r="A9614" t="str">
        <f>"5190048222"</f>
        <v>5190048222</v>
      </c>
      <c r="B9614" t="s">
        <v>13319</v>
      </c>
      <c r="C9614" t="s">
        <v>7</v>
      </c>
      <c r="D9614" t="s">
        <v>14</v>
      </c>
      <c r="E9614" t="s">
        <v>13259</v>
      </c>
      <c r="F9614" t="s">
        <v>13320</v>
      </c>
    </row>
    <row r="9615" spans="1:6" x14ac:dyDescent="0.25">
      <c r="A9615" t="str">
        <f>"5190060491"</f>
        <v>5190060491</v>
      </c>
      <c r="B9615" t="s">
        <v>13321</v>
      </c>
      <c r="C9615" t="s">
        <v>7</v>
      </c>
      <c r="D9615" t="s">
        <v>14</v>
      </c>
      <c r="E9615" t="s">
        <v>13259</v>
      </c>
      <c r="F9615" t="s">
        <v>13322</v>
      </c>
    </row>
    <row r="9616" spans="1:6" x14ac:dyDescent="0.25">
      <c r="A9616" t="str">
        <f>"5190070524"</f>
        <v>5190070524</v>
      </c>
      <c r="B9616" t="s">
        <v>13323</v>
      </c>
      <c r="C9616" t="s">
        <v>7</v>
      </c>
      <c r="D9616" t="s">
        <v>33</v>
      </c>
      <c r="E9616" t="s">
        <v>13259</v>
      </c>
      <c r="F9616" t="s">
        <v>13324</v>
      </c>
    </row>
    <row r="9617" spans="1:6" x14ac:dyDescent="0.25">
      <c r="A9617" t="str">
        <f>"5190079728"</f>
        <v>5190079728</v>
      </c>
      <c r="B9617" t="s">
        <v>13325</v>
      </c>
      <c r="C9617" t="s">
        <v>7</v>
      </c>
      <c r="D9617" t="s">
        <v>14</v>
      </c>
      <c r="E9617" t="s">
        <v>13259</v>
      </c>
      <c r="F9617" t="s">
        <v>13286</v>
      </c>
    </row>
    <row r="9618" spans="1:6" x14ac:dyDescent="0.25">
      <c r="A9618" t="str">
        <f>"5190142426"</f>
        <v>5190142426</v>
      </c>
      <c r="B9618" t="s">
        <v>13326</v>
      </c>
      <c r="C9618" t="s">
        <v>7</v>
      </c>
      <c r="D9618" t="s">
        <v>12</v>
      </c>
      <c r="E9618" t="s">
        <v>13259</v>
      </c>
      <c r="F9618" t="s">
        <v>13327</v>
      </c>
    </row>
    <row r="9619" spans="1:6" x14ac:dyDescent="0.25">
      <c r="A9619" t="str">
        <f>"519015493683"</f>
        <v>519015493683</v>
      </c>
      <c r="B9619" t="s">
        <v>13328</v>
      </c>
      <c r="C9619" t="s">
        <v>7</v>
      </c>
      <c r="D9619" t="s">
        <v>12</v>
      </c>
      <c r="E9619" t="s">
        <v>13259</v>
      </c>
    </row>
    <row r="9620" spans="1:6" x14ac:dyDescent="0.25">
      <c r="A9620" t="str">
        <f>"5190192226"</f>
        <v>5190192226</v>
      </c>
      <c r="B9620" t="s">
        <v>13329</v>
      </c>
      <c r="C9620" t="s">
        <v>7</v>
      </c>
      <c r="D9620" t="s">
        <v>33</v>
      </c>
      <c r="E9620" t="s">
        <v>13259</v>
      </c>
      <c r="F9620" t="s">
        <v>13330</v>
      </c>
    </row>
    <row r="9621" spans="1:6" x14ac:dyDescent="0.25">
      <c r="A9621" t="str">
        <f>"519040042998"</f>
        <v>519040042998</v>
      </c>
      <c r="B9621" t="s">
        <v>13331</v>
      </c>
      <c r="C9621" t="s">
        <v>7</v>
      </c>
      <c r="D9621" t="s">
        <v>12</v>
      </c>
      <c r="E9621" t="s">
        <v>13259</v>
      </c>
    </row>
    <row r="9622" spans="1:6" x14ac:dyDescent="0.25">
      <c r="A9622" t="str">
        <f>"5190407418"</f>
        <v>5190407418</v>
      </c>
      <c r="B9622" t="s">
        <v>13332</v>
      </c>
      <c r="C9622" t="s">
        <v>7</v>
      </c>
      <c r="D9622" t="s">
        <v>33</v>
      </c>
      <c r="E9622" t="s">
        <v>13259</v>
      </c>
      <c r="F9622" t="s">
        <v>13333</v>
      </c>
    </row>
    <row r="9623" spans="1:6" x14ac:dyDescent="0.25">
      <c r="A9623" t="str">
        <f>"519041184804"</f>
        <v>519041184804</v>
      </c>
      <c r="B9623" t="s">
        <v>13334</v>
      </c>
      <c r="C9623" t="s">
        <v>7</v>
      </c>
      <c r="D9623" t="s">
        <v>14</v>
      </c>
      <c r="E9623" t="s">
        <v>13259</v>
      </c>
    </row>
    <row r="9624" spans="1:6" x14ac:dyDescent="0.25">
      <c r="A9624" t="str">
        <f>"519091711809"</f>
        <v>519091711809</v>
      </c>
      <c r="B9624" t="s">
        <v>13335</v>
      </c>
      <c r="C9624" t="s">
        <v>7</v>
      </c>
      <c r="D9624" t="s">
        <v>12</v>
      </c>
      <c r="E9624" t="s">
        <v>13259</v>
      </c>
    </row>
    <row r="9625" spans="1:6" x14ac:dyDescent="0.25">
      <c r="A9625" t="str">
        <f>"5190924261"</f>
        <v>5190924261</v>
      </c>
      <c r="B9625" t="s">
        <v>13336</v>
      </c>
      <c r="C9625" t="s">
        <v>7</v>
      </c>
      <c r="D9625" t="s">
        <v>12</v>
      </c>
      <c r="E9625" t="s">
        <v>13259</v>
      </c>
      <c r="F9625" t="s">
        <v>13337</v>
      </c>
    </row>
    <row r="9626" spans="1:6" x14ac:dyDescent="0.25">
      <c r="A9626" t="str">
        <f>"5193102164"</f>
        <v>5193102164</v>
      </c>
      <c r="B9626" t="s">
        <v>13338</v>
      </c>
      <c r="C9626" t="s">
        <v>7</v>
      </c>
      <c r="D9626" t="s">
        <v>14</v>
      </c>
      <c r="E9626" t="s">
        <v>13259</v>
      </c>
      <c r="F9626" t="s">
        <v>13339</v>
      </c>
    </row>
    <row r="9627" spans="1:6" x14ac:dyDescent="0.25">
      <c r="A9627" t="str">
        <f>"510104154566"</f>
        <v>510104154566</v>
      </c>
      <c r="B9627" t="s">
        <v>13340</v>
      </c>
      <c r="C9627" t="s">
        <v>7</v>
      </c>
      <c r="D9627" t="s">
        <v>14</v>
      </c>
      <c r="E9627" t="s">
        <v>13259</v>
      </c>
    </row>
    <row r="9628" spans="1:6" x14ac:dyDescent="0.25">
      <c r="A9628" t="str">
        <f>"510105597546"</f>
        <v>510105597546</v>
      </c>
      <c r="B9628" t="s">
        <v>13341</v>
      </c>
      <c r="C9628" t="s">
        <v>7</v>
      </c>
      <c r="D9628" t="s">
        <v>14</v>
      </c>
      <c r="E9628" t="s">
        <v>13259</v>
      </c>
    </row>
    <row r="9629" spans="1:6" x14ac:dyDescent="0.25">
      <c r="A9629" t="str">
        <f>"510106286871"</f>
        <v>510106286871</v>
      </c>
      <c r="B9629" t="s">
        <v>13342</v>
      </c>
      <c r="C9629" t="s">
        <v>7</v>
      </c>
      <c r="D9629" t="s">
        <v>14</v>
      </c>
      <c r="E9629" t="s">
        <v>13259</v>
      </c>
    </row>
    <row r="9630" spans="1:6" x14ac:dyDescent="0.25">
      <c r="A9630" t="str">
        <f>"5101312975"</f>
        <v>5101312975</v>
      </c>
      <c r="B9630" t="s">
        <v>13343</v>
      </c>
      <c r="C9630" t="s">
        <v>7</v>
      </c>
      <c r="D9630" t="s">
        <v>12</v>
      </c>
      <c r="E9630" t="s">
        <v>13259</v>
      </c>
      <c r="F9630" t="s">
        <v>13344</v>
      </c>
    </row>
    <row r="9631" spans="1:6" x14ac:dyDescent="0.25">
      <c r="A9631" t="str">
        <f>"510200024721"</f>
        <v>510200024721</v>
      </c>
      <c r="B9631" t="s">
        <v>13345</v>
      </c>
      <c r="C9631" t="s">
        <v>7</v>
      </c>
      <c r="D9631" t="s">
        <v>14</v>
      </c>
      <c r="E9631" t="s">
        <v>13259</v>
      </c>
    </row>
    <row r="9632" spans="1:6" x14ac:dyDescent="0.25">
      <c r="A9632" t="str">
        <f>"510200093588"</f>
        <v>510200093588</v>
      </c>
      <c r="B9632" t="s">
        <v>13346</v>
      </c>
      <c r="C9632" t="s">
        <v>7</v>
      </c>
      <c r="D9632" t="s">
        <v>14</v>
      </c>
      <c r="E9632" t="s">
        <v>13259</v>
      </c>
    </row>
    <row r="9633" spans="1:6" x14ac:dyDescent="0.25">
      <c r="A9633" t="str">
        <f>"510300582021"</f>
        <v>510300582021</v>
      </c>
      <c r="B9633" t="s">
        <v>13347</v>
      </c>
      <c r="C9633" t="s">
        <v>7</v>
      </c>
      <c r="D9633" t="s">
        <v>12</v>
      </c>
      <c r="E9633" t="s">
        <v>13259</v>
      </c>
    </row>
    <row r="9634" spans="1:6" x14ac:dyDescent="0.25">
      <c r="A9634" t="str">
        <f>"510301061818"</f>
        <v>510301061818</v>
      </c>
      <c r="B9634" t="s">
        <v>13348</v>
      </c>
      <c r="C9634" t="s">
        <v>7</v>
      </c>
      <c r="D9634" t="s">
        <v>14</v>
      </c>
      <c r="E9634" t="s">
        <v>13259</v>
      </c>
    </row>
    <row r="9635" spans="1:6" x14ac:dyDescent="0.25">
      <c r="A9635" t="str">
        <f>"510400194992"</f>
        <v>510400194992</v>
      </c>
      <c r="B9635" t="s">
        <v>13349</v>
      </c>
      <c r="C9635" t="s">
        <v>7</v>
      </c>
      <c r="D9635" t="s">
        <v>14</v>
      </c>
      <c r="E9635" t="s">
        <v>13259</v>
      </c>
    </row>
    <row r="9636" spans="1:6" x14ac:dyDescent="0.25">
      <c r="A9636" t="str">
        <f>"510500209900"</f>
        <v>510500209900</v>
      </c>
      <c r="B9636" t="s">
        <v>13350</v>
      </c>
      <c r="C9636" t="s">
        <v>7</v>
      </c>
      <c r="D9636" t="s">
        <v>14</v>
      </c>
      <c r="E9636" t="s">
        <v>13259</v>
      </c>
    </row>
    <row r="9637" spans="1:6" x14ac:dyDescent="0.25">
      <c r="A9637" t="str">
        <f>"510510030355"</f>
        <v>510510030355</v>
      </c>
      <c r="B9637" t="s">
        <v>13351</v>
      </c>
      <c r="C9637" t="s">
        <v>7</v>
      </c>
      <c r="D9637" t="s">
        <v>14</v>
      </c>
      <c r="E9637" t="s">
        <v>13259</v>
      </c>
    </row>
    <row r="9638" spans="1:6" x14ac:dyDescent="0.25">
      <c r="A9638" t="str">
        <f>"510704799693"</f>
        <v>510704799693</v>
      </c>
      <c r="B9638" t="s">
        <v>13352</v>
      </c>
      <c r="C9638" t="s">
        <v>7</v>
      </c>
      <c r="D9638" t="s">
        <v>12</v>
      </c>
      <c r="E9638" t="s">
        <v>13259</v>
      </c>
    </row>
    <row r="9639" spans="1:6" x14ac:dyDescent="0.25">
      <c r="A9639" t="str">
        <f>"511201052498"</f>
        <v>511201052498</v>
      </c>
      <c r="B9639" t="s">
        <v>13353</v>
      </c>
      <c r="C9639" t="s">
        <v>7</v>
      </c>
      <c r="D9639" t="s">
        <v>14</v>
      </c>
      <c r="E9639" t="s">
        <v>13259</v>
      </c>
    </row>
    <row r="9640" spans="1:6" x14ac:dyDescent="0.25">
      <c r="A9640" t="str">
        <f>"5116206112"</f>
        <v>5116206112</v>
      </c>
      <c r="B9640" t="s">
        <v>13354</v>
      </c>
      <c r="C9640" t="s">
        <v>7</v>
      </c>
      <c r="D9640" t="s">
        <v>14</v>
      </c>
      <c r="E9640" t="s">
        <v>13259</v>
      </c>
      <c r="F9640" t="s">
        <v>13355</v>
      </c>
    </row>
    <row r="9641" spans="1:6" x14ac:dyDescent="0.25">
      <c r="A9641" t="str">
        <f>"5190055251"</f>
        <v>5190055251</v>
      </c>
      <c r="B9641" t="s">
        <v>13356</v>
      </c>
      <c r="C9641" t="s">
        <v>7</v>
      </c>
      <c r="D9641" t="s">
        <v>12</v>
      </c>
      <c r="E9641" t="s">
        <v>13259</v>
      </c>
      <c r="F9641" t="s">
        <v>13357</v>
      </c>
    </row>
    <row r="9642" spans="1:6" x14ac:dyDescent="0.25">
      <c r="A9642" t="str">
        <f>"5190056960"</f>
        <v>5190056960</v>
      </c>
      <c r="B9642" t="s">
        <v>6958</v>
      </c>
      <c r="C9642" t="s">
        <v>7</v>
      </c>
      <c r="D9642" t="s">
        <v>33</v>
      </c>
      <c r="E9642" t="s">
        <v>13259</v>
      </c>
      <c r="F9642" t="s">
        <v>13358</v>
      </c>
    </row>
    <row r="9643" spans="1:6" x14ac:dyDescent="0.25">
      <c r="A9643" t="str">
        <f>"5190083548"</f>
        <v>5190083548</v>
      </c>
      <c r="B9643" t="s">
        <v>13359</v>
      </c>
      <c r="C9643" t="s">
        <v>7</v>
      </c>
      <c r="D9643" t="s">
        <v>33</v>
      </c>
      <c r="E9643" t="s">
        <v>13259</v>
      </c>
      <c r="F9643" t="s">
        <v>13360</v>
      </c>
    </row>
    <row r="9644" spans="1:6" x14ac:dyDescent="0.25">
      <c r="A9644" t="str">
        <f>"5190098569"</f>
        <v>5190098569</v>
      </c>
      <c r="B9644" t="s">
        <v>13361</v>
      </c>
      <c r="C9644" t="s">
        <v>7</v>
      </c>
      <c r="D9644" t="s">
        <v>14</v>
      </c>
      <c r="E9644" t="s">
        <v>13259</v>
      </c>
      <c r="F9644" t="s">
        <v>13362</v>
      </c>
    </row>
    <row r="9645" spans="1:6" x14ac:dyDescent="0.25">
      <c r="A9645" t="str">
        <f>"5190132530"</f>
        <v>5190132530</v>
      </c>
      <c r="B9645" t="s">
        <v>13363</v>
      </c>
      <c r="C9645" t="s">
        <v>7</v>
      </c>
      <c r="D9645" t="s">
        <v>14</v>
      </c>
      <c r="E9645" t="s">
        <v>13259</v>
      </c>
      <c r="F9645" t="s">
        <v>13364</v>
      </c>
    </row>
    <row r="9646" spans="1:6" x14ac:dyDescent="0.25">
      <c r="A9646" t="str">
        <f>"519036118860"</f>
        <v>519036118860</v>
      </c>
      <c r="B9646" t="s">
        <v>13365</v>
      </c>
      <c r="C9646" t="s">
        <v>7</v>
      </c>
      <c r="D9646" t="s">
        <v>14</v>
      </c>
      <c r="E9646" t="s">
        <v>13259</v>
      </c>
    </row>
    <row r="9647" spans="1:6" x14ac:dyDescent="0.25">
      <c r="A9647" t="str">
        <f>"519100275904"</f>
        <v>519100275904</v>
      </c>
      <c r="B9647" t="s">
        <v>13366</v>
      </c>
      <c r="C9647" t="s">
        <v>7</v>
      </c>
      <c r="D9647" t="s">
        <v>14</v>
      </c>
      <c r="E9647" t="s">
        <v>13259</v>
      </c>
    </row>
    <row r="9648" spans="1:6" x14ac:dyDescent="0.25">
      <c r="A9648" t="str">
        <f>"519300581881"</f>
        <v>519300581881</v>
      </c>
      <c r="B9648" t="s">
        <v>13367</v>
      </c>
      <c r="C9648" t="s">
        <v>7</v>
      </c>
      <c r="D9648" t="s">
        <v>12</v>
      </c>
      <c r="E9648" t="s">
        <v>13259</v>
      </c>
    </row>
    <row r="9649" spans="1:6" x14ac:dyDescent="0.25">
      <c r="A9649" t="str">
        <f>"5222003361"</f>
        <v>5222003361</v>
      </c>
      <c r="B9649" t="s">
        <v>13368</v>
      </c>
      <c r="C9649" t="s">
        <v>7</v>
      </c>
      <c r="D9649" t="s">
        <v>14</v>
      </c>
      <c r="E9649" t="s">
        <v>13369</v>
      </c>
      <c r="F9649" t="s">
        <v>13370</v>
      </c>
    </row>
    <row r="9650" spans="1:6" x14ac:dyDescent="0.25">
      <c r="A9650" t="str">
        <f>"522203847508"</f>
        <v>522203847508</v>
      </c>
      <c r="B9650" t="s">
        <v>13371</v>
      </c>
      <c r="C9650" t="s">
        <v>7</v>
      </c>
      <c r="D9650" t="s">
        <v>14</v>
      </c>
      <c r="E9650" t="s">
        <v>13369</v>
      </c>
    </row>
    <row r="9651" spans="1:6" x14ac:dyDescent="0.25">
      <c r="A9651" t="str">
        <f>"522500030170"</f>
        <v>522500030170</v>
      </c>
      <c r="B9651" t="s">
        <v>13372</v>
      </c>
      <c r="C9651" t="s">
        <v>7</v>
      </c>
      <c r="D9651" t="s">
        <v>14</v>
      </c>
      <c r="E9651" t="s">
        <v>13369</v>
      </c>
    </row>
    <row r="9652" spans="1:6" x14ac:dyDescent="0.25">
      <c r="A9652" t="str">
        <f>"522501109256"</f>
        <v>522501109256</v>
      </c>
      <c r="B9652" t="s">
        <v>13373</v>
      </c>
      <c r="C9652" t="s">
        <v>7</v>
      </c>
      <c r="D9652" t="s">
        <v>12</v>
      </c>
      <c r="E9652" t="s">
        <v>13369</v>
      </c>
    </row>
    <row r="9653" spans="1:6" x14ac:dyDescent="0.25">
      <c r="A9653" t="str">
        <f>"522555628900"</f>
        <v>522555628900</v>
      </c>
      <c r="B9653" t="s">
        <v>13374</v>
      </c>
      <c r="C9653" t="s">
        <v>7</v>
      </c>
      <c r="D9653" t="s">
        <v>12</v>
      </c>
      <c r="E9653" t="s">
        <v>13369</v>
      </c>
    </row>
    <row r="9654" spans="1:6" x14ac:dyDescent="0.25">
      <c r="A9654" t="str">
        <f>"522804684907"</f>
        <v>522804684907</v>
      </c>
      <c r="B9654" t="s">
        <v>13375</v>
      </c>
      <c r="C9654" t="s">
        <v>7</v>
      </c>
      <c r="D9654" t="s">
        <v>14</v>
      </c>
      <c r="E9654" t="s">
        <v>13369</v>
      </c>
    </row>
    <row r="9655" spans="1:6" x14ac:dyDescent="0.25">
      <c r="A9655" t="str">
        <f>"5228059353"</f>
        <v>5228059353</v>
      </c>
      <c r="B9655" t="s">
        <v>13376</v>
      </c>
      <c r="C9655" t="s">
        <v>7</v>
      </c>
      <c r="D9655" t="s">
        <v>14</v>
      </c>
      <c r="E9655" t="s">
        <v>13369</v>
      </c>
      <c r="F9655" t="s">
        <v>13377</v>
      </c>
    </row>
    <row r="9656" spans="1:6" x14ac:dyDescent="0.25">
      <c r="A9656" t="str">
        <f>"522901214801"</f>
        <v>522901214801</v>
      </c>
      <c r="B9656" t="s">
        <v>13378</v>
      </c>
      <c r="C9656" t="s">
        <v>7</v>
      </c>
      <c r="D9656" t="s">
        <v>14</v>
      </c>
      <c r="E9656" t="s">
        <v>13369</v>
      </c>
    </row>
    <row r="9657" spans="1:6" x14ac:dyDescent="0.25">
      <c r="A9657" t="str">
        <f>"523101015728"</f>
        <v>523101015728</v>
      </c>
      <c r="B9657" t="s">
        <v>139</v>
      </c>
      <c r="C9657" t="s">
        <v>7</v>
      </c>
      <c r="D9657" t="s">
        <v>14</v>
      </c>
      <c r="E9657" t="s">
        <v>13369</v>
      </c>
    </row>
    <row r="9658" spans="1:6" x14ac:dyDescent="0.25">
      <c r="A9658" t="str">
        <f>"523300001310"</f>
        <v>523300001310</v>
      </c>
      <c r="B9658" t="s">
        <v>13379</v>
      </c>
      <c r="C9658" t="s">
        <v>7</v>
      </c>
      <c r="D9658" t="s">
        <v>14</v>
      </c>
      <c r="E9658" t="s">
        <v>13369</v>
      </c>
    </row>
    <row r="9659" spans="1:6" x14ac:dyDescent="0.25">
      <c r="A9659" t="str">
        <f>"5233002754"</f>
        <v>5233002754</v>
      </c>
      <c r="B9659" t="s">
        <v>13380</v>
      </c>
      <c r="C9659" t="s">
        <v>7</v>
      </c>
      <c r="D9659" t="s">
        <v>14</v>
      </c>
      <c r="E9659" t="s">
        <v>13369</v>
      </c>
      <c r="F9659" t="s">
        <v>13381</v>
      </c>
    </row>
    <row r="9660" spans="1:6" x14ac:dyDescent="0.25">
      <c r="A9660" t="str">
        <f>"5234000220"</f>
        <v>5234000220</v>
      </c>
      <c r="B9660" t="s">
        <v>13382</v>
      </c>
      <c r="C9660" t="s">
        <v>7</v>
      </c>
      <c r="D9660" t="s">
        <v>14</v>
      </c>
      <c r="E9660" t="s">
        <v>13369</v>
      </c>
      <c r="F9660" t="s">
        <v>13383</v>
      </c>
    </row>
    <row r="9661" spans="1:6" x14ac:dyDescent="0.25">
      <c r="A9661" t="str">
        <f>"5234003790"</f>
        <v>5234003790</v>
      </c>
      <c r="B9661" t="s">
        <v>13384</v>
      </c>
      <c r="C9661" t="s">
        <v>7</v>
      </c>
      <c r="D9661" t="s">
        <v>14</v>
      </c>
      <c r="E9661" t="s">
        <v>13369</v>
      </c>
      <c r="F9661" t="s">
        <v>13385</v>
      </c>
    </row>
    <row r="9662" spans="1:6" x14ac:dyDescent="0.25">
      <c r="A9662" t="str">
        <f>"523400586529"</f>
        <v>523400586529</v>
      </c>
      <c r="B9662" t="s">
        <v>13386</v>
      </c>
      <c r="C9662" t="s">
        <v>7</v>
      </c>
      <c r="D9662" t="s">
        <v>33</v>
      </c>
      <c r="E9662" t="s">
        <v>13369</v>
      </c>
    </row>
    <row r="9663" spans="1:6" x14ac:dyDescent="0.25">
      <c r="A9663" t="str">
        <f>"523400943795"</f>
        <v>523400943795</v>
      </c>
      <c r="B9663" t="s">
        <v>13387</v>
      </c>
      <c r="C9663" t="s">
        <v>7</v>
      </c>
      <c r="D9663" t="s">
        <v>14</v>
      </c>
      <c r="E9663" t="s">
        <v>13369</v>
      </c>
    </row>
    <row r="9664" spans="1:6" x14ac:dyDescent="0.25">
      <c r="A9664" t="str">
        <f>"523501271290"</f>
        <v>523501271290</v>
      </c>
      <c r="B9664" t="s">
        <v>13388</v>
      </c>
      <c r="C9664" t="s">
        <v>7</v>
      </c>
      <c r="D9664" t="s">
        <v>14</v>
      </c>
      <c r="E9664" t="s">
        <v>13369</v>
      </c>
    </row>
    <row r="9665" spans="1:6" x14ac:dyDescent="0.25">
      <c r="A9665" t="str">
        <f>"523600559177"</f>
        <v>523600559177</v>
      </c>
      <c r="B9665" t="s">
        <v>13389</v>
      </c>
      <c r="C9665" t="s">
        <v>7</v>
      </c>
      <c r="D9665" t="s">
        <v>14</v>
      </c>
      <c r="E9665" t="s">
        <v>13369</v>
      </c>
    </row>
    <row r="9666" spans="1:6" x14ac:dyDescent="0.25">
      <c r="A9666" t="str">
        <f>"5238003857"</f>
        <v>5238003857</v>
      </c>
      <c r="B9666" t="s">
        <v>13390</v>
      </c>
      <c r="C9666" t="s">
        <v>7</v>
      </c>
      <c r="D9666" t="s">
        <v>14</v>
      </c>
      <c r="E9666" t="s">
        <v>13369</v>
      </c>
      <c r="F9666" t="s">
        <v>13391</v>
      </c>
    </row>
    <row r="9667" spans="1:6" x14ac:dyDescent="0.25">
      <c r="A9667" t="str">
        <f>"523802370093"</f>
        <v>523802370093</v>
      </c>
      <c r="B9667" t="s">
        <v>13392</v>
      </c>
      <c r="C9667" t="s">
        <v>7</v>
      </c>
      <c r="D9667" t="s">
        <v>14</v>
      </c>
      <c r="E9667" t="s">
        <v>13369</v>
      </c>
    </row>
    <row r="9668" spans="1:6" x14ac:dyDescent="0.25">
      <c r="A9668" t="str">
        <f>"5239009080"</f>
        <v>5239009080</v>
      </c>
      <c r="B9668" t="s">
        <v>13393</v>
      </c>
      <c r="C9668" t="s">
        <v>7</v>
      </c>
      <c r="D9668" t="s">
        <v>14</v>
      </c>
      <c r="E9668" t="s">
        <v>13369</v>
      </c>
      <c r="F9668" t="s">
        <v>13394</v>
      </c>
    </row>
    <row r="9669" spans="1:6" x14ac:dyDescent="0.25">
      <c r="A9669" t="str">
        <f>"524300176111"</f>
        <v>524300176111</v>
      </c>
      <c r="B9669" t="s">
        <v>13395</v>
      </c>
      <c r="C9669" t="s">
        <v>7</v>
      </c>
      <c r="D9669" t="s">
        <v>12</v>
      </c>
      <c r="E9669" t="s">
        <v>13369</v>
      </c>
    </row>
    <row r="9670" spans="1:6" x14ac:dyDescent="0.25">
      <c r="A9670" t="str">
        <f>"524300285255"</f>
        <v>524300285255</v>
      </c>
      <c r="B9670" t="s">
        <v>13396</v>
      </c>
      <c r="C9670" t="s">
        <v>7</v>
      </c>
      <c r="D9670" t="s">
        <v>14</v>
      </c>
      <c r="E9670" t="s">
        <v>13369</v>
      </c>
    </row>
    <row r="9671" spans="1:6" x14ac:dyDescent="0.25">
      <c r="A9671" t="str">
        <f>"524300605434"</f>
        <v>524300605434</v>
      </c>
      <c r="B9671" t="s">
        <v>13397</v>
      </c>
      <c r="C9671" t="s">
        <v>7</v>
      </c>
      <c r="D9671" t="s">
        <v>12</v>
      </c>
      <c r="E9671" t="s">
        <v>13369</v>
      </c>
    </row>
    <row r="9672" spans="1:6" x14ac:dyDescent="0.25">
      <c r="A9672" t="str">
        <f>"524301899314"</f>
        <v>524301899314</v>
      </c>
      <c r="B9672" t="s">
        <v>13398</v>
      </c>
      <c r="C9672" t="s">
        <v>7</v>
      </c>
      <c r="D9672" t="s">
        <v>12</v>
      </c>
      <c r="E9672" t="s">
        <v>13369</v>
      </c>
    </row>
    <row r="9673" spans="1:6" x14ac:dyDescent="0.25">
      <c r="A9673" t="str">
        <f>"5243030775"</f>
        <v>5243030775</v>
      </c>
      <c r="B9673" t="s">
        <v>709</v>
      </c>
      <c r="C9673" t="s">
        <v>7</v>
      </c>
      <c r="D9673" t="s">
        <v>33</v>
      </c>
      <c r="E9673" t="s">
        <v>13369</v>
      </c>
      <c r="F9673" t="s">
        <v>13399</v>
      </c>
    </row>
    <row r="9674" spans="1:6" x14ac:dyDescent="0.25">
      <c r="A9674" t="str">
        <f>"524400027272"</f>
        <v>524400027272</v>
      </c>
      <c r="B9674" t="s">
        <v>13400</v>
      </c>
      <c r="C9674" t="s">
        <v>7</v>
      </c>
      <c r="D9674" t="s">
        <v>12</v>
      </c>
      <c r="E9674" t="s">
        <v>13369</v>
      </c>
    </row>
    <row r="9675" spans="1:6" x14ac:dyDescent="0.25">
      <c r="A9675" t="str">
        <f>"5244005066"</f>
        <v>5244005066</v>
      </c>
      <c r="B9675" t="s">
        <v>13401</v>
      </c>
      <c r="C9675" t="s">
        <v>7</v>
      </c>
      <c r="D9675" t="s">
        <v>14</v>
      </c>
      <c r="E9675" t="s">
        <v>13369</v>
      </c>
      <c r="F9675" t="s">
        <v>13402</v>
      </c>
    </row>
    <row r="9676" spans="1:6" x14ac:dyDescent="0.25">
      <c r="A9676" t="str">
        <f>"524404999960"</f>
        <v>524404999960</v>
      </c>
      <c r="B9676" t="s">
        <v>13403</v>
      </c>
      <c r="C9676" t="s">
        <v>7</v>
      </c>
      <c r="D9676" t="s">
        <v>14</v>
      </c>
      <c r="E9676" t="s">
        <v>13369</v>
      </c>
    </row>
    <row r="9677" spans="1:6" x14ac:dyDescent="0.25">
      <c r="A9677" t="str">
        <f>"524505894709"</f>
        <v>524505894709</v>
      </c>
      <c r="B9677" t="s">
        <v>13404</v>
      </c>
      <c r="C9677" t="s">
        <v>7</v>
      </c>
      <c r="D9677" t="s">
        <v>14</v>
      </c>
      <c r="E9677" t="s">
        <v>13369</v>
      </c>
    </row>
    <row r="9678" spans="1:6" x14ac:dyDescent="0.25">
      <c r="A9678" t="str">
        <f>"5246005248"</f>
        <v>5246005248</v>
      </c>
      <c r="B9678" t="s">
        <v>13405</v>
      </c>
      <c r="C9678" t="s">
        <v>7</v>
      </c>
      <c r="D9678" t="s">
        <v>14</v>
      </c>
      <c r="E9678" t="s">
        <v>13369</v>
      </c>
      <c r="F9678" t="s">
        <v>13406</v>
      </c>
    </row>
    <row r="9679" spans="1:6" x14ac:dyDescent="0.25">
      <c r="A9679" t="str">
        <f>"5246020084"</f>
        <v>5246020084</v>
      </c>
      <c r="B9679" t="s">
        <v>13407</v>
      </c>
      <c r="C9679" t="s">
        <v>7</v>
      </c>
      <c r="D9679" t="s">
        <v>12</v>
      </c>
      <c r="E9679" t="s">
        <v>13369</v>
      </c>
      <c r="F9679" t="s">
        <v>13408</v>
      </c>
    </row>
    <row r="9680" spans="1:6" x14ac:dyDescent="0.25">
      <c r="A9680" t="str">
        <f>"524610514040"</f>
        <v>524610514040</v>
      </c>
      <c r="B9680" t="s">
        <v>13409</v>
      </c>
      <c r="C9680" t="s">
        <v>7</v>
      </c>
      <c r="D9680" t="s">
        <v>14</v>
      </c>
      <c r="E9680" t="s">
        <v>13369</v>
      </c>
    </row>
    <row r="9681" spans="1:6" x14ac:dyDescent="0.25">
      <c r="A9681" t="str">
        <f>"524613604598"</f>
        <v>524613604598</v>
      </c>
      <c r="B9681" t="s">
        <v>13410</v>
      </c>
      <c r="C9681" t="s">
        <v>7</v>
      </c>
      <c r="D9681" t="s">
        <v>14</v>
      </c>
      <c r="E9681" t="s">
        <v>13369</v>
      </c>
    </row>
    <row r="9682" spans="1:6" x14ac:dyDescent="0.25">
      <c r="A9682" t="str">
        <f>"524619771926"</f>
        <v>524619771926</v>
      </c>
      <c r="B9682" t="s">
        <v>13411</v>
      </c>
      <c r="C9682" t="s">
        <v>7</v>
      </c>
      <c r="D9682" t="s">
        <v>14</v>
      </c>
      <c r="E9682" t="s">
        <v>13369</v>
      </c>
    </row>
    <row r="9683" spans="1:6" x14ac:dyDescent="0.25">
      <c r="A9683" t="str">
        <f>"5247054720"</f>
        <v>5247054720</v>
      </c>
      <c r="B9683" t="s">
        <v>13412</v>
      </c>
      <c r="C9683" t="s">
        <v>7</v>
      </c>
      <c r="D9683" t="s">
        <v>14</v>
      </c>
      <c r="E9683" t="s">
        <v>13369</v>
      </c>
      <c r="F9683" t="s">
        <v>13413</v>
      </c>
    </row>
    <row r="9684" spans="1:6" x14ac:dyDescent="0.25">
      <c r="A9684" t="str">
        <f>"524705671530"</f>
        <v>524705671530</v>
      </c>
      <c r="B9684" t="s">
        <v>13414</v>
      </c>
      <c r="C9684" t="s">
        <v>7</v>
      </c>
      <c r="D9684" t="s">
        <v>12</v>
      </c>
      <c r="E9684" t="s">
        <v>13369</v>
      </c>
    </row>
    <row r="9685" spans="1:6" x14ac:dyDescent="0.25">
      <c r="A9685" t="str">
        <f>"524800651453"</f>
        <v>524800651453</v>
      </c>
      <c r="B9685" t="s">
        <v>13415</v>
      </c>
      <c r="C9685" t="s">
        <v>7</v>
      </c>
      <c r="D9685" t="s">
        <v>14</v>
      </c>
      <c r="E9685" t="s">
        <v>13369</v>
      </c>
    </row>
    <row r="9686" spans="1:6" x14ac:dyDescent="0.25">
      <c r="A9686" t="str">
        <f>"524805082602"</f>
        <v>524805082602</v>
      </c>
      <c r="B9686" t="s">
        <v>13416</v>
      </c>
      <c r="C9686" t="s">
        <v>7</v>
      </c>
      <c r="D9686" t="s">
        <v>14</v>
      </c>
      <c r="E9686" t="s">
        <v>13369</v>
      </c>
    </row>
    <row r="9687" spans="1:6" x14ac:dyDescent="0.25">
      <c r="A9687" t="str">
        <f>"524806202863"</f>
        <v>524806202863</v>
      </c>
      <c r="B9687" t="s">
        <v>13417</v>
      </c>
      <c r="C9687" t="s">
        <v>7</v>
      </c>
      <c r="D9687" t="s">
        <v>14</v>
      </c>
      <c r="E9687" t="s">
        <v>13369</v>
      </c>
    </row>
    <row r="9688" spans="1:6" x14ac:dyDescent="0.25">
      <c r="A9688" t="str">
        <f>"524808333580"</f>
        <v>524808333580</v>
      </c>
      <c r="B9688" t="s">
        <v>13418</v>
      </c>
      <c r="C9688" t="s">
        <v>7</v>
      </c>
      <c r="D9688" t="s">
        <v>12</v>
      </c>
      <c r="E9688" t="s">
        <v>13369</v>
      </c>
    </row>
    <row r="9689" spans="1:6" x14ac:dyDescent="0.25">
      <c r="A9689" t="str">
        <f>"524809554207"</f>
        <v>524809554207</v>
      </c>
      <c r="B9689" t="s">
        <v>13419</v>
      </c>
      <c r="C9689" t="s">
        <v>7</v>
      </c>
      <c r="D9689" t="s">
        <v>14</v>
      </c>
      <c r="E9689" t="s">
        <v>13369</v>
      </c>
    </row>
    <row r="9690" spans="1:6" x14ac:dyDescent="0.25">
      <c r="A9690" t="str">
        <f>"524900140205"</f>
        <v>524900140205</v>
      </c>
      <c r="B9690" t="s">
        <v>13420</v>
      </c>
      <c r="C9690" t="s">
        <v>7</v>
      </c>
      <c r="D9690" t="s">
        <v>14</v>
      </c>
      <c r="E9690" t="s">
        <v>13369</v>
      </c>
    </row>
    <row r="9691" spans="1:6" x14ac:dyDescent="0.25">
      <c r="A9691" t="str">
        <f>"524900673500"</f>
        <v>524900673500</v>
      </c>
      <c r="B9691" t="s">
        <v>13421</v>
      </c>
      <c r="C9691" t="s">
        <v>7</v>
      </c>
      <c r="D9691" t="s">
        <v>14</v>
      </c>
      <c r="E9691" t="s">
        <v>13369</v>
      </c>
    </row>
    <row r="9692" spans="1:6" x14ac:dyDescent="0.25">
      <c r="A9692" t="str">
        <f>"524900847717"</f>
        <v>524900847717</v>
      </c>
      <c r="B9692" t="s">
        <v>13422</v>
      </c>
      <c r="C9692" t="s">
        <v>7</v>
      </c>
      <c r="D9692" t="s">
        <v>14</v>
      </c>
      <c r="E9692" t="s">
        <v>13369</v>
      </c>
    </row>
    <row r="9693" spans="1:6" x14ac:dyDescent="0.25">
      <c r="A9693" t="str">
        <f>"5249056829"</f>
        <v>5249056829</v>
      </c>
      <c r="B9693" t="s">
        <v>13423</v>
      </c>
      <c r="C9693" t="s">
        <v>7</v>
      </c>
      <c r="D9693" t="s">
        <v>1430</v>
      </c>
      <c r="E9693" t="s">
        <v>13369</v>
      </c>
      <c r="F9693" t="s">
        <v>13424</v>
      </c>
    </row>
    <row r="9694" spans="1:6" x14ac:dyDescent="0.25">
      <c r="A9694" t="str">
        <f>"5249056850"</f>
        <v>5249056850</v>
      </c>
      <c r="B9694" t="s">
        <v>13425</v>
      </c>
      <c r="C9694" t="s">
        <v>7</v>
      </c>
      <c r="D9694" t="s">
        <v>98</v>
      </c>
      <c r="E9694" t="s">
        <v>13369</v>
      </c>
      <c r="F9694" t="s">
        <v>13426</v>
      </c>
    </row>
    <row r="9695" spans="1:6" x14ac:dyDescent="0.25">
      <c r="A9695" t="str">
        <f>"5249058463"</f>
        <v>5249058463</v>
      </c>
      <c r="B9695" t="s">
        <v>13427</v>
      </c>
      <c r="C9695" t="s">
        <v>7</v>
      </c>
      <c r="D9695" t="s">
        <v>146</v>
      </c>
      <c r="E9695" t="s">
        <v>13369</v>
      </c>
      <c r="F9695" t="s">
        <v>13428</v>
      </c>
    </row>
    <row r="9696" spans="1:6" x14ac:dyDescent="0.25">
      <c r="A9696" t="str">
        <f>"5249071305"</f>
        <v>5249071305</v>
      </c>
      <c r="B9696" t="s">
        <v>13429</v>
      </c>
      <c r="C9696" t="s">
        <v>7</v>
      </c>
      <c r="D9696" t="s">
        <v>28</v>
      </c>
      <c r="E9696" t="s">
        <v>13369</v>
      </c>
      <c r="F9696" t="s">
        <v>13430</v>
      </c>
    </row>
    <row r="9697" spans="1:6" x14ac:dyDescent="0.25">
      <c r="A9697" t="str">
        <f>"5249073197"</f>
        <v>5249073197</v>
      </c>
      <c r="B9697" t="s">
        <v>13431</v>
      </c>
      <c r="C9697" t="s">
        <v>7</v>
      </c>
      <c r="D9697" t="s">
        <v>146</v>
      </c>
      <c r="E9697" t="s">
        <v>13369</v>
      </c>
      <c r="F9697" t="s">
        <v>13432</v>
      </c>
    </row>
    <row r="9698" spans="1:6" x14ac:dyDescent="0.25">
      <c r="A9698" t="str">
        <f>"5249080941"</f>
        <v>5249080941</v>
      </c>
      <c r="B9698" t="s">
        <v>13433</v>
      </c>
      <c r="C9698" t="s">
        <v>7</v>
      </c>
      <c r="D9698" t="s">
        <v>98</v>
      </c>
      <c r="E9698" t="s">
        <v>13369</v>
      </c>
      <c r="F9698" t="s">
        <v>13434</v>
      </c>
    </row>
    <row r="9699" spans="1:6" x14ac:dyDescent="0.25">
      <c r="A9699" t="str">
        <f>"524909477700"</f>
        <v>524909477700</v>
      </c>
      <c r="B9699" t="s">
        <v>13435</v>
      </c>
      <c r="C9699" t="s">
        <v>7</v>
      </c>
      <c r="D9699" t="s">
        <v>14</v>
      </c>
      <c r="E9699" t="s">
        <v>13369</v>
      </c>
    </row>
    <row r="9700" spans="1:6" x14ac:dyDescent="0.25">
      <c r="A9700" t="str">
        <f>"5249103405"</f>
        <v>5249103405</v>
      </c>
      <c r="B9700" t="s">
        <v>13436</v>
      </c>
      <c r="C9700" t="s">
        <v>7</v>
      </c>
      <c r="D9700" t="s">
        <v>98</v>
      </c>
      <c r="E9700" t="s">
        <v>13369</v>
      </c>
      <c r="F9700" t="s">
        <v>13437</v>
      </c>
    </row>
    <row r="9701" spans="1:6" x14ac:dyDescent="0.25">
      <c r="A9701" t="str">
        <f>"5249109541"</f>
        <v>5249109541</v>
      </c>
      <c r="B9701" t="s">
        <v>13438</v>
      </c>
      <c r="C9701" t="s">
        <v>7</v>
      </c>
      <c r="D9701" t="s">
        <v>98</v>
      </c>
      <c r="E9701" t="s">
        <v>13369</v>
      </c>
      <c r="F9701" t="s">
        <v>13439</v>
      </c>
    </row>
    <row r="9702" spans="1:6" x14ac:dyDescent="0.25">
      <c r="A9702" t="str">
        <f>"5249109686"</f>
        <v>5249109686</v>
      </c>
      <c r="B9702" t="s">
        <v>13440</v>
      </c>
      <c r="C9702" t="s">
        <v>7</v>
      </c>
      <c r="D9702" t="s">
        <v>1430</v>
      </c>
      <c r="E9702" t="s">
        <v>13369</v>
      </c>
      <c r="F9702" t="s">
        <v>13441</v>
      </c>
    </row>
    <row r="9703" spans="1:6" x14ac:dyDescent="0.25">
      <c r="A9703" t="str">
        <f>"5249110709"</f>
        <v>5249110709</v>
      </c>
      <c r="B9703" t="s">
        <v>13442</v>
      </c>
      <c r="C9703" t="s">
        <v>7</v>
      </c>
      <c r="D9703" t="s">
        <v>146</v>
      </c>
      <c r="E9703" t="s">
        <v>13369</v>
      </c>
      <c r="F9703" t="s">
        <v>13443</v>
      </c>
    </row>
    <row r="9704" spans="1:6" x14ac:dyDescent="0.25">
      <c r="A9704" t="str">
        <f>"524911398252"</f>
        <v>524911398252</v>
      </c>
      <c r="B9704" t="s">
        <v>13444</v>
      </c>
      <c r="C9704" t="s">
        <v>7</v>
      </c>
      <c r="D9704" t="s">
        <v>14</v>
      </c>
      <c r="E9704" t="s">
        <v>13369</v>
      </c>
    </row>
    <row r="9705" spans="1:6" x14ac:dyDescent="0.25">
      <c r="A9705" t="str">
        <f>"5249132597"</f>
        <v>5249132597</v>
      </c>
      <c r="B9705" t="s">
        <v>13445</v>
      </c>
      <c r="C9705" t="s">
        <v>7</v>
      </c>
      <c r="D9705" t="s">
        <v>33</v>
      </c>
      <c r="E9705" t="s">
        <v>13369</v>
      </c>
      <c r="F9705" t="s">
        <v>13446</v>
      </c>
    </row>
    <row r="9706" spans="1:6" x14ac:dyDescent="0.25">
      <c r="A9706" t="str">
        <f>"5249136560"</f>
        <v>5249136560</v>
      </c>
      <c r="B9706" t="s">
        <v>13447</v>
      </c>
      <c r="C9706" t="s">
        <v>7</v>
      </c>
      <c r="D9706" t="s">
        <v>33</v>
      </c>
      <c r="E9706" t="s">
        <v>13369</v>
      </c>
      <c r="F9706" t="s">
        <v>13448</v>
      </c>
    </row>
    <row r="9707" spans="1:6" x14ac:dyDescent="0.25">
      <c r="A9707" t="str">
        <f>"5249141087"</f>
        <v>5249141087</v>
      </c>
      <c r="B9707" t="s">
        <v>13449</v>
      </c>
      <c r="C9707" t="s">
        <v>7</v>
      </c>
      <c r="D9707" t="s">
        <v>14</v>
      </c>
      <c r="E9707" t="s">
        <v>13369</v>
      </c>
      <c r="F9707" t="s">
        <v>13450</v>
      </c>
    </row>
    <row r="9708" spans="1:6" x14ac:dyDescent="0.25">
      <c r="A9708" t="str">
        <f>"5249148357"</f>
        <v>5249148357</v>
      </c>
      <c r="B9708" t="s">
        <v>13451</v>
      </c>
      <c r="C9708" t="s">
        <v>7</v>
      </c>
      <c r="D9708" t="s">
        <v>146</v>
      </c>
      <c r="E9708" t="s">
        <v>13369</v>
      </c>
      <c r="F9708" t="s">
        <v>13452</v>
      </c>
    </row>
    <row r="9709" spans="1:6" x14ac:dyDescent="0.25">
      <c r="A9709" t="str">
        <f>"5249150980"</f>
        <v>5249150980</v>
      </c>
      <c r="B9709" t="s">
        <v>13453</v>
      </c>
      <c r="C9709" t="s">
        <v>7</v>
      </c>
      <c r="D9709" t="s">
        <v>14</v>
      </c>
      <c r="E9709" t="s">
        <v>13369</v>
      </c>
      <c r="F9709" t="s">
        <v>13454</v>
      </c>
    </row>
    <row r="9710" spans="1:6" x14ac:dyDescent="0.25">
      <c r="A9710" t="str">
        <f>"5249153741"</f>
        <v>5249153741</v>
      </c>
      <c r="B9710" t="s">
        <v>13455</v>
      </c>
      <c r="C9710" t="s">
        <v>7</v>
      </c>
      <c r="D9710" t="s">
        <v>98</v>
      </c>
      <c r="E9710" t="s">
        <v>13369</v>
      </c>
      <c r="F9710" t="s">
        <v>13456</v>
      </c>
    </row>
    <row r="9711" spans="1:6" x14ac:dyDescent="0.25">
      <c r="A9711" t="str">
        <f>"524916914260"</f>
        <v>524916914260</v>
      </c>
      <c r="B9711" t="s">
        <v>13457</v>
      </c>
      <c r="C9711" t="s">
        <v>7</v>
      </c>
      <c r="D9711" t="s">
        <v>14</v>
      </c>
      <c r="E9711" t="s">
        <v>13369</v>
      </c>
    </row>
    <row r="9712" spans="1:6" x14ac:dyDescent="0.25">
      <c r="A9712" t="str">
        <f>"5249172127"</f>
        <v>5249172127</v>
      </c>
      <c r="B9712" t="s">
        <v>13458</v>
      </c>
      <c r="C9712" t="s">
        <v>7</v>
      </c>
      <c r="D9712" t="s">
        <v>33</v>
      </c>
      <c r="E9712" t="s">
        <v>13369</v>
      </c>
      <c r="F9712" t="s">
        <v>13459</v>
      </c>
    </row>
    <row r="9713" spans="1:6" x14ac:dyDescent="0.25">
      <c r="A9713" t="str">
        <f>"5249176315"</f>
        <v>5249176315</v>
      </c>
      <c r="B9713" t="s">
        <v>13460</v>
      </c>
      <c r="C9713" t="s">
        <v>7</v>
      </c>
      <c r="D9713" t="s">
        <v>98</v>
      </c>
      <c r="E9713" t="s">
        <v>13369</v>
      </c>
      <c r="F9713" t="s">
        <v>13461</v>
      </c>
    </row>
    <row r="9714" spans="1:6" x14ac:dyDescent="0.25">
      <c r="A9714" t="str">
        <f>"5249181361"</f>
        <v>5249181361</v>
      </c>
      <c r="B9714" t="s">
        <v>13462</v>
      </c>
      <c r="C9714" t="s">
        <v>7</v>
      </c>
      <c r="D9714" t="s">
        <v>146</v>
      </c>
      <c r="E9714" t="s">
        <v>13369</v>
      </c>
      <c r="F9714" t="s">
        <v>13463</v>
      </c>
    </row>
    <row r="9715" spans="1:6" x14ac:dyDescent="0.25">
      <c r="A9715" t="str">
        <f>"5249182284"</f>
        <v>5249182284</v>
      </c>
      <c r="B9715" t="s">
        <v>13464</v>
      </c>
      <c r="C9715" t="s">
        <v>7</v>
      </c>
      <c r="D9715" t="s">
        <v>463</v>
      </c>
      <c r="E9715" t="s">
        <v>13369</v>
      </c>
      <c r="F9715" t="s">
        <v>13465</v>
      </c>
    </row>
    <row r="9716" spans="1:6" x14ac:dyDescent="0.25">
      <c r="A9716" t="str">
        <f>"524933655552"</f>
        <v>524933655552</v>
      </c>
      <c r="B9716" t="s">
        <v>13466</v>
      </c>
      <c r="C9716" t="s">
        <v>7</v>
      </c>
      <c r="D9716" t="s">
        <v>14</v>
      </c>
      <c r="E9716" t="s">
        <v>13369</v>
      </c>
    </row>
    <row r="9717" spans="1:6" x14ac:dyDescent="0.25">
      <c r="A9717" t="str">
        <f>"5250046840"</f>
        <v>5250046840</v>
      </c>
      <c r="B9717" t="s">
        <v>13467</v>
      </c>
      <c r="C9717" t="s">
        <v>7</v>
      </c>
      <c r="D9717" t="s">
        <v>463</v>
      </c>
      <c r="E9717" t="s">
        <v>13369</v>
      </c>
      <c r="F9717" t="s">
        <v>13468</v>
      </c>
    </row>
    <row r="9718" spans="1:6" x14ac:dyDescent="0.25">
      <c r="A9718" t="str">
        <f>"5250061189"</f>
        <v>5250061189</v>
      </c>
      <c r="B9718" t="s">
        <v>13469</v>
      </c>
      <c r="C9718" t="s">
        <v>7</v>
      </c>
      <c r="D9718" t="s">
        <v>463</v>
      </c>
      <c r="E9718" t="s">
        <v>13369</v>
      </c>
      <c r="F9718" t="s">
        <v>13470</v>
      </c>
    </row>
    <row r="9719" spans="1:6" x14ac:dyDescent="0.25">
      <c r="A9719" t="str">
        <f>"5251005652"</f>
        <v>5251005652</v>
      </c>
      <c r="B9719" t="s">
        <v>13471</v>
      </c>
      <c r="C9719" t="s">
        <v>7</v>
      </c>
      <c r="D9719" t="s">
        <v>14</v>
      </c>
      <c r="E9719" t="s">
        <v>13369</v>
      </c>
      <c r="F9719" t="s">
        <v>13472</v>
      </c>
    </row>
    <row r="9720" spans="1:6" x14ac:dyDescent="0.25">
      <c r="A9720" t="str">
        <f>"525104188803"</f>
        <v>525104188803</v>
      </c>
      <c r="B9720" t="s">
        <v>13473</v>
      </c>
      <c r="C9720" t="s">
        <v>7</v>
      </c>
      <c r="D9720" t="s">
        <v>14</v>
      </c>
      <c r="E9720" t="s">
        <v>13369</v>
      </c>
    </row>
    <row r="9721" spans="1:6" x14ac:dyDescent="0.25">
      <c r="A9721" t="str">
        <f>"5252036036"</f>
        <v>5252036036</v>
      </c>
      <c r="B9721" t="s">
        <v>13474</v>
      </c>
      <c r="C9721" t="s">
        <v>7</v>
      </c>
      <c r="D9721" t="s">
        <v>14</v>
      </c>
      <c r="E9721" t="s">
        <v>13369</v>
      </c>
      <c r="F9721" t="s">
        <v>13475</v>
      </c>
    </row>
    <row r="9722" spans="1:6" x14ac:dyDescent="0.25">
      <c r="A9722" t="str">
        <f>"5252044439"</f>
        <v>5252044439</v>
      </c>
      <c r="B9722" t="s">
        <v>13476</v>
      </c>
      <c r="C9722" t="s">
        <v>7</v>
      </c>
      <c r="D9722" t="s">
        <v>12</v>
      </c>
      <c r="E9722" t="s">
        <v>13369</v>
      </c>
      <c r="F9722" t="s">
        <v>13477</v>
      </c>
    </row>
    <row r="9723" spans="1:6" x14ac:dyDescent="0.25">
      <c r="A9723" t="str">
        <f>"5252045376"</f>
        <v>5252045376</v>
      </c>
      <c r="B9723" t="s">
        <v>13478</v>
      </c>
      <c r="C9723" t="s">
        <v>7</v>
      </c>
      <c r="D9723" t="s">
        <v>12</v>
      </c>
      <c r="E9723" t="s">
        <v>13369</v>
      </c>
      <c r="F9723" t="s">
        <v>13479</v>
      </c>
    </row>
    <row r="9724" spans="1:6" x14ac:dyDescent="0.25">
      <c r="A9724" t="str">
        <f>"525208785593"</f>
        <v>525208785593</v>
      </c>
      <c r="B9724" t="s">
        <v>13480</v>
      </c>
      <c r="C9724" t="s">
        <v>7</v>
      </c>
      <c r="D9724" t="s">
        <v>14</v>
      </c>
      <c r="E9724" t="s">
        <v>13369</v>
      </c>
    </row>
    <row r="9725" spans="1:6" x14ac:dyDescent="0.25">
      <c r="A9725" t="str">
        <f>"521901772314"</f>
        <v>521901772314</v>
      </c>
      <c r="B9725" t="s">
        <v>13481</v>
      </c>
      <c r="C9725" t="s">
        <v>7</v>
      </c>
      <c r="D9725" t="s">
        <v>14</v>
      </c>
      <c r="E9725" t="s">
        <v>13369</v>
      </c>
    </row>
    <row r="9726" spans="1:6" x14ac:dyDescent="0.25">
      <c r="A9726" t="str">
        <f>"522203541453"</f>
        <v>522203541453</v>
      </c>
      <c r="B9726" t="s">
        <v>13482</v>
      </c>
      <c r="C9726" t="s">
        <v>7</v>
      </c>
      <c r="D9726" t="s">
        <v>14</v>
      </c>
      <c r="E9726" t="s">
        <v>13369</v>
      </c>
    </row>
    <row r="9727" spans="1:6" x14ac:dyDescent="0.25">
      <c r="A9727" t="str">
        <f>"522302082634"</f>
        <v>522302082634</v>
      </c>
      <c r="B9727" t="s">
        <v>13483</v>
      </c>
      <c r="C9727" t="s">
        <v>7</v>
      </c>
      <c r="D9727" t="s">
        <v>14</v>
      </c>
      <c r="E9727" t="s">
        <v>13369</v>
      </c>
    </row>
    <row r="9728" spans="1:6" x14ac:dyDescent="0.25">
      <c r="A9728" t="str">
        <f>"5224000687"</f>
        <v>5224000687</v>
      </c>
      <c r="B9728" t="s">
        <v>13484</v>
      </c>
      <c r="C9728" t="s">
        <v>7</v>
      </c>
      <c r="D9728" t="s">
        <v>14</v>
      </c>
      <c r="E9728" t="s">
        <v>13369</v>
      </c>
      <c r="F9728" t="s">
        <v>13485</v>
      </c>
    </row>
    <row r="9729" spans="1:6" x14ac:dyDescent="0.25">
      <c r="A9729" t="str">
        <f>"522402055507"</f>
        <v>522402055507</v>
      </c>
      <c r="B9729" t="s">
        <v>13486</v>
      </c>
      <c r="C9729" t="s">
        <v>7</v>
      </c>
      <c r="D9729" t="s">
        <v>14</v>
      </c>
      <c r="E9729" t="s">
        <v>13369</v>
      </c>
    </row>
    <row r="9730" spans="1:6" x14ac:dyDescent="0.25">
      <c r="A9730" t="str">
        <f>"522800113500"</f>
        <v>522800113500</v>
      </c>
      <c r="B9730" t="s">
        <v>13487</v>
      </c>
      <c r="C9730" t="s">
        <v>7</v>
      </c>
      <c r="D9730" t="s">
        <v>14</v>
      </c>
      <c r="E9730" t="s">
        <v>13369</v>
      </c>
    </row>
    <row r="9731" spans="1:6" x14ac:dyDescent="0.25">
      <c r="A9731" t="str">
        <f>"522880831007"</f>
        <v>522880831007</v>
      </c>
      <c r="B9731" t="s">
        <v>13488</v>
      </c>
      <c r="C9731" t="s">
        <v>7</v>
      </c>
      <c r="D9731" t="s">
        <v>12</v>
      </c>
      <c r="E9731" t="s">
        <v>13369</v>
      </c>
    </row>
    <row r="9732" spans="1:6" x14ac:dyDescent="0.25">
      <c r="A9732" t="str">
        <f>"522901097252"</f>
        <v>522901097252</v>
      </c>
      <c r="B9732" t="s">
        <v>13489</v>
      </c>
      <c r="C9732" t="s">
        <v>7</v>
      </c>
      <c r="D9732" t="s">
        <v>14</v>
      </c>
      <c r="E9732" t="s">
        <v>13369</v>
      </c>
    </row>
    <row r="9733" spans="1:6" x14ac:dyDescent="0.25">
      <c r="A9733" t="str">
        <f>"5231000790"</f>
        <v>5231000790</v>
      </c>
      <c r="B9733" t="s">
        <v>13490</v>
      </c>
      <c r="C9733" t="s">
        <v>7</v>
      </c>
      <c r="D9733" t="s">
        <v>14</v>
      </c>
      <c r="E9733" t="s">
        <v>13369</v>
      </c>
      <c r="F9733" t="s">
        <v>13491</v>
      </c>
    </row>
    <row r="9734" spans="1:6" x14ac:dyDescent="0.25">
      <c r="A9734" t="str">
        <f>"5231002780"</f>
        <v>5231002780</v>
      </c>
      <c r="B9734" t="s">
        <v>13492</v>
      </c>
      <c r="C9734" t="s">
        <v>7</v>
      </c>
      <c r="D9734" t="s">
        <v>14</v>
      </c>
      <c r="E9734" t="s">
        <v>13369</v>
      </c>
      <c r="F9734" t="s">
        <v>13491</v>
      </c>
    </row>
    <row r="9735" spans="1:6" x14ac:dyDescent="0.25">
      <c r="A9735" t="str">
        <f>"523601237976"</f>
        <v>523601237976</v>
      </c>
      <c r="B9735" t="s">
        <v>13493</v>
      </c>
      <c r="C9735" t="s">
        <v>7</v>
      </c>
      <c r="D9735" t="s">
        <v>14</v>
      </c>
      <c r="E9735" t="s">
        <v>13369</v>
      </c>
    </row>
    <row r="9736" spans="1:6" x14ac:dyDescent="0.25">
      <c r="A9736" t="str">
        <f>"523602680482"</f>
        <v>523602680482</v>
      </c>
      <c r="B9736" t="s">
        <v>13494</v>
      </c>
      <c r="C9736" t="s">
        <v>7</v>
      </c>
      <c r="D9736" t="s">
        <v>14</v>
      </c>
      <c r="E9736" t="s">
        <v>13369</v>
      </c>
    </row>
    <row r="9737" spans="1:6" x14ac:dyDescent="0.25">
      <c r="A9737" t="str">
        <f>"523701525329"</f>
        <v>523701525329</v>
      </c>
      <c r="B9737" t="s">
        <v>13495</v>
      </c>
      <c r="C9737" t="s">
        <v>7</v>
      </c>
      <c r="D9737" t="s">
        <v>14</v>
      </c>
      <c r="E9737" t="s">
        <v>13369</v>
      </c>
    </row>
    <row r="9738" spans="1:6" x14ac:dyDescent="0.25">
      <c r="A9738" t="str">
        <f>"5239001228"</f>
        <v>5239001228</v>
      </c>
      <c r="B9738" t="s">
        <v>13496</v>
      </c>
      <c r="C9738" t="s">
        <v>7</v>
      </c>
      <c r="D9738" t="s">
        <v>14</v>
      </c>
      <c r="E9738" t="s">
        <v>13369</v>
      </c>
      <c r="F9738" t="s">
        <v>13497</v>
      </c>
    </row>
    <row r="9739" spans="1:6" x14ac:dyDescent="0.25">
      <c r="A9739" t="str">
        <f>"524300069550"</f>
        <v>524300069550</v>
      </c>
      <c r="B9739" t="s">
        <v>13498</v>
      </c>
      <c r="C9739" t="s">
        <v>7</v>
      </c>
      <c r="D9739" t="s">
        <v>12</v>
      </c>
      <c r="E9739" t="s">
        <v>13369</v>
      </c>
    </row>
    <row r="9740" spans="1:6" x14ac:dyDescent="0.25">
      <c r="A9740" t="str">
        <f>"524308274618"</f>
        <v>524308274618</v>
      </c>
      <c r="B9740" t="s">
        <v>13499</v>
      </c>
      <c r="C9740" t="s">
        <v>7</v>
      </c>
      <c r="D9740" t="s">
        <v>14</v>
      </c>
      <c r="E9740" t="s">
        <v>13369</v>
      </c>
    </row>
    <row r="9741" spans="1:6" x14ac:dyDescent="0.25">
      <c r="A9741" t="str">
        <f>"524400339722"</f>
        <v>524400339722</v>
      </c>
      <c r="B9741" t="s">
        <v>13500</v>
      </c>
      <c r="C9741" t="s">
        <v>7</v>
      </c>
      <c r="D9741" t="s">
        <v>14</v>
      </c>
      <c r="E9741" t="s">
        <v>13369</v>
      </c>
    </row>
    <row r="9742" spans="1:6" x14ac:dyDescent="0.25">
      <c r="A9742" t="str">
        <f>"5244028916"</f>
        <v>5244028916</v>
      </c>
      <c r="B9742" t="s">
        <v>13501</v>
      </c>
      <c r="C9742" t="s">
        <v>7</v>
      </c>
      <c r="D9742" t="s">
        <v>14</v>
      </c>
      <c r="E9742" t="s">
        <v>13369</v>
      </c>
      <c r="F9742" t="s">
        <v>13502</v>
      </c>
    </row>
    <row r="9743" spans="1:6" x14ac:dyDescent="0.25">
      <c r="A9743" t="str">
        <f>"524502986327"</f>
        <v>524502986327</v>
      </c>
      <c r="B9743" t="s">
        <v>13503</v>
      </c>
      <c r="C9743" t="s">
        <v>7</v>
      </c>
      <c r="D9743" t="s">
        <v>12</v>
      </c>
      <c r="E9743" t="s">
        <v>13369</v>
      </c>
    </row>
    <row r="9744" spans="1:6" x14ac:dyDescent="0.25">
      <c r="A9744" t="str">
        <f>"524503111462"</f>
        <v>524503111462</v>
      </c>
      <c r="B9744" t="s">
        <v>13504</v>
      </c>
      <c r="C9744" t="s">
        <v>7</v>
      </c>
      <c r="D9744" t="s">
        <v>14</v>
      </c>
      <c r="E9744" t="s">
        <v>13369</v>
      </c>
    </row>
    <row r="9745" spans="1:6" x14ac:dyDescent="0.25">
      <c r="A9745" t="str">
        <f>"524602631568"</f>
        <v>524602631568</v>
      </c>
      <c r="B9745" t="s">
        <v>13505</v>
      </c>
      <c r="C9745" t="s">
        <v>7</v>
      </c>
      <c r="D9745" t="s">
        <v>14</v>
      </c>
      <c r="E9745" t="s">
        <v>13369</v>
      </c>
    </row>
    <row r="9746" spans="1:6" x14ac:dyDescent="0.25">
      <c r="A9746" t="str">
        <f>"5246039494"</f>
        <v>5246039494</v>
      </c>
      <c r="B9746" t="s">
        <v>13506</v>
      </c>
      <c r="C9746" t="s">
        <v>7</v>
      </c>
      <c r="D9746" t="s">
        <v>33</v>
      </c>
      <c r="E9746" t="s">
        <v>13369</v>
      </c>
      <c r="F9746" t="s">
        <v>13507</v>
      </c>
    </row>
    <row r="9747" spans="1:6" x14ac:dyDescent="0.25">
      <c r="A9747" t="str">
        <f>"5246046117"</f>
        <v>5246046117</v>
      </c>
      <c r="B9747" t="s">
        <v>13508</v>
      </c>
      <c r="C9747" t="s">
        <v>7</v>
      </c>
      <c r="D9747" t="s">
        <v>33</v>
      </c>
      <c r="E9747" t="s">
        <v>13369</v>
      </c>
      <c r="F9747" t="s">
        <v>13509</v>
      </c>
    </row>
    <row r="9748" spans="1:6" x14ac:dyDescent="0.25">
      <c r="A9748" t="str">
        <f>"5246056644"</f>
        <v>5246056644</v>
      </c>
      <c r="B9748" t="s">
        <v>13510</v>
      </c>
      <c r="C9748" t="s">
        <v>7</v>
      </c>
      <c r="D9748" t="s">
        <v>12</v>
      </c>
      <c r="E9748" t="s">
        <v>13369</v>
      </c>
      <c r="F9748" t="s">
        <v>13511</v>
      </c>
    </row>
    <row r="9749" spans="1:6" x14ac:dyDescent="0.25">
      <c r="A9749" t="str">
        <f>"5246059959"</f>
        <v>5246059959</v>
      </c>
      <c r="B9749" t="s">
        <v>13512</v>
      </c>
      <c r="C9749" t="s">
        <v>7</v>
      </c>
      <c r="D9749" t="s">
        <v>12</v>
      </c>
      <c r="E9749" t="s">
        <v>13369</v>
      </c>
      <c r="F9749" t="s">
        <v>13513</v>
      </c>
    </row>
    <row r="9750" spans="1:6" x14ac:dyDescent="0.25">
      <c r="A9750" t="str">
        <f>"524608240803"</f>
        <v>524608240803</v>
      </c>
      <c r="B9750" t="s">
        <v>13514</v>
      </c>
      <c r="C9750" t="s">
        <v>7</v>
      </c>
      <c r="D9750" t="s">
        <v>12</v>
      </c>
      <c r="E9750" t="s">
        <v>13369</v>
      </c>
    </row>
    <row r="9751" spans="1:6" x14ac:dyDescent="0.25">
      <c r="A9751" t="str">
        <f>"524700772221"</f>
        <v>524700772221</v>
      </c>
      <c r="B9751" t="s">
        <v>13515</v>
      </c>
      <c r="C9751" t="s">
        <v>7</v>
      </c>
      <c r="D9751" t="s">
        <v>14</v>
      </c>
      <c r="E9751" t="s">
        <v>13369</v>
      </c>
    </row>
    <row r="9752" spans="1:6" x14ac:dyDescent="0.25">
      <c r="A9752" t="str">
        <f>"5248006085"</f>
        <v>5248006085</v>
      </c>
      <c r="B9752" t="s">
        <v>13516</v>
      </c>
      <c r="C9752" t="s">
        <v>7</v>
      </c>
      <c r="D9752" t="s">
        <v>14</v>
      </c>
      <c r="E9752" t="s">
        <v>13369</v>
      </c>
      <c r="F9752" t="s">
        <v>13517</v>
      </c>
    </row>
    <row r="9753" spans="1:6" x14ac:dyDescent="0.25">
      <c r="A9753" t="str">
        <f>"524802097819"</f>
        <v>524802097819</v>
      </c>
      <c r="B9753" t="s">
        <v>13518</v>
      </c>
      <c r="C9753" t="s">
        <v>7</v>
      </c>
      <c r="D9753" t="s">
        <v>14</v>
      </c>
      <c r="E9753" t="s">
        <v>13369</v>
      </c>
    </row>
    <row r="9754" spans="1:6" x14ac:dyDescent="0.25">
      <c r="A9754" t="str">
        <f>"5248040840"</f>
        <v>5248040840</v>
      </c>
      <c r="B9754" t="s">
        <v>13519</v>
      </c>
      <c r="C9754" t="s">
        <v>7</v>
      </c>
      <c r="D9754" t="s">
        <v>14</v>
      </c>
      <c r="E9754" t="s">
        <v>13369</v>
      </c>
      <c r="F9754" t="s">
        <v>13520</v>
      </c>
    </row>
    <row r="9755" spans="1:6" x14ac:dyDescent="0.25">
      <c r="A9755" t="str">
        <f>"5248044411"</f>
        <v>5248044411</v>
      </c>
      <c r="B9755" t="s">
        <v>13521</v>
      </c>
      <c r="C9755" t="s">
        <v>7</v>
      </c>
      <c r="D9755" t="s">
        <v>14</v>
      </c>
      <c r="E9755" t="s">
        <v>13369</v>
      </c>
      <c r="F9755" t="s">
        <v>13522</v>
      </c>
    </row>
    <row r="9756" spans="1:6" x14ac:dyDescent="0.25">
      <c r="A9756" t="str">
        <f>"524805667760"</f>
        <v>524805667760</v>
      </c>
      <c r="B9756" t="s">
        <v>13523</v>
      </c>
      <c r="C9756" t="s">
        <v>7</v>
      </c>
      <c r="D9756" t="s">
        <v>14</v>
      </c>
      <c r="E9756" t="s">
        <v>13369</v>
      </c>
    </row>
    <row r="9757" spans="1:6" x14ac:dyDescent="0.25">
      <c r="A9757" t="str">
        <f>"524807958719"</f>
        <v>524807958719</v>
      </c>
      <c r="B9757" t="s">
        <v>13524</v>
      </c>
      <c r="C9757" t="s">
        <v>7</v>
      </c>
      <c r="D9757" t="s">
        <v>14</v>
      </c>
      <c r="E9757" t="s">
        <v>13369</v>
      </c>
    </row>
    <row r="9758" spans="1:6" x14ac:dyDescent="0.25">
      <c r="A9758" t="str">
        <f>"524808491890"</f>
        <v>524808491890</v>
      </c>
      <c r="B9758" t="s">
        <v>13525</v>
      </c>
      <c r="C9758" t="s">
        <v>7</v>
      </c>
      <c r="D9758" t="s">
        <v>14</v>
      </c>
      <c r="E9758" t="s">
        <v>13369</v>
      </c>
    </row>
    <row r="9759" spans="1:6" x14ac:dyDescent="0.25">
      <c r="A9759" t="str">
        <f>"524809699058"</f>
        <v>524809699058</v>
      </c>
      <c r="B9759" t="s">
        <v>13526</v>
      </c>
      <c r="C9759" t="s">
        <v>7</v>
      </c>
      <c r="D9759" t="s">
        <v>14</v>
      </c>
      <c r="E9759" t="s">
        <v>13369</v>
      </c>
    </row>
    <row r="9760" spans="1:6" x14ac:dyDescent="0.25">
      <c r="A9760" t="str">
        <f>"524900162030"</f>
        <v>524900162030</v>
      </c>
      <c r="B9760" t="s">
        <v>13527</v>
      </c>
      <c r="C9760" t="s">
        <v>7</v>
      </c>
      <c r="D9760" t="s">
        <v>14</v>
      </c>
      <c r="E9760" t="s">
        <v>13369</v>
      </c>
    </row>
    <row r="9761" spans="1:6" x14ac:dyDescent="0.25">
      <c r="A9761" t="str">
        <f>"524900560834"</f>
        <v>524900560834</v>
      </c>
      <c r="B9761" t="s">
        <v>13528</v>
      </c>
      <c r="C9761" t="s">
        <v>7</v>
      </c>
      <c r="D9761" t="s">
        <v>14</v>
      </c>
      <c r="E9761" t="s">
        <v>13369</v>
      </c>
    </row>
    <row r="9762" spans="1:6" x14ac:dyDescent="0.25">
      <c r="A9762" t="str">
        <f>"5249046147"</f>
        <v>5249046147</v>
      </c>
      <c r="B9762" t="s">
        <v>13529</v>
      </c>
      <c r="C9762" t="s">
        <v>7</v>
      </c>
      <c r="D9762" t="s">
        <v>28</v>
      </c>
      <c r="E9762" t="s">
        <v>13369</v>
      </c>
      <c r="F9762" t="s">
        <v>13530</v>
      </c>
    </row>
    <row r="9763" spans="1:6" x14ac:dyDescent="0.25">
      <c r="A9763" t="str">
        <f>"5249080395"</f>
        <v>5249080395</v>
      </c>
      <c r="B9763" t="s">
        <v>13531</v>
      </c>
      <c r="C9763" t="s">
        <v>7</v>
      </c>
      <c r="D9763" t="s">
        <v>12</v>
      </c>
      <c r="E9763" t="s">
        <v>13369</v>
      </c>
      <c r="F9763" t="s">
        <v>13532</v>
      </c>
    </row>
    <row r="9764" spans="1:6" x14ac:dyDescent="0.25">
      <c r="A9764" t="str">
        <f>"5249081783"</f>
        <v>5249081783</v>
      </c>
      <c r="B9764" t="s">
        <v>13533</v>
      </c>
      <c r="C9764" t="s">
        <v>7</v>
      </c>
      <c r="D9764" t="s">
        <v>98</v>
      </c>
      <c r="E9764" t="s">
        <v>13369</v>
      </c>
      <c r="F9764" t="s">
        <v>13534</v>
      </c>
    </row>
    <row r="9765" spans="1:6" x14ac:dyDescent="0.25">
      <c r="A9765" t="str">
        <f>"5249086943"</f>
        <v>5249086943</v>
      </c>
      <c r="B9765" t="s">
        <v>13535</v>
      </c>
      <c r="C9765" t="s">
        <v>7</v>
      </c>
      <c r="D9765" t="s">
        <v>33</v>
      </c>
      <c r="E9765" t="s">
        <v>13369</v>
      </c>
      <c r="F9765" t="s">
        <v>13536</v>
      </c>
    </row>
    <row r="9766" spans="1:6" x14ac:dyDescent="0.25">
      <c r="A9766" t="str">
        <f>"5249087961"</f>
        <v>5249087961</v>
      </c>
      <c r="B9766" t="s">
        <v>13537</v>
      </c>
      <c r="C9766" t="s">
        <v>7</v>
      </c>
      <c r="D9766" t="s">
        <v>98</v>
      </c>
      <c r="E9766" t="s">
        <v>13369</v>
      </c>
      <c r="F9766" t="s">
        <v>13538</v>
      </c>
    </row>
    <row r="9767" spans="1:6" x14ac:dyDescent="0.25">
      <c r="A9767" t="str">
        <f>"524908874261"</f>
        <v>524908874261</v>
      </c>
      <c r="B9767" t="s">
        <v>13539</v>
      </c>
      <c r="C9767" t="s">
        <v>7</v>
      </c>
      <c r="D9767" t="s">
        <v>14</v>
      </c>
      <c r="E9767" t="s">
        <v>13369</v>
      </c>
    </row>
    <row r="9768" spans="1:6" x14ac:dyDescent="0.25">
      <c r="A9768" t="str">
        <f>"5249101084"</f>
        <v>5249101084</v>
      </c>
      <c r="B9768" t="s">
        <v>13540</v>
      </c>
      <c r="C9768" t="s">
        <v>7</v>
      </c>
      <c r="D9768" t="s">
        <v>1430</v>
      </c>
      <c r="E9768" t="s">
        <v>13369</v>
      </c>
      <c r="F9768" t="s">
        <v>13541</v>
      </c>
    </row>
    <row r="9769" spans="1:6" x14ac:dyDescent="0.25">
      <c r="A9769" t="str">
        <f>"5249109492"</f>
        <v>5249109492</v>
      </c>
      <c r="B9769" t="s">
        <v>13542</v>
      </c>
      <c r="C9769" t="s">
        <v>7</v>
      </c>
      <c r="D9769" t="s">
        <v>33</v>
      </c>
      <c r="E9769" t="s">
        <v>13369</v>
      </c>
      <c r="F9769" t="s">
        <v>13543</v>
      </c>
    </row>
    <row r="9770" spans="1:6" x14ac:dyDescent="0.25">
      <c r="A9770" t="str">
        <f>"5249117084"</f>
        <v>5249117084</v>
      </c>
      <c r="B9770" t="s">
        <v>13544</v>
      </c>
      <c r="C9770" t="s">
        <v>7</v>
      </c>
      <c r="D9770" t="s">
        <v>33</v>
      </c>
      <c r="E9770" t="s">
        <v>13369</v>
      </c>
      <c r="F9770" t="s">
        <v>13545</v>
      </c>
    </row>
    <row r="9771" spans="1:6" x14ac:dyDescent="0.25">
      <c r="A9771" t="str">
        <f>"5249126522"</f>
        <v>5249126522</v>
      </c>
      <c r="B9771" t="s">
        <v>13546</v>
      </c>
      <c r="C9771" t="s">
        <v>7</v>
      </c>
      <c r="D9771" t="s">
        <v>98</v>
      </c>
      <c r="E9771" t="s">
        <v>13369</v>
      </c>
      <c r="F9771" t="s">
        <v>13547</v>
      </c>
    </row>
    <row r="9772" spans="1:6" x14ac:dyDescent="0.25">
      <c r="A9772" t="str">
        <f>"5249127886"</f>
        <v>5249127886</v>
      </c>
      <c r="B9772" t="s">
        <v>13548</v>
      </c>
      <c r="C9772" t="s">
        <v>7</v>
      </c>
      <c r="D9772" t="s">
        <v>98</v>
      </c>
      <c r="E9772" t="s">
        <v>13369</v>
      </c>
      <c r="F9772" t="s">
        <v>13549</v>
      </c>
    </row>
    <row r="9773" spans="1:6" x14ac:dyDescent="0.25">
      <c r="A9773" t="str">
        <f>"5249137186"</f>
        <v>5249137186</v>
      </c>
      <c r="B9773" t="s">
        <v>13550</v>
      </c>
      <c r="C9773" t="s">
        <v>7</v>
      </c>
      <c r="D9773" t="s">
        <v>14</v>
      </c>
      <c r="E9773" t="s">
        <v>13369</v>
      </c>
      <c r="F9773" t="s">
        <v>13551</v>
      </c>
    </row>
    <row r="9774" spans="1:6" x14ac:dyDescent="0.25">
      <c r="A9774" t="str">
        <f>"5249137997"</f>
        <v>5249137997</v>
      </c>
      <c r="B9774" t="s">
        <v>13552</v>
      </c>
      <c r="C9774" t="s">
        <v>7</v>
      </c>
      <c r="D9774" t="s">
        <v>33</v>
      </c>
      <c r="E9774" t="s">
        <v>13369</v>
      </c>
      <c r="F9774" t="s">
        <v>13553</v>
      </c>
    </row>
    <row r="9775" spans="1:6" x14ac:dyDescent="0.25">
      <c r="A9775" t="str">
        <f>"5249154625"</f>
        <v>5249154625</v>
      </c>
      <c r="B9775" t="s">
        <v>13554</v>
      </c>
      <c r="C9775" t="s">
        <v>7</v>
      </c>
      <c r="D9775" t="s">
        <v>33</v>
      </c>
      <c r="E9775" t="s">
        <v>13369</v>
      </c>
      <c r="F9775" t="s">
        <v>13555</v>
      </c>
    </row>
    <row r="9776" spans="1:6" x14ac:dyDescent="0.25">
      <c r="A9776" t="str">
        <f>"5249155393"</f>
        <v>5249155393</v>
      </c>
      <c r="B9776" t="s">
        <v>13556</v>
      </c>
      <c r="C9776" t="s">
        <v>7</v>
      </c>
      <c r="D9776" t="s">
        <v>146</v>
      </c>
      <c r="E9776" t="s">
        <v>13369</v>
      </c>
      <c r="F9776" t="s">
        <v>13557</v>
      </c>
    </row>
    <row r="9777" spans="1:6" x14ac:dyDescent="0.25">
      <c r="A9777" t="str">
        <f>"5249162464"</f>
        <v>5249162464</v>
      </c>
      <c r="B9777" t="s">
        <v>12386</v>
      </c>
      <c r="C9777" t="s">
        <v>7</v>
      </c>
      <c r="D9777" t="s">
        <v>12</v>
      </c>
      <c r="E9777" t="s">
        <v>13369</v>
      </c>
      <c r="F9777" t="s">
        <v>13558</v>
      </c>
    </row>
    <row r="9778" spans="1:6" x14ac:dyDescent="0.25">
      <c r="A9778" t="str">
        <f>"5249163122"</f>
        <v>5249163122</v>
      </c>
      <c r="B9778" t="s">
        <v>13559</v>
      </c>
      <c r="C9778" t="s">
        <v>7</v>
      </c>
      <c r="D9778" t="s">
        <v>12</v>
      </c>
      <c r="E9778" t="s">
        <v>13369</v>
      </c>
      <c r="F9778" t="s">
        <v>13560</v>
      </c>
    </row>
    <row r="9779" spans="1:6" x14ac:dyDescent="0.25">
      <c r="A9779" t="str">
        <f>"524916697418"</f>
        <v>524916697418</v>
      </c>
      <c r="B9779" t="s">
        <v>13561</v>
      </c>
      <c r="C9779" t="s">
        <v>7</v>
      </c>
      <c r="D9779" t="s">
        <v>14</v>
      </c>
      <c r="E9779" t="s">
        <v>13369</v>
      </c>
    </row>
    <row r="9780" spans="1:6" x14ac:dyDescent="0.25">
      <c r="A9780" t="str">
        <f>"5249170987"</f>
        <v>5249170987</v>
      </c>
      <c r="B9780" t="s">
        <v>1389</v>
      </c>
      <c r="C9780" t="s">
        <v>7</v>
      </c>
      <c r="D9780" t="s">
        <v>98</v>
      </c>
      <c r="E9780" t="s">
        <v>13369</v>
      </c>
      <c r="F9780" t="s">
        <v>13562</v>
      </c>
    </row>
    <row r="9781" spans="1:6" x14ac:dyDescent="0.25">
      <c r="A9781" t="str">
        <f>"5249174692"</f>
        <v>5249174692</v>
      </c>
      <c r="B9781" t="s">
        <v>13563</v>
      </c>
      <c r="C9781" t="s">
        <v>7</v>
      </c>
      <c r="D9781" t="s">
        <v>98</v>
      </c>
      <c r="E9781" t="s">
        <v>13369</v>
      </c>
      <c r="F9781" t="s">
        <v>13564</v>
      </c>
    </row>
    <row r="9782" spans="1:6" x14ac:dyDescent="0.25">
      <c r="A9782" t="str">
        <f>"5249175311"</f>
        <v>5249175311</v>
      </c>
      <c r="B9782" t="s">
        <v>13565</v>
      </c>
      <c r="C9782" t="s">
        <v>7</v>
      </c>
      <c r="D9782" t="s">
        <v>98</v>
      </c>
      <c r="E9782" t="s">
        <v>13369</v>
      </c>
      <c r="F9782" t="s">
        <v>13566</v>
      </c>
    </row>
    <row r="9783" spans="1:6" x14ac:dyDescent="0.25">
      <c r="A9783" t="str">
        <f>"5249179034"</f>
        <v>5249179034</v>
      </c>
      <c r="B9783" t="s">
        <v>13567</v>
      </c>
      <c r="C9783" t="s">
        <v>7</v>
      </c>
      <c r="D9783" t="s">
        <v>33</v>
      </c>
      <c r="E9783" t="s">
        <v>13369</v>
      </c>
      <c r="F9783" t="s">
        <v>13568</v>
      </c>
    </row>
    <row r="9784" spans="1:6" x14ac:dyDescent="0.25">
      <c r="A9784" t="str">
        <f>"5249182982"</f>
        <v>5249182982</v>
      </c>
      <c r="B9784" t="s">
        <v>13569</v>
      </c>
      <c r="C9784" t="s">
        <v>7</v>
      </c>
      <c r="D9784" t="s">
        <v>146</v>
      </c>
      <c r="E9784" t="s">
        <v>13369</v>
      </c>
      <c r="F9784" t="s">
        <v>13570</v>
      </c>
    </row>
    <row r="9785" spans="1:6" x14ac:dyDescent="0.25">
      <c r="A9785" t="str">
        <f>"5249185260"</f>
        <v>5249185260</v>
      </c>
      <c r="B9785" t="s">
        <v>13571</v>
      </c>
      <c r="C9785" t="s">
        <v>7</v>
      </c>
      <c r="D9785" t="s">
        <v>674</v>
      </c>
      <c r="E9785" t="s">
        <v>13369</v>
      </c>
      <c r="F9785" t="s">
        <v>13572</v>
      </c>
    </row>
    <row r="9786" spans="1:6" x14ac:dyDescent="0.25">
      <c r="A9786" t="str">
        <f>"524922233407"</f>
        <v>524922233407</v>
      </c>
      <c r="B9786" t="s">
        <v>13573</v>
      </c>
      <c r="C9786" t="s">
        <v>7</v>
      </c>
      <c r="D9786" t="s">
        <v>14</v>
      </c>
      <c r="E9786" t="s">
        <v>13369</v>
      </c>
    </row>
    <row r="9787" spans="1:6" x14ac:dyDescent="0.25">
      <c r="A9787" t="str">
        <f>"525001883499"</f>
        <v>525001883499</v>
      </c>
      <c r="B9787" t="s">
        <v>13574</v>
      </c>
      <c r="C9787" t="s">
        <v>7</v>
      </c>
      <c r="D9787" t="s">
        <v>14</v>
      </c>
      <c r="E9787" t="s">
        <v>13369</v>
      </c>
    </row>
    <row r="9788" spans="1:6" x14ac:dyDescent="0.25">
      <c r="A9788" t="str">
        <f>"5250070264"</f>
        <v>5250070264</v>
      </c>
      <c r="B9788" t="s">
        <v>13575</v>
      </c>
      <c r="C9788" t="s">
        <v>7</v>
      </c>
      <c r="D9788" t="s">
        <v>12</v>
      </c>
      <c r="E9788" t="s">
        <v>13369</v>
      </c>
      <c r="F9788" t="s">
        <v>13576</v>
      </c>
    </row>
    <row r="9789" spans="1:6" x14ac:dyDescent="0.25">
      <c r="A9789" t="str">
        <f>"525009926306"</f>
        <v>525009926306</v>
      </c>
      <c r="B9789" t="s">
        <v>13577</v>
      </c>
      <c r="C9789" t="s">
        <v>7</v>
      </c>
      <c r="D9789" t="s">
        <v>12</v>
      </c>
      <c r="E9789" t="s">
        <v>13369</v>
      </c>
    </row>
    <row r="9790" spans="1:6" x14ac:dyDescent="0.25">
      <c r="A9790" t="str">
        <f>"525011172776"</f>
        <v>525011172776</v>
      </c>
      <c r="B9790" t="s">
        <v>13578</v>
      </c>
      <c r="C9790" t="s">
        <v>7</v>
      </c>
      <c r="D9790" t="s">
        <v>14</v>
      </c>
      <c r="E9790" t="s">
        <v>13369</v>
      </c>
    </row>
    <row r="9791" spans="1:6" x14ac:dyDescent="0.25">
      <c r="A9791" t="str">
        <f>"525104188345"</f>
        <v>525104188345</v>
      </c>
      <c r="B9791" t="s">
        <v>13579</v>
      </c>
      <c r="C9791" t="s">
        <v>7</v>
      </c>
      <c r="D9791" t="s">
        <v>14</v>
      </c>
      <c r="E9791" t="s">
        <v>13369</v>
      </c>
    </row>
    <row r="9792" spans="1:6" x14ac:dyDescent="0.25">
      <c r="A9792" t="str">
        <f>"525104188592"</f>
        <v>525104188592</v>
      </c>
      <c r="B9792" t="s">
        <v>13580</v>
      </c>
      <c r="C9792" t="s">
        <v>7</v>
      </c>
      <c r="D9792" t="s">
        <v>14</v>
      </c>
      <c r="E9792" t="s">
        <v>13369</v>
      </c>
    </row>
    <row r="9793" spans="1:6" x14ac:dyDescent="0.25">
      <c r="A9793" t="str">
        <f>"525200068869"</f>
        <v>525200068869</v>
      </c>
      <c r="B9793" t="s">
        <v>13581</v>
      </c>
      <c r="C9793" t="s">
        <v>7</v>
      </c>
      <c r="D9793" t="s">
        <v>14</v>
      </c>
      <c r="E9793" t="s">
        <v>13369</v>
      </c>
    </row>
    <row r="9794" spans="1:6" x14ac:dyDescent="0.25">
      <c r="A9794" t="str">
        <f>"521900717712"</f>
        <v>521900717712</v>
      </c>
      <c r="B9794" t="s">
        <v>13582</v>
      </c>
      <c r="C9794" t="s">
        <v>7</v>
      </c>
      <c r="D9794" t="s">
        <v>14</v>
      </c>
      <c r="E9794" t="s">
        <v>13369</v>
      </c>
    </row>
    <row r="9795" spans="1:6" x14ac:dyDescent="0.25">
      <c r="A9795" t="str">
        <f>"5220004056"</f>
        <v>5220004056</v>
      </c>
      <c r="B9795" t="s">
        <v>13583</v>
      </c>
      <c r="C9795" t="s">
        <v>7</v>
      </c>
      <c r="D9795" t="s">
        <v>14</v>
      </c>
      <c r="E9795" t="s">
        <v>13369</v>
      </c>
      <c r="F9795" t="s">
        <v>13584</v>
      </c>
    </row>
    <row r="9796" spans="1:6" x14ac:dyDescent="0.25">
      <c r="A9796" t="str">
        <f>"522101864776"</f>
        <v>522101864776</v>
      </c>
      <c r="B9796" t="s">
        <v>13585</v>
      </c>
      <c r="C9796" t="s">
        <v>7</v>
      </c>
      <c r="D9796" t="s">
        <v>12</v>
      </c>
      <c r="E9796" t="s">
        <v>13369</v>
      </c>
    </row>
    <row r="9797" spans="1:6" x14ac:dyDescent="0.25">
      <c r="A9797" t="str">
        <f>"522200038770"</f>
        <v>522200038770</v>
      </c>
      <c r="B9797" t="s">
        <v>13586</v>
      </c>
      <c r="C9797" t="s">
        <v>7</v>
      </c>
      <c r="D9797" t="s">
        <v>14</v>
      </c>
      <c r="E9797" t="s">
        <v>13369</v>
      </c>
    </row>
    <row r="9798" spans="1:6" x14ac:dyDescent="0.25">
      <c r="A9798" t="str">
        <f>"5222014268"</f>
        <v>5222014268</v>
      </c>
      <c r="B9798" t="s">
        <v>2630</v>
      </c>
      <c r="C9798" t="s">
        <v>7</v>
      </c>
      <c r="D9798" t="s">
        <v>14</v>
      </c>
      <c r="E9798" t="s">
        <v>13369</v>
      </c>
      <c r="F9798" t="s">
        <v>13587</v>
      </c>
    </row>
    <row r="9799" spans="1:6" x14ac:dyDescent="0.25">
      <c r="A9799" t="str">
        <f>"522203468997"</f>
        <v>522203468997</v>
      </c>
      <c r="B9799" t="s">
        <v>13588</v>
      </c>
      <c r="C9799" t="s">
        <v>7</v>
      </c>
      <c r="D9799" t="s">
        <v>14</v>
      </c>
      <c r="E9799" t="s">
        <v>13369</v>
      </c>
    </row>
    <row r="9800" spans="1:6" x14ac:dyDescent="0.25">
      <c r="A9800" t="str">
        <f>"522501415535"</f>
        <v>522501415535</v>
      </c>
      <c r="B9800" t="s">
        <v>13589</v>
      </c>
      <c r="C9800" t="s">
        <v>7</v>
      </c>
      <c r="D9800" t="s">
        <v>14</v>
      </c>
      <c r="E9800" t="s">
        <v>13369</v>
      </c>
    </row>
    <row r="9801" spans="1:6" x14ac:dyDescent="0.25">
      <c r="A9801" t="str">
        <f>"5227000597"</f>
        <v>5227000597</v>
      </c>
      <c r="B9801" t="s">
        <v>13590</v>
      </c>
      <c r="C9801" t="s">
        <v>7</v>
      </c>
      <c r="D9801" t="s">
        <v>14</v>
      </c>
      <c r="E9801" t="s">
        <v>13369</v>
      </c>
      <c r="F9801" t="s">
        <v>13591</v>
      </c>
    </row>
    <row r="9802" spans="1:6" x14ac:dyDescent="0.25">
      <c r="A9802" t="str">
        <f>"522700263654"</f>
        <v>522700263654</v>
      </c>
      <c r="B9802" t="s">
        <v>13592</v>
      </c>
      <c r="C9802" t="s">
        <v>7</v>
      </c>
      <c r="D9802" t="s">
        <v>14</v>
      </c>
      <c r="E9802" t="s">
        <v>13369</v>
      </c>
    </row>
    <row r="9803" spans="1:6" x14ac:dyDescent="0.25">
      <c r="A9803" t="str">
        <f>"522701420405"</f>
        <v>522701420405</v>
      </c>
      <c r="B9803" t="s">
        <v>13593</v>
      </c>
      <c r="C9803" t="s">
        <v>7</v>
      </c>
      <c r="D9803" t="s">
        <v>12</v>
      </c>
      <c r="E9803" t="s">
        <v>13369</v>
      </c>
    </row>
    <row r="9804" spans="1:6" x14ac:dyDescent="0.25">
      <c r="A9804" t="str">
        <f>"5229001451"</f>
        <v>5229001451</v>
      </c>
      <c r="B9804" t="s">
        <v>13594</v>
      </c>
      <c r="C9804" t="s">
        <v>7</v>
      </c>
      <c r="D9804" t="s">
        <v>14</v>
      </c>
      <c r="E9804" t="s">
        <v>13369</v>
      </c>
      <c r="F9804" t="s">
        <v>13595</v>
      </c>
    </row>
    <row r="9805" spans="1:6" x14ac:dyDescent="0.25">
      <c r="A9805" t="str">
        <f>"523101217876"</f>
        <v>523101217876</v>
      </c>
      <c r="B9805" t="s">
        <v>13596</v>
      </c>
      <c r="C9805" t="s">
        <v>7</v>
      </c>
      <c r="D9805" t="s">
        <v>14</v>
      </c>
      <c r="E9805" t="s">
        <v>13369</v>
      </c>
    </row>
    <row r="9806" spans="1:6" x14ac:dyDescent="0.25">
      <c r="A9806" t="str">
        <f>"523600040840"</f>
        <v>523600040840</v>
      </c>
      <c r="B9806" t="s">
        <v>13597</v>
      </c>
      <c r="C9806" t="s">
        <v>7</v>
      </c>
      <c r="D9806" t="s">
        <v>14</v>
      </c>
      <c r="E9806" t="s">
        <v>13369</v>
      </c>
    </row>
    <row r="9807" spans="1:6" x14ac:dyDescent="0.25">
      <c r="A9807" t="str">
        <f>"5238005117"</f>
        <v>5238005117</v>
      </c>
      <c r="B9807" t="s">
        <v>13598</v>
      </c>
      <c r="C9807" t="s">
        <v>7</v>
      </c>
      <c r="D9807" t="s">
        <v>14</v>
      </c>
      <c r="E9807" t="s">
        <v>13369</v>
      </c>
      <c r="F9807" t="s">
        <v>13599</v>
      </c>
    </row>
    <row r="9808" spans="1:6" x14ac:dyDescent="0.25">
      <c r="A9808" t="str">
        <f>"523801678103"</f>
        <v>523801678103</v>
      </c>
      <c r="B9808" t="s">
        <v>13600</v>
      </c>
      <c r="C9808" t="s">
        <v>7</v>
      </c>
      <c r="D9808" t="s">
        <v>14</v>
      </c>
      <c r="E9808" t="s">
        <v>13369</v>
      </c>
    </row>
    <row r="9809" spans="1:6" x14ac:dyDescent="0.25">
      <c r="A9809" t="str">
        <f>"5239008368"</f>
        <v>5239008368</v>
      </c>
      <c r="B9809" t="s">
        <v>13601</v>
      </c>
      <c r="C9809" t="s">
        <v>7</v>
      </c>
      <c r="D9809" t="s">
        <v>14</v>
      </c>
      <c r="E9809" t="s">
        <v>13369</v>
      </c>
      <c r="F9809" t="s">
        <v>13602</v>
      </c>
    </row>
    <row r="9810" spans="1:6" x14ac:dyDescent="0.25">
      <c r="A9810" t="str">
        <f>"5240004417"</f>
        <v>5240004417</v>
      </c>
      <c r="B9810" t="s">
        <v>13603</v>
      </c>
      <c r="C9810" t="s">
        <v>7</v>
      </c>
      <c r="D9810" t="s">
        <v>14</v>
      </c>
      <c r="E9810" t="s">
        <v>13369</v>
      </c>
      <c r="F9810" t="s">
        <v>13604</v>
      </c>
    </row>
    <row r="9811" spans="1:6" x14ac:dyDescent="0.25">
      <c r="A9811" t="str">
        <f>"524300030169"</f>
        <v>524300030169</v>
      </c>
      <c r="B9811" t="s">
        <v>13605</v>
      </c>
      <c r="C9811" t="s">
        <v>7</v>
      </c>
      <c r="D9811" t="s">
        <v>14</v>
      </c>
      <c r="E9811" t="s">
        <v>13369</v>
      </c>
    </row>
    <row r="9812" spans="1:6" x14ac:dyDescent="0.25">
      <c r="A9812" t="str">
        <f>"5243008723"</f>
        <v>5243008723</v>
      </c>
      <c r="B9812" t="s">
        <v>13606</v>
      </c>
      <c r="C9812" t="s">
        <v>7</v>
      </c>
      <c r="D9812" t="s">
        <v>14</v>
      </c>
      <c r="E9812" t="s">
        <v>13369</v>
      </c>
      <c r="F9812" t="s">
        <v>13607</v>
      </c>
    </row>
    <row r="9813" spans="1:6" x14ac:dyDescent="0.25">
      <c r="A9813" t="str">
        <f>"524300924180"</f>
        <v>524300924180</v>
      </c>
      <c r="B9813" t="s">
        <v>13608</v>
      </c>
      <c r="C9813" t="s">
        <v>7</v>
      </c>
      <c r="D9813" t="s">
        <v>12</v>
      </c>
      <c r="E9813" t="s">
        <v>13369</v>
      </c>
    </row>
    <row r="9814" spans="1:6" x14ac:dyDescent="0.25">
      <c r="A9814" t="str">
        <f>"524308033806"</f>
        <v>524308033806</v>
      </c>
      <c r="B9814" t="s">
        <v>13609</v>
      </c>
      <c r="C9814" t="s">
        <v>7</v>
      </c>
      <c r="D9814" t="s">
        <v>14</v>
      </c>
      <c r="E9814" t="s">
        <v>13369</v>
      </c>
    </row>
    <row r="9815" spans="1:6" x14ac:dyDescent="0.25">
      <c r="A9815" t="str">
        <f>"524308507284"</f>
        <v>524308507284</v>
      </c>
      <c r="B9815" t="s">
        <v>13610</v>
      </c>
      <c r="C9815" t="s">
        <v>7</v>
      </c>
      <c r="D9815" t="s">
        <v>14</v>
      </c>
      <c r="E9815" t="s">
        <v>13369</v>
      </c>
    </row>
    <row r="9816" spans="1:6" x14ac:dyDescent="0.25">
      <c r="A9816" t="str">
        <f>"524310985182"</f>
        <v>524310985182</v>
      </c>
      <c r="B9816" t="s">
        <v>13611</v>
      </c>
      <c r="C9816" t="s">
        <v>7</v>
      </c>
      <c r="D9816" t="s">
        <v>12</v>
      </c>
      <c r="E9816" t="s">
        <v>13369</v>
      </c>
    </row>
    <row r="9817" spans="1:6" x14ac:dyDescent="0.25">
      <c r="A9817" t="str">
        <f>"524501057146"</f>
        <v>524501057146</v>
      </c>
      <c r="B9817" t="s">
        <v>13612</v>
      </c>
      <c r="C9817" t="s">
        <v>7</v>
      </c>
      <c r="D9817" t="s">
        <v>12</v>
      </c>
      <c r="E9817" t="s">
        <v>13369</v>
      </c>
    </row>
    <row r="9818" spans="1:6" x14ac:dyDescent="0.25">
      <c r="A9818" t="str">
        <f>"524502756108"</f>
        <v>524502756108</v>
      </c>
      <c r="B9818" t="s">
        <v>13613</v>
      </c>
      <c r="C9818" t="s">
        <v>7</v>
      </c>
      <c r="D9818" t="s">
        <v>14</v>
      </c>
      <c r="E9818" t="s">
        <v>13369</v>
      </c>
    </row>
    <row r="9819" spans="1:6" x14ac:dyDescent="0.25">
      <c r="A9819" t="str">
        <f>"524503175642"</f>
        <v>524503175642</v>
      </c>
      <c r="B9819" t="s">
        <v>13614</v>
      </c>
      <c r="C9819" t="s">
        <v>7</v>
      </c>
      <c r="D9819" t="s">
        <v>14</v>
      </c>
      <c r="E9819" t="s">
        <v>13369</v>
      </c>
    </row>
    <row r="9820" spans="1:6" x14ac:dyDescent="0.25">
      <c r="A9820" t="str">
        <f>"524503251565"</f>
        <v>524503251565</v>
      </c>
      <c r="B9820" t="s">
        <v>13615</v>
      </c>
      <c r="C9820" t="s">
        <v>7</v>
      </c>
      <c r="D9820" t="s">
        <v>14</v>
      </c>
      <c r="E9820" t="s">
        <v>13369</v>
      </c>
    </row>
    <row r="9821" spans="1:6" x14ac:dyDescent="0.25">
      <c r="A9821" t="str">
        <f>"524600418690"</f>
        <v>524600418690</v>
      </c>
      <c r="B9821" t="s">
        <v>13616</v>
      </c>
      <c r="C9821" t="s">
        <v>7</v>
      </c>
      <c r="D9821" t="s">
        <v>14</v>
      </c>
      <c r="E9821" t="s">
        <v>13369</v>
      </c>
    </row>
    <row r="9822" spans="1:6" x14ac:dyDescent="0.25">
      <c r="A9822" t="str">
        <f>"524604791944"</f>
        <v>524604791944</v>
      </c>
      <c r="B9822" t="s">
        <v>13617</v>
      </c>
      <c r="C9822" t="s">
        <v>7</v>
      </c>
      <c r="D9822" t="s">
        <v>12</v>
      </c>
      <c r="E9822" t="s">
        <v>13369</v>
      </c>
    </row>
    <row r="9823" spans="1:6" x14ac:dyDescent="0.25">
      <c r="A9823" t="str">
        <f>"524711508606"</f>
        <v>524711508606</v>
      </c>
      <c r="B9823" t="s">
        <v>13618</v>
      </c>
      <c r="C9823" t="s">
        <v>7</v>
      </c>
      <c r="D9823" t="s">
        <v>14</v>
      </c>
      <c r="E9823" t="s">
        <v>13369</v>
      </c>
    </row>
    <row r="9824" spans="1:6" x14ac:dyDescent="0.25">
      <c r="A9824" t="str">
        <f>"524804298119"</f>
        <v>524804298119</v>
      </c>
      <c r="B9824" t="s">
        <v>13619</v>
      </c>
      <c r="C9824" t="s">
        <v>7</v>
      </c>
      <c r="D9824" t="s">
        <v>14</v>
      </c>
      <c r="E9824" t="s">
        <v>13369</v>
      </c>
    </row>
    <row r="9825" spans="1:6" x14ac:dyDescent="0.25">
      <c r="A9825" t="str">
        <f>"524806182230"</f>
        <v>524806182230</v>
      </c>
      <c r="B9825" t="s">
        <v>13620</v>
      </c>
      <c r="C9825" t="s">
        <v>7</v>
      </c>
      <c r="D9825" t="s">
        <v>14</v>
      </c>
      <c r="E9825" t="s">
        <v>13369</v>
      </c>
    </row>
    <row r="9826" spans="1:6" x14ac:dyDescent="0.25">
      <c r="A9826" t="str">
        <f>"524900791937"</f>
        <v>524900791937</v>
      </c>
      <c r="B9826" t="s">
        <v>13621</v>
      </c>
      <c r="C9826" t="s">
        <v>7</v>
      </c>
      <c r="D9826" t="s">
        <v>14</v>
      </c>
      <c r="E9826" t="s">
        <v>13369</v>
      </c>
    </row>
    <row r="9827" spans="1:6" x14ac:dyDescent="0.25">
      <c r="A9827" t="str">
        <f>"524903097928"</f>
        <v>524903097928</v>
      </c>
      <c r="B9827" t="s">
        <v>13622</v>
      </c>
      <c r="C9827" t="s">
        <v>7</v>
      </c>
      <c r="D9827" t="s">
        <v>14</v>
      </c>
      <c r="E9827" t="s">
        <v>13369</v>
      </c>
    </row>
    <row r="9828" spans="1:6" x14ac:dyDescent="0.25">
      <c r="A9828" t="str">
        <f>"524904133209"</f>
        <v>524904133209</v>
      </c>
      <c r="B9828" t="s">
        <v>13623</v>
      </c>
      <c r="C9828" t="s">
        <v>7</v>
      </c>
      <c r="D9828" t="s">
        <v>14</v>
      </c>
      <c r="E9828" t="s">
        <v>13369</v>
      </c>
    </row>
    <row r="9829" spans="1:6" x14ac:dyDescent="0.25">
      <c r="A9829" t="str">
        <f>"5249081656"</f>
        <v>5249081656</v>
      </c>
      <c r="B9829" t="s">
        <v>13624</v>
      </c>
      <c r="C9829" t="s">
        <v>7</v>
      </c>
      <c r="D9829" t="s">
        <v>28</v>
      </c>
      <c r="E9829" t="s">
        <v>13369</v>
      </c>
      <c r="F9829" t="s">
        <v>13625</v>
      </c>
    </row>
    <row r="9830" spans="1:6" x14ac:dyDescent="0.25">
      <c r="A9830" t="str">
        <f>"5249101790"</f>
        <v>5249101790</v>
      </c>
      <c r="B9830" t="s">
        <v>6860</v>
      </c>
      <c r="C9830" t="s">
        <v>7</v>
      </c>
      <c r="D9830" t="s">
        <v>14</v>
      </c>
      <c r="E9830" t="s">
        <v>13369</v>
      </c>
      <c r="F9830" t="s">
        <v>13626</v>
      </c>
    </row>
    <row r="9831" spans="1:6" x14ac:dyDescent="0.25">
      <c r="A9831" t="str">
        <f>"5249106269"</f>
        <v>5249106269</v>
      </c>
      <c r="B9831" t="s">
        <v>13627</v>
      </c>
      <c r="C9831" t="s">
        <v>7</v>
      </c>
      <c r="D9831" t="s">
        <v>98</v>
      </c>
      <c r="E9831" t="s">
        <v>13369</v>
      </c>
      <c r="F9831" t="s">
        <v>13628</v>
      </c>
    </row>
    <row r="9832" spans="1:6" x14ac:dyDescent="0.25">
      <c r="A9832" t="str">
        <f>"5249110730"</f>
        <v>5249110730</v>
      </c>
      <c r="B9832" t="s">
        <v>13629</v>
      </c>
      <c r="C9832" t="s">
        <v>7</v>
      </c>
      <c r="D9832" t="s">
        <v>98</v>
      </c>
      <c r="E9832" t="s">
        <v>13369</v>
      </c>
      <c r="F9832" t="s">
        <v>13630</v>
      </c>
    </row>
    <row r="9833" spans="1:6" x14ac:dyDescent="0.25">
      <c r="A9833" t="str">
        <f>"5249112720"</f>
        <v>5249112720</v>
      </c>
      <c r="B9833" t="s">
        <v>13631</v>
      </c>
      <c r="C9833" t="s">
        <v>7</v>
      </c>
      <c r="D9833" t="s">
        <v>28</v>
      </c>
      <c r="E9833" t="s">
        <v>13369</v>
      </c>
      <c r="F9833" t="s">
        <v>13632</v>
      </c>
    </row>
    <row r="9834" spans="1:6" x14ac:dyDescent="0.25">
      <c r="A9834" t="str">
        <f>"5249118962"</f>
        <v>5249118962</v>
      </c>
      <c r="B9834" t="s">
        <v>13633</v>
      </c>
      <c r="C9834" t="s">
        <v>7</v>
      </c>
      <c r="D9834" t="s">
        <v>146</v>
      </c>
      <c r="E9834" t="s">
        <v>13369</v>
      </c>
      <c r="F9834" t="s">
        <v>13634</v>
      </c>
    </row>
    <row r="9835" spans="1:6" x14ac:dyDescent="0.25">
      <c r="A9835" t="str">
        <f>"5249122510"</f>
        <v>5249122510</v>
      </c>
      <c r="B9835" t="s">
        <v>13635</v>
      </c>
      <c r="C9835" t="s">
        <v>7</v>
      </c>
      <c r="D9835" t="s">
        <v>98</v>
      </c>
      <c r="E9835" t="s">
        <v>13369</v>
      </c>
      <c r="F9835" t="s">
        <v>13636</v>
      </c>
    </row>
    <row r="9836" spans="1:6" x14ac:dyDescent="0.25">
      <c r="A9836" t="str">
        <f>"5249153251"</f>
        <v>5249153251</v>
      </c>
      <c r="B9836" t="s">
        <v>13637</v>
      </c>
      <c r="C9836" t="s">
        <v>7</v>
      </c>
      <c r="D9836" t="s">
        <v>98</v>
      </c>
      <c r="E9836" t="s">
        <v>13369</v>
      </c>
      <c r="F9836" t="s">
        <v>13638</v>
      </c>
    </row>
    <row r="9837" spans="1:6" x14ac:dyDescent="0.25">
      <c r="A9837" t="str">
        <f>"5249163316"</f>
        <v>5249163316</v>
      </c>
      <c r="B9837" t="s">
        <v>13639</v>
      </c>
      <c r="C9837" t="s">
        <v>7</v>
      </c>
      <c r="D9837" t="s">
        <v>463</v>
      </c>
      <c r="E9837" t="s">
        <v>13369</v>
      </c>
      <c r="F9837" t="s">
        <v>13640</v>
      </c>
    </row>
    <row r="9838" spans="1:6" x14ac:dyDescent="0.25">
      <c r="A9838" t="str">
        <f>"5249163370"</f>
        <v>5249163370</v>
      </c>
      <c r="B9838" t="s">
        <v>13641</v>
      </c>
      <c r="C9838" t="s">
        <v>7</v>
      </c>
      <c r="D9838" t="s">
        <v>14</v>
      </c>
      <c r="E9838" t="s">
        <v>13369</v>
      </c>
      <c r="F9838" t="s">
        <v>13642</v>
      </c>
    </row>
    <row r="9839" spans="1:6" x14ac:dyDescent="0.25">
      <c r="A9839" t="str">
        <f>"5249165835"</f>
        <v>5249165835</v>
      </c>
      <c r="B9839" t="s">
        <v>13643</v>
      </c>
      <c r="C9839" t="s">
        <v>7</v>
      </c>
      <c r="D9839" t="s">
        <v>98</v>
      </c>
      <c r="E9839" t="s">
        <v>13369</v>
      </c>
      <c r="F9839" t="s">
        <v>13644</v>
      </c>
    </row>
    <row r="9840" spans="1:6" x14ac:dyDescent="0.25">
      <c r="A9840" t="str">
        <f>"5249170472"</f>
        <v>5249170472</v>
      </c>
      <c r="B9840" t="s">
        <v>13645</v>
      </c>
      <c r="C9840" t="s">
        <v>7</v>
      </c>
      <c r="D9840" t="s">
        <v>33</v>
      </c>
      <c r="E9840" t="s">
        <v>13369</v>
      </c>
      <c r="F9840" t="s">
        <v>13646</v>
      </c>
    </row>
    <row r="9841" spans="1:6" x14ac:dyDescent="0.25">
      <c r="A9841" t="str">
        <f>"5249171532"</f>
        <v>5249171532</v>
      </c>
      <c r="B9841" t="s">
        <v>13647</v>
      </c>
      <c r="C9841" t="s">
        <v>7</v>
      </c>
      <c r="D9841" t="s">
        <v>33</v>
      </c>
      <c r="E9841" t="s">
        <v>13369</v>
      </c>
      <c r="F9841" t="s">
        <v>13648</v>
      </c>
    </row>
    <row r="9842" spans="1:6" x14ac:dyDescent="0.25">
      <c r="A9842" t="str">
        <f>"5249173177"</f>
        <v>5249173177</v>
      </c>
      <c r="B9842" t="s">
        <v>13649</v>
      </c>
      <c r="C9842" t="s">
        <v>7</v>
      </c>
      <c r="D9842" t="s">
        <v>146</v>
      </c>
      <c r="E9842" t="s">
        <v>13369</v>
      </c>
      <c r="F9842" t="s">
        <v>13650</v>
      </c>
    </row>
    <row r="9843" spans="1:6" x14ac:dyDescent="0.25">
      <c r="A9843" t="str">
        <f>"5249177608"</f>
        <v>5249177608</v>
      </c>
      <c r="B9843" t="s">
        <v>13651</v>
      </c>
      <c r="C9843" t="s">
        <v>7</v>
      </c>
      <c r="D9843" t="s">
        <v>12</v>
      </c>
      <c r="E9843" t="s">
        <v>13369</v>
      </c>
      <c r="F9843" t="s">
        <v>13652</v>
      </c>
    </row>
    <row r="9844" spans="1:6" x14ac:dyDescent="0.25">
      <c r="A9844" t="str">
        <f>"5249178506"</f>
        <v>5249178506</v>
      </c>
      <c r="B9844" t="s">
        <v>13653</v>
      </c>
      <c r="C9844" t="s">
        <v>7</v>
      </c>
      <c r="D9844" t="s">
        <v>146</v>
      </c>
      <c r="E9844" t="s">
        <v>13369</v>
      </c>
      <c r="F9844" t="s">
        <v>13654</v>
      </c>
    </row>
    <row r="9845" spans="1:6" x14ac:dyDescent="0.25">
      <c r="A9845" t="str">
        <f>"5249178520"</f>
        <v>5249178520</v>
      </c>
      <c r="B9845" t="s">
        <v>13655</v>
      </c>
      <c r="C9845" t="s">
        <v>7</v>
      </c>
      <c r="D9845" t="s">
        <v>463</v>
      </c>
      <c r="E9845" t="s">
        <v>13369</v>
      </c>
      <c r="F9845" t="s">
        <v>13656</v>
      </c>
    </row>
    <row r="9846" spans="1:6" x14ac:dyDescent="0.25">
      <c r="A9846" t="str">
        <f>"5249178538"</f>
        <v>5249178538</v>
      </c>
      <c r="B9846" t="s">
        <v>13657</v>
      </c>
      <c r="C9846" t="s">
        <v>7</v>
      </c>
      <c r="D9846" t="s">
        <v>12</v>
      </c>
      <c r="E9846" t="s">
        <v>13369</v>
      </c>
      <c r="F9846" t="s">
        <v>13658</v>
      </c>
    </row>
    <row r="9847" spans="1:6" x14ac:dyDescent="0.25">
      <c r="A9847" t="str">
        <f>"5249181700"</f>
        <v>5249181700</v>
      </c>
      <c r="B9847" t="s">
        <v>13659</v>
      </c>
      <c r="C9847" t="s">
        <v>7</v>
      </c>
      <c r="D9847" t="s">
        <v>1430</v>
      </c>
      <c r="E9847" t="s">
        <v>13369</v>
      </c>
      <c r="F9847" t="s">
        <v>13660</v>
      </c>
    </row>
    <row r="9848" spans="1:6" x14ac:dyDescent="0.25">
      <c r="A9848" t="str">
        <f>"5249182904"</f>
        <v>5249182904</v>
      </c>
      <c r="B9848" t="s">
        <v>13661</v>
      </c>
      <c r="C9848" t="s">
        <v>7</v>
      </c>
      <c r="D9848" t="s">
        <v>98</v>
      </c>
      <c r="E9848" t="s">
        <v>13369</v>
      </c>
      <c r="F9848" t="s">
        <v>13662</v>
      </c>
    </row>
    <row r="9849" spans="1:6" x14ac:dyDescent="0.25">
      <c r="A9849" t="str">
        <f>"524921408301"</f>
        <v>524921408301</v>
      </c>
      <c r="B9849" t="s">
        <v>13663</v>
      </c>
      <c r="C9849" t="s">
        <v>7</v>
      </c>
      <c r="D9849" t="s">
        <v>33</v>
      </c>
      <c r="E9849" t="s">
        <v>13369</v>
      </c>
    </row>
    <row r="9850" spans="1:6" x14ac:dyDescent="0.25">
      <c r="A9850" t="str">
        <f>"524923099673"</f>
        <v>524923099673</v>
      </c>
      <c r="B9850" t="s">
        <v>13664</v>
      </c>
      <c r="C9850" t="s">
        <v>7</v>
      </c>
      <c r="D9850" t="s">
        <v>14</v>
      </c>
      <c r="E9850" t="s">
        <v>13369</v>
      </c>
    </row>
    <row r="9851" spans="1:6" x14ac:dyDescent="0.25">
      <c r="A9851" t="str">
        <f>"524924417713"</f>
        <v>524924417713</v>
      </c>
      <c r="B9851" t="s">
        <v>13665</v>
      </c>
      <c r="C9851" t="s">
        <v>7</v>
      </c>
      <c r="D9851" t="s">
        <v>12</v>
      </c>
      <c r="E9851" t="s">
        <v>13369</v>
      </c>
    </row>
    <row r="9852" spans="1:6" x14ac:dyDescent="0.25">
      <c r="A9852" t="str">
        <f>"524924633591"</f>
        <v>524924633591</v>
      </c>
      <c r="B9852" t="s">
        <v>13666</v>
      </c>
      <c r="C9852" t="s">
        <v>7</v>
      </c>
      <c r="D9852" t="s">
        <v>14</v>
      </c>
      <c r="E9852" t="s">
        <v>13369</v>
      </c>
    </row>
    <row r="9853" spans="1:6" x14ac:dyDescent="0.25">
      <c r="A9853" t="str">
        <f>"5250067960"</f>
        <v>5250067960</v>
      </c>
      <c r="B9853" t="s">
        <v>13667</v>
      </c>
      <c r="C9853" t="s">
        <v>7</v>
      </c>
      <c r="D9853" t="s">
        <v>463</v>
      </c>
      <c r="E9853" t="s">
        <v>13369</v>
      </c>
      <c r="F9853" t="s">
        <v>13668</v>
      </c>
    </row>
    <row r="9854" spans="1:6" x14ac:dyDescent="0.25">
      <c r="A9854" t="str">
        <f>"5250073040"</f>
        <v>5250073040</v>
      </c>
      <c r="B9854" t="s">
        <v>6782</v>
      </c>
      <c r="C9854" t="s">
        <v>7</v>
      </c>
      <c r="D9854" t="s">
        <v>463</v>
      </c>
      <c r="E9854" t="s">
        <v>13369</v>
      </c>
      <c r="F9854" t="s">
        <v>13669</v>
      </c>
    </row>
    <row r="9855" spans="1:6" x14ac:dyDescent="0.25">
      <c r="A9855" t="str">
        <f>"5250076354"</f>
        <v>5250076354</v>
      </c>
      <c r="B9855" t="s">
        <v>13670</v>
      </c>
      <c r="C9855" t="s">
        <v>7</v>
      </c>
      <c r="D9855" t="s">
        <v>33</v>
      </c>
      <c r="E9855" t="s">
        <v>13369</v>
      </c>
      <c r="F9855" t="s">
        <v>13671</v>
      </c>
    </row>
    <row r="9856" spans="1:6" x14ac:dyDescent="0.25">
      <c r="A9856" t="str">
        <f>"525102075441"</f>
        <v>525102075441</v>
      </c>
      <c r="B9856" t="s">
        <v>13672</v>
      </c>
      <c r="C9856" t="s">
        <v>7</v>
      </c>
      <c r="D9856" t="s">
        <v>28</v>
      </c>
      <c r="E9856" t="s">
        <v>13369</v>
      </c>
    </row>
    <row r="9857" spans="1:6" x14ac:dyDescent="0.25">
      <c r="A9857" t="str">
        <f>"525102862329"</f>
        <v>525102862329</v>
      </c>
      <c r="B9857" t="s">
        <v>13673</v>
      </c>
      <c r="C9857" t="s">
        <v>7</v>
      </c>
      <c r="D9857" t="s">
        <v>14</v>
      </c>
      <c r="E9857" t="s">
        <v>13369</v>
      </c>
    </row>
    <row r="9858" spans="1:6" x14ac:dyDescent="0.25">
      <c r="A9858" t="str">
        <f>"525111331010"</f>
        <v>525111331010</v>
      </c>
      <c r="B9858" t="s">
        <v>13674</v>
      </c>
      <c r="C9858" t="s">
        <v>7</v>
      </c>
      <c r="D9858" t="s">
        <v>14</v>
      </c>
      <c r="E9858" t="s">
        <v>13369</v>
      </c>
    </row>
    <row r="9859" spans="1:6" x14ac:dyDescent="0.25">
      <c r="A9859" t="str">
        <f>"525407334700"</f>
        <v>525407334700</v>
      </c>
      <c r="B9859" t="s">
        <v>13675</v>
      </c>
      <c r="C9859" t="s">
        <v>7</v>
      </c>
      <c r="D9859" t="s">
        <v>14</v>
      </c>
      <c r="E9859" t="s">
        <v>13369</v>
      </c>
    </row>
    <row r="9860" spans="1:6" x14ac:dyDescent="0.25">
      <c r="A9860" t="str">
        <f>"525600020773"</f>
        <v>525600020773</v>
      </c>
      <c r="B9860" t="s">
        <v>13676</v>
      </c>
      <c r="C9860" t="s">
        <v>7</v>
      </c>
      <c r="D9860" t="s">
        <v>14</v>
      </c>
      <c r="E9860" t="s">
        <v>13369</v>
      </c>
    </row>
    <row r="9861" spans="1:6" x14ac:dyDescent="0.25">
      <c r="A9861" t="str">
        <f>"525600307198"</f>
        <v>525600307198</v>
      </c>
      <c r="B9861" t="s">
        <v>13677</v>
      </c>
      <c r="C9861" t="s">
        <v>7</v>
      </c>
      <c r="D9861" t="s">
        <v>12</v>
      </c>
      <c r="E9861" t="s">
        <v>13369</v>
      </c>
    </row>
    <row r="9862" spans="1:6" x14ac:dyDescent="0.25">
      <c r="A9862" t="str">
        <f>"5256045063"</f>
        <v>5256045063</v>
      </c>
      <c r="B9862" t="s">
        <v>13678</v>
      </c>
      <c r="C9862" t="s">
        <v>7</v>
      </c>
      <c r="D9862" t="s">
        <v>33</v>
      </c>
      <c r="E9862" t="s">
        <v>13369</v>
      </c>
      <c r="F9862" t="s">
        <v>13679</v>
      </c>
    </row>
    <row r="9863" spans="1:6" x14ac:dyDescent="0.25">
      <c r="A9863" t="str">
        <f>"5256049068"</f>
        <v>5256049068</v>
      </c>
      <c r="B9863" t="s">
        <v>13680</v>
      </c>
      <c r="C9863" t="s">
        <v>7</v>
      </c>
      <c r="D9863" t="s">
        <v>98</v>
      </c>
      <c r="E9863" t="s">
        <v>13369</v>
      </c>
      <c r="F9863" t="s">
        <v>13681</v>
      </c>
    </row>
    <row r="9864" spans="1:6" x14ac:dyDescent="0.25">
      <c r="A9864" t="str">
        <f>"5256051067"</f>
        <v>5256051067</v>
      </c>
      <c r="B9864" t="s">
        <v>13682</v>
      </c>
      <c r="C9864" t="s">
        <v>7</v>
      </c>
      <c r="D9864" t="s">
        <v>14</v>
      </c>
      <c r="E9864" t="s">
        <v>13369</v>
      </c>
      <c r="F9864" t="s">
        <v>13683</v>
      </c>
    </row>
    <row r="9865" spans="1:6" x14ac:dyDescent="0.25">
      <c r="A9865" t="str">
        <f>"5256056266"</f>
        <v>5256056266</v>
      </c>
      <c r="B9865" t="s">
        <v>13684</v>
      </c>
      <c r="C9865" t="s">
        <v>7</v>
      </c>
      <c r="D9865" t="s">
        <v>12</v>
      </c>
      <c r="E9865" t="s">
        <v>13369</v>
      </c>
      <c r="F9865" t="s">
        <v>13685</v>
      </c>
    </row>
    <row r="9866" spans="1:6" x14ac:dyDescent="0.25">
      <c r="A9866" t="str">
        <f>"525607454353"</f>
        <v>525607454353</v>
      </c>
      <c r="B9866" t="s">
        <v>13686</v>
      </c>
      <c r="C9866" t="s">
        <v>7</v>
      </c>
      <c r="D9866" t="s">
        <v>12</v>
      </c>
      <c r="E9866" t="s">
        <v>13369</v>
      </c>
    </row>
    <row r="9867" spans="1:6" x14ac:dyDescent="0.25">
      <c r="A9867" t="str">
        <f>"5256090235"</f>
        <v>5256090235</v>
      </c>
      <c r="B9867" t="s">
        <v>13687</v>
      </c>
      <c r="C9867" t="s">
        <v>7</v>
      </c>
      <c r="D9867" t="s">
        <v>12</v>
      </c>
      <c r="E9867" t="s">
        <v>13369</v>
      </c>
      <c r="F9867" t="s">
        <v>13688</v>
      </c>
    </row>
    <row r="9868" spans="1:6" x14ac:dyDescent="0.25">
      <c r="A9868" t="str">
        <f>"5256104801"</f>
        <v>5256104801</v>
      </c>
      <c r="B9868" t="s">
        <v>13689</v>
      </c>
      <c r="C9868" t="s">
        <v>7</v>
      </c>
      <c r="D9868" t="s">
        <v>12</v>
      </c>
      <c r="E9868" t="s">
        <v>13369</v>
      </c>
      <c r="F9868" t="s">
        <v>13690</v>
      </c>
    </row>
    <row r="9869" spans="1:6" x14ac:dyDescent="0.25">
      <c r="A9869" t="str">
        <f>"5256127372"</f>
        <v>5256127372</v>
      </c>
      <c r="B9869" t="s">
        <v>13691</v>
      </c>
      <c r="C9869" t="s">
        <v>7</v>
      </c>
      <c r="D9869" t="s">
        <v>14</v>
      </c>
      <c r="E9869" t="s">
        <v>13369</v>
      </c>
      <c r="F9869" t="s">
        <v>13692</v>
      </c>
    </row>
    <row r="9870" spans="1:6" x14ac:dyDescent="0.25">
      <c r="A9870" t="str">
        <f>"5256168996"</f>
        <v>5256168996</v>
      </c>
      <c r="B9870" t="s">
        <v>13693</v>
      </c>
      <c r="C9870" t="s">
        <v>7</v>
      </c>
      <c r="D9870" t="s">
        <v>33</v>
      </c>
      <c r="E9870" t="s">
        <v>13369</v>
      </c>
      <c r="F9870" t="s">
        <v>13694</v>
      </c>
    </row>
    <row r="9871" spans="1:6" x14ac:dyDescent="0.25">
      <c r="A9871" t="str">
        <f>"5256170089"</f>
        <v>5256170089</v>
      </c>
      <c r="B9871" t="s">
        <v>13695</v>
      </c>
      <c r="C9871" t="s">
        <v>7</v>
      </c>
      <c r="D9871" t="s">
        <v>12</v>
      </c>
      <c r="E9871" t="s">
        <v>13369</v>
      </c>
      <c r="F9871" t="s">
        <v>13696</v>
      </c>
    </row>
    <row r="9872" spans="1:6" x14ac:dyDescent="0.25">
      <c r="A9872" t="str">
        <f>"525617578990"</f>
        <v>525617578990</v>
      </c>
      <c r="B9872" t="s">
        <v>13697</v>
      </c>
      <c r="C9872" t="s">
        <v>7</v>
      </c>
      <c r="D9872" t="s">
        <v>14</v>
      </c>
      <c r="E9872" t="s">
        <v>13369</v>
      </c>
    </row>
    <row r="9873" spans="1:6" x14ac:dyDescent="0.25">
      <c r="A9873" t="str">
        <f>"5256193103"</f>
        <v>5256193103</v>
      </c>
      <c r="B9873" t="s">
        <v>13698</v>
      </c>
      <c r="C9873" t="s">
        <v>7</v>
      </c>
      <c r="D9873" t="s">
        <v>14</v>
      </c>
      <c r="E9873" t="s">
        <v>13369</v>
      </c>
      <c r="F9873" t="s">
        <v>13699</v>
      </c>
    </row>
    <row r="9874" spans="1:6" x14ac:dyDescent="0.25">
      <c r="A9874" t="str">
        <f>"5256200720"</f>
        <v>5256200720</v>
      </c>
      <c r="B9874" t="s">
        <v>13700</v>
      </c>
      <c r="C9874" t="s">
        <v>7</v>
      </c>
      <c r="D9874" t="s">
        <v>33</v>
      </c>
      <c r="E9874" t="s">
        <v>13369</v>
      </c>
      <c r="F9874" t="s">
        <v>13701</v>
      </c>
    </row>
    <row r="9875" spans="1:6" x14ac:dyDescent="0.25">
      <c r="A9875" t="str">
        <f>"5256210246"</f>
        <v>5256210246</v>
      </c>
      <c r="B9875" t="s">
        <v>13702</v>
      </c>
      <c r="C9875" t="s">
        <v>7</v>
      </c>
      <c r="D9875" t="s">
        <v>12</v>
      </c>
      <c r="E9875" t="s">
        <v>13369</v>
      </c>
      <c r="F9875" t="s">
        <v>13703</v>
      </c>
    </row>
    <row r="9876" spans="1:6" x14ac:dyDescent="0.25">
      <c r="A9876" t="str">
        <f>"5256210528"</f>
        <v>5256210528</v>
      </c>
      <c r="B9876" t="s">
        <v>13704</v>
      </c>
      <c r="C9876" t="s">
        <v>7</v>
      </c>
      <c r="D9876" t="s">
        <v>14</v>
      </c>
      <c r="E9876" t="s">
        <v>13369</v>
      </c>
      <c r="F9876" t="s">
        <v>13705</v>
      </c>
    </row>
    <row r="9877" spans="1:6" x14ac:dyDescent="0.25">
      <c r="A9877" t="str">
        <f>"525629270078"</f>
        <v>525629270078</v>
      </c>
      <c r="B9877" t="s">
        <v>13706</v>
      </c>
      <c r="C9877" t="s">
        <v>7</v>
      </c>
      <c r="D9877" t="s">
        <v>12</v>
      </c>
      <c r="E9877" t="s">
        <v>13369</v>
      </c>
    </row>
    <row r="9878" spans="1:6" x14ac:dyDescent="0.25">
      <c r="A9878" t="str">
        <f>"525700254292"</f>
        <v>525700254292</v>
      </c>
      <c r="B9878" t="s">
        <v>13707</v>
      </c>
      <c r="C9878" t="s">
        <v>7</v>
      </c>
      <c r="D9878" t="s">
        <v>14</v>
      </c>
      <c r="E9878" t="s">
        <v>13369</v>
      </c>
    </row>
    <row r="9879" spans="1:6" x14ac:dyDescent="0.25">
      <c r="A9879" t="str">
        <f>"525700447671"</f>
        <v>525700447671</v>
      </c>
      <c r="B9879" t="s">
        <v>13708</v>
      </c>
      <c r="C9879" t="s">
        <v>7</v>
      </c>
      <c r="D9879" t="s">
        <v>14</v>
      </c>
      <c r="E9879" t="s">
        <v>13369</v>
      </c>
    </row>
    <row r="9880" spans="1:6" x14ac:dyDescent="0.25">
      <c r="A9880" t="str">
        <f>"5257008032"</f>
        <v>5257008032</v>
      </c>
      <c r="B9880" t="s">
        <v>13709</v>
      </c>
      <c r="C9880" t="s">
        <v>7</v>
      </c>
      <c r="D9880" t="s">
        <v>14</v>
      </c>
      <c r="E9880" t="s">
        <v>13369</v>
      </c>
      <c r="F9880" t="s">
        <v>13710</v>
      </c>
    </row>
    <row r="9881" spans="1:6" x14ac:dyDescent="0.25">
      <c r="A9881" t="str">
        <f>"525704041136"</f>
        <v>525704041136</v>
      </c>
      <c r="B9881" t="s">
        <v>13711</v>
      </c>
      <c r="C9881" t="s">
        <v>7</v>
      </c>
      <c r="D9881" t="s">
        <v>14</v>
      </c>
      <c r="E9881" t="s">
        <v>13369</v>
      </c>
    </row>
    <row r="9882" spans="1:6" x14ac:dyDescent="0.25">
      <c r="A9882" t="str">
        <f>"5257060434"</f>
        <v>5257060434</v>
      </c>
      <c r="B9882" t="s">
        <v>6204</v>
      </c>
      <c r="C9882" t="s">
        <v>7</v>
      </c>
      <c r="D9882" t="s">
        <v>12</v>
      </c>
      <c r="E9882" t="s">
        <v>13369</v>
      </c>
      <c r="F9882" t="s">
        <v>13712</v>
      </c>
    </row>
    <row r="9883" spans="1:6" x14ac:dyDescent="0.25">
      <c r="A9883" t="str">
        <f>"525708771415"</f>
        <v>525708771415</v>
      </c>
      <c r="B9883" t="s">
        <v>13713</v>
      </c>
      <c r="C9883" t="s">
        <v>7</v>
      </c>
      <c r="D9883" t="s">
        <v>14</v>
      </c>
      <c r="E9883" t="s">
        <v>13369</v>
      </c>
    </row>
    <row r="9884" spans="1:6" x14ac:dyDescent="0.25">
      <c r="A9884" t="str">
        <f>"525709346251"</f>
        <v>525709346251</v>
      </c>
      <c r="B9884" t="s">
        <v>13714</v>
      </c>
      <c r="C9884" t="s">
        <v>7</v>
      </c>
      <c r="D9884" t="s">
        <v>14</v>
      </c>
      <c r="E9884" t="s">
        <v>13369</v>
      </c>
    </row>
    <row r="9885" spans="1:6" x14ac:dyDescent="0.25">
      <c r="A9885" t="str">
        <f>"5257105484"</f>
        <v>5257105484</v>
      </c>
      <c r="B9885" t="s">
        <v>13715</v>
      </c>
      <c r="C9885" t="s">
        <v>7</v>
      </c>
      <c r="D9885" t="s">
        <v>12</v>
      </c>
      <c r="E9885" t="s">
        <v>13369</v>
      </c>
      <c r="F9885" t="s">
        <v>13716</v>
      </c>
    </row>
    <row r="9886" spans="1:6" x14ac:dyDescent="0.25">
      <c r="A9886" t="str">
        <f>"5257129686"</f>
        <v>5257129686</v>
      </c>
      <c r="B9886" t="s">
        <v>13717</v>
      </c>
      <c r="C9886" t="s">
        <v>7</v>
      </c>
      <c r="D9886" t="s">
        <v>33</v>
      </c>
      <c r="E9886" t="s">
        <v>13369</v>
      </c>
      <c r="F9886" t="s">
        <v>13718</v>
      </c>
    </row>
    <row r="9887" spans="1:6" x14ac:dyDescent="0.25">
      <c r="A9887" t="str">
        <f>"5257129750"</f>
        <v>5257129750</v>
      </c>
      <c r="B9887" t="s">
        <v>13719</v>
      </c>
      <c r="C9887" t="s">
        <v>7</v>
      </c>
      <c r="D9887" t="s">
        <v>33</v>
      </c>
      <c r="E9887" t="s">
        <v>13369</v>
      </c>
      <c r="F9887" t="s">
        <v>13720</v>
      </c>
    </row>
    <row r="9888" spans="1:6" x14ac:dyDescent="0.25">
      <c r="A9888" t="str">
        <f>"5257130040"</f>
        <v>5257130040</v>
      </c>
      <c r="B9888" t="s">
        <v>13721</v>
      </c>
      <c r="C9888" t="s">
        <v>7</v>
      </c>
      <c r="D9888" t="s">
        <v>14</v>
      </c>
      <c r="E9888" t="s">
        <v>13369</v>
      </c>
      <c r="F9888" t="s">
        <v>13722</v>
      </c>
    </row>
    <row r="9889" spans="1:6" x14ac:dyDescent="0.25">
      <c r="A9889" t="str">
        <f>"5257131318"</f>
        <v>5257131318</v>
      </c>
      <c r="B9889" t="s">
        <v>13723</v>
      </c>
      <c r="C9889" t="s">
        <v>7</v>
      </c>
      <c r="D9889" t="s">
        <v>14</v>
      </c>
      <c r="E9889" t="s">
        <v>13369</v>
      </c>
      <c r="F9889" t="s">
        <v>13724</v>
      </c>
    </row>
    <row r="9890" spans="1:6" x14ac:dyDescent="0.25">
      <c r="A9890" t="str">
        <f>"5257139620"</f>
        <v>5257139620</v>
      </c>
      <c r="B9890" t="s">
        <v>2266</v>
      </c>
      <c r="C9890" t="s">
        <v>7</v>
      </c>
      <c r="D9890" t="s">
        <v>98</v>
      </c>
      <c r="E9890" t="s">
        <v>13369</v>
      </c>
      <c r="F9890" t="s">
        <v>13725</v>
      </c>
    </row>
    <row r="9891" spans="1:6" x14ac:dyDescent="0.25">
      <c r="A9891" t="str">
        <f>"5257148270"</f>
        <v>5257148270</v>
      </c>
      <c r="B9891" t="s">
        <v>8449</v>
      </c>
      <c r="C9891" t="s">
        <v>7</v>
      </c>
      <c r="D9891" t="s">
        <v>12</v>
      </c>
      <c r="E9891" t="s">
        <v>13369</v>
      </c>
      <c r="F9891" t="s">
        <v>13726</v>
      </c>
    </row>
    <row r="9892" spans="1:6" x14ac:dyDescent="0.25">
      <c r="A9892" t="str">
        <f>"5257160171"</f>
        <v>5257160171</v>
      </c>
      <c r="B9892" t="s">
        <v>13727</v>
      </c>
      <c r="C9892" t="s">
        <v>7</v>
      </c>
      <c r="D9892" t="s">
        <v>189</v>
      </c>
      <c r="E9892" t="s">
        <v>13369</v>
      </c>
      <c r="F9892" t="s">
        <v>13728</v>
      </c>
    </row>
    <row r="9893" spans="1:6" x14ac:dyDescent="0.25">
      <c r="A9893" t="str">
        <f>"5257172106"</f>
        <v>5257172106</v>
      </c>
      <c r="B9893" t="s">
        <v>13729</v>
      </c>
      <c r="C9893" t="s">
        <v>7</v>
      </c>
      <c r="D9893" t="s">
        <v>12</v>
      </c>
      <c r="E9893" t="s">
        <v>13369</v>
      </c>
      <c r="F9893" t="s">
        <v>13730</v>
      </c>
    </row>
    <row r="9894" spans="1:6" x14ac:dyDescent="0.25">
      <c r="A9894" t="str">
        <f>"525717539289"</f>
        <v>525717539289</v>
      </c>
      <c r="B9894" t="s">
        <v>13731</v>
      </c>
      <c r="C9894" t="s">
        <v>7</v>
      </c>
      <c r="D9894" t="s">
        <v>146</v>
      </c>
      <c r="E9894" t="s">
        <v>13369</v>
      </c>
    </row>
    <row r="9895" spans="1:6" x14ac:dyDescent="0.25">
      <c r="A9895" t="str">
        <f>"5257180450"</f>
        <v>5257180450</v>
      </c>
      <c r="B9895" t="s">
        <v>13732</v>
      </c>
      <c r="C9895" t="s">
        <v>7</v>
      </c>
      <c r="D9895" t="s">
        <v>12</v>
      </c>
      <c r="E9895" t="s">
        <v>13369</v>
      </c>
      <c r="F9895" t="s">
        <v>13733</v>
      </c>
    </row>
    <row r="9896" spans="1:6" x14ac:dyDescent="0.25">
      <c r="A9896" t="str">
        <f>"5257195720"</f>
        <v>5257195720</v>
      </c>
      <c r="B9896" t="s">
        <v>13734</v>
      </c>
      <c r="C9896" t="s">
        <v>7</v>
      </c>
      <c r="D9896" t="s">
        <v>14</v>
      </c>
      <c r="E9896" t="s">
        <v>13369</v>
      </c>
      <c r="F9896" t="s">
        <v>13735</v>
      </c>
    </row>
    <row r="9897" spans="1:6" x14ac:dyDescent="0.25">
      <c r="A9897" t="str">
        <f>"5257202223"</f>
        <v>5257202223</v>
      </c>
      <c r="B9897" t="s">
        <v>13736</v>
      </c>
      <c r="C9897" t="s">
        <v>7</v>
      </c>
      <c r="D9897" t="s">
        <v>12</v>
      </c>
      <c r="E9897" t="s">
        <v>13369</v>
      </c>
      <c r="F9897" t="s">
        <v>13737</v>
      </c>
    </row>
    <row r="9898" spans="1:6" x14ac:dyDescent="0.25">
      <c r="A9898" t="str">
        <f>"5257212020"</f>
        <v>5257212020</v>
      </c>
      <c r="B9898" t="s">
        <v>1008</v>
      </c>
      <c r="C9898" t="s">
        <v>7</v>
      </c>
      <c r="D9898" t="s">
        <v>14</v>
      </c>
      <c r="E9898" t="s">
        <v>13369</v>
      </c>
      <c r="F9898" t="s">
        <v>13738</v>
      </c>
    </row>
    <row r="9899" spans="1:6" x14ac:dyDescent="0.25">
      <c r="A9899" t="str">
        <f>"5257216025"</f>
        <v>5257216025</v>
      </c>
      <c r="B9899" t="s">
        <v>4141</v>
      </c>
      <c r="C9899" t="s">
        <v>7</v>
      </c>
      <c r="D9899" t="s">
        <v>12</v>
      </c>
      <c r="E9899" t="s">
        <v>13369</v>
      </c>
      <c r="F9899" t="s">
        <v>13739</v>
      </c>
    </row>
    <row r="9900" spans="1:6" x14ac:dyDescent="0.25">
      <c r="A9900" t="str">
        <f>"5257216280"</f>
        <v>5257216280</v>
      </c>
      <c r="B9900" t="s">
        <v>13740</v>
      </c>
      <c r="C9900" t="s">
        <v>7</v>
      </c>
      <c r="D9900" t="s">
        <v>12</v>
      </c>
      <c r="E9900" t="s">
        <v>13369</v>
      </c>
      <c r="F9900" t="s">
        <v>13741</v>
      </c>
    </row>
    <row r="9901" spans="1:6" x14ac:dyDescent="0.25">
      <c r="A9901" t="str">
        <f>"5257216610"</f>
        <v>5257216610</v>
      </c>
      <c r="B9901" t="s">
        <v>755</v>
      </c>
      <c r="C9901" t="s">
        <v>7</v>
      </c>
      <c r="D9901" t="s">
        <v>14</v>
      </c>
      <c r="E9901" t="s">
        <v>13369</v>
      </c>
      <c r="F9901" t="s">
        <v>13742</v>
      </c>
    </row>
    <row r="9902" spans="1:6" x14ac:dyDescent="0.25">
      <c r="A9902" t="str">
        <f>"5258089355"</f>
        <v>5258089355</v>
      </c>
      <c r="B9902" t="s">
        <v>4131</v>
      </c>
      <c r="C9902" t="s">
        <v>7</v>
      </c>
      <c r="D9902" t="s">
        <v>14</v>
      </c>
      <c r="E9902" t="s">
        <v>13369</v>
      </c>
      <c r="F9902" t="s">
        <v>13743</v>
      </c>
    </row>
    <row r="9903" spans="1:6" x14ac:dyDescent="0.25">
      <c r="A9903" t="str">
        <f>"5258093136"</f>
        <v>5258093136</v>
      </c>
      <c r="B9903" t="s">
        <v>13744</v>
      </c>
      <c r="C9903" t="s">
        <v>7</v>
      </c>
      <c r="D9903" t="s">
        <v>33</v>
      </c>
      <c r="E9903" t="s">
        <v>13369</v>
      </c>
      <c r="F9903" t="s">
        <v>13745</v>
      </c>
    </row>
    <row r="9904" spans="1:6" x14ac:dyDescent="0.25">
      <c r="A9904" t="str">
        <f>"5258112124"</f>
        <v>5258112124</v>
      </c>
      <c r="B9904" t="s">
        <v>13746</v>
      </c>
      <c r="C9904" t="s">
        <v>7</v>
      </c>
      <c r="D9904" t="s">
        <v>98</v>
      </c>
      <c r="E9904" t="s">
        <v>13369</v>
      </c>
      <c r="F9904" t="s">
        <v>13747</v>
      </c>
    </row>
    <row r="9905" spans="1:6" x14ac:dyDescent="0.25">
      <c r="A9905" t="str">
        <f>"5258113706"</f>
        <v>5258113706</v>
      </c>
      <c r="B9905" t="s">
        <v>13748</v>
      </c>
      <c r="C9905" t="s">
        <v>7</v>
      </c>
      <c r="D9905" t="s">
        <v>12</v>
      </c>
      <c r="E9905" t="s">
        <v>13369</v>
      </c>
      <c r="F9905" t="s">
        <v>13749</v>
      </c>
    </row>
    <row r="9906" spans="1:6" x14ac:dyDescent="0.25">
      <c r="A9906" t="str">
        <f>"5258143309"</f>
        <v>5258143309</v>
      </c>
      <c r="B9906" t="s">
        <v>13750</v>
      </c>
      <c r="C9906" t="s">
        <v>7</v>
      </c>
      <c r="D9906" t="s">
        <v>14</v>
      </c>
      <c r="E9906" t="s">
        <v>13369</v>
      </c>
      <c r="F9906" t="s">
        <v>13751</v>
      </c>
    </row>
    <row r="9907" spans="1:6" x14ac:dyDescent="0.25">
      <c r="A9907" t="str">
        <f>"5258150828"</f>
        <v>5258150828</v>
      </c>
      <c r="B9907" t="s">
        <v>7053</v>
      </c>
      <c r="C9907" t="s">
        <v>7</v>
      </c>
      <c r="D9907" t="s">
        <v>33</v>
      </c>
      <c r="E9907" t="s">
        <v>13369</v>
      </c>
      <c r="F9907" t="s">
        <v>13752</v>
      </c>
    </row>
    <row r="9908" spans="1:6" x14ac:dyDescent="0.25">
      <c r="A9908" t="str">
        <f>"525818842926"</f>
        <v>525818842926</v>
      </c>
      <c r="B9908" t="s">
        <v>13753</v>
      </c>
      <c r="C9908" t="s">
        <v>7</v>
      </c>
      <c r="D9908" t="s">
        <v>14</v>
      </c>
      <c r="E9908" t="s">
        <v>13369</v>
      </c>
    </row>
    <row r="9909" spans="1:6" x14ac:dyDescent="0.25">
      <c r="A9909" t="str">
        <f>"525900247831"</f>
        <v>525900247831</v>
      </c>
      <c r="B9909" t="s">
        <v>13754</v>
      </c>
      <c r="C9909" t="s">
        <v>7</v>
      </c>
      <c r="D9909" t="s">
        <v>14</v>
      </c>
      <c r="E9909" t="s">
        <v>13369</v>
      </c>
    </row>
    <row r="9910" spans="1:6" x14ac:dyDescent="0.25">
      <c r="A9910" t="str">
        <f>"5259017385"</f>
        <v>5259017385</v>
      </c>
      <c r="B9910" t="s">
        <v>13755</v>
      </c>
      <c r="C9910" t="s">
        <v>7</v>
      </c>
      <c r="D9910" t="s">
        <v>33</v>
      </c>
      <c r="E9910" t="s">
        <v>13369</v>
      </c>
      <c r="F9910" t="s">
        <v>13756</v>
      </c>
    </row>
    <row r="9911" spans="1:6" x14ac:dyDescent="0.25">
      <c r="A9911" t="str">
        <f>"5259031164"</f>
        <v>5259031164</v>
      </c>
      <c r="B9911" t="s">
        <v>13757</v>
      </c>
      <c r="C9911" t="s">
        <v>7</v>
      </c>
      <c r="D9911" t="s">
        <v>33</v>
      </c>
      <c r="E9911" t="s">
        <v>13369</v>
      </c>
      <c r="F9911" t="s">
        <v>13758</v>
      </c>
    </row>
    <row r="9912" spans="1:6" x14ac:dyDescent="0.25">
      <c r="A9912" t="str">
        <f>"5259045375"</f>
        <v>5259045375</v>
      </c>
      <c r="B9912" t="s">
        <v>13759</v>
      </c>
      <c r="C9912" t="s">
        <v>7</v>
      </c>
      <c r="D9912" t="s">
        <v>98</v>
      </c>
      <c r="E9912" t="s">
        <v>13369</v>
      </c>
      <c r="F9912" t="s">
        <v>13760</v>
      </c>
    </row>
    <row r="9913" spans="1:6" x14ac:dyDescent="0.25">
      <c r="A9913" t="str">
        <f>"525907009392"</f>
        <v>525907009392</v>
      </c>
      <c r="B9913" t="s">
        <v>13761</v>
      </c>
      <c r="C9913" t="s">
        <v>7</v>
      </c>
      <c r="D9913" t="s">
        <v>14</v>
      </c>
      <c r="E9913" t="s">
        <v>13369</v>
      </c>
    </row>
    <row r="9914" spans="1:6" x14ac:dyDescent="0.25">
      <c r="A9914" t="str">
        <f>"5259081528"</f>
        <v>5259081528</v>
      </c>
      <c r="B9914" t="s">
        <v>13762</v>
      </c>
      <c r="C9914" t="s">
        <v>7</v>
      </c>
      <c r="D9914" t="s">
        <v>14</v>
      </c>
      <c r="E9914" t="s">
        <v>13369</v>
      </c>
      <c r="F9914" t="s">
        <v>13763</v>
      </c>
    </row>
    <row r="9915" spans="1:6" x14ac:dyDescent="0.25">
      <c r="A9915" t="str">
        <f>"525912084099"</f>
        <v>525912084099</v>
      </c>
      <c r="B9915" t="s">
        <v>13764</v>
      </c>
      <c r="C9915" t="s">
        <v>7</v>
      </c>
      <c r="D9915" t="s">
        <v>14</v>
      </c>
      <c r="E9915" t="s">
        <v>13369</v>
      </c>
    </row>
    <row r="9916" spans="1:6" x14ac:dyDescent="0.25">
      <c r="A9916" t="str">
        <f>"5259149102"</f>
        <v>5259149102</v>
      </c>
      <c r="B9916" t="s">
        <v>13765</v>
      </c>
      <c r="C9916" t="s">
        <v>7</v>
      </c>
      <c r="D9916" t="s">
        <v>33</v>
      </c>
      <c r="E9916" t="s">
        <v>13369</v>
      </c>
      <c r="F9916" t="s">
        <v>13766</v>
      </c>
    </row>
    <row r="9917" spans="1:6" x14ac:dyDescent="0.25">
      <c r="A9917" t="str">
        <f>"5259155480"</f>
        <v>5259155480</v>
      </c>
      <c r="B9917" t="s">
        <v>13767</v>
      </c>
      <c r="C9917" t="s">
        <v>7</v>
      </c>
      <c r="D9917" t="s">
        <v>8</v>
      </c>
      <c r="E9917" t="s">
        <v>13369</v>
      </c>
      <c r="F9917" t="s">
        <v>13768</v>
      </c>
    </row>
    <row r="9918" spans="1:6" x14ac:dyDescent="0.25">
      <c r="A9918" t="str">
        <f>"5259157375"</f>
        <v>5259157375</v>
      </c>
      <c r="B9918" t="s">
        <v>13769</v>
      </c>
      <c r="C9918" t="s">
        <v>7</v>
      </c>
      <c r="D9918" t="s">
        <v>33</v>
      </c>
      <c r="E9918" t="s">
        <v>13369</v>
      </c>
      <c r="F9918" t="s">
        <v>13770</v>
      </c>
    </row>
    <row r="9919" spans="1:6" x14ac:dyDescent="0.25">
      <c r="A9919" t="str">
        <f>"5259158788"</f>
        <v>5259158788</v>
      </c>
      <c r="B9919" t="s">
        <v>13771</v>
      </c>
      <c r="C9919" t="s">
        <v>7</v>
      </c>
      <c r="D9919" t="s">
        <v>33</v>
      </c>
      <c r="E9919" t="s">
        <v>13369</v>
      </c>
      <c r="F9919" t="s">
        <v>13772</v>
      </c>
    </row>
    <row r="9920" spans="1:6" x14ac:dyDescent="0.25">
      <c r="A9920" t="str">
        <f>"5260134728"</f>
        <v>5260134728</v>
      </c>
      <c r="B9920" t="s">
        <v>13773</v>
      </c>
      <c r="C9920" t="s">
        <v>7</v>
      </c>
      <c r="D9920" t="s">
        <v>12</v>
      </c>
      <c r="E9920" t="s">
        <v>13369</v>
      </c>
      <c r="F9920" t="s">
        <v>13774</v>
      </c>
    </row>
    <row r="9921" spans="1:6" x14ac:dyDescent="0.25">
      <c r="A9921" t="str">
        <f>"526017715893"</f>
        <v>526017715893</v>
      </c>
      <c r="B9921" t="s">
        <v>13775</v>
      </c>
      <c r="C9921" t="s">
        <v>7</v>
      </c>
      <c r="D9921" t="s">
        <v>12</v>
      </c>
      <c r="E9921" t="s">
        <v>13369</v>
      </c>
    </row>
    <row r="9922" spans="1:6" x14ac:dyDescent="0.25">
      <c r="A9922" t="str">
        <f>"526022946423"</f>
        <v>526022946423</v>
      </c>
      <c r="B9922" t="s">
        <v>13776</v>
      </c>
      <c r="C9922" t="s">
        <v>7</v>
      </c>
      <c r="D9922" t="s">
        <v>14</v>
      </c>
      <c r="E9922" t="s">
        <v>13369</v>
      </c>
    </row>
    <row r="9923" spans="1:6" x14ac:dyDescent="0.25">
      <c r="A9923" t="str">
        <f>"5260338471"</f>
        <v>5260338471</v>
      </c>
      <c r="B9923" t="s">
        <v>13777</v>
      </c>
      <c r="C9923" t="s">
        <v>7</v>
      </c>
      <c r="D9923" t="s">
        <v>8</v>
      </c>
      <c r="E9923" t="s">
        <v>13369</v>
      </c>
      <c r="F9923" t="s">
        <v>13778</v>
      </c>
    </row>
    <row r="9924" spans="1:6" x14ac:dyDescent="0.25">
      <c r="A9924" t="str">
        <f>"5260414010"</f>
        <v>5260414010</v>
      </c>
      <c r="B9924" t="s">
        <v>13779</v>
      </c>
      <c r="C9924" t="s">
        <v>7</v>
      </c>
      <c r="D9924" t="s">
        <v>12</v>
      </c>
      <c r="E9924" t="s">
        <v>13369</v>
      </c>
      <c r="F9924" t="s">
        <v>13780</v>
      </c>
    </row>
    <row r="9925" spans="1:6" x14ac:dyDescent="0.25">
      <c r="A9925" t="str">
        <f>"5260427227"</f>
        <v>5260427227</v>
      </c>
      <c r="B9925" t="s">
        <v>13781</v>
      </c>
      <c r="C9925" t="s">
        <v>7</v>
      </c>
      <c r="D9925" t="s">
        <v>28</v>
      </c>
      <c r="E9925" t="s">
        <v>13369</v>
      </c>
      <c r="F9925" t="s">
        <v>13782</v>
      </c>
    </row>
    <row r="9926" spans="1:6" x14ac:dyDescent="0.25">
      <c r="A9926" t="str">
        <f>"5260434150"</f>
        <v>5260434150</v>
      </c>
      <c r="B9926" t="s">
        <v>13783</v>
      </c>
      <c r="C9926" t="s">
        <v>7</v>
      </c>
      <c r="D9926" t="s">
        <v>98</v>
      </c>
      <c r="E9926" t="s">
        <v>13369</v>
      </c>
      <c r="F9926" t="s">
        <v>13784</v>
      </c>
    </row>
    <row r="9927" spans="1:6" x14ac:dyDescent="0.25">
      <c r="A9927" t="str">
        <f>"5260473657"</f>
        <v>5260473657</v>
      </c>
      <c r="B9927" t="s">
        <v>13785</v>
      </c>
      <c r="C9927" t="s">
        <v>7</v>
      </c>
      <c r="D9927" t="s">
        <v>12</v>
      </c>
      <c r="E9927" t="s">
        <v>13369</v>
      </c>
      <c r="F9927" t="s">
        <v>13786</v>
      </c>
    </row>
    <row r="9928" spans="1:6" x14ac:dyDescent="0.25">
      <c r="A9928" t="str">
        <f>"5260492882"</f>
        <v>5260492882</v>
      </c>
      <c r="B9928" t="s">
        <v>13787</v>
      </c>
      <c r="C9928" t="s">
        <v>7</v>
      </c>
      <c r="D9928" t="s">
        <v>1430</v>
      </c>
      <c r="E9928" t="s">
        <v>13369</v>
      </c>
      <c r="F9928" t="s">
        <v>13788</v>
      </c>
    </row>
    <row r="9929" spans="1:6" x14ac:dyDescent="0.25">
      <c r="A9929" t="str">
        <f>"5260495266"</f>
        <v>5260495266</v>
      </c>
      <c r="B9929" t="s">
        <v>1622</v>
      </c>
      <c r="C9929" t="s">
        <v>7</v>
      </c>
      <c r="D9929" t="s">
        <v>14</v>
      </c>
      <c r="E9929" t="s">
        <v>13369</v>
      </c>
      <c r="F9929" t="s">
        <v>13789</v>
      </c>
    </row>
    <row r="9930" spans="1:6" x14ac:dyDescent="0.25">
      <c r="A9930" t="str">
        <f>"526104375668"</f>
        <v>526104375668</v>
      </c>
      <c r="B9930" t="s">
        <v>13790</v>
      </c>
      <c r="C9930" t="s">
        <v>7</v>
      </c>
      <c r="D9930" t="s">
        <v>14</v>
      </c>
      <c r="E9930" t="s">
        <v>13369</v>
      </c>
    </row>
    <row r="9931" spans="1:6" x14ac:dyDescent="0.25">
      <c r="A9931" t="str">
        <f>"5261055444"</f>
        <v>5261055444</v>
      </c>
      <c r="B9931" t="s">
        <v>13791</v>
      </c>
      <c r="C9931" t="s">
        <v>7</v>
      </c>
      <c r="D9931" t="s">
        <v>14</v>
      </c>
      <c r="E9931" t="s">
        <v>13369</v>
      </c>
      <c r="F9931" t="s">
        <v>13792</v>
      </c>
    </row>
    <row r="9932" spans="1:6" x14ac:dyDescent="0.25">
      <c r="A9932" t="str">
        <f>"5261068771"</f>
        <v>5261068771</v>
      </c>
      <c r="B9932" t="s">
        <v>13793</v>
      </c>
      <c r="C9932" t="s">
        <v>7</v>
      </c>
      <c r="D9932" t="s">
        <v>33</v>
      </c>
      <c r="E9932" t="s">
        <v>13369</v>
      </c>
      <c r="F9932" t="s">
        <v>13794</v>
      </c>
    </row>
    <row r="9933" spans="1:6" x14ac:dyDescent="0.25">
      <c r="A9933" t="str">
        <f>"5261079195"</f>
        <v>5261079195</v>
      </c>
      <c r="B9933" t="s">
        <v>13795</v>
      </c>
      <c r="C9933" t="s">
        <v>7</v>
      </c>
      <c r="D9933" t="s">
        <v>146</v>
      </c>
      <c r="E9933" t="s">
        <v>13369</v>
      </c>
      <c r="F9933" t="s">
        <v>13796</v>
      </c>
    </row>
    <row r="9934" spans="1:6" x14ac:dyDescent="0.25">
      <c r="A9934" t="str">
        <f>"5261130571"</f>
        <v>5261130571</v>
      </c>
      <c r="B9934" t="s">
        <v>13797</v>
      </c>
      <c r="C9934" t="s">
        <v>7</v>
      </c>
      <c r="D9934" t="s">
        <v>14</v>
      </c>
      <c r="E9934" t="s">
        <v>13369</v>
      </c>
      <c r="F9934" t="s">
        <v>13798</v>
      </c>
    </row>
    <row r="9935" spans="1:6" x14ac:dyDescent="0.25">
      <c r="A9935" t="str">
        <f>"5262055736"</f>
        <v>5262055736</v>
      </c>
      <c r="B9935" t="s">
        <v>13799</v>
      </c>
      <c r="C9935" t="s">
        <v>7</v>
      </c>
      <c r="D9935" t="s">
        <v>33</v>
      </c>
      <c r="E9935" t="s">
        <v>13369</v>
      </c>
      <c r="F9935" t="s">
        <v>13800</v>
      </c>
    </row>
    <row r="9936" spans="1:6" x14ac:dyDescent="0.25">
      <c r="A9936" t="str">
        <f>"526209854026"</f>
        <v>526209854026</v>
      </c>
      <c r="B9936" t="s">
        <v>13801</v>
      </c>
      <c r="C9936" t="s">
        <v>7</v>
      </c>
      <c r="D9936" t="s">
        <v>14</v>
      </c>
      <c r="E9936" t="s">
        <v>13369</v>
      </c>
    </row>
    <row r="9937" spans="1:6" x14ac:dyDescent="0.25">
      <c r="A9937" t="str">
        <f>"526211390251"</f>
        <v>526211390251</v>
      </c>
      <c r="B9937" t="s">
        <v>13802</v>
      </c>
      <c r="C9937" t="s">
        <v>7</v>
      </c>
      <c r="D9937" t="s">
        <v>14</v>
      </c>
      <c r="E9937" t="s">
        <v>13369</v>
      </c>
    </row>
    <row r="9938" spans="1:6" x14ac:dyDescent="0.25">
      <c r="A9938" t="str">
        <f>"5262125045"</f>
        <v>5262125045</v>
      </c>
      <c r="B9938" t="s">
        <v>13803</v>
      </c>
      <c r="C9938" t="s">
        <v>7</v>
      </c>
      <c r="D9938" t="s">
        <v>8</v>
      </c>
      <c r="E9938" t="s">
        <v>13369</v>
      </c>
      <c r="F9938" t="s">
        <v>13804</v>
      </c>
    </row>
    <row r="9939" spans="1:6" x14ac:dyDescent="0.25">
      <c r="A9939" t="str">
        <f>"5262130486"</f>
        <v>5262130486</v>
      </c>
      <c r="B9939" t="s">
        <v>13805</v>
      </c>
      <c r="C9939" t="s">
        <v>7</v>
      </c>
      <c r="D9939" t="s">
        <v>12</v>
      </c>
      <c r="E9939" t="s">
        <v>13369</v>
      </c>
      <c r="F9939" t="s">
        <v>13806</v>
      </c>
    </row>
    <row r="9940" spans="1:6" x14ac:dyDescent="0.25">
      <c r="A9940" t="str">
        <f>"5262219952"</f>
        <v>5262219952</v>
      </c>
      <c r="B9940" t="s">
        <v>13807</v>
      </c>
      <c r="C9940" t="s">
        <v>7</v>
      </c>
      <c r="D9940" t="s">
        <v>33</v>
      </c>
      <c r="E9940" t="s">
        <v>13369</v>
      </c>
      <c r="F9940" t="s">
        <v>13808</v>
      </c>
    </row>
    <row r="9941" spans="1:6" x14ac:dyDescent="0.25">
      <c r="A9941" t="str">
        <f>"526223211002"</f>
        <v>526223211002</v>
      </c>
      <c r="B9941" t="s">
        <v>13809</v>
      </c>
      <c r="C9941" t="s">
        <v>7</v>
      </c>
      <c r="D9941" t="s">
        <v>14</v>
      </c>
      <c r="E9941" t="s">
        <v>13369</v>
      </c>
    </row>
    <row r="9942" spans="1:6" x14ac:dyDescent="0.25">
      <c r="A9942" t="str">
        <f>"526228447354"</f>
        <v>526228447354</v>
      </c>
      <c r="B9942" t="s">
        <v>13810</v>
      </c>
      <c r="C9942" t="s">
        <v>7</v>
      </c>
      <c r="D9942" t="s">
        <v>14</v>
      </c>
      <c r="E9942" t="s">
        <v>13369</v>
      </c>
    </row>
    <row r="9943" spans="1:6" x14ac:dyDescent="0.25">
      <c r="A9943" t="str">
        <f>"5262297333"</f>
        <v>5262297333</v>
      </c>
      <c r="B9943" t="s">
        <v>13811</v>
      </c>
      <c r="C9943" t="s">
        <v>7</v>
      </c>
      <c r="D9943" t="s">
        <v>12</v>
      </c>
      <c r="E9943" t="s">
        <v>13369</v>
      </c>
      <c r="F9943" t="s">
        <v>13812</v>
      </c>
    </row>
    <row r="9944" spans="1:6" x14ac:dyDescent="0.25">
      <c r="A9944" t="str">
        <f>"5262337498"</f>
        <v>5262337498</v>
      </c>
      <c r="B9944" t="s">
        <v>13813</v>
      </c>
      <c r="C9944" t="s">
        <v>7</v>
      </c>
      <c r="D9944" t="s">
        <v>8</v>
      </c>
      <c r="E9944" t="s">
        <v>13369</v>
      </c>
      <c r="F9944" t="s">
        <v>13814</v>
      </c>
    </row>
    <row r="9945" spans="1:6" x14ac:dyDescent="0.25">
      <c r="A9945" t="str">
        <f>"5262380461"</f>
        <v>5262380461</v>
      </c>
      <c r="B9945" t="s">
        <v>13815</v>
      </c>
      <c r="C9945" t="s">
        <v>7</v>
      </c>
      <c r="D9945" t="s">
        <v>14</v>
      </c>
      <c r="E9945" t="s">
        <v>13369</v>
      </c>
      <c r="F9945" t="s">
        <v>13816</v>
      </c>
    </row>
    <row r="9946" spans="1:6" x14ac:dyDescent="0.25">
      <c r="A9946" t="str">
        <f>"5262395073"</f>
        <v>5262395073</v>
      </c>
      <c r="B9946" t="s">
        <v>13817</v>
      </c>
      <c r="C9946" t="s">
        <v>7</v>
      </c>
      <c r="D9946" t="s">
        <v>14</v>
      </c>
      <c r="E9946" t="s">
        <v>13369</v>
      </c>
      <c r="F9946" t="s">
        <v>13818</v>
      </c>
    </row>
    <row r="9947" spans="1:6" x14ac:dyDescent="0.25">
      <c r="A9947" t="str">
        <f>"526301081508"</f>
        <v>526301081508</v>
      </c>
      <c r="B9947" t="s">
        <v>13819</v>
      </c>
      <c r="C9947" t="s">
        <v>7</v>
      </c>
      <c r="D9947" t="s">
        <v>14</v>
      </c>
      <c r="E9947" t="s">
        <v>13369</v>
      </c>
    </row>
    <row r="9948" spans="1:6" x14ac:dyDescent="0.25">
      <c r="A9948" t="str">
        <f>"526302535673"</f>
        <v>526302535673</v>
      </c>
      <c r="B9948" t="s">
        <v>13820</v>
      </c>
      <c r="C9948" t="s">
        <v>7</v>
      </c>
      <c r="D9948" t="s">
        <v>14</v>
      </c>
      <c r="E9948" t="s">
        <v>13369</v>
      </c>
    </row>
    <row r="9949" spans="1:6" x14ac:dyDescent="0.25">
      <c r="A9949" t="str">
        <f>"5263031093"</f>
        <v>5263031093</v>
      </c>
      <c r="B9949" t="s">
        <v>13821</v>
      </c>
      <c r="C9949" t="s">
        <v>7</v>
      </c>
      <c r="D9949" t="s">
        <v>6745</v>
      </c>
      <c r="E9949" t="s">
        <v>13369</v>
      </c>
      <c r="F9949" t="s">
        <v>13822</v>
      </c>
    </row>
    <row r="9950" spans="1:6" x14ac:dyDescent="0.25">
      <c r="A9950" t="str">
        <f>"5263089551"</f>
        <v>5263089551</v>
      </c>
      <c r="B9950" t="s">
        <v>13823</v>
      </c>
      <c r="C9950" t="s">
        <v>7</v>
      </c>
      <c r="D9950" t="s">
        <v>33</v>
      </c>
      <c r="E9950" t="s">
        <v>13369</v>
      </c>
      <c r="F9950" t="s">
        <v>13824</v>
      </c>
    </row>
    <row r="9951" spans="1:6" x14ac:dyDescent="0.25">
      <c r="A9951" t="str">
        <f>"5263093910"</f>
        <v>5263093910</v>
      </c>
      <c r="B9951" t="s">
        <v>10622</v>
      </c>
      <c r="C9951" t="s">
        <v>7</v>
      </c>
      <c r="D9951" t="s">
        <v>14</v>
      </c>
      <c r="E9951" t="s">
        <v>13369</v>
      </c>
      <c r="F9951" t="s">
        <v>13825</v>
      </c>
    </row>
    <row r="9952" spans="1:6" x14ac:dyDescent="0.25">
      <c r="A9952" t="str">
        <f>"5263107289"</f>
        <v>5263107289</v>
      </c>
      <c r="B9952" t="s">
        <v>13826</v>
      </c>
      <c r="C9952" t="s">
        <v>7</v>
      </c>
      <c r="D9952" t="s">
        <v>33</v>
      </c>
      <c r="E9952" t="s">
        <v>13369</v>
      </c>
      <c r="F9952" t="s">
        <v>13827</v>
      </c>
    </row>
    <row r="9953" spans="1:6" x14ac:dyDescent="0.25">
      <c r="A9953" t="str">
        <f>"5263108966"</f>
        <v>5263108966</v>
      </c>
      <c r="B9953" t="s">
        <v>13828</v>
      </c>
      <c r="C9953" t="s">
        <v>7</v>
      </c>
      <c r="D9953" t="s">
        <v>146</v>
      </c>
      <c r="E9953" t="s">
        <v>13369</v>
      </c>
      <c r="F9953" t="s">
        <v>13829</v>
      </c>
    </row>
    <row r="9954" spans="1:6" x14ac:dyDescent="0.25">
      <c r="A9954" t="str">
        <f>"5263127165"</f>
        <v>5263127165</v>
      </c>
      <c r="B9954" t="s">
        <v>13830</v>
      </c>
      <c r="C9954" t="s">
        <v>7</v>
      </c>
      <c r="D9954" t="s">
        <v>1430</v>
      </c>
      <c r="E9954" t="s">
        <v>13369</v>
      </c>
      <c r="F9954" t="s">
        <v>13831</v>
      </c>
    </row>
    <row r="9955" spans="1:6" x14ac:dyDescent="0.25">
      <c r="A9955" t="str">
        <f>"5263132976"</f>
        <v>5263132976</v>
      </c>
      <c r="B9955" t="s">
        <v>13832</v>
      </c>
      <c r="C9955" t="s">
        <v>7</v>
      </c>
      <c r="D9955" t="s">
        <v>33</v>
      </c>
      <c r="E9955" t="s">
        <v>13369</v>
      </c>
      <c r="F9955" t="s">
        <v>13833</v>
      </c>
    </row>
    <row r="9956" spans="1:6" x14ac:dyDescent="0.25">
      <c r="A9956" t="str">
        <f>"5263138880"</f>
        <v>5263138880</v>
      </c>
      <c r="B9956" t="s">
        <v>8907</v>
      </c>
      <c r="C9956" t="s">
        <v>7</v>
      </c>
      <c r="D9956" t="s">
        <v>33</v>
      </c>
      <c r="E9956" t="s">
        <v>13369</v>
      </c>
      <c r="F9956" t="s">
        <v>13834</v>
      </c>
    </row>
    <row r="9957" spans="1:6" x14ac:dyDescent="0.25">
      <c r="A9957" t="str">
        <f>"5263141184"</f>
        <v>5263141184</v>
      </c>
      <c r="B9957" t="s">
        <v>13835</v>
      </c>
      <c r="C9957" t="s">
        <v>7</v>
      </c>
      <c r="D9957" t="s">
        <v>12</v>
      </c>
      <c r="E9957" t="s">
        <v>13369</v>
      </c>
      <c r="F9957" t="s">
        <v>13836</v>
      </c>
    </row>
    <row r="9958" spans="1:6" x14ac:dyDescent="0.25">
      <c r="A9958" t="str">
        <f>"5263144259"</f>
        <v>5263144259</v>
      </c>
      <c r="B9958" t="s">
        <v>5533</v>
      </c>
      <c r="C9958" t="s">
        <v>7</v>
      </c>
      <c r="D9958" t="s">
        <v>98</v>
      </c>
      <c r="E9958" t="s">
        <v>13369</v>
      </c>
      <c r="F9958" t="s">
        <v>13837</v>
      </c>
    </row>
    <row r="9959" spans="1:6" x14ac:dyDescent="0.25">
      <c r="A9959" t="str">
        <f>"5263149289"</f>
        <v>5263149289</v>
      </c>
      <c r="B9959" t="s">
        <v>13838</v>
      </c>
      <c r="C9959" t="s">
        <v>7</v>
      </c>
      <c r="D9959" t="s">
        <v>33</v>
      </c>
      <c r="E9959" t="s">
        <v>13369</v>
      </c>
      <c r="F9959" t="s">
        <v>13839</v>
      </c>
    </row>
    <row r="9960" spans="1:6" x14ac:dyDescent="0.25">
      <c r="A9960" t="str">
        <f>"5263153373"</f>
        <v>5263153373</v>
      </c>
      <c r="B9960" t="s">
        <v>3955</v>
      </c>
      <c r="C9960" t="s">
        <v>7</v>
      </c>
      <c r="D9960" t="s">
        <v>33</v>
      </c>
      <c r="E9960" t="s">
        <v>13369</v>
      </c>
      <c r="F9960" t="s">
        <v>13840</v>
      </c>
    </row>
    <row r="9961" spans="1:6" x14ac:dyDescent="0.25">
      <c r="A9961" t="str">
        <f>"526315660199"</f>
        <v>526315660199</v>
      </c>
      <c r="B9961" t="s">
        <v>13841</v>
      </c>
      <c r="C9961" t="s">
        <v>7</v>
      </c>
      <c r="D9961" t="s">
        <v>14</v>
      </c>
      <c r="E9961" t="s">
        <v>13369</v>
      </c>
    </row>
    <row r="9962" spans="1:6" x14ac:dyDescent="0.25">
      <c r="A9962" t="str">
        <f>"526318170227"</f>
        <v>526318170227</v>
      </c>
      <c r="B9962" t="s">
        <v>13842</v>
      </c>
      <c r="C9962" t="s">
        <v>7</v>
      </c>
      <c r="D9962" t="s">
        <v>14</v>
      </c>
      <c r="E9962" t="s">
        <v>13369</v>
      </c>
    </row>
    <row r="9963" spans="1:6" x14ac:dyDescent="0.25">
      <c r="A9963" t="str">
        <f>"526323997622"</f>
        <v>526323997622</v>
      </c>
      <c r="B9963" t="s">
        <v>13843</v>
      </c>
      <c r="C9963" t="s">
        <v>7</v>
      </c>
      <c r="D9963" t="s">
        <v>12</v>
      </c>
      <c r="E9963" t="s">
        <v>13369</v>
      </c>
    </row>
    <row r="9964" spans="1:6" x14ac:dyDescent="0.25">
      <c r="A9964" t="str">
        <f>"3327135435"</f>
        <v>3327135435</v>
      </c>
      <c r="B9964" t="s">
        <v>13844</v>
      </c>
      <c r="C9964" t="s">
        <v>7</v>
      </c>
      <c r="D9964" t="s">
        <v>33</v>
      </c>
      <c r="E9964" t="s">
        <v>13369</v>
      </c>
      <c r="F9964" t="s">
        <v>13845</v>
      </c>
    </row>
    <row r="9965" spans="1:6" x14ac:dyDescent="0.25">
      <c r="A9965" t="str">
        <f>"5252043562"</f>
        <v>5252043562</v>
      </c>
      <c r="B9965" t="s">
        <v>13846</v>
      </c>
      <c r="C9965" t="s">
        <v>7</v>
      </c>
      <c r="D9965" t="s">
        <v>1430</v>
      </c>
      <c r="E9965" t="s">
        <v>13369</v>
      </c>
      <c r="F9965" t="s">
        <v>13847</v>
      </c>
    </row>
    <row r="9966" spans="1:6" x14ac:dyDescent="0.25">
      <c r="A9966" t="str">
        <f>"5252050249"</f>
        <v>5252050249</v>
      </c>
      <c r="B9966" t="s">
        <v>13848</v>
      </c>
      <c r="C9966" t="s">
        <v>7</v>
      </c>
      <c r="D9966" t="s">
        <v>33</v>
      </c>
      <c r="E9966" t="s">
        <v>13369</v>
      </c>
      <c r="F9966" t="s">
        <v>13849</v>
      </c>
    </row>
    <row r="9967" spans="1:6" x14ac:dyDescent="0.25">
      <c r="A9967" t="str">
        <f>"525208124385"</f>
        <v>525208124385</v>
      </c>
      <c r="B9967" t="s">
        <v>13850</v>
      </c>
      <c r="C9967" t="s">
        <v>7</v>
      </c>
      <c r="D9967" t="s">
        <v>14</v>
      </c>
      <c r="E9967" t="s">
        <v>13369</v>
      </c>
    </row>
    <row r="9968" spans="1:6" x14ac:dyDescent="0.25">
      <c r="A9968" t="str">
        <f>"525405464310"</f>
        <v>525405464310</v>
      </c>
      <c r="B9968" t="s">
        <v>13851</v>
      </c>
      <c r="C9968" t="s">
        <v>7</v>
      </c>
      <c r="D9968" t="s">
        <v>12</v>
      </c>
      <c r="E9968" t="s">
        <v>13369</v>
      </c>
    </row>
    <row r="9969" spans="1:6" x14ac:dyDescent="0.25">
      <c r="A9969" t="str">
        <f>"5254495525"</f>
        <v>5254495525</v>
      </c>
      <c r="B9969" t="s">
        <v>13852</v>
      </c>
      <c r="C9969" t="s">
        <v>7</v>
      </c>
      <c r="D9969" t="s">
        <v>33</v>
      </c>
      <c r="E9969" t="s">
        <v>13369</v>
      </c>
      <c r="F9969" t="s">
        <v>13853</v>
      </c>
    </row>
    <row r="9970" spans="1:6" x14ac:dyDescent="0.25">
      <c r="A9970" t="str">
        <f>"525600039622"</f>
        <v>525600039622</v>
      </c>
      <c r="B9970" t="s">
        <v>13854</v>
      </c>
      <c r="C9970" t="s">
        <v>7</v>
      </c>
      <c r="D9970" t="s">
        <v>14</v>
      </c>
      <c r="E9970" t="s">
        <v>13369</v>
      </c>
    </row>
    <row r="9971" spans="1:6" x14ac:dyDescent="0.25">
      <c r="A9971" t="str">
        <f>"525600799616"</f>
        <v>525600799616</v>
      </c>
      <c r="B9971" t="s">
        <v>13855</v>
      </c>
      <c r="C9971" t="s">
        <v>7</v>
      </c>
      <c r="D9971" t="s">
        <v>12</v>
      </c>
      <c r="E9971" t="s">
        <v>13369</v>
      </c>
    </row>
    <row r="9972" spans="1:6" x14ac:dyDescent="0.25">
      <c r="A9972" t="str">
        <f>"525603976687"</f>
        <v>525603976687</v>
      </c>
      <c r="B9972" t="s">
        <v>13856</v>
      </c>
      <c r="C9972" t="s">
        <v>7</v>
      </c>
      <c r="D9972" t="s">
        <v>12</v>
      </c>
      <c r="E9972" t="s">
        <v>13369</v>
      </c>
    </row>
    <row r="9973" spans="1:6" x14ac:dyDescent="0.25">
      <c r="A9973" t="str">
        <f>"5256054950"</f>
        <v>5256054950</v>
      </c>
      <c r="B9973" t="s">
        <v>13857</v>
      </c>
      <c r="C9973" t="s">
        <v>7</v>
      </c>
      <c r="D9973" t="s">
        <v>14</v>
      </c>
      <c r="E9973" t="s">
        <v>13369</v>
      </c>
      <c r="F9973" t="s">
        <v>13858</v>
      </c>
    </row>
    <row r="9974" spans="1:6" x14ac:dyDescent="0.25">
      <c r="A9974" t="str">
        <f>"5256093130"</f>
        <v>5256093130</v>
      </c>
      <c r="B9974" t="s">
        <v>13859</v>
      </c>
      <c r="C9974" t="s">
        <v>7</v>
      </c>
      <c r="D9974" t="s">
        <v>33</v>
      </c>
      <c r="E9974" t="s">
        <v>13369</v>
      </c>
      <c r="F9974" t="s">
        <v>13860</v>
      </c>
    </row>
    <row r="9975" spans="1:6" x14ac:dyDescent="0.25">
      <c r="A9975" t="str">
        <f>"5256119928"</f>
        <v>5256119928</v>
      </c>
      <c r="B9975" t="s">
        <v>13861</v>
      </c>
      <c r="C9975" t="s">
        <v>7</v>
      </c>
      <c r="D9975" t="s">
        <v>12</v>
      </c>
      <c r="E9975" t="s">
        <v>13369</v>
      </c>
      <c r="F9975" t="s">
        <v>13862</v>
      </c>
    </row>
    <row r="9976" spans="1:6" x14ac:dyDescent="0.25">
      <c r="A9976" t="str">
        <f>"5256128425"</f>
        <v>5256128425</v>
      </c>
      <c r="B9976" t="s">
        <v>13863</v>
      </c>
      <c r="C9976" t="s">
        <v>7</v>
      </c>
      <c r="D9976" t="s">
        <v>14</v>
      </c>
      <c r="E9976" t="s">
        <v>13369</v>
      </c>
      <c r="F9976" t="s">
        <v>13864</v>
      </c>
    </row>
    <row r="9977" spans="1:6" x14ac:dyDescent="0.25">
      <c r="A9977" t="str">
        <f>"5256128584"</f>
        <v>5256128584</v>
      </c>
      <c r="B9977" t="s">
        <v>13865</v>
      </c>
      <c r="C9977" t="s">
        <v>7</v>
      </c>
      <c r="D9977" t="s">
        <v>98</v>
      </c>
      <c r="E9977" t="s">
        <v>13369</v>
      </c>
      <c r="F9977" t="s">
        <v>13866</v>
      </c>
    </row>
    <row r="9978" spans="1:6" x14ac:dyDescent="0.25">
      <c r="A9978" t="str">
        <f>"5256146946"</f>
        <v>5256146946</v>
      </c>
      <c r="B9978" t="s">
        <v>13867</v>
      </c>
      <c r="C9978" t="s">
        <v>7</v>
      </c>
      <c r="D9978" t="s">
        <v>14</v>
      </c>
      <c r="E9978" t="s">
        <v>13369</v>
      </c>
      <c r="F9978" t="s">
        <v>13868</v>
      </c>
    </row>
    <row r="9979" spans="1:6" x14ac:dyDescent="0.25">
      <c r="A9979" t="str">
        <f>"5256161020"</f>
        <v>5256161020</v>
      </c>
      <c r="B9979" t="s">
        <v>13869</v>
      </c>
      <c r="C9979" t="s">
        <v>7</v>
      </c>
      <c r="D9979" t="s">
        <v>98</v>
      </c>
      <c r="E9979" t="s">
        <v>13369</v>
      </c>
      <c r="F9979" t="s">
        <v>13870</v>
      </c>
    </row>
    <row r="9980" spans="1:6" x14ac:dyDescent="0.25">
      <c r="A9980" t="str">
        <f>"5256171283"</f>
        <v>5256171283</v>
      </c>
      <c r="B9980" t="s">
        <v>13871</v>
      </c>
      <c r="C9980" t="s">
        <v>7</v>
      </c>
      <c r="D9980" t="s">
        <v>33</v>
      </c>
      <c r="E9980" t="s">
        <v>13369</v>
      </c>
      <c r="F9980" t="s">
        <v>13872</v>
      </c>
    </row>
    <row r="9981" spans="1:6" x14ac:dyDescent="0.25">
      <c r="A9981" t="str">
        <f>"5256176355"</f>
        <v>5256176355</v>
      </c>
      <c r="B9981" t="s">
        <v>13873</v>
      </c>
      <c r="C9981" t="s">
        <v>7</v>
      </c>
      <c r="D9981" t="s">
        <v>14</v>
      </c>
      <c r="E9981" t="s">
        <v>13369</v>
      </c>
      <c r="F9981" t="s">
        <v>13868</v>
      </c>
    </row>
    <row r="9982" spans="1:6" x14ac:dyDescent="0.25">
      <c r="A9982" t="str">
        <f>"5256178352"</f>
        <v>5256178352</v>
      </c>
      <c r="B9982" t="s">
        <v>13874</v>
      </c>
      <c r="C9982" t="s">
        <v>7</v>
      </c>
      <c r="D9982" t="s">
        <v>12</v>
      </c>
      <c r="E9982" t="s">
        <v>13369</v>
      </c>
      <c r="F9982" t="s">
        <v>13875</v>
      </c>
    </row>
    <row r="9983" spans="1:6" x14ac:dyDescent="0.25">
      <c r="A9983" t="str">
        <f>"525621645889"</f>
        <v>525621645889</v>
      </c>
      <c r="B9983" t="s">
        <v>13876</v>
      </c>
      <c r="C9983" t="s">
        <v>7</v>
      </c>
      <c r="D9983" t="s">
        <v>12</v>
      </c>
      <c r="E9983" t="s">
        <v>13369</v>
      </c>
    </row>
    <row r="9984" spans="1:6" x14ac:dyDescent="0.25">
      <c r="A9984" t="str">
        <f>"525627413235"</f>
        <v>525627413235</v>
      </c>
      <c r="B9984" t="s">
        <v>13877</v>
      </c>
      <c r="C9984" t="s">
        <v>7</v>
      </c>
      <c r="D9984" t="s">
        <v>12</v>
      </c>
      <c r="E9984" t="s">
        <v>13369</v>
      </c>
    </row>
    <row r="9985" spans="1:6" x14ac:dyDescent="0.25">
      <c r="A9985" t="str">
        <f>"525689712813"</f>
        <v>525689712813</v>
      </c>
      <c r="B9985" t="s">
        <v>13878</v>
      </c>
      <c r="C9985" t="s">
        <v>7</v>
      </c>
      <c r="D9985" t="s">
        <v>14</v>
      </c>
      <c r="E9985" t="s">
        <v>13369</v>
      </c>
    </row>
    <row r="9986" spans="1:6" x14ac:dyDescent="0.25">
      <c r="A9986" t="str">
        <f>"525700033511"</f>
        <v>525700033511</v>
      </c>
      <c r="B9986" t="s">
        <v>13879</v>
      </c>
      <c r="C9986" t="s">
        <v>7</v>
      </c>
      <c r="D9986" t="s">
        <v>14</v>
      </c>
      <c r="E9986" t="s">
        <v>13369</v>
      </c>
    </row>
    <row r="9987" spans="1:6" x14ac:dyDescent="0.25">
      <c r="A9987" t="str">
        <f>"5257018182"</f>
        <v>5257018182</v>
      </c>
      <c r="B9987" t="s">
        <v>10313</v>
      </c>
      <c r="C9987" t="s">
        <v>7</v>
      </c>
      <c r="D9987" t="s">
        <v>33</v>
      </c>
      <c r="E9987" t="s">
        <v>13369</v>
      </c>
      <c r="F9987" t="s">
        <v>13880</v>
      </c>
    </row>
    <row r="9988" spans="1:6" x14ac:dyDescent="0.25">
      <c r="A9988" t="str">
        <f>"525703834950"</f>
        <v>525703834950</v>
      </c>
      <c r="B9988" t="s">
        <v>13881</v>
      </c>
      <c r="C9988" t="s">
        <v>7</v>
      </c>
      <c r="D9988" t="s">
        <v>14</v>
      </c>
      <c r="E9988" t="s">
        <v>13369</v>
      </c>
    </row>
    <row r="9989" spans="1:6" x14ac:dyDescent="0.25">
      <c r="A9989" t="str">
        <f>"5257052602"</f>
        <v>5257052602</v>
      </c>
      <c r="B9989" t="s">
        <v>13882</v>
      </c>
      <c r="C9989" t="s">
        <v>7</v>
      </c>
      <c r="D9989" t="s">
        <v>33</v>
      </c>
      <c r="E9989" t="s">
        <v>13369</v>
      </c>
      <c r="F9989" t="s">
        <v>13883</v>
      </c>
    </row>
    <row r="9990" spans="1:6" x14ac:dyDescent="0.25">
      <c r="A9990" t="str">
        <f>"5257058379"</f>
        <v>5257058379</v>
      </c>
      <c r="B9990" t="s">
        <v>13884</v>
      </c>
      <c r="C9990" t="s">
        <v>7</v>
      </c>
      <c r="D9990" t="s">
        <v>674</v>
      </c>
      <c r="E9990" t="s">
        <v>13369</v>
      </c>
      <c r="F9990" t="s">
        <v>13885</v>
      </c>
    </row>
    <row r="9991" spans="1:6" x14ac:dyDescent="0.25">
      <c r="A9991" t="str">
        <f>"525710092682"</f>
        <v>525710092682</v>
      </c>
      <c r="B9991" t="s">
        <v>13886</v>
      </c>
      <c r="C9991" t="s">
        <v>7</v>
      </c>
      <c r="D9991" t="s">
        <v>14</v>
      </c>
      <c r="E9991" t="s">
        <v>13369</v>
      </c>
    </row>
    <row r="9992" spans="1:6" x14ac:dyDescent="0.25">
      <c r="A9992" t="str">
        <f>"5257125360"</f>
        <v>5257125360</v>
      </c>
      <c r="B9992" t="s">
        <v>7996</v>
      </c>
      <c r="C9992" t="s">
        <v>7</v>
      </c>
      <c r="D9992" t="s">
        <v>12</v>
      </c>
      <c r="E9992" t="s">
        <v>13369</v>
      </c>
      <c r="F9992" t="s">
        <v>13887</v>
      </c>
    </row>
    <row r="9993" spans="1:6" x14ac:dyDescent="0.25">
      <c r="A9993" t="str">
        <f>"5257131420"</f>
        <v>5257131420</v>
      </c>
      <c r="B9993" t="s">
        <v>13888</v>
      </c>
      <c r="C9993" t="s">
        <v>7</v>
      </c>
      <c r="D9993" t="s">
        <v>12</v>
      </c>
      <c r="E9993" t="s">
        <v>13369</v>
      </c>
      <c r="F9993" t="s">
        <v>13724</v>
      </c>
    </row>
    <row r="9994" spans="1:6" x14ac:dyDescent="0.25">
      <c r="A9994" t="str">
        <f>"5257146226"</f>
        <v>5257146226</v>
      </c>
      <c r="B9994" t="s">
        <v>13889</v>
      </c>
      <c r="C9994" t="s">
        <v>7</v>
      </c>
      <c r="D9994" t="s">
        <v>12</v>
      </c>
      <c r="E9994" t="s">
        <v>13369</v>
      </c>
      <c r="F9994" t="s">
        <v>13890</v>
      </c>
    </row>
    <row r="9995" spans="1:6" x14ac:dyDescent="0.25">
      <c r="A9995" t="str">
        <f>"5257153431"</f>
        <v>5257153431</v>
      </c>
      <c r="B9995" t="s">
        <v>13891</v>
      </c>
      <c r="C9995" t="s">
        <v>7</v>
      </c>
      <c r="D9995" t="s">
        <v>12</v>
      </c>
      <c r="E9995" t="s">
        <v>13369</v>
      </c>
      <c r="F9995" t="s">
        <v>13892</v>
      </c>
    </row>
    <row r="9996" spans="1:6" x14ac:dyDescent="0.25">
      <c r="A9996" t="str">
        <f>"5257156520"</f>
        <v>5257156520</v>
      </c>
      <c r="B9996" t="s">
        <v>13893</v>
      </c>
      <c r="C9996" t="s">
        <v>7</v>
      </c>
      <c r="D9996" t="s">
        <v>12</v>
      </c>
      <c r="E9996" t="s">
        <v>13369</v>
      </c>
      <c r="F9996" t="s">
        <v>13894</v>
      </c>
    </row>
    <row r="9997" spans="1:6" x14ac:dyDescent="0.25">
      <c r="A9997" t="str">
        <f>"5257175322"</f>
        <v>5257175322</v>
      </c>
      <c r="B9997" t="s">
        <v>13895</v>
      </c>
      <c r="C9997" t="s">
        <v>7</v>
      </c>
      <c r="D9997" t="s">
        <v>146</v>
      </c>
      <c r="E9997" t="s">
        <v>13369</v>
      </c>
      <c r="F9997" t="s">
        <v>13896</v>
      </c>
    </row>
    <row r="9998" spans="1:6" x14ac:dyDescent="0.25">
      <c r="A9998" t="str">
        <f>"5257176164"</f>
        <v>5257176164</v>
      </c>
      <c r="B9998" t="s">
        <v>13897</v>
      </c>
      <c r="C9998" t="s">
        <v>7</v>
      </c>
      <c r="D9998" t="s">
        <v>12</v>
      </c>
      <c r="E9998" t="s">
        <v>13369</v>
      </c>
      <c r="F9998" t="s">
        <v>13898</v>
      </c>
    </row>
    <row r="9999" spans="1:6" x14ac:dyDescent="0.25">
      <c r="A9999" t="str">
        <f>"5257188385"</f>
        <v>5257188385</v>
      </c>
      <c r="B9999" t="s">
        <v>13899</v>
      </c>
      <c r="C9999" t="s">
        <v>7</v>
      </c>
      <c r="D9999" t="s">
        <v>33</v>
      </c>
      <c r="E9999" t="s">
        <v>13369</v>
      </c>
      <c r="F9999" t="s">
        <v>13900</v>
      </c>
    </row>
    <row r="10000" spans="1:6" x14ac:dyDescent="0.25">
      <c r="A10000" t="str">
        <f>"5257200868"</f>
        <v>5257200868</v>
      </c>
      <c r="B10000" t="s">
        <v>3120</v>
      </c>
      <c r="C10000" t="s">
        <v>7</v>
      </c>
      <c r="D10000" t="s">
        <v>33</v>
      </c>
      <c r="E10000" t="s">
        <v>13369</v>
      </c>
      <c r="F10000" t="s">
        <v>13901</v>
      </c>
    </row>
    <row r="10001" spans="1:6" x14ac:dyDescent="0.25">
      <c r="A10001" t="str">
        <f>"5257207461"</f>
        <v>5257207461</v>
      </c>
      <c r="B10001" t="s">
        <v>13902</v>
      </c>
      <c r="C10001" t="s">
        <v>7</v>
      </c>
      <c r="D10001" t="s">
        <v>33</v>
      </c>
      <c r="E10001" t="s">
        <v>13369</v>
      </c>
      <c r="F10001" t="s">
        <v>13903</v>
      </c>
    </row>
    <row r="10002" spans="1:6" x14ac:dyDescent="0.25">
      <c r="A10002" t="str">
        <f>"5257216402"</f>
        <v>5257216402</v>
      </c>
      <c r="B10002" t="s">
        <v>2204</v>
      </c>
      <c r="C10002" t="s">
        <v>7</v>
      </c>
      <c r="D10002" t="s">
        <v>12</v>
      </c>
      <c r="E10002" t="s">
        <v>13369</v>
      </c>
      <c r="F10002" t="s">
        <v>13904</v>
      </c>
    </row>
    <row r="10003" spans="1:6" x14ac:dyDescent="0.25">
      <c r="A10003" t="str">
        <f>"525803244289"</f>
        <v>525803244289</v>
      </c>
      <c r="B10003" t="s">
        <v>13905</v>
      </c>
      <c r="C10003" t="s">
        <v>7</v>
      </c>
      <c r="D10003" t="s">
        <v>14</v>
      </c>
      <c r="E10003" t="s">
        <v>13369</v>
      </c>
    </row>
    <row r="10004" spans="1:6" x14ac:dyDescent="0.25">
      <c r="A10004" t="str">
        <f>"5258079100"</f>
        <v>5258079100</v>
      </c>
      <c r="B10004" t="s">
        <v>13906</v>
      </c>
      <c r="C10004" t="s">
        <v>7</v>
      </c>
      <c r="D10004" t="s">
        <v>8</v>
      </c>
      <c r="E10004" t="s">
        <v>13369</v>
      </c>
      <c r="F10004" t="s">
        <v>13907</v>
      </c>
    </row>
    <row r="10005" spans="1:6" x14ac:dyDescent="0.25">
      <c r="A10005" t="str">
        <f>"5258091330"</f>
        <v>5258091330</v>
      </c>
      <c r="B10005" t="s">
        <v>757</v>
      </c>
      <c r="C10005" t="s">
        <v>7</v>
      </c>
      <c r="D10005" t="s">
        <v>14</v>
      </c>
      <c r="E10005" t="s">
        <v>13369</v>
      </c>
      <c r="F10005" t="s">
        <v>13908</v>
      </c>
    </row>
    <row r="10006" spans="1:6" x14ac:dyDescent="0.25">
      <c r="A10006" t="str">
        <f>"5258099770"</f>
        <v>5258099770</v>
      </c>
      <c r="B10006" t="s">
        <v>13909</v>
      </c>
      <c r="C10006" t="s">
        <v>7</v>
      </c>
      <c r="D10006" t="s">
        <v>146</v>
      </c>
      <c r="E10006" t="s">
        <v>13369</v>
      </c>
      <c r="F10006" t="s">
        <v>13910</v>
      </c>
    </row>
    <row r="10007" spans="1:6" x14ac:dyDescent="0.25">
      <c r="A10007" t="str">
        <f>"525810944563"</f>
        <v>525810944563</v>
      </c>
      <c r="B10007" t="s">
        <v>13911</v>
      </c>
      <c r="C10007" t="s">
        <v>7</v>
      </c>
      <c r="D10007" t="s">
        <v>14</v>
      </c>
      <c r="E10007" t="s">
        <v>13369</v>
      </c>
    </row>
    <row r="10008" spans="1:6" x14ac:dyDescent="0.25">
      <c r="A10008" t="str">
        <f>"5258116873"</f>
        <v>5258116873</v>
      </c>
      <c r="B10008" t="s">
        <v>13912</v>
      </c>
      <c r="C10008" t="s">
        <v>7</v>
      </c>
      <c r="D10008" t="s">
        <v>33</v>
      </c>
      <c r="E10008" t="s">
        <v>13369</v>
      </c>
      <c r="F10008" t="s">
        <v>13913</v>
      </c>
    </row>
    <row r="10009" spans="1:6" x14ac:dyDescent="0.25">
      <c r="A10009" t="str">
        <f>"5258118060"</f>
        <v>5258118060</v>
      </c>
      <c r="B10009" t="s">
        <v>6983</v>
      </c>
      <c r="C10009" t="s">
        <v>7</v>
      </c>
      <c r="D10009" t="s">
        <v>33</v>
      </c>
      <c r="E10009" t="s">
        <v>13369</v>
      </c>
      <c r="F10009" t="s">
        <v>13914</v>
      </c>
    </row>
    <row r="10010" spans="1:6" x14ac:dyDescent="0.25">
      <c r="A10010" t="str">
        <f>"5258123285"</f>
        <v>5258123285</v>
      </c>
      <c r="B10010" t="s">
        <v>13915</v>
      </c>
      <c r="C10010" t="s">
        <v>7</v>
      </c>
      <c r="D10010" t="s">
        <v>33</v>
      </c>
      <c r="E10010" t="s">
        <v>13369</v>
      </c>
      <c r="F10010" t="s">
        <v>13916</v>
      </c>
    </row>
    <row r="10011" spans="1:6" x14ac:dyDescent="0.25">
      <c r="A10011" t="str">
        <f>"5258130130"</f>
        <v>5258130130</v>
      </c>
      <c r="B10011" t="s">
        <v>13917</v>
      </c>
      <c r="C10011" t="s">
        <v>7</v>
      </c>
      <c r="D10011" t="s">
        <v>14</v>
      </c>
      <c r="E10011" t="s">
        <v>13369</v>
      </c>
      <c r="F10011" t="s">
        <v>13918</v>
      </c>
    </row>
    <row r="10012" spans="1:6" x14ac:dyDescent="0.25">
      <c r="A10012" t="str">
        <f>"5258148339"</f>
        <v>5258148339</v>
      </c>
      <c r="B10012" t="s">
        <v>13919</v>
      </c>
      <c r="C10012" t="s">
        <v>7</v>
      </c>
      <c r="D10012" t="s">
        <v>33</v>
      </c>
      <c r="E10012" t="s">
        <v>13369</v>
      </c>
      <c r="F10012" t="s">
        <v>13920</v>
      </c>
    </row>
    <row r="10013" spans="1:6" x14ac:dyDescent="0.25">
      <c r="A10013" t="str">
        <f>"525816979763"</f>
        <v>525816979763</v>
      </c>
      <c r="B10013" t="s">
        <v>13921</v>
      </c>
      <c r="C10013" t="s">
        <v>7</v>
      </c>
      <c r="D10013" t="s">
        <v>14</v>
      </c>
      <c r="E10013" t="s">
        <v>13369</v>
      </c>
    </row>
    <row r="10014" spans="1:6" x14ac:dyDescent="0.25">
      <c r="A10014" t="str">
        <f>"525819770819"</f>
        <v>525819770819</v>
      </c>
      <c r="B10014" t="s">
        <v>13922</v>
      </c>
      <c r="C10014" t="s">
        <v>7</v>
      </c>
      <c r="D10014" t="s">
        <v>14</v>
      </c>
      <c r="E10014" t="s">
        <v>13369</v>
      </c>
    </row>
    <row r="10015" spans="1:6" x14ac:dyDescent="0.25">
      <c r="A10015" t="str">
        <f>"5259101238"</f>
        <v>5259101238</v>
      </c>
      <c r="B10015" t="s">
        <v>2380</v>
      </c>
      <c r="C10015" t="s">
        <v>7</v>
      </c>
      <c r="D10015" t="s">
        <v>33</v>
      </c>
      <c r="E10015" t="s">
        <v>13369</v>
      </c>
      <c r="F10015" t="s">
        <v>13923</v>
      </c>
    </row>
    <row r="10016" spans="1:6" x14ac:dyDescent="0.25">
      <c r="A10016" t="str">
        <f>"5259103884"</f>
        <v>5259103884</v>
      </c>
      <c r="B10016" t="s">
        <v>13924</v>
      </c>
      <c r="C10016" t="s">
        <v>7</v>
      </c>
      <c r="D10016" t="s">
        <v>146</v>
      </c>
      <c r="E10016" t="s">
        <v>13369</v>
      </c>
      <c r="F10016" t="s">
        <v>13925</v>
      </c>
    </row>
    <row r="10017" spans="1:6" x14ac:dyDescent="0.25">
      <c r="A10017" t="str">
        <f>"525911084829"</f>
        <v>525911084829</v>
      </c>
      <c r="B10017" t="s">
        <v>13926</v>
      </c>
      <c r="C10017" t="s">
        <v>7</v>
      </c>
      <c r="D10017" t="s">
        <v>14</v>
      </c>
      <c r="E10017" t="s">
        <v>13369</v>
      </c>
    </row>
    <row r="10018" spans="1:6" x14ac:dyDescent="0.25">
      <c r="A10018" t="str">
        <f>"5259117982"</f>
        <v>5259117982</v>
      </c>
      <c r="B10018" t="s">
        <v>13927</v>
      </c>
      <c r="C10018" t="s">
        <v>7</v>
      </c>
      <c r="D10018" t="s">
        <v>33</v>
      </c>
      <c r="E10018" t="s">
        <v>13369</v>
      </c>
      <c r="F10018" t="s">
        <v>13928</v>
      </c>
    </row>
    <row r="10019" spans="1:6" x14ac:dyDescent="0.25">
      <c r="A10019" t="str">
        <f>"5259120921"</f>
        <v>5259120921</v>
      </c>
      <c r="B10019" t="s">
        <v>13929</v>
      </c>
      <c r="C10019" t="s">
        <v>7</v>
      </c>
      <c r="D10019" t="s">
        <v>33</v>
      </c>
      <c r="E10019" t="s">
        <v>13369</v>
      </c>
      <c r="F10019" t="s">
        <v>13930</v>
      </c>
    </row>
    <row r="10020" spans="1:6" x14ac:dyDescent="0.25">
      <c r="A10020" t="str">
        <f>"525913718397"</f>
        <v>525913718397</v>
      </c>
      <c r="B10020" t="s">
        <v>13931</v>
      </c>
      <c r="C10020" t="s">
        <v>7</v>
      </c>
      <c r="D10020" t="s">
        <v>14</v>
      </c>
      <c r="E10020" t="s">
        <v>13369</v>
      </c>
    </row>
    <row r="10021" spans="1:6" x14ac:dyDescent="0.25">
      <c r="A10021" t="str">
        <f>"5259140371"</f>
        <v>5259140371</v>
      </c>
      <c r="B10021" t="s">
        <v>13932</v>
      </c>
      <c r="C10021" t="s">
        <v>7</v>
      </c>
      <c r="D10021" t="s">
        <v>12</v>
      </c>
      <c r="E10021" t="s">
        <v>13369</v>
      </c>
      <c r="F10021" t="s">
        <v>13933</v>
      </c>
    </row>
    <row r="10022" spans="1:6" x14ac:dyDescent="0.25">
      <c r="A10022" t="str">
        <f>"5259150450"</f>
        <v>5259150450</v>
      </c>
      <c r="B10022" t="s">
        <v>13934</v>
      </c>
      <c r="C10022" t="s">
        <v>7</v>
      </c>
      <c r="D10022" t="s">
        <v>33</v>
      </c>
      <c r="E10022" t="s">
        <v>13369</v>
      </c>
      <c r="F10022" t="s">
        <v>13935</v>
      </c>
    </row>
    <row r="10023" spans="1:6" x14ac:dyDescent="0.25">
      <c r="A10023" t="str">
        <f>"5259154127"</f>
        <v>5259154127</v>
      </c>
      <c r="B10023" t="s">
        <v>13936</v>
      </c>
      <c r="C10023" t="s">
        <v>7</v>
      </c>
      <c r="D10023" t="s">
        <v>33</v>
      </c>
      <c r="E10023" t="s">
        <v>13369</v>
      </c>
      <c r="F10023" t="s">
        <v>13937</v>
      </c>
    </row>
    <row r="10024" spans="1:6" x14ac:dyDescent="0.25">
      <c r="A10024" t="str">
        <f>"5259154504"</f>
        <v>5259154504</v>
      </c>
      <c r="B10024" t="s">
        <v>13938</v>
      </c>
      <c r="C10024" t="s">
        <v>7</v>
      </c>
      <c r="D10024" t="s">
        <v>33</v>
      </c>
      <c r="E10024" t="s">
        <v>13369</v>
      </c>
      <c r="F10024" t="s">
        <v>13939</v>
      </c>
    </row>
    <row r="10025" spans="1:6" x14ac:dyDescent="0.25">
      <c r="A10025" t="str">
        <f>"5259157061"</f>
        <v>5259157061</v>
      </c>
      <c r="B10025" t="s">
        <v>13940</v>
      </c>
      <c r="C10025" t="s">
        <v>7</v>
      </c>
      <c r="D10025" t="s">
        <v>14</v>
      </c>
      <c r="E10025" t="s">
        <v>13369</v>
      </c>
      <c r="F10025" t="s">
        <v>13941</v>
      </c>
    </row>
    <row r="10026" spans="1:6" x14ac:dyDescent="0.25">
      <c r="A10026" t="str">
        <f>"5259158562"</f>
        <v>5259158562</v>
      </c>
      <c r="B10026" t="s">
        <v>13942</v>
      </c>
      <c r="C10026" t="s">
        <v>7</v>
      </c>
      <c r="D10026" t="s">
        <v>33</v>
      </c>
      <c r="E10026" t="s">
        <v>13369</v>
      </c>
      <c r="F10026" t="s">
        <v>13943</v>
      </c>
    </row>
    <row r="10027" spans="1:6" x14ac:dyDescent="0.25">
      <c r="A10027" t="str">
        <f>"525917262490"</f>
        <v>525917262490</v>
      </c>
      <c r="B10027" t="s">
        <v>13944</v>
      </c>
      <c r="C10027" t="s">
        <v>7</v>
      </c>
      <c r="D10027" t="s">
        <v>14</v>
      </c>
      <c r="E10027" t="s">
        <v>13369</v>
      </c>
    </row>
    <row r="10028" spans="1:6" x14ac:dyDescent="0.25">
      <c r="A10028" t="str">
        <f>"526009732616"</f>
        <v>526009732616</v>
      </c>
      <c r="B10028" t="s">
        <v>13945</v>
      </c>
      <c r="C10028" t="s">
        <v>7</v>
      </c>
      <c r="D10028" t="s">
        <v>14</v>
      </c>
      <c r="E10028" t="s">
        <v>13369</v>
      </c>
    </row>
    <row r="10029" spans="1:6" x14ac:dyDescent="0.25">
      <c r="A10029" t="str">
        <f>"5260175516"</f>
        <v>5260175516</v>
      </c>
      <c r="B10029" t="s">
        <v>13946</v>
      </c>
      <c r="C10029" t="s">
        <v>7</v>
      </c>
      <c r="D10029" t="s">
        <v>33</v>
      </c>
      <c r="E10029" t="s">
        <v>13369</v>
      </c>
      <c r="F10029" t="s">
        <v>13947</v>
      </c>
    </row>
    <row r="10030" spans="1:6" x14ac:dyDescent="0.25">
      <c r="A10030" t="str">
        <f>"5260196989"</f>
        <v>5260196989</v>
      </c>
      <c r="B10030" t="s">
        <v>13948</v>
      </c>
      <c r="C10030" t="s">
        <v>7</v>
      </c>
      <c r="D10030" t="s">
        <v>33</v>
      </c>
      <c r="E10030" t="s">
        <v>13369</v>
      </c>
      <c r="F10030" t="s">
        <v>13949</v>
      </c>
    </row>
    <row r="10031" spans="1:6" x14ac:dyDescent="0.25">
      <c r="A10031" t="str">
        <f>"5260208137"</f>
        <v>5260208137</v>
      </c>
      <c r="B10031" t="s">
        <v>13950</v>
      </c>
      <c r="C10031" t="s">
        <v>7</v>
      </c>
      <c r="D10031" t="s">
        <v>12</v>
      </c>
      <c r="E10031" t="s">
        <v>13369</v>
      </c>
      <c r="F10031" t="s">
        <v>13951</v>
      </c>
    </row>
    <row r="10032" spans="1:6" x14ac:dyDescent="0.25">
      <c r="A10032" t="str">
        <f>"5260339926"</f>
        <v>5260339926</v>
      </c>
      <c r="B10032" t="s">
        <v>13952</v>
      </c>
      <c r="C10032" t="s">
        <v>7</v>
      </c>
      <c r="D10032" t="s">
        <v>14</v>
      </c>
      <c r="E10032" t="s">
        <v>13369</v>
      </c>
      <c r="F10032" t="s">
        <v>13953</v>
      </c>
    </row>
    <row r="10033" spans="1:6" x14ac:dyDescent="0.25">
      <c r="A10033" t="str">
        <f>"5260355798"</f>
        <v>5260355798</v>
      </c>
      <c r="B10033" t="s">
        <v>13954</v>
      </c>
      <c r="C10033" t="s">
        <v>7</v>
      </c>
      <c r="D10033" t="s">
        <v>8</v>
      </c>
      <c r="E10033" t="s">
        <v>13369</v>
      </c>
      <c r="F10033" t="s">
        <v>13955</v>
      </c>
    </row>
    <row r="10034" spans="1:6" x14ac:dyDescent="0.25">
      <c r="A10034" t="str">
        <f>"5260439857"</f>
        <v>5260439857</v>
      </c>
      <c r="B10034" t="s">
        <v>2266</v>
      </c>
      <c r="C10034" t="s">
        <v>7</v>
      </c>
      <c r="D10034" t="s">
        <v>14</v>
      </c>
      <c r="E10034" t="s">
        <v>13369</v>
      </c>
      <c r="F10034" t="s">
        <v>13956</v>
      </c>
    </row>
    <row r="10035" spans="1:6" x14ac:dyDescent="0.25">
      <c r="A10035" t="str">
        <f>"5260441285"</f>
        <v>5260441285</v>
      </c>
      <c r="B10035" t="s">
        <v>13957</v>
      </c>
      <c r="C10035" t="s">
        <v>7</v>
      </c>
      <c r="D10035" t="s">
        <v>674</v>
      </c>
      <c r="E10035" t="s">
        <v>13369</v>
      </c>
      <c r="F10035" t="s">
        <v>13958</v>
      </c>
    </row>
    <row r="10036" spans="1:6" x14ac:dyDescent="0.25">
      <c r="A10036" t="str">
        <f>"5260445900"</f>
        <v>5260445900</v>
      </c>
      <c r="B10036" t="s">
        <v>13959</v>
      </c>
      <c r="C10036" t="s">
        <v>7</v>
      </c>
      <c r="D10036" t="s">
        <v>33</v>
      </c>
      <c r="E10036" t="s">
        <v>13369</v>
      </c>
      <c r="F10036" t="s">
        <v>13960</v>
      </c>
    </row>
    <row r="10037" spans="1:6" x14ac:dyDescent="0.25">
      <c r="A10037" t="str">
        <f>"5260462750"</f>
        <v>5260462750</v>
      </c>
      <c r="B10037" t="s">
        <v>13961</v>
      </c>
      <c r="C10037" t="s">
        <v>7</v>
      </c>
      <c r="D10037" t="s">
        <v>33</v>
      </c>
      <c r="E10037" t="s">
        <v>13369</v>
      </c>
      <c r="F10037" t="s">
        <v>13962</v>
      </c>
    </row>
    <row r="10038" spans="1:6" x14ac:dyDescent="0.25">
      <c r="A10038" t="str">
        <f>"526098992846"</f>
        <v>526098992846</v>
      </c>
      <c r="B10038" t="s">
        <v>13963</v>
      </c>
      <c r="C10038" t="s">
        <v>7</v>
      </c>
      <c r="D10038" t="s">
        <v>12</v>
      </c>
      <c r="E10038" t="s">
        <v>13369</v>
      </c>
    </row>
    <row r="10039" spans="1:6" x14ac:dyDescent="0.25">
      <c r="A10039" t="str">
        <f>"5261037364"</f>
        <v>5261037364</v>
      </c>
      <c r="B10039" t="s">
        <v>13964</v>
      </c>
      <c r="C10039" t="s">
        <v>7</v>
      </c>
      <c r="D10039" t="s">
        <v>14</v>
      </c>
      <c r="E10039" t="s">
        <v>13369</v>
      </c>
      <c r="F10039" t="s">
        <v>13965</v>
      </c>
    </row>
    <row r="10040" spans="1:6" x14ac:dyDescent="0.25">
      <c r="A10040" t="str">
        <f>"5261044900"</f>
        <v>5261044900</v>
      </c>
      <c r="B10040" t="s">
        <v>13966</v>
      </c>
      <c r="C10040" t="s">
        <v>7</v>
      </c>
      <c r="D10040" t="s">
        <v>14</v>
      </c>
      <c r="E10040" t="s">
        <v>13369</v>
      </c>
      <c r="F10040" t="s">
        <v>13967</v>
      </c>
    </row>
    <row r="10041" spans="1:6" x14ac:dyDescent="0.25">
      <c r="A10041" t="str">
        <f>"526106605250"</f>
        <v>526106605250</v>
      </c>
      <c r="B10041" t="s">
        <v>13968</v>
      </c>
      <c r="C10041" t="s">
        <v>7</v>
      </c>
      <c r="D10041" t="s">
        <v>14</v>
      </c>
      <c r="E10041" t="s">
        <v>13369</v>
      </c>
    </row>
    <row r="10042" spans="1:6" x14ac:dyDescent="0.25">
      <c r="A10042" t="str">
        <f>"5261072591"</f>
        <v>5261072591</v>
      </c>
      <c r="B10042" t="s">
        <v>13969</v>
      </c>
      <c r="C10042" t="s">
        <v>7</v>
      </c>
      <c r="D10042" t="s">
        <v>12</v>
      </c>
      <c r="E10042" t="s">
        <v>13369</v>
      </c>
      <c r="F10042" t="s">
        <v>13970</v>
      </c>
    </row>
    <row r="10043" spans="1:6" x14ac:dyDescent="0.25">
      <c r="A10043" t="str">
        <f>"5261093908"</f>
        <v>5261093908</v>
      </c>
      <c r="B10043" t="s">
        <v>13971</v>
      </c>
      <c r="C10043" t="s">
        <v>7</v>
      </c>
      <c r="D10043" t="s">
        <v>12</v>
      </c>
      <c r="E10043" t="s">
        <v>13369</v>
      </c>
      <c r="F10043" t="s">
        <v>13972</v>
      </c>
    </row>
    <row r="10044" spans="1:6" x14ac:dyDescent="0.25">
      <c r="A10044" t="str">
        <f>"5261103049"</f>
        <v>5261103049</v>
      </c>
      <c r="B10044" t="s">
        <v>13973</v>
      </c>
      <c r="C10044" t="s">
        <v>7</v>
      </c>
      <c r="D10044" t="s">
        <v>33</v>
      </c>
      <c r="E10044" t="s">
        <v>13369</v>
      </c>
      <c r="F10044" t="s">
        <v>13974</v>
      </c>
    </row>
    <row r="10045" spans="1:6" x14ac:dyDescent="0.25">
      <c r="A10045" t="str">
        <f>"526111648806"</f>
        <v>526111648806</v>
      </c>
      <c r="B10045" t="s">
        <v>13975</v>
      </c>
      <c r="C10045" t="s">
        <v>7</v>
      </c>
      <c r="D10045" t="s">
        <v>33</v>
      </c>
      <c r="E10045" t="s">
        <v>13369</v>
      </c>
    </row>
    <row r="10046" spans="1:6" x14ac:dyDescent="0.25">
      <c r="A10046" t="str">
        <f>"5261131663"</f>
        <v>5261131663</v>
      </c>
      <c r="B10046" t="s">
        <v>13976</v>
      </c>
      <c r="C10046" t="s">
        <v>7</v>
      </c>
      <c r="D10046" t="s">
        <v>14</v>
      </c>
      <c r="E10046" t="s">
        <v>13369</v>
      </c>
      <c r="F10046" t="s">
        <v>13977</v>
      </c>
    </row>
    <row r="10047" spans="1:6" x14ac:dyDescent="0.25">
      <c r="A10047" t="str">
        <f>"5262056708"</f>
        <v>5262056708</v>
      </c>
      <c r="B10047" t="s">
        <v>13978</v>
      </c>
      <c r="C10047" t="s">
        <v>7</v>
      </c>
      <c r="D10047" t="s">
        <v>33</v>
      </c>
      <c r="E10047" t="s">
        <v>13369</v>
      </c>
      <c r="F10047" t="s">
        <v>13979</v>
      </c>
    </row>
    <row r="10048" spans="1:6" x14ac:dyDescent="0.25">
      <c r="A10048" t="str">
        <f>"526207667077"</f>
        <v>526207667077</v>
      </c>
      <c r="B10048" t="s">
        <v>13980</v>
      </c>
      <c r="C10048" t="s">
        <v>7</v>
      </c>
      <c r="D10048" t="s">
        <v>12</v>
      </c>
      <c r="E10048" t="s">
        <v>13369</v>
      </c>
    </row>
    <row r="10049" spans="1:6" x14ac:dyDescent="0.25">
      <c r="A10049" t="str">
        <f>"5262095538"</f>
        <v>5262095538</v>
      </c>
      <c r="B10049" t="s">
        <v>13981</v>
      </c>
      <c r="C10049" t="s">
        <v>7</v>
      </c>
      <c r="D10049" t="s">
        <v>98</v>
      </c>
      <c r="E10049" t="s">
        <v>13369</v>
      </c>
      <c r="F10049" t="s">
        <v>13982</v>
      </c>
    </row>
    <row r="10050" spans="1:6" x14ac:dyDescent="0.25">
      <c r="A10050" t="str">
        <f>"5262360070"</f>
        <v>5262360070</v>
      </c>
      <c r="B10050" t="s">
        <v>13983</v>
      </c>
      <c r="C10050" t="s">
        <v>7</v>
      </c>
      <c r="D10050" t="s">
        <v>33</v>
      </c>
      <c r="E10050" t="s">
        <v>13369</v>
      </c>
      <c r="F10050" t="s">
        <v>13984</v>
      </c>
    </row>
    <row r="10051" spans="1:6" x14ac:dyDescent="0.25">
      <c r="A10051" t="str">
        <f>"5262361525"</f>
        <v>5262361525</v>
      </c>
      <c r="B10051" t="s">
        <v>13985</v>
      </c>
      <c r="C10051" t="s">
        <v>7</v>
      </c>
      <c r="D10051" t="s">
        <v>12</v>
      </c>
      <c r="E10051" t="s">
        <v>13369</v>
      </c>
      <c r="F10051" t="s">
        <v>13986</v>
      </c>
    </row>
    <row r="10052" spans="1:6" x14ac:dyDescent="0.25">
      <c r="A10052" t="str">
        <f>"5262372132"</f>
        <v>5262372132</v>
      </c>
      <c r="B10052" t="s">
        <v>13987</v>
      </c>
      <c r="C10052" t="s">
        <v>7</v>
      </c>
      <c r="D10052" t="s">
        <v>33</v>
      </c>
      <c r="E10052" t="s">
        <v>13369</v>
      </c>
      <c r="F10052" t="s">
        <v>13988</v>
      </c>
    </row>
    <row r="10053" spans="1:6" x14ac:dyDescent="0.25">
      <c r="A10053" t="str">
        <f>"526300753210"</f>
        <v>526300753210</v>
      </c>
      <c r="B10053" t="s">
        <v>13989</v>
      </c>
      <c r="C10053" t="s">
        <v>7</v>
      </c>
      <c r="D10053" t="s">
        <v>14</v>
      </c>
      <c r="E10053" t="s">
        <v>13369</v>
      </c>
    </row>
    <row r="10054" spans="1:6" x14ac:dyDescent="0.25">
      <c r="A10054" t="str">
        <f>"526304876781"</f>
        <v>526304876781</v>
      </c>
      <c r="B10054" t="s">
        <v>13990</v>
      </c>
      <c r="C10054" t="s">
        <v>7</v>
      </c>
      <c r="D10054" t="s">
        <v>14</v>
      </c>
      <c r="E10054" t="s">
        <v>13369</v>
      </c>
    </row>
    <row r="10055" spans="1:6" x14ac:dyDescent="0.25">
      <c r="A10055" t="str">
        <f>"5263072766"</f>
        <v>5263072766</v>
      </c>
      <c r="B10055" t="s">
        <v>13991</v>
      </c>
      <c r="C10055" t="s">
        <v>7</v>
      </c>
      <c r="D10055" t="s">
        <v>146</v>
      </c>
      <c r="E10055" t="s">
        <v>13369</v>
      </c>
      <c r="F10055" t="s">
        <v>13992</v>
      </c>
    </row>
    <row r="10056" spans="1:6" x14ac:dyDescent="0.25">
      <c r="A10056" t="str">
        <f>"526307501100"</f>
        <v>526307501100</v>
      </c>
      <c r="B10056" t="s">
        <v>13993</v>
      </c>
      <c r="C10056" t="s">
        <v>7</v>
      </c>
      <c r="D10056" t="s">
        <v>14</v>
      </c>
      <c r="E10056" t="s">
        <v>13369</v>
      </c>
    </row>
    <row r="10057" spans="1:6" x14ac:dyDescent="0.25">
      <c r="A10057" t="str">
        <f>"5263096252"</f>
        <v>5263096252</v>
      </c>
      <c r="B10057" t="s">
        <v>13994</v>
      </c>
      <c r="C10057" t="s">
        <v>7</v>
      </c>
      <c r="D10057" t="s">
        <v>12</v>
      </c>
      <c r="E10057" t="s">
        <v>13369</v>
      </c>
      <c r="F10057" t="s">
        <v>13995</v>
      </c>
    </row>
    <row r="10058" spans="1:6" x14ac:dyDescent="0.25">
      <c r="A10058" t="str">
        <f>"526311951888"</f>
        <v>526311951888</v>
      </c>
      <c r="B10058" t="s">
        <v>13996</v>
      </c>
      <c r="C10058" t="s">
        <v>7</v>
      </c>
      <c r="D10058" t="s">
        <v>14</v>
      </c>
      <c r="E10058" t="s">
        <v>13369</v>
      </c>
    </row>
    <row r="10059" spans="1:6" x14ac:dyDescent="0.25">
      <c r="A10059" t="str">
        <f>"5263156141"</f>
        <v>5263156141</v>
      </c>
      <c r="B10059" t="s">
        <v>13997</v>
      </c>
      <c r="C10059" t="s">
        <v>7</v>
      </c>
      <c r="D10059" t="s">
        <v>33</v>
      </c>
      <c r="E10059" t="s">
        <v>13369</v>
      </c>
      <c r="F10059" t="s">
        <v>13998</v>
      </c>
    </row>
    <row r="10060" spans="1:6" x14ac:dyDescent="0.25">
      <c r="A10060" t="str">
        <f>"526319018458"</f>
        <v>526319018458</v>
      </c>
      <c r="B10060" t="s">
        <v>13999</v>
      </c>
      <c r="C10060" t="s">
        <v>7</v>
      </c>
      <c r="D10060" t="s">
        <v>14</v>
      </c>
      <c r="E10060" t="s">
        <v>13369</v>
      </c>
    </row>
    <row r="10061" spans="1:6" x14ac:dyDescent="0.25">
      <c r="A10061" t="str">
        <f>"526320658653"</f>
        <v>526320658653</v>
      </c>
      <c r="B10061" t="s">
        <v>14000</v>
      </c>
      <c r="C10061" t="s">
        <v>7</v>
      </c>
      <c r="D10061" t="s">
        <v>14</v>
      </c>
      <c r="E10061" t="s">
        <v>13369</v>
      </c>
    </row>
    <row r="10062" spans="1:6" x14ac:dyDescent="0.25">
      <c r="A10062" t="str">
        <f>"431303406403"</f>
        <v>431303406403</v>
      </c>
      <c r="B10062" t="s">
        <v>14001</v>
      </c>
      <c r="C10062" t="s">
        <v>7</v>
      </c>
      <c r="D10062" t="s">
        <v>12</v>
      </c>
      <c r="E10062" t="s">
        <v>13369</v>
      </c>
    </row>
    <row r="10063" spans="1:6" x14ac:dyDescent="0.25">
      <c r="A10063" t="str">
        <f>"431310385916"</f>
        <v>431310385916</v>
      </c>
      <c r="B10063" t="s">
        <v>14002</v>
      </c>
      <c r="C10063" t="s">
        <v>7</v>
      </c>
      <c r="D10063" t="s">
        <v>14</v>
      </c>
      <c r="E10063" t="s">
        <v>13369</v>
      </c>
    </row>
    <row r="10064" spans="1:6" x14ac:dyDescent="0.25">
      <c r="A10064" t="str">
        <f>"525202965046"</f>
        <v>525202965046</v>
      </c>
      <c r="B10064" t="s">
        <v>14003</v>
      </c>
      <c r="C10064" t="s">
        <v>7</v>
      </c>
      <c r="D10064" t="s">
        <v>12</v>
      </c>
      <c r="E10064" t="s">
        <v>13369</v>
      </c>
    </row>
    <row r="10065" spans="1:6" x14ac:dyDescent="0.25">
      <c r="A10065" t="str">
        <f>"5252031616"</f>
        <v>5252031616</v>
      </c>
      <c r="B10065" t="s">
        <v>14004</v>
      </c>
      <c r="C10065" t="s">
        <v>7</v>
      </c>
      <c r="D10065" t="s">
        <v>12</v>
      </c>
      <c r="E10065" t="s">
        <v>13369</v>
      </c>
      <c r="F10065" t="s">
        <v>14005</v>
      </c>
    </row>
    <row r="10066" spans="1:6" x14ac:dyDescent="0.25">
      <c r="A10066" t="str">
        <f>"5252034021"</f>
        <v>5252034021</v>
      </c>
      <c r="B10066" t="s">
        <v>14006</v>
      </c>
      <c r="C10066" t="s">
        <v>7</v>
      </c>
      <c r="D10066" t="s">
        <v>12</v>
      </c>
      <c r="E10066" t="s">
        <v>13369</v>
      </c>
      <c r="F10066" t="s">
        <v>14007</v>
      </c>
    </row>
    <row r="10067" spans="1:6" x14ac:dyDescent="0.25">
      <c r="A10067" t="str">
        <f>"525203458000"</f>
        <v>525203458000</v>
      </c>
      <c r="B10067" t="s">
        <v>14008</v>
      </c>
      <c r="C10067" t="s">
        <v>7</v>
      </c>
      <c r="D10067" t="s">
        <v>12</v>
      </c>
      <c r="E10067" t="s">
        <v>13369</v>
      </c>
    </row>
    <row r="10068" spans="1:6" x14ac:dyDescent="0.25">
      <c r="A10068" t="str">
        <f>"5252039157"</f>
        <v>5252039157</v>
      </c>
      <c r="B10068" t="s">
        <v>14009</v>
      </c>
      <c r="C10068" t="s">
        <v>7</v>
      </c>
      <c r="D10068" t="s">
        <v>12</v>
      </c>
      <c r="E10068" t="s">
        <v>13369</v>
      </c>
      <c r="F10068" t="s">
        <v>14010</v>
      </c>
    </row>
    <row r="10069" spans="1:6" x14ac:dyDescent="0.25">
      <c r="A10069" t="str">
        <f>"5252039767"</f>
        <v>5252039767</v>
      </c>
      <c r="B10069" t="s">
        <v>14011</v>
      </c>
      <c r="C10069" t="s">
        <v>7</v>
      </c>
      <c r="D10069" t="s">
        <v>12</v>
      </c>
      <c r="E10069" t="s">
        <v>13369</v>
      </c>
      <c r="F10069" t="s">
        <v>14012</v>
      </c>
    </row>
    <row r="10070" spans="1:6" x14ac:dyDescent="0.25">
      <c r="A10070" t="str">
        <f>"525206325488"</f>
        <v>525206325488</v>
      </c>
      <c r="B10070" t="s">
        <v>14013</v>
      </c>
      <c r="C10070" t="s">
        <v>7</v>
      </c>
      <c r="D10070" t="s">
        <v>12</v>
      </c>
      <c r="E10070" t="s">
        <v>13369</v>
      </c>
    </row>
    <row r="10071" spans="1:6" x14ac:dyDescent="0.25">
      <c r="A10071" t="str">
        <f>"525400086022"</f>
        <v>525400086022</v>
      </c>
      <c r="B10071" t="s">
        <v>14014</v>
      </c>
      <c r="C10071" t="s">
        <v>7</v>
      </c>
      <c r="D10071" t="s">
        <v>14</v>
      </c>
      <c r="E10071" t="s">
        <v>13369</v>
      </c>
    </row>
    <row r="10072" spans="1:6" x14ac:dyDescent="0.25">
      <c r="A10072" t="str">
        <f>"5254019526"</f>
        <v>5254019526</v>
      </c>
      <c r="B10072" t="s">
        <v>14015</v>
      </c>
      <c r="C10072" t="s">
        <v>7</v>
      </c>
      <c r="D10072" t="s">
        <v>33</v>
      </c>
      <c r="E10072" t="s">
        <v>13369</v>
      </c>
      <c r="F10072" t="s">
        <v>14016</v>
      </c>
    </row>
    <row r="10073" spans="1:6" x14ac:dyDescent="0.25">
      <c r="A10073" t="str">
        <f>"525402696111"</f>
        <v>525402696111</v>
      </c>
      <c r="B10073" t="s">
        <v>14017</v>
      </c>
      <c r="C10073" t="s">
        <v>7</v>
      </c>
      <c r="D10073" t="s">
        <v>14</v>
      </c>
      <c r="E10073" t="s">
        <v>13369</v>
      </c>
    </row>
    <row r="10074" spans="1:6" x14ac:dyDescent="0.25">
      <c r="A10074" t="str">
        <f>"525600568834"</f>
        <v>525600568834</v>
      </c>
      <c r="B10074" t="s">
        <v>14018</v>
      </c>
      <c r="C10074" t="s">
        <v>7</v>
      </c>
      <c r="D10074" t="s">
        <v>12</v>
      </c>
      <c r="E10074" t="s">
        <v>13369</v>
      </c>
    </row>
    <row r="10075" spans="1:6" x14ac:dyDescent="0.25">
      <c r="A10075" t="str">
        <f>"5256020559"</f>
        <v>5256020559</v>
      </c>
      <c r="B10075" t="s">
        <v>14019</v>
      </c>
      <c r="C10075" t="s">
        <v>7</v>
      </c>
      <c r="D10075" t="s">
        <v>189</v>
      </c>
      <c r="E10075" t="s">
        <v>13369</v>
      </c>
      <c r="F10075" t="s">
        <v>14020</v>
      </c>
    </row>
    <row r="10076" spans="1:6" x14ac:dyDescent="0.25">
      <c r="A10076" t="str">
        <f>"5256032191"</f>
        <v>5256032191</v>
      </c>
      <c r="B10076" t="s">
        <v>14021</v>
      </c>
      <c r="C10076" t="s">
        <v>7</v>
      </c>
      <c r="D10076" t="s">
        <v>12</v>
      </c>
      <c r="E10076" t="s">
        <v>13369</v>
      </c>
      <c r="F10076" t="s">
        <v>14022</v>
      </c>
    </row>
    <row r="10077" spans="1:6" x14ac:dyDescent="0.25">
      <c r="A10077" t="str">
        <f>"5256033357"</f>
        <v>5256033357</v>
      </c>
      <c r="B10077" t="s">
        <v>14023</v>
      </c>
      <c r="C10077" t="s">
        <v>7</v>
      </c>
      <c r="D10077" t="s">
        <v>14</v>
      </c>
      <c r="E10077" t="s">
        <v>13369</v>
      </c>
      <c r="F10077" t="s">
        <v>14024</v>
      </c>
    </row>
    <row r="10078" spans="1:6" x14ac:dyDescent="0.25">
      <c r="A10078" t="str">
        <f>"5256036414"</f>
        <v>5256036414</v>
      </c>
      <c r="B10078" t="s">
        <v>14025</v>
      </c>
      <c r="C10078" t="s">
        <v>7</v>
      </c>
      <c r="D10078" t="s">
        <v>12</v>
      </c>
      <c r="E10078" t="s">
        <v>13369</v>
      </c>
      <c r="F10078" t="s">
        <v>14026</v>
      </c>
    </row>
    <row r="10079" spans="1:6" x14ac:dyDescent="0.25">
      <c r="A10079" t="str">
        <f>"525603804173"</f>
        <v>525603804173</v>
      </c>
      <c r="B10079" t="s">
        <v>14027</v>
      </c>
      <c r="C10079" t="s">
        <v>7</v>
      </c>
      <c r="D10079" t="s">
        <v>14</v>
      </c>
      <c r="E10079" t="s">
        <v>13369</v>
      </c>
    </row>
    <row r="10080" spans="1:6" x14ac:dyDescent="0.25">
      <c r="A10080" t="str">
        <f>"5256084898"</f>
        <v>5256084898</v>
      </c>
      <c r="B10080" t="s">
        <v>14028</v>
      </c>
      <c r="C10080" t="s">
        <v>7</v>
      </c>
      <c r="D10080" t="s">
        <v>14</v>
      </c>
      <c r="E10080" t="s">
        <v>13369</v>
      </c>
      <c r="F10080" t="s">
        <v>13683</v>
      </c>
    </row>
    <row r="10081" spans="1:6" x14ac:dyDescent="0.25">
      <c r="A10081" t="str">
        <f>"5256119290"</f>
        <v>5256119290</v>
      </c>
      <c r="B10081" t="s">
        <v>14029</v>
      </c>
      <c r="C10081" t="s">
        <v>7</v>
      </c>
      <c r="D10081" t="s">
        <v>98</v>
      </c>
      <c r="E10081" t="s">
        <v>13369</v>
      </c>
      <c r="F10081" t="s">
        <v>14030</v>
      </c>
    </row>
    <row r="10082" spans="1:6" x14ac:dyDescent="0.25">
      <c r="A10082" t="str">
        <f>"5256129838"</f>
        <v>5256129838</v>
      </c>
      <c r="B10082" t="s">
        <v>14031</v>
      </c>
      <c r="C10082" t="s">
        <v>7</v>
      </c>
      <c r="D10082" t="s">
        <v>12</v>
      </c>
      <c r="E10082" t="s">
        <v>13369</v>
      </c>
      <c r="F10082" t="s">
        <v>13862</v>
      </c>
    </row>
    <row r="10083" spans="1:6" x14ac:dyDescent="0.25">
      <c r="A10083" t="str">
        <f>"525615896203"</f>
        <v>525615896203</v>
      </c>
      <c r="B10083" t="s">
        <v>14032</v>
      </c>
      <c r="C10083" t="s">
        <v>7</v>
      </c>
      <c r="D10083" t="s">
        <v>14</v>
      </c>
      <c r="E10083" t="s">
        <v>13369</v>
      </c>
    </row>
    <row r="10084" spans="1:6" x14ac:dyDescent="0.25">
      <c r="A10084" t="str">
        <f>"5256159712"</f>
        <v>5256159712</v>
      </c>
      <c r="B10084" t="s">
        <v>14033</v>
      </c>
      <c r="C10084" t="s">
        <v>7</v>
      </c>
      <c r="D10084" t="s">
        <v>14</v>
      </c>
      <c r="E10084" t="s">
        <v>13369</v>
      </c>
      <c r="F10084" t="s">
        <v>13694</v>
      </c>
    </row>
    <row r="10085" spans="1:6" x14ac:dyDescent="0.25">
      <c r="A10085" t="str">
        <f>"5256163412"</f>
        <v>5256163412</v>
      </c>
      <c r="B10085" t="s">
        <v>14034</v>
      </c>
      <c r="C10085" t="s">
        <v>7</v>
      </c>
      <c r="D10085" t="s">
        <v>33</v>
      </c>
      <c r="E10085" t="s">
        <v>13369</v>
      </c>
      <c r="F10085" t="s">
        <v>14035</v>
      </c>
    </row>
    <row r="10086" spans="1:6" x14ac:dyDescent="0.25">
      <c r="A10086" t="str">
        <f>"5256167537"</f>
        <v>5256167537</v>
      </c>
      <c r="B10086" t="s">
        <v>8386</v>
      </c>
      <c r="C10086" t="s">
        <v>7</v>
      </c>
      <c r="D10086" t="s">
        <v>12</v>
      </c>
      <c r="E10086" t="s">
        <v>13369</v>
      </c>
      <c r="F10086" t="s">
        <v>14036</v>
      </c>
    </row>
    <row r="10087" spans="1:6" x14ac:dyDescent="0.25">
      <c r="A10087" t="str">
        <f>"525617806727"</f>
        <v>525617806727</v>
      </c>
      <c r="B10087" t="s">
        <v>14037</v>
      </c>
      <c r="C10087" t="s">
        <v>7</v>
      </c>
      <c r="D10087" t="s">
        <v>12</v>
      </c>
      <c r="E10087" t="s">
        <v>13369</v>
      </c>
    </row>
    <row r="10088" spans="1:6" x14ac:dyDescent="0.25">
      <c r="A10088" t="str">
        <f>"5256178289"</f>
        <v>5256178289</v>
      </c>
      <c r="B10088" t="s">
        <v>14038</v>
      </c>
      <c r="C10088" t="s">
        <v>7</v>
      </c>
      <c r="D10088" t="s">
        <v>14</v>
      </c>
      <c r="E10088" t="s">
        <v>13369</v>
      </c>
      <c r="F10088" t="s">
        <v>14039</v>
      </c>
    </row>
    <row r="10089" spans="1:6" x14ac:dyDescent="0.25">
      <c r="A10089" t="str">
        <f>"5256180111"</f>
        <v>5256180111</v>
      </c>
      <c r="B10089" t="s">
        <v>14040</v>
      </c>
      <c r="C10089" t="s">
        <v>7</v>
      </c>
      <c r="D10089" t="s">
        <v>33</v>
      </c>
      <c r="E10089" t="s">
        <v>13369</v>
      </c>
      <c r="F10089" t="s">
        <v>14041</v>
      </c>
    </row>
    <row r="10090" spans="1:6" x14ac:dyDescent="0.25">
      <c r="A10090" t="str">
        <f>"5256194403"</f>
        <v>5256194403</v>
      </c>
      <c r="B10090" t="s">
        <v>14042</v>
      </c>
      <c r="C10090" t="s">
        <v>7</v>
      </c>
      <c r="D10090" t="s">
        <v>33</v>
      </c>
      <c r="E10090" t="s">
        <v>13369</v>
      </c>
      <c r="F10090" t="s">
        <v>14043</v>
      </c>
    </row>
    <row r="10091" spans="1:6" x14ac:dyDescent="0.25">
      <c r="A10091" t="str">
        <f>"5256197404"</f>
        <v>5256197404</v>
      </c>
      <c r="B10091" t="s">
        <v>14044</v>
      </c>
      <c r="C10091" t="s">
        <v>7</v>
      </c>
      <c r="D10091" t="s">
        <v>33</v>
      </c>
      <c r="E10091" t="s">
        <v>13369</v>
      </c>
      <c r="F10091" t="s">
        <v>14045</v>
      </c>
    </row>
    <row r="10092" spans="1:6" x14ac:dyDescent="0.25">
      <c r="A10092" t="str">
        <f>"525624953401"</f>
        <v>525624953401</v>
      </c>
      <c r="B10092" t="s">
        <v>14046</v>
      </c>
      <c r="C10092" t="s">
        <v>7</v>
      </c>
      <c r="D10092" t="s">
        <v>14</v>
      </c>
      <c r="E10092" t="s">
        <v>13369</v>
      </c>
    </row>
    <row r="10093" spans="1:6" x14ac:dyDescent="0.25">
      <c r="A10093" t="str">
        <f>"525628193085"</f>
        <v>525628193085</v>
      </c>
      <c r="B10093" t="s">
        <v>14047</v>
      </c>
      <c r="C10093" t="s">
        <v>7</v>
      </c>
      <c r="D10093" t="s">
        <v>33</v>
      </c>
      <c r="E10093" t="s">
        <v>13369</v>
      </c>
    </row>
    <row r="10094" spans="1:6" x14ac:dyDescent="0.25">
      <c r="A10094" t="str">
        <f>"525631374500"</f>
        <v>525631374500</v>
      </c>
      <c r="B10094" t="s">
        <v>14048</v>
      </c>
      <c r="C10094" t="s">
        <v>7</v>
      </c>
      <c r="D10094" t="s">
        <v>14</v>
      </c>
      <c r="E10094" t="s">
        <v>13369</v>
      </c>
    </row>
    <row r="10095" spans="1:6" x14ac:dyDescent="0.25">
      <c r="A10095" t="str">
        <f>"525634428553"</f>
        <v>525634428553</v>
      </c>
      <c r="B10095" t="s">
        <v>14049</v>
      </c>
      <c r="C10095" t="s">
        <v>7</v>
      </c>
      <c r="D10095" t="s">
        <v>12</v>
      </c>
      <c r="E10095" t="s">
        <v>13369</v>
      </c>
    </row>
    <row r="10096" spans="1:6" x14ac:dyDescent="0.25">
      <c r="A10096" t="str">
        <f>"525690832713"</f>
        <v>525690832713</v>
      </c>
      <c r="B10096" t="s">
        <v>14050</v>
      </c>
      <c r="C10096" t="s">
        <v>7</v>
      </c>
      <c r="D10096" t="s">
        <v>33</v>
      </c>
      <c r="E10096" t="s">
        <v>13369</v>
      </c>
    </row>
    <row r="10097" spans="1:6" x14ac:dyDescent="0.25">
      <c r="A10097" t="str">
        <f>"5257001277"</f>
        <v>5257001277</v>
      </c>
      <c r="B10097" t="s">
        <v>14051</v>
      </c>
      <c r="C10097" t="s">
        <v>7</v>
      </c>
      <c r="D10097" t="s">
        <v>12</v>
      </c>
      <c r="E10097" t="s">
        <v>13369</v>
      </c>
      <c r="F10097" t="s">
        <v>14052</v>
      </c>
    </row>
    <row r="10098" spans="1:6" x14ac:dyDescent="0.25">
      <c r="A10098" t="str">
        <f>"525703583087"</f>
        <v>525703583087</v>
      </c>
      <c r="B10098" t="s">
        <v>14053</v>
      </c>
      <c r="C10098" t="s">
        <v>7</v>
      </c>
      <c r="D10098" t="s">
        <v>14</v>
      </c>
      <c r="E10098" t="s">
        <v>13369</v>
      </c>
    </row>
    <row r="10099" spans="1:6" x14ac:dyDescent="0.25">
      <c r="A10099" t="str">
        <f>"525704736392"</f>
        <v>525704736392</v>
      </c>
      <c r="B10099" t="s">
        <v>14054</v>
      </c>
      <c r="C10099" t="s">
        <v>7</v>
      </c>
      <c r="D10099" t="s">
        <v>586</v>
      </c>
      <c r="E10099" t="s">
        <v>13369</v>
      </c>
    </row>
    <row r="10100" spans="1:6" x14ac:dyDescent="0.25">
      <c r="A10100" t="str">
        <f>"5257100888"</f>
        <v>5257100888</v>
      </c>
      <c r="B10100" t="s">
        <v>14055</v>
      </c>
      <c r="C10100" t="s">
        <v>7</v>
      </c>
      <c r="D10100" t="s">
        <v>12</v>
      </c>
      <c r="E10100" t="s">
        <v>13369</v>
      </c>
      <c r="F10100" t="s">
        <v>14056</v>
      </c>
    </row>
    <row r="10101" spans="1:6" x14ac:dyDescent="0.25">
      <c r="A10101" t="str">
        <f>"525710651108"</f>
        <v>525710651108</v>
      </c>
      <c r="B10101" t="s">
        <v>14057</v>
      </c>
      <c r="C10101" t="s">
        <v>7</v>
      </c>
      <c r="D10101" t="s">
        <v>14</v>
      </c>
      <c r="E10101" t="s">
        <v>13369</v>
      </c>
    </row>
    <row r="10102" spans="1:6" x14ac:dyDescent="0.25">
      <c r="A10102" t="str">
        <f>"5257121038"</f>
        <v>5257121038</v>
      </c>
      <c r="B10102" t="s">
        <v>14058</v>
      </c>
      <c r="C10102" t="s">
        <v>7</v>
      </c>
      <c r="D10102" t="s">
        <v>12</v>
      </c>
      <c r="E10102" t="s">
        <v>13369</v>
      </c>
      <c r="F10102" t="s">
        <v>14052</v>
      </c>
    </row>
    <row r="10103" spans="1:6" x14ac:dyDescent="0.25">
      <c r="A10103" t="str">
        <f>"5257128040"</f>
        <v>5257128040</v>
      </c>
      <c r="B10103" t="s">
        <v>14059</v>
      </c>
      <c r="C10103" t="s">
        <v>7</v>
      </c>
      <c r="D10103" t="s">
        <v>12</v>
      </c>
      <c r="E10103" t="s">
        <v>13369</v>
      </c>
      <c r="F10103" t="s">
        <v>14060</v>
      </c>
    </row>
    <row r="10104" spans="1:6" x14ac:dyDescent="0.25">
      <c r="A10104" t="str">
        <f>"5257151995"</f>
        <v>5257151995</v>
      </c>
      <c r="B10104" t="s">
        <v>14061</v>
      </c>
      <c r="C10104" t="s">
        <v>7</v>
      </c>
      <c r="D10104" t="s">
        <v>14</v>
      </c>
      <c r="E10104" t="s">
        <v>13369</v>
      </c>
      <c r="F10104" t="s">
        <v>14062</v>
      </c>
    </row>
    <row r="10105" spans="1:6" x14ac:dyDescent="0.25">
      <c r="A10105" t="str">
        <f>"525715765243"</f>
        <v>525715765243</v>
      </c>
      <c r="B10105" t="s">
        <v>14063</v>
      </c>
      <c r="C10105" t="s">
        <v>7</v>
      </c>
      <c r="D10105" t="s">
        <v>12</v>
      </c>
      <c r="E10105" t="s">
        <v>13369</v>
      </c>
    </row>
    <row r="10106" spans="1:6" x14ac:dyDescent="0.25">
      <c r="A10106" t="str">
        <f>"5257160735"</f>
        <v>5257160735</v>
      </c>
      <c r="B10106" t="s">
        <v>14064</v>
      </c>
      <c r="C10106" t="s">
        <v>7</v>
      </c>
      <c r="D10106" t="s">
        <v>12</v>
      </c>
      <c r="E10106" t="s">
        <v>13369</v>
      </c>
      <c r="F10106" t="s">
        <v>14065</v>
      </c>
    </row>
    <row r="10107" spans="1:6" x14ac:dyDescent="0.25">
      <c r="A10107" t="str">
        <f>"5257162115"</f>
        <v>5257162115</v>
      </c>
      <c r="B10107" t="s">
        <v>14066</v>
      </c>
      <c r="C10107" t="s">
        <v>7</v>
      </c>
      <c r="D10107" t="s">
        <v>674</v>
      </c>
      <c r="E10107" t="s">
        <v>13369</v>
      </c>
      <c r="F10107" t="s">
        <v>14067</v>
      </c>
    </row>
    <row r="10108" spans="1:6" x14ac:dyDescent="0.25">
      <c r="A10108" t="str">
        <f>"5257164835"</f>
        <v>5257164835</v>
      </c>
      <c r="B10108" t="s">
        <v>14068</v>
      </c>
      <c r="C10108" t="s">
        <v>7</v>
      </c>
      <c r="D10108" t="s">
        <v>12</v>
      </c>
      <c r="E10108" t="s">
        <v>13369</v>
      </c>
      <c r="F10108" t="s">
        <v>14069</v>
      </c>
    </row>
    <row r="10109" spans="1:6" x14ac:dyDescent="0.25">
      <c r="A10109" t="str">
        <f>"5257168558"</f>
        <v>5257168558</v>
      </c>
      <c r="B10109" t="s">
        <v>14070</v>
      </c>
      <c r="C10109" t="s">
        <v>7</v>
      </c>
      <c r="D10109" t="s">
        <v>33</v>
      </c>
      <c r="E10109" t="s">
        <v>13369</v>
      </c>
      <c r="F10109" t="s">
        <v>14071</v>
      </c>
    </row>
    <row r="10110" spans="1:6" x14ac:dyDescent="0.25">
      <c r="A10110" t="str">
        <f>"5257171511"</f>
        <v>5257171511</v>
      </c>
      <c r="B10110" t="s">
        <v>14072</v>
      </c>
      <c r="C10110" t="s">
        <v>7</v>
      </c>
      <c r="D10110" t="s">
        <v>12</v>
      </c>
      <c r="E10110" t="s">
        <v>13369</v>
      </c>
      <c r="F10110" t="s">
        <v>14073</v>
      </c>
    </row>
    <row r="10111" spans="1:6" x14ac:dyDescent="0.25">
      <c r="A10111" t="str">
        <f>"5257188836"</f>
        <v>5257188836</v>
      </c>
      <c r="B10111" t="s">
        <v>2417</v>
      </c>
      <c r="C10111" t="s">
        <v>7</v>
      </c>
      <c r="D10111" t="s">
        <v>12</v>
      </c>
      <c r="E10111" t="s">
        <v>13369</v>
      </c>
      <c r="F10111" t="s">
        <v>14074</v>
      </c>
    </row>
    <row r="10112" spans="1:6" x14ac:dyDescent="0.25">
      <c r="A10112" t="str">
        <f>"5257215991"</f>
        <v>5257215991</v>
      </c>
      <c r="B10112" t="s">
        <v>14075</v>
      </c>
      <c r="C10112" t="s">
        <v>7</v>
      </c>
      <c r="D10112" t="s">
        <v>12</v>
      </c>
      <c r="E10112" t="s">
        <v>13369</v>
      </c>
      <c r="F10112" t="s">
        <v>14076</v>
      </c>
    </row>
    <row r="10113" spans="1:6" x14ac:dyDescent="0.25">
      <c r="A10113" t="str">
        <f>"5258072961"</f>
        <v>5258072961</v>
      </c>
      <c r="B10113" t="s">
        <v>14077</v>
      </c>
      <c r="C10113" t="s">
        <v>7</v>
      </c>
      <c r="D10113" t="s">
        <v>12</v>
      </c>
      <c r="E10113" t="s">
        <v>13369</v>
      </c>
      <c r="F10113" t="s">
        <v>14078</v>
      </c>
    </row>
    <row r="10114" spans="1:6" x14ac:dyDescent="0.25">
      <c r="A10114" t="str">
        <f>"5258091555"</f>
        <v>5258091555</v>
      </c>
      <c r="B10114" t="s">
        <v>14079</v>
      </c>
      <c r="C10114" t="s">
        <v>7</v>
      </c>
      <c r="D10114" t="s">
        <v>33</v>
      </c>
      <c r="E10114" t="s">
        <v>13369</v>
      </c>
      <c r="F10114" t="s">
        <v>14080</v>
      </c>
    </row>
    <row r="10115" spans="1:6" x14ac:dyDescent="0.25">
      <c r="A10115" t="str">
        <f>"5258100175"</f>
        <v>5258100175</v>
      </c>
      <c r="B10115" t="s">
        <v>14081</v>
      </c>
      <c r="C10115" t="s">
        <v>7</v>
      </c>
      <c r="D10115" t="s">
        <v>12</v>
      </c>
      <c r="E10115" t="s">
        <v>13369</v>
      </c>
      <c r="F10115" t="s">
        <v>14082</v>
      </c>
    </row>
    <row r="10116" spans="1:6" x14ac:dyDescent="0.25">
      <c r="A10116" t="str">
        <f>"5258137136"</f>
        <v>5258137136</v>
      </c>
      <c r="B10116" t="s">
        <v>14083</v>
      </c>
      <c r="C10116" t="s">
        <v>7</v>
      </c>
      <c r="D10116" t="s">
        <v>33</v>
      </c>
      <c r="E10116" t="s">
        <v>13369</v>
      </c>
      <c r="F10116" t="s">
        <v>14084</v>
      </c>
    </row>
    <row r="10117" spans="1:6" x14ac:dyDescent="0.25">
      <c r="A10117" t="str">
        <f>"5258147159"</f>
        <v>5258147159</v>
      </c>
      <c r="B10117" t="s">
        <v>14085</v>
      </c>
      <c r="C10117" t="s">
        <v>7</v>
      </c>
      <c r="D10117" t="s">
        <v>12</v>
      </c>
      <c r="E10117" t="s">
        <v>13369</v>
      </c>
      <c r="F10117" t="s">
        <v>14086</v>
      </c>
    </row>
    <row r="10118" spans="1:6" x14ac:dyDescent="0.25">
      <c r="A10118" t="str">
        <f>"5258150049"</f>
        <v>5258150049</v>
      </c>
      <c r="B10118" t="s">
        <v>14087</v>
      </c>
      <c r="C10118" t="s">
        <v>7</v>
      </c>
      <c r="D10118" t="s">
        <v>463</v>
      </c>
      <c r="E10118" t="s">
        <v>13369</v>
      </c>
      <c r="F10118" t="s">
        <v>14088</v>
      </c>
    </row>
    <row r="10119" spans="1:6" x14ac:dyDescent="0.25">
      <c r="A10119" t="str">
        <f>"525900142003"</f>
        <v>525900142003</v>
      </c>
      <c r="B10119" t="s">
        <v>14089</v>
      </c>
      <c r="C10119" t="s">
        <v>7</v>
      </c>
      <c r="D10119" t="s">
        <v>14</v>
      </c>
      <c r="E10119" t="s">
        <v>13369</v>
      </c>
    </row>
    <row r="10120" spans="1:6" x14ac:dyDescent="0.25">
      <c r="A10120" t="str">
        <f>"5259030883"</f>
        <v>5259030883</v>
      </c>
      <c r="B10120" t="s">
        <v>14090</v>
      </c>
      <c r="C10120" t="s">
        <v>7</v>
      </c>
      <c r="D10120" t="s">
        <v>1430</v>
      </c>
      <c r="E10120" t="s">
        <v>13369</v>
      </c>
      <c r="F10120" t="s">
        <v>14091</v>
      </c>
    </row>
    <row r="10121" spans="1:6" x14ac:dyDescent="0.25">
      <c r="A10121" t="str">
        <f>"5259072058"</f>
        <v>5259072058</v>
      </c>
      <c r="B10121" t="s">
        <v>7472</v>
      </c>
      <c r="C10121" t="s">
        <v>7</v>
      </c>
      <c r="D10121" t="s">
        <v>33</v>
      </c>
      <c r="E10121" t="s">
        <v>13369</v>
      </c>
      <c r="F10121" t="s">
        <v>14092</v>
      </c>
    </row>
    <row r="10122" spans="1:6" x14ac:dyDescent="0.25">
      <c r="A10122" t="str">
        <f>"5259075740"</f>
        <v>5259075740</v>
      </c>
      <c r="B10122" t="s">
        <v>9167</v>
      </c>
      <c r="C10122" t="s">
        <v>7</v>
      </c>
      <c r="D10122" t="s">
        <v>33</v>
      </c>
      <c r="E10122" t="s">
        <v>13369</v>
      </c>
      <c r="F10122" t="s">
        <v>14092</v>
      </c>
    </row>
    <row r="10123" spans="1:6" x14ac:dyDescent="0.25">
      <c r="A10123" t="str">
        <f>"525909523589"</f>
        <v>525909523589</v>
      </c>
      <c r="B10123" t="s">
        <v>14093</v>
      </c>
      <c r="C10123" t="s">
        <v>7</v>
      </c>
      <c r="D10123" t="s">
        <v>14</v>
      </c>
      <c r="E10123" t="s">
        <v>13369</v>
      </c>
    </row>
    <row r="10124" spans="1:6" x14ac:dyDescent="0.25">
      <c r="A10124" t="str">
        <f>"5259107670"</f>
        <v>5259107670</v>
      </c>
      <c r="B10124" t="s">
        <v>14094</v>
      </c>
      <c r="C10124" t="s">
        <v>7</v>
      </c>
      <c r="D10124" t="s">
        <v>14</v>
      </c>
      <c r="E10124" t="s">
        <v>13369</v>
      </c>
      <c r="F10124" t="s">
        <v>14095</v>
      </c>
    </row>
    <row r="10125" spans="1:6" x14ac:dyDescent="0.25">
      <c r="A10125" t="str">
        <f>"5259156340"</f>
        <v>5259156340</v>
      </c>
      <c r="B10125" t="s">
        <v>14096</v>
      </c>
      <c r="C10125" t="s">
        <v>7</v>
      </c>
      <c r="D10125" t="s">
        <v>463</v>
      </c>
      <c r="E10125" t="s">
        <v>13369</v>
      </c>
      <c r="F10125" t="s">
        <v>14097</v>
      </c>
    </row>
    <row r="10126" spans="1:6" x14ac:dyDescent="0.25">
      <c r="A10126" t="str">
        <f>"525980909252"</f>
        <v>525980909252</v>
      </c>
      <c r="B10126" t="s">
        <v>14098</v>
      </c>
      <c r="C10126" t="s">
        <v>7</v>
      </c>
      <c r="D10126" t="s">
        <v>12</v>
      </c>
      <c r="E10126" t="s">
        <v>13369</v>
      </c>
    </row>
    <row r="10127" spans="1:6" x14ac:dyDescent="0.25">
      <c r="A10127" t="str">
        <f>"525981918281"</f>
        <v>525981918281</v>
      </c>
      <c r="B10127" t="s">
        <v>14099</v>
      </c>
      <c r="C10127" t="s">
        <v>7</v>
      </c>
      <c r="D10127" t="s">
        <v>14</v>
      </c>
      <c r="E10127" t="s">
        <v>13369</v>
      </c>
    </row>
    <row r="10128" spans="1:6" x14ac:dyDescent="0.25">
      <c r="A10128" t="str">
        <f>"5260066274"</f>
        <v>5260066274</v>
      </c>
      <c r="B10128" t="s">
        <v>14100</v>
      </c>
      <c r="C10128" t="s">
        <v>7</v>
      </c>
      <c r="D10128" t="s">
        <v>12</v>
      </c>
      <c r="E10128" t="s">
        <v>13369</v>
      </c>
      <c r="F10128" t="s">
        <v>14101</v>
      </c>
    </row>
    <row r="10129" spans="1:6" x14ac:dyDescent="0.25">
      <c r="A10129" t="str">
        <f>"5260165660"</f>
        <v>5260165660</v>
      </c>
      <c r="B10129" t="s">
        <v>14102</v>
      </c>
      <c r="C10129" t="s">
        <v>7</v>
      </c>
      <c r="D10129" t="s">
        <v>674</v>
      </c>
      <c r="E10129" t="s">
        <v>13369</v>
      </c>
      <c r="F10129" t="s">
        <v>14103</v>
      </c>
    </row>
    <row r="10130" spans="1:6" x14ac:dyDescent="0.25">
      <c r="A10130" t="str">
        <f>"5260187399"</f>
        <v>5260187399</v>
      </c>
      <c r="B10130" t="s">
        <v>14104</v>
      </c>
      <c r="C10130" t="s">
        <v>7</v>
      </c>
      <c r="D10130" t="s">
        <v>12</v>
      </c>
      <c r="E10130" t="s">
        <v>13369</v>
      </c>
      <c r="F10130" t="s">
        <v>14105</v>
      </c>
    </row>
    <row r="10131" spans="1:6" x14ac:dyDescent="0.25">
      <c r="A10131" t="str">
        <f>"526020139720"</f>
        <v>526020139720</v>
      </c>
      <c r="B10131" t="s">
        <v>14106</v>
      </c>
      <c r="C10131" t="s">
        <v>7</v>
      </c>
      <c r="D10131" t="s">
        <v>14</v>
      </c>
      <c r="E10131" t="s">
        <v>13369</v>
      </c>
    </row>
    <row r="10132" spans="1:6" x14ac:dyDescent="0.25">
      <c r="A10132" t="str">
        <f>"526021298000"</f>
        <v>526021298000</v>
      </c>
      <c r="B10132" t="s">
        <v>14107</v>
      </c>
      <c r="C10132" t="s">
        <v>7</v>
      </c>
      <c r="D10132" t="s">
        <v>14</v>
      </c>
      <c r="E10132" t="s">
        <v>13369</v>
      </c>
    </row>
    <row r="10133" spans="1:6" x14ac:dyDescent="0.25">
      <c r="A10133" t="str">
        <f>"5260281345"</f>
        <v>5260281345</v>
      </c>
      <c r="B10133" t="s">
        <v>14108</v>
      </c>
      <c r="C10133" t="s">
        <v>7</v>
      </c>
      <c r="D10133" t="s">
        <v>14</v>
      </c>
      <c r="E10133" t="s">
        <v>13369</v>
      </c>
      <c r="F10133" t="s">
        <v>13965</v>
      </c>
    </row>
    <row r="10134" spans="1:6" x14ac:dyDescent="0.25">
      <c r="A10134" t="str">
        <f>"5260308710"</f>
        <v>5260308710</v>
      </c>
      <c r="B10134" t="s">
        <v>14109</v>
      </c>
      <c r="C10134" t="s">
        <v>7</v>
      </c>
      <c r="D10134" t="s">
        <v>14</v>
      </c>
      <c r="E10134" t="s">
        <v>13369</v>
      </c>
      <c r="F10134" t="s">
        <v>14110</v>
      </c>
    </row>
    <row r="10135" spans="1:6" x14ac:dyDescent="0.25">
      <c r="A10135" t="str">
        <f>"5260427636"</f>
        <v>5260427636</v>
      </c>
      <c r="B10135" t="s">
        <v>14111</v>
      </c>
      <c r="C10135" t="s">
        <v>7</v>
      </c>
      <c r="D10135" t="s">
        <v>14</v>
      </c>
      <c r="E10135" t="s">
        <v>13369</v>
      </c>
      <c r="F10135" t="s">
        <v>14112</v>
      </c>
    </row>
    <row r="10136" spans="1:6" x14ac:dyDescent="0.25">
      <c r="A10136" t="str">
        <f>"5260445579"</f>
        <v>5260445579</v>
      </c>
      <c r="B10136" t="s">
        <v>14113</v>
      </c>
      <c r="C10136" t="s">
        <v>7</v>
      </c>
      <c r="D10136" t="s">
        <v>33</v>
      </c>
      <c r="E10136" t="s">
        <v>13369</v>
      </c>
      <c r="F10136" t="s">
        <v>14114</v>
      </c>
    </row>
    <row r="10137" spans="1:6" x14ac:dyDescent="0.25">
      <c r="A10137" t="str">
        <f>"5260456806"</f>
        <v>5260456806</v>
      </c>
      <c r="B10137" t="s">
        <v>14115</v>
      </c>
      <c r="C10137" t="s">
        <v>7</v>
      </c>
      <c r="D10137" t="s">
        <v>14</v>
      </c>
      <c r="E10137" t="s">
        <v>13369</v>
      </c>
      <c r="F10137" t="s">
        <v>14116</v>
      </c>
    </row>
    <row r="10138" spans="1:6" x14ac:dyDescent="0.25">
      <c r="A10138" t="str">
        <f>"5260489135"</f>
        <v>5260489135</v>
      </c>
      <c r="B10138" t="s">
        <v>14117</v>
      </c>
      <c r="C10138" t="s">
        <v>7</v>
      </c>
      <c r="D10138" t="s">
        <v>146</v>
      </c>
      <c r="E10138" t="s">
        <v>13369</v>
      </c>
      <c r="F10138" t="s">
        <v>14118</v>
      </c>
    </row>
    <row r="10139" spans="1:6" x14ac:dyDescent="0.25">
      <c r="A10139" t="str">
        <f>"526098744593"</f>
        <v>526098744593</v>
      </c>
      <c r="B10139" t="s">
        <v>14119</v>
      </c>
      <c r="C10139" t="s">
        <v>7</v>
      </c>
      <c r="D10139" t="s">
        <v>14</v>
      </c>
      <c r="E10139" t="s">
        <v>13369</v>
      </c>
    </row>
    <row r="10140" spans="1:6" x14ac:dyDescent="0.25">
      <c r="A10140" t="str">
        <f>"5261028930"</f>
        <v>5261028930</v>
      </c>
      <c r="B10140" t="s">
        <v>14120</v>
      </c>
      <c r="C10140" t="s">
        <v>7</v>
      </c>
      <c r="D10140" t="s">
        <v>14</v>
      </c>
      <c r="E10140" t="s">
        <v>13369</v>
      </c>
      <c r="F10140" t="s">
        <v>14121</v>
      </c>
    </row>
    <row r="10141" spans="1:6" x14ac:dyDescent="0.25">
      <c r="A10141" t="str">
        <f>"5261034797"</f>
        <v>5261034797</v>
      </c>
      <c r="B10141" t="s">
        <v>14122</v>
      </c>
      <c r="C10141" t="s">
        <v>7</v>
      </c>
      <c r="D10141" t="s">
        <v>14</v>
      </c>
      <c r="E10141" t="s">
        <v>13369</v>
      </c>
      <c r="F10141" t="s">
        <v>14123</v>
      </c>
    </row>
    <row r="10142" spans="1:6" x14ac:dyDescent="0.25">
      <c r="A10142" t="str">
        <f>"526107084498"</f>
        <v>526107084498</v>
      </c>
      <c r="B10142" t="s">
        <v>14124</v>
      </c>
      <c r="C10142" t="s">
        <v>7</v>
      </c>
      <c r="D10142" t="s">
        <v>14</v>
      </c>
      <c r="E10142" t="s">
        <v>13369</v>
      </c>
    </row>
    <row r="10143" spans="1:6" x14ac:dyDescent="0.25">
      <c r="A10143" t="str">
        <f>"5261098744"</f>
        <v>5261098744</v>
      </c>
      <c r="B10143" t="s">
        <v>14125</v>
      </c>
      <c r="C10143" t="s">
        <v>7</v>
      </c>
      <c r="D10143" t="s">
        <v>12</v>
      </c>
      <c r="E10143" t="s">
        <v>13369</v>
      </c>
      <c r="F10143" t="s">
        <v>14126</v>
      </c>
    </row>
    <row r="10144" spans="1:6" x14ac:dyDescent="0.25">
      <c r="A10144" t="str">
        <f>"5261100256"</f>
        <v>5261100256</v>
      </c>
      <c r="B10144" t="s">
        <v>14127</v>
      </c>
      <c r="C10144" t="s">
        <v>7</v>
      </c>
      <c r="D10144" t="s">
        <v>14</v>
      </c>
      <c r="E10144" t="s">
        <v>13369</v>
      </c>
      <c r="F10144" t="s">
        <v>14128</v>
      </c>
    </row>
    <row r="10145" spans="1:6" x14ac:dyDescent="0.25">
      <c r="A10145" t="str">
        <f>"5261105127"</f>
        <v>5261105127</v>
      </c>
      <c r="B10145" t="s">
        <v>14129</v>
      </c>
      <c r="C10145" t="s">
        <v>7</v>
      </c>
      <c r="D10145" t="s">
        <v>14</v>
      </c>
      <c r="E10145" t="s">
        <v>13369</v>
      </c>
      <c r="F10145" t="s">
        <v>14130</v>
      </c>
    </row>
    <row r="10146" spans="1:6" x14ac:dyDescent="0.25">
      <c r="A10146" t="str">
        <f>"5261125885"</f>
        <v>5261125885</v>
      </c>
      <c r="B10146" t="s">
        <v>14131</v>
      </c>
      <c r="C10146" t="s">
        <v>7</v>
      </c>
      <c r="D10146" t="s">
        <v>33</v>
      </c>
      <c r="E10146" t="s">
        <v>13369</v>
      </c>
      <c r="F10146" t="s">
        <v>14132</v>
      </c>
    </row>
    <row r="10147" spans="1:6" x14ac:dyDescent="0.25">
      <c r="A10147" t="str">
        <f>"5261127770"</f>
        <v>5261127770</v>
      </c>
      <c r="B10147" t="s">
        <v>14133</v>
      </c>
      <c r="C10147" t="s">
        <v>7</v>
      </c>
      <c r="D10147" t="s">
        <v>33</v>
      </c>
      <c r="E10147" t="s">
        <v>13369</v>
      </c>
      <c r="F10147" t="s">
        <v>14134</v>
      </c>
    </row>
    <row r="10148" spans="1:6" x14ac:dyDescent="0.25">
      <c r="A10148" t="str">
        <f>"5261128879"</f>
        <v>5261128879</v>
      </c>
      <c r="B10148" t="s">
        <v>14135</v>
      </c>
      <c r="C10148" t="s">
        <v>7</v>
      </c>
      <c r="D10148" t="s">
        <v>33</v>
      </c>
      <c r="E10148" t="s">
        <v>13369</v>
      </c>
      <c r="F10148" t="s">
        <v>14136</v>
      </c>
    </row>
    <row r="10149" spans="1:6" x14ac:dyDescent="0.25">
      <c r="A10149" t="str">
        <f>"5261128886"</f>
        <v>5261128886</v>
      </c>
      <c r="B10149" t="s">
        <v>14137</v>
      </c>
      <c r="C10149" t="s">
        <v>7</v>
      </c>
      <c r="D10149" t="s">
        <v>28</v>
      </c>
      <c r="E10149" t="s">
        <v>13369</v>
      </c>
      <c r="F10149" t="s">
        <v>14138</v>
      </c>
    </row>
    <row r="10150" spans="1:6" x14ac:dyDescent="0.25">
      <c r="A10150" t="str">
        <f>"5261130638"</f>
        <v>5261130638</v>
      </c>
      <c r="B10150" t="s">
        <v>14139</v>
      </c>
      <c r="C10150" t="s">
        <v>7</v>
      </c>
      <c r="D10150" t="s">
        <v>674</v>
      </c>
      <c r="E10150" t="s">
        <v>13369</v>
      </c>
      <c r="F10150" t="s">
        <v>14140</v>
      </c>
    </row>
    <row r="10151" spans="1:6" x14ac:dyDescent="0.25">
      <c r="A10151" t="str">
        <f>"5261135185"</f>
        <v>5261135185</v>
      </c>
      <c r="B10151" t="s">
        <v>14141</v>
      </c>
      <c r="C10151" t="s">
        <v>7</v>
      </c>
      <c r="D10151" t="s">
        <v>14</v>
      </c>
      <c r="E10151" t="s">
        <v>13369</v>
      </c>
      <c r="F10151" t="s">
        <v>14142</v>
      </c>
    </row>
    <row r="10152" spans="1:6" x14ac:dyDescent="0.25">
      <c r="A10152" t="str">
        <f>"5261137094"</f>
        <v>5261137094</v>
      </c>
      <c r="B10152" t="s">
        <v>14143</v>
      </c>
      <c r="C10152" t="s">
        <v>7</v>
      </c>
      <c r="D10152" t="s">
        <v>33</v>
      </c>
      <c r="E10152" t="s">
        <v>13369</v>
      </c>
      <c r="F10152" t="s">
        <v>14144</v>
      </c>
    </row>
    <row r="10153" spans="1:6" x14ac:dyDescent="0.25">
      <c r="A10153" t="str">
        <f>"5261138468"</f>
        <v>5261138468</v>
      </c>
      <c r="B10153" t="s">
        <v>14145</v>
      </c>
      <c r="C10153" t="s">
        <v>7</v>
      </c>
      <c r="D10153" t="s">
        <v>12</v>
      </c>
      <c r="E10153" t="s">
        <v>13369</v>
      </c>
      <c r="F10153" t="s">
        <v>14146</v>
      </c>
    </row>
    <row r="10154" spans="1:6" x14ac:dyDescent="0.25">
      <c r="A10154" t="str">
        <f>"5261138595"</f>
        <v>5261138595</v>
      </c>
      <c r="B10154" t="s">
        <v>14147</v>
      </c>
      <c r="C10154" t="s">
        <v>7</v>
      </c>
      <c r="D10154" t="s">
        <v>33</v>
      </c>
      <c r="E10154" t="s">
        <v>13369</v>
      </c>
      <c r="F10154" t="s">
        <v>14148</v>
      </c>
    </row>
    <row r="10155" spans="1:6" x14ac:dyDescent="0.25">
      <c r="A10155" t="str">
        <f>"526200198644"</f>
        <v>526200198644</v>
      </c>
      <c r="B10155" t="s">
        <v>14149</v>
      </c>
      <c r="C10155" t="s">
        <v>7</v>
      </c>
      <c r="D10155" t="s">
        <v>14</v>
      </c>
      <c r="E10155" t="s">
        <v>13369</v>
      </c>
    </row>
    <row r="10156" spans="1:6" x14ac:dyDescent="0.25">
      <c r="A10156" t="str">
        <f>"526200443494"</f>
        <v>526200443494</v>
      </c>
      <c r="B10156" t="s">
        <v>14150</v>
      </c>
      <c r="C10156" t="s">
        <v>7</v>
      </c>
      <c r="D10156" t="s">
        <v>14</v>
      </c>
      <c r="E10156" t="s">
        <v>13369</v>
      </c>
    </row>
    <row r="10157" spans="1:6" x14ac:dyDescent="0.25">
      <c r="A10157" t="str">
        <f>"526200834508"</f>
        <v>526200834508</v>
      </c>
      <c r="B10157" t="s">
        <v>14151</v>
      </c>
      <c r="C10157" t="s">
        <v>7</v>
      </c>
      <c r="D10157" t="s">
        <v>12</v>
      </c>
      <c r="E10157" t="s">
        <v>13369</v>
      </c>
    </row>
    <row r="10158" spans="1:6" x14ac:dyDescent="0.25">
      <c r="A10158" t="str">
        <f>"5262100509"</f>
        <v>5262100509</v>
      </c>
      <c r="B10158" t="s">
        <v>14152</v>
      </c>
      <c r="C10158" t="s">
        <v>7</v>
      </c>
      <c r="D10158" t="s">
        <v>8</v>
      </c>
      <c r="E10158" t="s">
        <v>13369</v>
      </c>
      <c r="F10158" t="s">
        <v>14153</v>
      </c>
    </row>
    <row r="10159" spans="1:6" x14ac:dyDescent="0.25">
      <c r="A10159" t="str">
        <f>"5262138654"</f>
        <v>5262138654</v>
      </c>
      <c r="B10159" t="s">
        <v>14154</v>
      </c>
      <c r="C10159" t="s">
        <v>7</v>
      </c>
      <c r="D10159" t="s">
        <v>98</v>
      </c>
      <c r="E10159" t="s">
        <v>13369</v>
      </c>
      <c r="F10159" t="s">
        <v>14155</v>
      </c>
    </row>
    <row r="10160" spans="1:6" x14ac:dyDescent="0.25">
      <c r="A10160" t="str">
        <f>"5262145299"</f>
        <v>5262145299</v>
      </c>
      <c r="B10160" t="s">
        <v>14156</v>
      </c>
      <c r="C10160" t="s">
        <v>7</v>
      </c>
      <c r="D10160" t="s">
        <v>12</v>
      </c>
      <c r="E10160" t="s">
        <v>13369</v>
      </c>
      <c r="F10160" t="s">
        <v>14157</v>
      </c>
    </row>
    <row r="10161" spans="1:6" x14ac:dyDescent="0.25">
      <c r="A10161" t="str">
        <f>"5262155836"</f>
        <v>5262155836</v>
      </c>
      <c r="B10161" t="s">
        <v>14158</v>
      </c>
      <c r="C10161" t="s">
        <v>7</v>
      </c>
      <c r="D10161" t="s">
        <v>12</v>
      </c>
      <c r="E10161" t="s">
        <v>13369</v>
      </c>
      <c r="F10161" t="s">
        <v>14159</v>
      </c>
    </row>
    <row r="10162" spans="1:6" x14ac:dyDescent="0.25">
      <c r="A10162" t="str">
        <f>"5262212192"</f>
        <v>5262212192</v>
      </c>
      <c r="B10162" t="s">
        <v>14160</v>
      </c>
      <c r="C10162" t="s">
        <v>7</v>
      </c>
      <c r="D10162" t="s">
        <v>14</v>
      </c>
      <c r="E10162" t="s">
        <v>13369</v>
      </c>
      <c r="F10162" t="s">
        <v>14161</v>
      </c>
    </row>
    <row r="10163" spans="1:6" x14ac:dyDescent="0.25">
      <c r="A10163" t="str">
        <f>"5262303178"</f>
        <v>5262303178</v>
      </c>
      <c r="B10163" t="s">
        <v>14162</v>
      </c>
      <c r="C10163" t="s">
        <v>7</v>
      </c>
      <c r="D10163" t="s">
        <v>8</v>
      </c>
      <c r="E10163" t="s">
        <v>13369</v>
      </c>
      <c r="F10163" t="s">
        <v>14163</v>
      </c>
    </row>
    <row r="10164" spans="1:6" x14ac:dyDescent="0.25">
      <c r="A10164" t="str">
        <f>"5262351728"</f>
        <v>5262351728</v>
      </c>
      <c r="B10164" t="s">
        <v>14164</v>
      </c>
      <c r="C10164" t="s">
        <v>7</v>
      </c>
      <c r="D10164" t="s">
        <v>14</v>
      </c>
      <c r="E10164" t="s">
        <v>13369</v>
      </c>
      <c r="F10164" t="s">
        <v>14165</v>
      </c>
    </row>
    <row r="10165" spans="1:6" x14ac:dyDescent="0.25">
      <c r="A10165" t="str">
        <f>"5262385406"</f>
        <v>5262385406</v>
      </c>
      <c r="B10165" t="s">
        <v>14166</v>
      </c>
      <c r="C10165" t="s">
        <v>7</v>
      </c>
      <c r="D10165" t="s">
        <v>28</v>
      </c>
      <c r="E10165" t="s">
        <v>13369</v>
      </c>
      <c r="F10165" t="s">
        <v>14167</v>
      </c>
    </row>
    <row r="10166" spans="1:6" x14ac:dyDescent="0.25">
      <c r="A10166" t="str">
        <f>"5263004501"</f>
        <v>5263004501</v>
      </c>
      <c r="B10166" t="s">
        <v>14168</v>
      </c>
      <c r="C10166" t="s">
        <v>7</v>
      </c>
      <c r="D10166" t="s">
        <v>33</v>
      </c>
      <c r="E10166" t="s">
        <v>13369</v>
      </c>
      <c r="F10166" t="s">
        <v>14169</v>
      </c>
    </row>
    <row r="10167" spans="1:6" x14ac:dyDescent="0.25">
      <c r="A10167" t="str">
        <f>"526302306659"</f>
        <v>526302306659</v>
      </c>
      <c r="B10167" t="s">
        <v>14170</v>
      </c>
      <c r="C10167" t="s">
        <v>7</v>
      </c>
      <c r="D10167" t="s">
        <v>12</v>
      </c>
      <c r="E10167" t="s">
        <v>13369</v>
      </c>
    </row>
    <row r="10168" spans="1:6" x14ac:dyDescent="0.25">
      <c r="A10168" t="str">
        <f>"5263081577"</f>
        <v>5263081577</v>
      </c>
      <c r="B10168" t="s">
        <v>14171</v>
      </c>
      <c r="C10168" t="s">
        <v>7</v>
      </c>
      <c r="D10168" t="s">
        <v>33</v>
      </c>
      <c r="E10168" t="s">
        <v>13369</v>
      </c>
      <c r="F10168" t="s">
        <v>14172</v>
      </c>
    </row>
    <row r="10169" spans="1:6" x14ac:dyDescent="0.25">
      <c r="A10169" t="str">
        <f>"5263109656"</f>
        <v>5263109656</v>
      </c>
      <c r="B10169" t="s">
        <v>14173</v>
      </c>
      <c r="C10169" t="s">
        <v>7</v>
      </c>
      <c r="D10169" t="s">
        <v>146</v>
      </c>
      <c r="E10169" t="s">
        <v>13369</v>
      </c>
      <c r="F10169" t="s">
        <v>14174</v>
      </c>
    </row>
    <row r="10170" spans="1:6" x14ac:dyDescent="0.25">
      <c r="A10170" t="str">
        <f>"5263110732"</f>
        <v>5263110732</v>
      </c>
      <c r="B10170" t="s">
        <v>14175</v>
      </c>
      <c r="C10170" t="s">
        <v>7</v>
      </c>
      <c r="D10170" t="s">
        <v>98</v>
      </c>
      <c r="E10170" t="s">
        <v>13369</v>
      </c>
      <c r="F10170" t="s">
        <v>14176</v>
      </c>
    </row>
    <row r="10171" spans="1:6" x14ac:dyDescent="0.25">
      <c r="A10171" t="str">
        <f>"5263114656"</f>
        <v>5263114656</v>
      </c>
      <c r="B10171" t="s">
        <v>14177</v>
      </c>
      <c r="C10171" t="s">
        <v>7</v>
      </c>
      <c r="D10171" t="s">
        <v>189</v>
      </c>
      <c r="E10171" t="s">
        <v>13369</v>
      </c>
      <c r="F10171" t="s">
        <v>14178</v>
      </c>
    </row>
    <row r="10172" spans="1:6" x14ac:dyDescent="0.25">
      <c r="A10172" t="str">
        <f>"5263124894"</f>
        <v>5263124894</v>
      </c>
      <c r="B10172" t="s">
        <v>14179</v>
      </c>
      <c r="C10172" t="s">
        <v>7</v>
      </c>
      <c r="D10172" t="s">
        <v>33</v>
      </c>
      <c r="E10172" t="s">
        <v>13369</v>
      </c>
      <c r="F10172" t="s">
        <v>14180</v>
      </c>
    </row>
    <row r="10173" spans="1:6" x14ac:dyDescent="0.25">
      <c r="A10173" t="str">
        <f>"5263128708"</f>
        <v>5263128708</v>
      </c>
      <c r="B10173" t="s">
        <v>14181</v>
      </c>
      <c r="C10173" t="s">
        <v>7</v>
      </c>
      <c r="D10173" t="s">
        <v>14</v>
      </c>
      <c r="E10173" t="s">
        <v>13369</v>
      </c>
      <c r="F10173" t="s">
        <v>14182</v>
      </c>
    </row>
    <row r="10174" spans="1:6" x14ac:dyDescent="0.25">
      <c r="A10174" t="str">
        <f>"5263131570"</f>
        <v>5263131570</v>
      </c>
      <c r="B10174" t="s">
        <v>14183</v>
      </c>
      <c r="C10174" t="s">
        <v>7</v>
      </c>
      <c r="D10174" t="s">
        <v>33</v>
      </c>
      <c r="E10174" t="s">
        <v>13369</v>
      </c>
      <c r="F10174" t="s">
        <v>14184</v>
      </c>
    </row>
    <row r="10175" spans="1:6" x14ac:dyDescent="0.25">
      <c r="A10175" t="str">
        <f>"5263133634"</f>
        <v>5263133634</v>
      </c>
      <c r="B10175" t="s">
        <v>14185</v>
      </c>
      <c r="C10175" t="s">
        <v>7</v>
      </c>
      <c r="D10175" t="s">
        <v>33</v>
      </c>
      <c r="E10175" t="s">
        <v>13369</v>
      </c>
      <c r="F10175" t="s">
        <v>14186</v>
      </c>
    </row>
    <row r="10176" spans="1:6" x14ac:dyDescent="0.25">
      <c r="A10176" t="str">
        <f>"5263137886"</f>
        <v>5263137886</v>
      </c>
      <c r="B10176" t="s">
        <v>14187</v>
      </c>
      <c r="C10176" t="s">
        <v>7</v>
      </c>
      <c r="D10176" t="s">
        <v>674</v>
      </c>
      <c r="E10176" t="s">
        <v>13369</v>
      </c>
      <c r="F10176" t="s">
        <v>14188</v>
      </c>
    </row>
    <row r="10177" spans="1:6" x14ac:dyDescent="0.25">
      <c r="A10177" t="str">
        <f>"5263139940"</f>
        <v>5263139940</v>
      </c>
      <c r="B10177" t="s">
        <v>14189</v>
      </c>
      <c r="C10177" t="s">
        <v>7</v>
      </c>
      <c r="D10177" t="s">
        <v>14</v>
      </c>
      <c r="E10177" t="s">
        <v>13369</v>
      </c>
      <c r="F10177" t="s">
        <v>14190</v>
      </c>
    </row>
    <row r="10178" spans="1:6" x14ac:dyDescent="0.25">
      <c r="A10178" t="str">
        <f>"5263149810"</f>
        <v>5263149810</v>
      </c>
      <c r="B10178" t="s">
        <v>14191</v>
      </c>
      <c r="C10178" t="s">
        <v>7</v>
      </c>
      <c r="D10178" t="s">
        <v>12</v>
      </c>
      <c r="E10178" t="s">
        <v>13369</v>
      </c>
      <c r="F10178" t="s">
        <v>14192</v>
      </c>
    </row>
    <row r="10179" spans="1:6" x14ac:dyDescent="0.25">
      <c r="A10179" t="str">
        <f>"526321186690"</f>
        <v>526321186690</v>
      </c>
      <c r="B10179" t="s">
        <v>14193</v>
      </c>
      <c r="C10179" t="s">
        <v>7</v>
      </c>
      <c r="D10179" t="s">
        <v>14</v>
      </c>
      <c r="E10179" t="s">
        <v>13369</v>
      </c>
    </row>
    <row r="10180" spans="1:6" x14ac:dyDescent="0.25">
      <c r="A10180" t="str">
        <f>"526322349795"</f>
        <v>526322349795</v>
      </c>
      <c r="B10180" t="s">
        <v>14194</v>
      </c>
      <c r="C10180" t="s">
        <v>7</v>
      </c>
      <c r="D10180" t="s">
        <v>14</v>
      </c>
      <c r="E10180" t="s">
        <v>13369</v>
      </c>
    </row>
    <row r="10181" spans="1:6" x14ac:dyDescent="0.25">
      <c r="A10181" t="str">
        <f>"526330155144"</f>
        <v>526330155144</v>
      </c>
      <c r="B10181" t="s">
        <v>14195</v>
      </c>
      <c r="C10181" t="s">
        <v>7</v>
      </c>
      <c r="D10181" t="s">
        <v>14</v>
      </c>
      <c r="E10181" t="s">
        <v>13369</v>
      </c>
    </row>
    <row r="10182" spans="1:6" x14ac:dyDescent="0.25">
      <c r="A10182" t="str">
        <f>"520100014966"</f>
        <v>520100014966</v>
      </c>
      <c r="B10182" t="s">
        <v>14196</v>
      </c>
      <c r="C10182" t="s">
        <v>7</v>
      </c>
      <c r="D10182" t="s">
        <v>14</v>
      </c>
      <c r="E10182" t="s">
        <v>13369</v>
      </c>
    </row>
    <row r="10183" spans="1:6" x14ac:dyDescent="0.25">
      <c r="A10183" t="str">
        <f>"520204213236"</f>
        <v>520204213236</v>
      </c>
      <c r="B10183" t="s">
        <v>14197</v>
      </c>
      <c r="C10183" t="s">
        <v>7</v>
      </c>
      <c r="D10183" t="s">
        <v>12</v>
      </c>
      <c r="E10183" t="s">
        <v>13369</v>
      </c>
    </row>
    <row r="10184" spans="1:6" x14ac:dyDescent="0.25">
      <c r="A10184" t="str">
        <f>"521001452777"</f>
        <v>521001452777</v>
      </c>
      <c r="B10184" t="s">
        <v>14198</v>
      </c>
      <c r="C10184" t="s">
        <v>7</v>
      </c>
      <c r="D10184" t="s">
        <v>12</v>
      </c>
      <c r="E10184" t="s">
        <v>13369</v>
      </c>
    </row>
    <row r="10185" spans="1:6" x14ac:dyDescent="0.25">
      <c r="A10185" t="str">
        <f>"521700272209"</f>
        <v>521700272209</v>
      </c>
      <c r="B10185" t="s">
        <v>14199</v>
      </c>
      <c r="C10185" t="s">
        <v>7</v>
      </c>
      <c r="D10185" t="s">
        <v>14</v>
      </c>
      <c r="E10185" t="s">
        <v>13369</v>
      </c>
    </row>
    <row r="10186" spans="1:6" x14ac:dyDescent="0.25">
      <c r="A10186" t="str">
        <f>"523500063321"</f>
        <v>523500063321</v>
      </c>
      <c r="B10186" t="s">
        <v>14200</v>
      </c>
      <c r="C10186" t="s">
        <v>7</v>
      </c>
      <c r="D10186" t="s">
        <v>14</v>
      </c>
      <c r="E10186" t="s">
        <v>13369</v>
      </c>
    </row>
    <row r="10187" spans="1:6" x14ac:dyDescent="0.25">
      <c r="A10187" t="str">
        <f>"523601114565"</f>
        <v>523601114565</v>
      </c>
      <c r="B10187" t="s">
        <v>14201</v>
      </c>
      <c r="C10187" t="s">
        <v>7</v>
      </c>
      <c r="D10187" t="s">
        <v>14</v>
      </c>
      <c r="E10187" t="s">
        <v>13369</v>
      </c>
    </row>
    <row r="10188" spans="1:6" x14ac:dyDescent="0.25">
      <c r="A10188" t="str">
        <f>"5243007208"</f>
        <v>5243007208</v>
      </c>
      <c r="B10188" t="s">
        <v>14202</v>
      </c>
      <c r="C10188" t="s">
        <v>7</v>
      </c>
      <c r="D10188" t="s">
        <v>14</v>
      </c>
      <c r="E10188" t="s">
        <v>13369</v>
      </c>
      <c r="F10188" t="s">
        <v>14203</v>
      </c>
    </row>
    <row r="10189" spans="1:6" x14ac:dyDescent="0.25">
      <c r="A10189" t="str">
        <f>"5244026965"</f>
        <v>5244026965</v>
      </c>
      <c r="B10189" t="s">
        <v>14204</v>
      </c>
      <c r="C10189" t="s">
        <v>7</v>
      </c>
      <c r="D10189" t="s">
        <v>146</v>
      </c>
      <c r="E10189" t="s">
        <v>13369</v>
      </c>
      <c r="F10189" t="s">
        <v>14205</v>
      </c>
    </row>
    <row r="10190" spans="1:6" x14ac:dyDescent="0.25">
      <c r="A10190" t="str">
        <f>"5247011364"</f>
        <v>5247011364</v>
      </c>
      <c r="B10190" t="s">
        <v>14206</v>
      </c>
      <c r="C10190" t="s">
        <v>7</v>
      </c>
      <c r="D10190" t="s">
        <v>14</v>
      </c>
      <c r="E10190" t="s">
        <v>13369</v>
      </c>
      <c r="F10190" t="s">
        <v>14207</v>
      </c>
    </row>
    <row r="10191" spans="1:6" x14ac:dyDescent="0.25">
      <c r="A10191" t="str">
        <f>"5249123000"</f>
        <v>5249123000</v>
      </c>
      <c r="B10191" t="s">
        <v>14208</v>
      </c>
      <c r="C10191" t="s">
        <v>7</v>
      </c>
      <c r="D10191" t="s">
        <v>98</v>
      </c>
      <c r="E10191" t="s">
        <v>13369</v>
      </c>
      <c r="F10191" t="s">
        <v>14209</v>
      </c>
    </row>
    <row r="10192" spans="1:6" x14ac:dyDescent="0.25">
      <c r="A10192" t="str">
        <f>"5249160770"</f>
        <v>5249160770</v>
      </c>
      <c r="B10192" t="s">
        <v>14210</v>
      </c>
      <c r="C10192" t="s">
        <v>7</v>
      </c>
      <c r="D10192" t="s">
        <v>98</v>
      </c>
      <c r="E10192" t="s">
        <v>13369</v>
      </c>
      <c r="F10192" t="s">
        <v>14211</v>
      </c>
    </row>
    <row r="10193" spans="1:6" x14ac:dyDescent="0.25">
      <c r="A10193" t="str">
        <f>"524923899091"</f>
        <v>524923899091</v>
      </c>
      <c r="B10193" t="s">
        <v>14212</v>
      </c>
      <c r="C10193" t="s">
        <v>7</v>
      </c>
      <c r="D10193" t="s">
        <v>14</v>
      </c>
      <c r="E10193" t="s">
        <v>13369</v>
      </c>
    </row>
    <row r="10194" spans="1:6" x14ac:dyDescent="0.25">
      <c r="A10194" t="str">
        <f>"524924633665"</f>
        <v>524924633665</v>
      </c>
      <c r="B10194" t="s">
        <v>14213</v>
      </c>
      <c r="C10194" t="s">
        <v>7</v>
      </c>
      <c r="D10194" t="s">
        <v>14</v>
      </c>
      <c r="E10194" t="s">
        <v>13369</v>
      </c>
    </row>
    <row r="10195" spans="1:6" x14ac:dyDescent="0.25">
      <c r="A10195" t="str">
        <f>"5250063725"</f>
        <v>5250063725</v>
      </c>
      <c r="B10195" t="s">
        <v>8973</v>
      </c>
      <c r="C10195" t="s">
        <v>7</v>
      </c>
      <c r="D10195" t="s">
        <v>33</v>
      </c>
      <c r="E10195" t="s">
        <v>13369</v>
      </c>
      <c r="F10195" t="s">
        <v>14214</v>
      </c>
    </row>
    <row r="10196" spans="1:6" x14ac:dyDescent="0.25">
      <c r="A10196" t="str">
        <f>"5256063993"</f>
        <v>5256063993</v>
      </c>
      <c r="B10196" t="s">
        <v>14215</v>
      </c>
      <c r="C10196" t="s">
        <v>7</v>
      </c>
      <c r="D10196" t="s">
        <v>12</v>
      </c>
      <c r="E10196" t="s">
        <v>13369</v>
      </c>
      <c r="F10196" t="s">
        <v>14216</v>
      </c>
    </row>
    <row r="10197" spans="1:6" x14ac:dyDescent="0.25">
      <c r="A10197" t="str">
        <f>"5256078125"</f>
        <v>5256078125</v>
      </c>
      <c r="B10197" t="s">
        <v>14217</v>
      </c>
      <c r="C10197" t="s">
        <v>7</v>
      </c>
      <c r="D10197" t="s">
        <v>33</v>
      </c>
      <c r="E10197" t="s">
        <v>13369</v>
      </c>
      <c r="F10197" t="s">
        <v>14218</v>
      </c>
    </row>
    <row r="10198" spans="1:6" x14ac:dyDescent="0.25">
      <c r="A10198" t="str">
        <f>"5256090757"</f>
        <v>5256090757</v>
      </c>
      <c r="B10198" t="s">
        <v>14219</v>
      </c>
      <c r="C10198" t="s">
        <v>7</v>
      </c>
      <c r="D10198" t="s">
        <v>146</v>
      </c>
      <c r="E10198" t="s">
        <v>13369</v>
      </c>
      <c r="F10198" t="s">
        <v>14220</v>
      </c>
    </row>
    <row r="10199" spans="1:6" x14ac:dyDescent="0.25">
      <c r="A10199" t="str">
        <f>"525689695967"</f>
        <v>525689695967</v>
      </c>
      <c r="B10199" t="s">
        <v>14221</v>
      </c>
      <c r="C10199" t="s">
        <v>7</v>
      </c>
      <c r="D10199" t="s">
        <v>12</v>
      </c>
      <c r="E10199" t="s">
        <v>13369</v>
      </c>
    </row>
    <row r="10200" spans="1:6" x14ac:dyDescent="0.25">
      <c r="A10200" t="str">
        <f>"5257099463"</f>
        <v>5257099463</v>
      </c>
      <c r="B10200" t="s">
        <v>14222</v>
      </c>
      <c r="C10200" t="s">
        <v>7</v>
      </c>
      <c r="D10200" t="s">
        <v>12</v>
      </c>
      <c r="E10200" t="s">
        <v>13369</v>
      </c>
      <c r="F10200" t="s">
        <v>14223</v>
      </c>
    </row>
    <row r="10201" spans="1:6" x14ac:dyDescent="0.25">
      <c r="A10201" t="str">
        <f>"5257102476"</f>
        <v>5257102476</v>
      </c>
      <c r="B10201" t="s">
        <v>14224</v>
      </c>
      <c r="C10201" t="s">
        <v>7</v>
      </c>
      <c r="D10201" t="s">
        <v>1430</v>
      </c>
      <c r="E10201" t="s">
        <v>13369</v>
      </c>
      <c r="F10201" t="s">
        <v>13710</v>
      </c>
    </row>
    <row r="10202" spans="1:6" x14ac:dyDescent="0.25">
      <c r="A10202" t="str">
        <f>"5257204598"</f>
        <v>5257204598</v>
      </c>
      <c r="B10202" t="s">
        <v>2022</v>
      </c>
      <c r="C10202" t="s">
        <v>7</v>
      </c>
      <c r="D10202" t="s">
        <v>12</v>
      </c>
      <c r="E10202" t="s">
        <v>13369</v>
      </c>
      <c r="F10202" t="s">
        <v>14225</v>
      </c>
    </row>
    <row r="10203" spans="1:6" x14ac:dyDescent="0.25">
      <c r="A10203" t="str">
        <f>"5257208916"</f>
        <v>5257208916</v>
      </c>
      <c r="B10203" t="s">
        <v>9791</v>
      </c>
      <c r="C10203" t="s">
        <v>7</v>
      </c>
      <c r="D10203" t="s">
        <v>12</v>
      </c>
      <c r="E10203" t="s">
        <v>13369</v>
      </c>
      <c r="F10203" t="s">
        <v>14226</v>
      </c>
    </row>
    <row r="10204" spans="1:6" x14ac:dyDescent="0.25">
      <c r="A10204" t="str">
        <f>"5258095609"</f>
        <v>5258095609</v>
      </c>
      <c r="B10204" t="s">
        <v>14227</v>
      </c>
      <c r="C10204" t="s">
        <v>7</v>
      </c>
      <c r="D10204" t="s">
        <v>12</v>
      </c>
      <c r="E10204" t="s">
        <v>13369</v>
      </c>
      <c r="F10204" t="s">
        <v>14228</v>
      </c>
    </row>
    <row r="10205" spans="1:6" x14ac:dyDescent="0.25">
      <c r="A10205" t="str">
        <f>"5258148434"</f>
        <v>5258148434</v>
      </c>
      <c r="B10205" t="s">
        <v>14229</v>
      </c>
      <c r="C10205" t="s">
        <v>7</v>
      </c>
      <c r="D10205" t="s">
        <v>12</v>
      </c>
      <c r="E10205" t="s">
        <v>13369</v>
      </c>
      <c r="F10205" t="s">
        <v>14230</v>
      </c>
    </row>
    <row r="10206" spans="1:6" x14ac:dyDescent="0.25">
      <c r="A10206" t="str">
        <f>"525902452466"</f>
        <v>525902452466</v>
      </c>
      <c r="B10206" t="s">
        <v>14231</v>
      </c>
      <c r="C10206" t="s">
        <v>7</v>
      </c>
      <c r="D10206" t="s">
        <v>14</v>
      </c>
      <c r="E10206" t="s">
        <v>13369</v>
      </c>
    </row>
    <row r="10207" spans="1:6" x14ac:dyDescent="0.25">
      <c r="A10207" t="str">
        <f>"525908791793"</f>
        <v>525908791793</v>
      </c>
      <c r="B10207" t="s">
        <v>14232</v>
      </c>
      <c r="C10207" t="s">
        <v>7</v>
      </c>
      <c r="D10207" t="s">
        <v>14</v>
      </c>
      <c r="E10207" t="s">
        <v>13369</v>
      </c>
    </row>
    <row r="10208" spans="1:6" x14ac:dyDescent="0.25">
      <c r="A10208" t="str">
        <f>"5259116675"</f>
        <v>5259116675</v>
      </c>
      <c r="B10208" t="s">
        <v>14233</v>
      </c>
      <c r="C10208" t="s">
        <v>7</v>
      </c>
      <c r="D10208" t="s">
        <v>12</v>
      </c>
      <c r="E10208" t="s">
        <v>13369</v>
      </c>
      <c r="F10208" t="s">
        <v>13774</v>
      </c>
    </row>
    <row r="10209" spans="1:6" x14ac:dyDescent="0.25">
      <c r="A10209" t="str">
        <f>"5259123601"</f>
        <v>5259123601</v>
      </c>
      <c r="B10209" t="s">
        <v>709</v>
      </c>
      <c r="C10209" t="s">
        <v>7</v>
      </c>
      <c r="D10209" t="s">
        <v>33</v>
      </c>
      <c r="E10209" t="s">
        <v>13369</v>
      </c>
      <c r="F10209" t="s">
        <v>14234</v>
      </c>
    </row>
    <row r="10210" spans="1:6" x14ac:dyDescent="0.25">
      <c r="A10210" t="str">
        <f>"5259156533"</f>
        <v>5259156533</v>
      </c>
      <c r="B10210" t="s">
        <v>2266</v>
      </c>
      <c r="C10210" t="s">
        <v>7</v>
      </c>
      <c r="D10210" t="s">
        <v>8</v>
      </c>
      <c r="E10210" t="s">
        <v>13369</v>
      </c>
      <c r="F10210" t="s">
        <v>14235</v>
      </c>
    </row>
    <row r="10211" spans="1:6" x14ac:dyDescent="0.25">
      <c r="A10211" t="str">
        <f>"526001809070"</f>
        <v>526001809070</v>
      </c>
      <c r="B10211" t="s">
        <v>14236</v>
      </c>
      <c r="C10211" t="s">
        <v>7</v>
      </c>
      <c r="D10211" t="s">
        <v>12</v>
      </c>
      <c r="E10211" t="s">
        <v>13369</v>
      </c>
    </row>
    <row r="10212" spans="1:6" x14ac:dyDescent="0.25">
      <c r="A10212" t="str">
        <f>"5260294672"</f>
        <v>5260294672</v>
      </c>
      <c r="B10212" t="s">
        <v>14237</v>
      </c>
      <c r="C10212" t="s">
        <v>7</v>
      </c>
      <c r="D10212" t="s">
        <v>33</v>
      </c>
      <c r="E10212" t="s">
        <v>13369</v>
      </c>
      <c r="F10212" t="s">
        <v>14238</v>
      </c>
    </row>
    <row r="10213" spans="1:6" x14ac:dyDescent="0.25">
      <c r="A10213" t="str">
        <f>"5260297828"</f>
        <v>5260297828</v>
      </c>
      <c r="B10213" t="s">
        <v>14239</v>
      </c>
      <c r="C10213" t="s">
        <v>7</v>
      </c>
      <c r="D10213" t="s">
        <v>33</v>
      </c>
      <c r="E10213" t="s">
        <v>13369</v>
      </c>
      <c r="F10213" t="s">
        <v>14240</v>
      </c>
    </row>
    <row r="10214" spans="1:6" x14ac:dyDescent="0.25">
      <c r="A10214" t="str">
        <f>"5260407598"</f>
        <v>5260407598</v>
      </c>
      <c r="B10214" t="s">
        <v>14241</v>
      </c>
      <c r="C10214" t="s">
        <v>7</v>
      </c>
      <c r="D10214" t="s">
        <v>146</v>
      </c>
      <c r="E10214" t="s">
        <v>13369</v>
      </c>
      <c r="F10214" t="s">
        <v>13808</v>
      </c>
    </row>
    <row r="10215" spans="1:6" x14ac:dyDescent="0.25">
      <c r="A10215" t="str">
        <f>"5260491800"</f>
        <v>5260491800</v>
      </c>
      <c r="B10215" t="s">
        <v>14242</v>
      </c>
      <c r="C10215" t="s">
        <v>7</v>
      </c>
      <c r="D10215" t="s">
        <v>98</v>
      </c>
      <c r="E10215" t="s">
        <v>13369</v>
      </c>
      <c r="F10215" t="s">
        <v>14243</v>
      </c>
    </row>
    <row r="10216" spans="1:6" x14ac:dyDescent="0.25">
      <c r="A10216" t="str">
        <f>"526213104805"</f>
        <v>526213104805</v>
      </c>
      <c r="B10216" t="s">
        <v>14244</v>
      </c>
      <c r="C10216" t="s">
        <v>7</v>
      </c>
      <c r="D10216" t="s">
        <v>14</v>
      </c>
      <c r="E10216" t="s">
        <v>13369</v>
      </c>
    </row>
    <row r="10217" spans="1:6" x14ac:dyDescent="0.25">
      <c r="A10217" t="str">
        <f>"5262238056"</f>
        <v>5262238056</v>
      </c>
      <c r="B10217" t="s">
        <v>14245</v>
      </c>
      <c r="C10217" t="s">
        <v>7</v>
      </c>
      <c r="D10217" t="s">
        <v>14</v>
      </c>
      <c r="E10217" t="s">
        <v>13369</v>
      </c>
      <c r="F10217" t="s">
        <v>14246</v>
      </c>
    </row>
    <row r="10218" spans="1:6" x14ac:dyDescent="0.25">
      <c r="A10218" t="str">
        <f>"526323564234"</f>
        <v>526323564234</v>
      </c>
      <c r="B10218" t="s">
        <v>14247</v>
      </c>
      <c r="C10218" t="s">
        <v>7</v>
      </c>
      <c r="D10218" t="s">
        <v>14</v>
      </c>
      <c r="E10218" t="s">
        <v>13369</v>
      </c>
    </row>
    <row r="10219" spans="1:6" x14ac:dyDescent="0.25">
      <c r="A10219" t="str">
        <f>"540547552220"</f>
        <v>540547552220</v>
      </c>
      <c r="B10219" t="s">
        <v>14248</v>
      </c>
      <c r="C10219" t="s">
        <v>7</v>
      </c>
      <c r="D10219" t="s">
        <v>14</v>
      </c>
      <c r="E10219" t="s">
        <v>13369</v>
      </c>
    </row>
    <row r="10220" spans="1:6" x14ac:dyDescent="0.25">
      <c r="A10220" t="str">
        <f>"463223506941"</f>
        <v>463223506941</v>
      </c>
      <c r="B10220" t="s">
        <v>14249</v>
      </c>
      <c r="C10220" t="s">
        <v>7</v>
      </c>
      <c r="D10220" t="s">
        <v>14</v>
      </c>
      <c r="E10220" t="s">
        <v>13369</v>
      </c>
    </row>
    <row r="10221" spans="1:6" x14ac:dyDescent="0.25">
      <c r="A10221" t="str">
        <f>"220914857580"</f>
        <v>220914857580</v>
      </c>
      <c r="B10221" t="s">
        <v>14250</v>
      </c>
      <c r="C10221" t="s">
        <v>7</v>
      </c>
      <c r="D10221" t="s">
        <v>14</v>
      </c>
      <c r="E10221" t="s">
        <v>13369</v>
      </c>
    </row>
    <row r="10222" spans="1:6" x14ac:dyDescent="0.25">
      <c r="A10222" t="str">
        <f>"482401260072"</f>
        <v>482401260072</v>
      </c>
      <c r="B10222" t="s">
        <v>14251</v>
      </c>
      <c r="C10222" t="s">
        <v>7</v>
      </c>
      <c r="D10222" t="s">
        <v>14</v>
      </c>
      <c r="E10222" t="s">
        <v>13369</v>
      </c>
    </row>
    <row r="10223" spans="1:6" x14ac:dyDescent="0.25">
      <c r="A10223" t="str">
        <f>"7811588611"</f>
        <v>7811588611</v>
      </c>
      <c r="B10223" t="s">
        <v>14252</v>
      </c>
      <c r="C10223" t="s">
        <v>7</v>
      </c>
      <c r="D10223" t="s">
        <v>463</v>
      </c>
      <c r="E10223" t="s">
        <v>13369</v>
      </c>
      <c r="F10223" t="s">
        <v>14253</v>
      </c>
    </row>
    <row r="10224" spans="1:6" x14ac:dyDescent="0.25">
      <c r="A10224" t="str">
        <f>"2312234470"</f>
        <v>2312234470</v>
      </c>
      <c r="B10224" t="s">
        <v>10799</v>
      </c>
      <c r="C10224" t="s">
        <v>7</v>
      </c>
      <c r="D10224" t="s">
        <v>33</v>
      </c>
      <c r="E10224" t="s">
        <v>13369</v>
      </c>
      <c r="F10224" t="s">
        <v>14254</v>
      </c>
    </row>
    <row r="10225" spans="1:6" x14ac:dyDescent="0.25">
      <c r="A10225" t="str">
        <f>"151010170520"</f>
        <v>151010170520</v>
      </c>
      <c r="B10225" t="s">
        <v>14255</v>
      </c>
      <c r="C10225" t="s">
        <v>7</v>
      </c>
      <c r="D10225" t="s">
        <v>14</v>
      </c>
      <c r="E10225" t="s">
        <v>13369</v>
      </c>
    </row>
    <row r="10226" spans="1:6" x14ac:dyDescent="0.25">
      <c r="A10226" t="str">
        <f>"7708276094"</f>
        <v>7708276094</v>
      </c>
      <c r="B10226" t="s">
        <v>14256</v>
      </c>
      <c r="C10226" t="s">
        <v>7</v>
      </c>
      <c r="D10226" t="s">
        <v>33</v>
      </c>
      <c r="E10226" t="s">
        <v>13369</v>
      </c>
      <c r="F10226" t="s">
        <v>14257</v>
      </c>
    </row>
    <row r="10227" spans="1:6" x14ac:dyDescent="0.25">
      <c r="A10227" t="str">
        <f>"431312324228"</f>
        <v>431312324228</v>
      </c>
      <c r="B10227" t="s">
        <v>14258</v>
      </c>
      <c r="C10227" t="s">
        <v>7</v>
      </c>
      <c r="D10227" t="s">
        <v>12</v>
      </c>
      <c r="E10227" t="s">
        <v>13369</v>
      </c>
    </row>
    <row r="10228" spans="1:6" x14ac:dyDescent="0.25">
      <c r="A10228" t="str">
        <f>"520100364103"</f>
        <v>520100364103</v>
      </c>
      <c r="B10228" t="s">
        <v>14259</v>
      </c>
      <c r="C10228" t="s">
        <v>7</v>
      </c>
      <c r="D10228" t="s">
        <v>14</v>
      </c>
      <c r="E10228" t="s">
        <v>13369</v>
      </c>
    </row>
    <row r="10229" spans="1:6" x14ac:dyDescent="0.25">
      <c r="A10229" t="str">
        <f>"520102138533"</f>
        <v>520102138533</v>
      </c>
      <c r="B10229" t="s">
        <v>14260</v>
      </c>
      <c r="C10229" t="s">
        <v>7</v>
      </c>
      <c r="D10229" t="s">
        <v>14</v>
      </c>
      <c r="E10229" t="s">
        <v>13369</v>
      </c>
    </row>
    <row r="10230" spans="1:6" x14ac:dyDescent="0.25">
      <c r="A10230" t="str">
        <f>"5205001438"</f>
        <v>5205001438</v>
      </c>
      <c r="B10230" t="s">
        <v>14261</v>
      </c>
      <c r="C10230" t="s">
        <v>7</v>
      </c>
      <c r="D10230" t="s">
        <v>14</v>
      </c>
      <c r="E10230" t="s">
        <v>13369</v>
      </c>
      <c r="F10230" t="s">
        <v>14262</v>
      </c>
    </row>
    <row r="10231" spans="1:6" x14ac:dyDescent="0.25">
      <c r="A10231" t="str">
        <f>"5209004937"</f>
        <v>5209004937</v>
      </c>
      <c r="B10231" t="s">
        <v>14263</v>
      </c>
      <c r="C10231" t="s">
        <v>7</v>
      </c>
      <c r="D10231" t="s">
        <v>14</v>
      </c>
      <c r="E10231" t="s">
        <v>13369</v>
      </c>
      <c r="F10231" t="s">
        <v>14264</v>
      </c>
    </row>
    <row r="10232" spans="1:6" x14ac:dyDescent="0.25">
      <c r="A10232" t="str">
        <f>"5210001049"</f>
        <v>5210001049</v>
      </c>
      <c r="B10232" t="s">
        <v>14265</v>
      </c>
      <c r="C10232" t="s">
        <v>7</v>
      </c>
      <c r="D10232" t="s">
        <v>14</v>
      </c>
      <c r="E10232" t="s">
        <v>13369</v>
      </c>
      <c r="F10232" t="s">
        <v>14266</v>
      </c>
    </row>
    <row r="10233" spans="1:6" x14ac:dyDescent="0.25">
      <c r="A10233" t="str">
        <f>"521001736377"</f>
        <v>521001736377</v>
      </c>
      <c r="B10233" t="s">
        <v>14267</v>
      </c>
      <c r="C10233" t="s">
        <v>7</v>
      </c>
      <c r="D10233" t="s">
        <v>14</v>
      </c>
      <c r="E10233" t="s">
        <v>13369</v>
      </c>
    </row>
    <row r="10234" spans="1:6" x14ac:dyDescent="0.25">
      <c r="A10234" t="str">
        <f>"5211040851"</f>
        <v>5211040851</v>
      </c>
      <c r="B10234" t="s">
        <v>14268</v>
      </c>
      <c r="C10234" t="s">
        <v>7</v>
      </c>
      <c r="D10234" t="s">
        <v>14</v>
      </c>
      <c r="E10234" t="s">
        <v>13369</v>
      </c>
      <c r="F10234" t="s">
        <v>14269</v>
      </c>
    </row>
    <row r="10235" spans="1:6" x14ac:dyDescent="0.25">
      <c r="A10235" t="str">
        <f>"521300015084"</f>
        <v>521300015084</v>
      </c>
      <c r="B10235" t="s">
        <v>14270</v>
      </c>
      <c r="C10235" t="s">
        <v>7</v>
      </c>
      <c r="D10235" t="s">
        <v>14</v>
      </c>
      <c r="E10235" t="s">
        <v>13369</v>
      </c>
    </row>
    <row r="10236" spans="1:6" x14ac:dyDescent="0.25">
      <c r="A10236" t="str">
        <f>"521404792208"</f>
        <v>521404792208</v>
      </c>
      <c r="B10236" t="s">
        <v>14271</v>
      </c>
      <c r="C10236" t="s">
        <v>7</v>
      </c>
      <c r="D10236" t="s">
        <v>14</v>
      </c>
      <c r="E10236" t="s">
        <v>13369</v>
      </c>
    </row>
    <row r="10237" spans="1:6" x14ac:dyDescent="0.25">
      <c r="A10237" t="str">
        <f>"521801510330"</f>
        <v>521801510330</v>
      </c>
      <c r="B10237" t="s">
        <v>14272</v>
      </c>
      <c r="C10237" t="s">
        <v>7</v>
      </c>
      <c r="D10237" t="s">
        <v>14</v>
      </c>
      <c r="E10237" t="s">
        <v>13369</v>
      </c>
    </row>
    <row r="10238" spans="1:6" x14ac:dyDescent="0.25">
      <c r="A10238" t="str">
        <f>"520201063536"</f>
        <v>520201063536</v>
      </c>
      <c r="B10238" t="s">
        <v>14273</v>
      </c>
      <c r="C10238" t="s">
        <v>7</v>
      </c>
      <c r="D10238" t="s">
        <v>14</v>
      </c>
      <c r="E10238" t="s">
        <v>13369</v>
      </c>
    </row>
    <row r="10239" spans="1:6" x14ac:dyDescent="0.25">
      <c r="A10239" t="str">
        <f>"520204108680"</f>
        <v>520204108680</v>
      </c>
      <c r="B10239" t="s">
        <v>14274</v>
      </c>
      <c r="C10239" t="s">
        <v>7</v>
      </c>
      <c r="D10239" t="s">
        <v>14</v>
      </c>
      <c r="E10239" t="s">
        <v>13369</v>
      </c>
    </row>
    <row r="10240" spans="1:6" x14ac:dyDescent="0.25">
      <c r="A10240" t="str">
        <f>"520701367483"</f>
        <v>520701367483</v>
      </c>
      <c r="B10240" t="s">
        <v>14275</v>
      </c>
      <c r="C10240" t="s">
        <v>7</v>
      </c>
      <c r="D10240" t="s">
        <v>14</v>
      </c>
      <c r="E10240" t="s">
        <v>13369</v>
      </c>
    </row>
    <row r="10241" spans="1:6" x14ac:dyDescent="0.25">
      <c r="A10241" t="str">
        <f>"520802056942"</f>
        <v>520802056942</v>
      </c>
      <c r="B10241" t="s">
        <v>14276</v>
      </c>
      <c r="C10241" t="s">
        <v>7</v>
      </c>
      <c r="D10241" t="s">
        <v>14</v>
      </c>
      <c r="E10241" t="s">
        <v>13369</v>
      </c>
    </row>
    <row r="10242" spans="1:6" x14ac:dyDescent="0.25">
      <c r="A10242" t="str">
        <f>"5211759406"</f>
        <v>5211759406</v>
      </c>
      <c r="B10242" t="s">
        <v>5886</v>
      </c>
      <c r="C10242" t="s">
        <v>7</v>
      </c>
      <c r="D10242" t="s">
        <v>14</v>
      </c>
      <c r="E10242" t="s">
        <v>13369</v>
      </c>
      <c r="F10242" t="s">
        <v>14277</v>
      </c>
    </row>
    <row r="10243" spans="1:6" x14ac:dyDescent="0.25">
      <c r="A10243" t="str">
        <f>"521501176525"</f>
        <v>521501176525</v>
      </c>
      <c r="B10243" t="s">
        <v>14278</v>
      </c>
      <c r="C10243" t="s">
        <v>7</v>
      </c>
      <c r="D10243" t="s">
        <v>14</v>
      </c>
      <c r="E10243" t="s">
        <v>13369</v>
      </c>
    </row>
    <row r="10244" spans="1:6" x14ac:dyDescent="0.25">
      <c r="A10244" t="str">
        <f>"520103215068"</f>
        <v>520103215068</v>
      </c>
      <c r="B10244" t="s">
        <v>14279</v>
      </c>
      <c r="C10244" t="s">
        <v>7</v>
      </c>
      <c r="D10244" t="s">
        <v>14</v>
      </c>
      <c r="E10244" t="s">
        <v>13369</v>
      </c>
    </row>
    <row r="10245" spans="1:6" x14ac:dyDescent="0.25">
      <c r="A10245" t="str">
        <f>"5202000732"</f>
        <v>5202000732</v>
      </c>
      <c r="B10245" t="s">
        <v>14280</v>
      </c>
      <c r="C10245" t="s">
        <v>7</v>
      </c>
      <c r="D10245" t="s">
        <v>14</v>
      </c>
      <c r="E10245" t="s">
        <v>13369</v>
      </c>
      <c r="F10245" t="s">
        <v>14281</v>
      </c>
    </row>
    <row r="10246" spans="1:6" x14ac:dyDescent="0.25">
      <c r="A10246" t="str">
        <f>"520200699833"</f>
        <v>520200699833</v>
      </c>
      <c r="B10246" t="s">
        <v>14282</v>
      </c>
      <c r="C10246" t="s">
        <v>7</v>
      </c>
      <c r="D10246" t="s">
        <v>14</v>
      </c>
      <c r="E10246" t="s">
        <v>13369</v>
      </c>
    </row>
    <row r="10247" spans="1:6" x14ac:dyDescent="0.25">
      <c r="A10247" t="str">
        <f>"520202524998"</f>
        <v>520202524998</v>
      </c>
      <c r="B10247" t="s">
        <v>14283</v>
      </c>
      <c r="C10247" t="s">
        <v>7</v>
      </c>
      <c r="D10247" t="s">
        <v>14</v>
      </c>
      <c r="E10247" t="s">
        <v>13369</v>
      </c>
    </row>
    <row r="10248" spans="1:6" x14ac:dyDescent="0.25">
      <c r="A10248" t="str">
        <f>"520700243855"</f>
        <v>520700243855</v>
      </c>
      <c r="B10248" t="s">
        <v>14284</v>
      </c>
      <c r="C10248" t="s">
        <v>7</v>
      </c>
      <c r="D10248" t="s">
        <v>14</v>
      </c>
      <c r="E10248" t="s">
        <v>13369</v>
      </c>
    </row>
    <row r="10249" spans="1:6" x14ac:dyDescent="0.25">
      <c r="A10249" t="str">
        <f>"520900013471"</f>
        <v>520900013471</v>
      </c>
      <c r="B10249" t="s">
        <v>14285</v>
      </c>
      <c r="C10249" t="s">
        <v>7</v>
      </c>
      <c r="D10249" t="s">
        <v>14</v>
      </c>
      <c r="E10249" t="s">
        <v>13369</v>
      </c>
    </row>
    <row r="10250" spans="1:6" x14ac:dyDescent="0.25">
      <c r="A10250" t="str">
        <f>"520901665180"</f>
        <v>520901665180</v>
      </c>
      <c r="B10250" t="s">
        <v>14286</v>
      </c>
      <c r="C10250" t="s">
        <v>7</v>
      </c>
      <c r="D10250" t="s">
        <v>14</v>
      </c>
      <c r="E10250" t="s">
        <v>13369</v>
      </c>
    </row>
    <row r="10251" spans="1:6" x14ac:dyDescent="0.25">
      <c r="A10251" t="str">
        <f>"521101998993"</f>
        <v>521101998993</v>
      </c>
      <c r="B10251" t="s">
        <v>14287</v>
      </c>
      <c r="C10251" t="s">
        <v>7</v>
      </c>
      <c r="D10251" t="s">
        <v>14</v>
      </c>
      <c r="E10251" t="s">
        <v>13369</v>
      </c>
    </row>
    <row r="10252" spans="1:6" x14ac:dyDescent="0.25">
      <c r="A10252" t="str">
        <f>"521700010394"</f>
        <v>521700010394</v>
      </c>
      <c r="B10252" t="s">
        <v>14288</v>
      </c>
      <c r="C10252" t="s">
        <v>7</v>
      </c>
      <c r="D10252" t="s">
        <v>14</v>
      </c>
      <c r="E10252" t="s">
        <v>13369</v>
      </c>
    </row>
    <row r="10253" spans="1:6" x14ac:dyDescent="0.25">
      <c r="A10253" t="str">
        <f>"5300002093"</f>
        <v>5300002093</v>
      </c>
      <c r="B10253" t="s">
        <v>2906</v>
      </c>
      <c r="C10253" t="s">
        <v>7</v>
      </c>
      <c r="D10253" t="s">
        <v>98</v>
      </c>
      <c r="E10253" t="s">
        <v>14289</v>
      </c>
      <c r="F10253" t="s">
        <v>14290</v>
      </c>
    </row>
    <row r="10254" spans="1:6" x14ac:dyDescent="0.25">
      <c r="A10254" t="str">
        <f>"5300014275"</f>
        <v>5300014275</v>
      </c>
      <c r="B10254" t="s">
        <v>14291</v>
      </c>
      <c r="C10254" t="s">
        <v>7</v>
      </c>
      <c r="D10254" t="s">
        <v>33</v>
      </c>
      <c r="E10254" t="s">
        <v>14289</v>
      </c>
      <c r="F10254" t="s">
        <v>14292</v>
      </c>
    </row>
    <row r="10255" spans="1:6" x14ac:dyDescent="0.25">
      <c r="A10255" t="str">
        <f>"5300016829"</f>
        <v>5300016829</v>
      </c>
      <c r="B10255" t="s">
        <v>14293</v>
      </c>
      <c r="C10255" t="s">
        <v>7</v>
      </c>
      <c r="D10255" t="s">
        <v>14</v>
      </c>
      <c r="E10255" t="s">
        <v>14289</v>
      </c>
      <c r="F10255" t="s">
        <v>14294</v>
      </c>
    </row>
    <row r="10256" spans="1:6" x14ac:dyDescent="0.25">
      <c r="A10256" t="str">
        <f>"530201547117"</f>
        <v>530201547117</v>
      </c>
      <c r="B10256" t="s">
        <v>14295</v>
      </c>
      <c r="C10256" t="s">
        <v>7</v>
      </c>
      <c r="D10256" t="s">
        <v>14</v>
      </c>
      <c r="E10256" t="s">
        <v>14289</v>
      </c>
    </row>
    <row r="10257" spans="1:6" x14ac:dyDescent="0.25">
      <c r="A10257" t="str">
        <f>"5304004750"</f>
        <v>5304004750</v>
      </c>
      <c r="B10257" t="s">
        <v>4141</v>
      </c>
      <c r="C10257" t="s">
        <v>7</v>
      </c>
      <c r="D10257" t="s">
        <v>12</v>
      </c>
      <c r="E10257" t="s">
        <v>14289</v>
      </c>
      <c r="F10257" t="s">
        <v>14296</v>
      </c>
    </row>
    <row r="10258" spans="1:6" x14ac:dyDescent="0.25">
      <c r="A10258" t="str">
        <f>"530500118941"</f>
        <v>530500118941</v>
      </c>
      <c r="B10258" t="s">
        <v>14297</v>
      </c>
      <c r="C10258" t="s">
        <v>7</v>
      </c>
      <c r="D10258" t="s">
        <v>14</v>
      </c>
      <c r="E10258" t="s">
        <v>14289</v>
      </c>
    </row>
    <row r="10259" spans="1:6" x14ac:dyDescent="0.25">
      <c r="A10259" t="str">
        <f>"5300006080"</f>
        <v>5300006080</v>
      </c>
      <c r="B10259" t="s">
        <v>14298</v>
      </c>
      <c r="C10259" t="s">
        <v>7</v>
      </c>
      <c r="D10259" t="s">
        <v>33</v>
      </c>
      <c r="E10259" t="s">
        <v>14289</v>
      </c>
      <c r="F10259" t="s">
        <v>14299</v>
      </c>
    </row>
    <row r="10260" spans="1:6" x14ac:dyDescent="0.25">
      <c r="A10260" t="str">
        <f>"5300007126"</f>
        <v>5300007126</v>
      </c>
      <c r="B10260" t="s">
        <v>14300</v>
      </c>
      <c r="C10260" t="s">
        <v>7</v>
      </c>
      <c r="D10260" t="s">
        <v>12</v>
      </c>
      <c r="E10260" t="s">
        <v>14289</v>
      </c>
      <c r="F10260" t="s">
        <v>14301</v>
      </c>
    </row>
    <row r="10261" spans="1:6" x14ac:dyDescent="0.25">
      <c r="A10261" t="str">
        <f>"5300010055"</f>
        <v>5300010055</v>
      </c>
      <c r="B10261" t="s">
        <v>14302</v>
      </c>
      <c r="C10261" t="s">
        <v>7</v>
      </c>
      <c r="D10261" t="s">
        <v>14</v>
      </c>
      <c r="E10261" t="s">
        <v>14289</v>
      </c>
      <c r="F10261" t="s">
        <v>14303</v>
      </c>
    </row>
    <row r="10262" spans="1:6" x14ac:dyDescent="0.25">
      <c r="A10262" t="str">
        <f>"5302009746"</f>
        <v>5302009746</v>
      </c>
      <c r="B10262" t="s">
        <v>14304</v>
      </c>
      <c r="C10262" t="s">
        <v>7</v>
      </c>
      <c r="D10262" t="s">
        <v>14</v>
      </c>
      <c r="E10262" t="s">
        <v>14289</v>
      </c>
      <c r="F10262" t="s">
        <v>14305</v>
      </c>
    </row>
    <row r="10263" spans="1:6" x14ac:dyDescent="0.25">
      <c r="A10263" t="str">
        <f>"5302014841"</f>
        <v>5302014841</v>
      </c>
      <c r="B10263" t="s">
        <v>14306</v>
      </c>
      <c r="C10263" t="s">
        <v>7</v>
      </c>
      <c r="D10263" t="s">
        <v>14</v>
      </c>
      <c r="E10263" t="s">
        <v>14289</v>
      </c>
      <c r="F10263" t="s">
        <v>14307</v>
      </c>
    </row>
    <row r="10264" spans="1:6" x14ac:dyDescent="0.25">
      <c r="A10264" t="str">
        <f>"5300003690"</f>
        <v>5300003690</v>
      </c>
      <c r="B10264" t="s">
        <v>14308</v>
      </c>
      <c r="C10264" t="s">
        <v>7</v>
      </c>
      <c r="D10264" t="s">
        <v>14</v>
      </c>
      <c r="E10264" t="s">
        <v>14289</v>
      </c>
      <c r="F10264" t="s">
        <v>14309</v>
      </c>
    </row>
    <row r="10265" spans="1:6" x14ac:dyDescent="0.25">
      <c r="A10265" t="str">
        <f>"5300007609"</f>
        <v>5300007609</v>
      </c>
      <c r="B10265" t="s">
        <v>14310</v>
      </c>
      <c r="C10265" t="s">
        <v>7</v>
      </c>
      <c r="D10265" t="s">
        <v>33</v>
      </c>
      <c r="E10265" t="s">
        <v>14289</v>
      </c>
      <c r="F10265" t="s">
        <v>14311</v>
      </c>
    </row>
    <row r="10266" spans="1:6" x14ac:dyDescent="0.25">
      <c r="A10266" t="str">
        <f>"5300015529"</f>
        <v>5300015529</v>
      </c>
      <c r="B10266" t="s">
        <v>14312</v>
      </c>
      <c r="C10266" t="s">
        <v>7</v>
      </c>
      <c r="D10266" t="s">
        <v>14</v>
      </c>
      <c r="E10266" t="s">
        <v>14289</v>
      </c>
      <c r="F10266" t="s">
        <v>14313</v>
      </c>
    </row>
    <row r="10267" spans="1:6" x14ac:dyDescent="0.25">
      <c r="A10267" t="str">
        <f>"5300015991"</f>
        <v>5300015991</v>
      </c>
      <c r="B10267" t="s">
        <v>14314</v>
      </c>
      <c r="C10267" t="s">
        <v>7</v>
      </c>
      <c r="D10267" t="s">
        <v>14</v>
      </c>
      <c r="E10267" t="s">
        <v>14289</v>
      </c>
      <c r="F10267" t="s">
        <v>14315</v>
      </c>
    </row>
    <row r="10268" spans="1:6" x14ac:dyDescent="0.25">
      <c r="A10268" t="str">
        <f>"5300017300"</f>
        <v>5300017300</v>
      </c>
      <c r="B10268" t="s">
        <v>14316</v>
      </c>
      <c r="C10268" t="s">
        <v>7</v>
      </c>
      <c r="D10268" t="s">
        <v>14</v>
      </c>
      <c r="E10268" t="s">
        <v>14289</v>
      </c>
      <c r="F10268" t="s">
        <v>14317</v>
      </c>
    </row>
    <row r="10269" spans="1:6" x14ac:dyDescent="0.25">
      <c r="A10269" t="str">
        <f>"530100247389"</f>
        <v>530100247389</v>
      </c>
      <c r="B10269" t="s">
        <v>14318</v>
      </c>
      <c r="C10269" t="s">
        <v>7</v>
      </c>
      <c r="D10269" t="s">
        <v>14</v>
      </c>
      <c r="E10269" t="s">
        <v>14289</v>
      </c>
    </row>
    <row r="10270" spans="1:6" x14ac:dyDescent="0.25">
      <c r="A10270" t="str">
        <f>"530201896333"</f>
        <v>530201896333</v>
      </c>
      <c r="B10270" t="s">
        <v>14319</v>
      </c>
      <c r="C10270" t="s">
        <v>7</v>
      </c>
      <c r="D10270" t="s">
        <v>14</v>
      </c>
      <c r="E10270" t="s">
        <v>14289</v>
      </c>
    </row>
    <row r="10271" spans="1:6" x14ac:dyDescent="0.25">
      <c r="A10271" t="str">
        <f>"5300016949"</f>
        <v>5300016949</v>
      </c>
      <c r="B10271" t="s">
        <v>14320</v>
      </c>
      <c r="C10271" t="s">
        <v>7</v>
      </c>
      <c r="D10271" t="s">
        <v>14</v>
      </c>
      <c r="E10271" t="s">
        <v>14289</v>
      </c>
      <c r="F10271" t="s">
        <v>14321</v>
      </c>
    </row>
    <row r="10272" spans="1:6" x14ac:dyDescent="0.25">
      <c r="A10272" t="str">
        <f>"531901258458"</f>
        <v>531901258458</v>
      </c>
      <c r="B10272" t="s">
        <v>14322</v>
      </c>
      <c r="C10272" t="s">
        <v>7</v>
      </c>
      <c r="D10272" t="s">
        <v>14</v>
      </c>
      <c r="E10272" t="s">
        <v>14289</v>
      </c>
    </row>
    <row r="10273" spans="1:6" x14ac:dyDescent="0.25">
      <c r="A10273" t="str">
        <f>"5320001281"</f>
        <v>5320001281</v>
      </c>
      <c r="B10273" t="s">
        <v>7612</v>
      </c>
      <c r="C10273" t="s">
        <v>7</v>
      </c>
      <c r="D10273" t="s">
        <v>14</v>
      </c>
      <c r="E10273" t="s">
        <v>14289</v>
      </c>
      <c r="F10273" t="s">
        <v>14323</v>
      </c>
    </row>
    <row r="10274" spans="1:6" x14ac:dyDescent="0.25">
      <c r="A10274" t="str">
        <f>"5320018278"</f>
        <v>5320018278</v>
      </c>
      <c r="B10274" t="s">
        <v>14324</v>
      </c>
      <c r="C10274" t="s">
        <v>7</v>
      </c>
      <c r="D10274" t="s">
        <v>14</v>
      </c>
      <c r="E10274" t="s">
        <v>14289</v>
      </c>
      <c r="F10274" t="s">
        <v>14325</v>
      </c>
    </row>
    <row r="10275" spans="1:6" x14ac:dyDescent="0.25">
      <c r="A10275" t="str">
        <f>"5321166938"</f>
        <v>5321166938</v>
      </c>
      <c r="B10275" t="s">
        <v>14326</v>
      </c>
      <c r="C10275" t="s">
        <v>7</v>
      </c>
      <c r="D10275" t="s">
        <v>12</v>
      </c>
      <c r="E10275" t="s">
        <v>14289</v>
      </c>
      <c r="F10275" t="s">
        <v>14327</v>
      </c>
    </row>
    <row r="10276" spans="1:6" x14ac:dyDescent="0.25">
      <c r="A10276" t="str">
        <f>"5321196192"</f>
        <v>5321196192</v>
      </c>
      <c r="B10276" t="s">
        <v>14328</v>
      </c>
      <c r="C10276" t="s">
        <v>7</v>
      </c>
      <c r="D10276" t="s">
        <v>12</v>
      </c>
      <c r="E10276" t="s">
        <v>14289</v>
      </c>
      <c r="F10276" t="s">
        <v>14329</v>
      </c>
    </row>
    <row r="10277" spans="1:6" x14ac:dyDescent="0.25">
      <c r="A10277" t="str">
        <f>"5321202618"</f>
        <v>5321202618</v>
      </c>
      <c r="B10277" t="s">
        <v>14330</v>
      </c>
      <c r="C10277" t="s">
        <v>7</v>
      </c>
      <c r="D10277" t="s">
        <v>674</v>
      </c>
      <c r="E10277" t="s">
        <v>14289</v>
      </c>
      <c r="F10277" t="s">
        <v>14331</v>
      </c>
    </row>
    <row r="10278" spans="1:6" x14ac:dyDescent="0.25">
      <c r="A10278" t="str">
        <f>"531312585222"</f>
        <v>531312585222</v>
      </c>
      <c r="B10278" t="s">
        <v>14332</v>
      </c>
      <c r="C10278" t="s">
        <v>7</v>
      </c>
      <c r="D10278" t="s">
        <v>14</v>
      </c>
      <c r="E10278" t="s">
        <v>14289</v>
      </c>
    </row>
    <row r="10279" spans="1:6" x14ac:dyDescent="0.25">
      <c r="A10279" t="str">
        <f>"531600937946"</f>
        <v>531600937946</v>
      </c>
      <c r="B10279" t="s">
        <v>14333</v>
      </c>
      <c r="C10279" t="s">
        <v>7</v>
      </c>
      <c r="D10279" t="s">
        <v>14</v>
      </c>
      <c r="E10279" t="s">
        <v>14289</v>
      </c>
    </row>
    <row r="10280" spans="1:6" x14ac:dyDescent="0.25">
      <c r="A10280" t="str">
        <f>"531902042081"</f>
        <v>531902042081</v>
      </c>
      <c r="B10280" t="s">
        <v>14334</v>
      </c>
      <c r="C10280" t="s">
        <v>7</v>
      </c>
      <c r="D10280" t="s">
        <v>14</v>
      </c>
      <c r="E10280" t="s">
        <v>14289</v>
      </c>
    </row>
    <row r="10281" spans="1:6" x14ac:dyDescent="0.25">
      <c r="A10281" t="str">
        <f>"5321074934"</f>
        <v>5321074934</v>
      </c>
      <c r="B10281" t="s">
        <v>14335</v>
      </c>
      <c r="C10281" t="s">
        <v>7</v>
      </c>
      <c r="D10281" t="s">
        <v>14</v>
      </c>
      <c r="E10281" t="s">
        <v>14289</v>
      </c>
      <c r="F10281" t="s">
        <v>14336</v>
      </c>
    </row>
    <row r="10282" spans="1:6" x14ac:dyDescent="0.25">
      <c r="A10282" t="str">
        <f>"5321105854"</f>
        <v>5321105854</v>
      </c>
      <c r="B10282" t="s">
        <v>14337</v>
      </c>
      <c r="C10282" t="s">
        <v>7</v>
      </c>
      <c r="D10282" t="s">
        <v>33</v>
      </c>
      <c r="E10282" t="s">
        <v>14289</v>
      </c>
      <c r="F10282" t="s">
        <v>14338</v>
      </c>
    </row>
    <row r="10283" spans="1:6" x14ac:dyDescent="0.25">
      <c r="A10283" t="str">
        <f>"5321155284"</f>
        <v>5321155284</v>
      </c>
      <c r="B10283" t="s">
        <v>14339</v>
      </c>
      <c r="C10283" t="s">
        <v>7</v>
      </c>
      <c r="D10283" t="s">
        <v>12</v>
      </c>
      <c r="E10283" t="s">
        <v>14289</v>
      </c>
      <c r="F10283" t="s">
        <v>14340</v>
      </c>
    </row>
    <row r="10284" spans="1:6" x14ac:dyDescent="0.25">
      <c r="A10284" t="str">
        <f>"5321197439"</f>
        <v>5321197439</v>
      </c>
      <c r="B10284" t="s">
        <v>430</v>
      </c>
      <c r="C10284" t="s">
        <v>7</v>
      </c>
      <c r="D10284" t="s">
        <v>14</v>
      </c>
      <c r="E10284" t="s">
        <v>14289</v>
      </c>
      <c r="F10284" t="s">
        <v>14341</v>
      </c>
    </row>
    <row r="10285" spans="1:6" x14ac:dyDescent="0.25">
      <c r="A10285" t="str">
        <f>"5321198545"</f>
        <v>5321198545</v>
      </c>
      <c r="B10285" t="s">
        <v>14342</v>
      </c>
      <c r="C10285" t="s">
        <v>7</v>
      </c>
      <c r="D10285" t="s">
        <v>33</v>
      </c>
      <c r="E10285" t="s">
        <v>14289</v>
      </c>
      <c r="F10285" t="s">
        <v>14343</v>
      </c>
    </row>
    <row r="10286" spans="1:6" x14ac:dyDescent="0.25">
      <c r="A10286" t="str">
        <f>"532122258853"</f>
        <v>532122258853</v>
      </c>
      <c r="B10286" t="s">
        <v>14344</v>
      </c>
      <c r="C10286" t="s">
        <v>7</v>
      </c>
      <c r="D10286" t="s">
        <v>14</v>
      </c>
      <c r="E10286" t="s">
        <v>14289</v>
      </c>
    </row>
    <row r="10287" spans="1:6" x14ac:dyDescent="0.25">
      <c r="A10287" t="str">
        <f>"530702020307"</f>
        <v>530702020307</v>
      </c>
      <c r="B10287" t="s">
        <v>14345</v>
      </c>
      <c r="C10287" t="s">
        <v>7</v>
      </c>
      <c r="D10287" t="s">
        <v>14</v>
      </c>
      <c r="E10287" t="s">
        <v>14289</v>
      </c>
    </row>
    <row r="10288" spans="1:6" x14ac:dyDescent="0.25">
      <c r="A10288" t="str">
        <f>"5310020373"</f>
        <v>5310020373</v>
      </c>
      <c r="B10288" t="s">
        <v>14346</v>
      </c>
      <c r="C10288" t="s">
        <v>7</v>
      </c>
      <c r="D10288" t="s">
        <v>14</v>
      </c>
      <c r="E10288" t="s">
        <v>14289</v>
      </c>
      <c r="F10288" t="s">
        <v>14347</v>
      </c>
    </row>
    <row r="10289" spans="1:6" x14ac:dyDescent="0.25">
      <c r="A10289" t="str">
        <f>"531100029463"</f>
        <v>531100029463</v>
      </c>
      <c r="B10289" t="s">
        <v>14348</v>
      </c>
      <c r="C10289" t="s">
        <v>7</v>
      </c>
      <c r="D10289" t="s">
        <v>14</v>
      </c>
      <c r="E10289" t="s">
        <v>14289</v>
      </c>
    </row>
    <row r="10290" spans="1:6" x14ac:dyDescent="0.25">
      <c r="A10290" t="str">
        <f>"531300071568"</f>
        <v>531300071568</v>
      </c>
      <c r="B10290" t="s">
        <v>14349</v>
      </c>
      <c r="C10290" t="s">
        <v>7</v>
      </c>
      <c r="D10290" t="s">
        <v>14</v>
      </c>
      <c r="E10290" t="s">
        <v>14289</v>
      </c>
    </row>
    <row r="10291" spans="1:6" x14ac:dyDescent="0.25">
      <c r="A10291" t="str">
        <f>"531900004690"</f>
        <v>531900004690</v>
      </c>
      <c r="B10291" t="s">
        <v>14350</v>
      </c>
      <c r="C10291" t="s">
        <v>7</v>
      </c>
      <c r="D10291" t="s">
        <v>14</v>
      </c>
      <c r="E10291" t="s">
        <v>14289</v>
      </c>
    </row>
    <row r="10292" spans="1:6" x14ac:dyDescent="0.25">
      <c r="A10292" t="str">
        <f>"531901477361"</f>
        <v>531901477361</v>
      </c>
      <c r="B10292" t="s">
        <v>14351</v>
      </c>
      <c r="C10292" t="s">
        <v>7</v>
      </c>
      <c r="D10292" t="s">
        <v>14</v>
      </c>
      <c r="E10292" t="s">
        <v>14289</v>
      </c>
    </row>
    <row r="10293" spans="1:6" x14ac:dyDescent="0.25">
      <c r="A10293" t="str">
        <f>"5320026166"</f>
        <v>5320026166</v>
      </c>
      <c r="B10293" t="s">
        <v>14352</v>
      </c>
      <c r="C10293" t="s">
        <v>7</v>
      </c>
      <c r="D10293" t="s">
        <v>14</v>
      </c>
      <c r="E10293" t="s">
        <v>14289</v>
      </c>
      <c r="F10293" t="s">
        <v>14353</v>
      </c>
    </row>
    <row r="10294" spans="1:6" x14ac:dyDescent="0.25">
      <c r="A10294" t="str">
        <f>"532003563939"</f>
        <v>532003563939</v>
      </c>
      <c r="B10294" t="s">
        <v>14354</v>
      </c>
      <c r="C10294" t="s">
        <v>7</v>
      </c>
      <c r="D10294" t="s">
        <v>14</v>
      </c>
      <c r="E10294" t="s">
        <v>14289</v>
      </c>
    </row>
    <row r="10295" spans="1:6" x14ac:dyDescent="0.25">
      <c r="A10295" t="str">
        <f>"532007697531"</f>
        <v>532007697531</v>
      </c>
      <c r="B10295" t="s">
        <v>14355</v>
      </c>
      <c r="C10295" t="s">
        <v>7</v>
      </c>
      <c r="D10295" t="s">
        <v>14</v>
      </c>
      <c r="E10295" t="s">
        <v>14289</v>
      </c>
    </row>
    <row r="10296" spans="1:6" x14ac:dyDescent="0.25">
      <c r="A10296" t="str">
        <f>"532058509514"</f>
        <v>532058509514</v>
      </c>
      <c r="B10296" t="s">
        <v>14356</v>
      </c>
      <c r="C10296" t="s">
        <v>7</v>
      </c>
      <c r="D10296" t="s">
        <v>14</v>
      </c>
      <c r="E10296" t="s">
        <v>14289</v>
      </c>
    </row>
    <row r="10297" spans="1:6" x14ac:dyDescent="0.25">
      <c r="A10297" t="str">
        <f>"5321059365"</f>
        <v>5321059365</v>
      </c>
      <c r="B10297" t="s">
        <v>14357</v>
      </c>
      <c r="C10297" t="s">
        <v>7</v>
      </c>
      <c r="D10297" t="s">
        <v>14</v>
      </c>
      <c r="E10297" t="s">
        <v>14289</v>
      </c>
      <c r="F10297" t="s">
        <v>14358</v>
      </c>
    </row>
    <row r="10298" spans="1:6" x14ac:dyDescent="0.25">
      <c r="A10298" t="str">
        <f>"5321068232"</f>
        <v>5321068232</v>
      </c>
      <c r="B10298" t="s">
        <v>8667</v>
      </c>
      <c r="C10298" t="s">
        <v>7</v>
      </c>
      <c r="D10298" t="s">
        <v>12</v>
      </c>
      <c r="E10298" t="s">
        <v>14289</v>
      </c>
      <c r="F10298" t="s">
        <v>14359</v>
      </c>
    </row>
    <row r="10299" spans="1:6" x14ac:dyDescent="0.25">
      <c r="A10299" t="str">
        <f>"5321111270"</f>
        <v>5321111270</v>
      </c>
      <c r="B10299" t="s">
        <v>14360</v>
      </c>
      <c r="C10299" t="s">
        <v>7</v>
      </c>
      <c r="D10299" t="s">
        <v>14</v>
      </c>
      <c r="E10299" t="s">
        <v>14289</v>
      </c>
      <c r="F10299" t="s">
        <v>14361</v>
      </c>
    </row>
    <row r="10300" spans="1:6" x14ac:dyDescent="0.25">
      <c r="A10300" t="str">
        <f>"5321114425"</f>
        <v>5321114425</v>
      </c>
      <c r="B10300" t="s">
        <v>14362</v>
      </c>
      <c r="C10300" t="s">
        <v>7</v>
      </c>
      <c r="D10300" t="s">
        <v>33</v>
      </c>
      <c r="E10300" t="s">
        <v>14289</v>
      </c>
      <c r="F10300" t="s">
        <v>14363</v>
      </c>
    </row>
    <row r="10301" spans="1:6" x14ac:dyDescent="0.25">
      <c r="A10301" t="str">
        <f>"532111870341"</f>
        <v>532111870341</v>
      </c>
      <c r="B10301" t="s">
        <v>14364</v>
      </c>
      <c r="C10301" t="s">
        <v>7</v>
      </c>
      <c r="D10301" t="s">
        <v>12</v>
      </c>
      <c r="E10301" t="s">
        <v>14289</v>
      </c>
    </row>
    <row r="10302" spans="1:6" x14ac:dyDescent="0.25">
      <c r="A10302" t="str">
        <f>"532113479221"</f>
        <v>532113479221</v>
      </c>
      <c r="B10302" t="s">
        <v>14365</v>
      </c>
      <c r="C10302" t="s">
        <v>7</v>
      </c>
      <c r="D10302" t="s">
        <v>14</v>
      </c>
      <c r="E10302" t="s">
        <v>14289</v>
      </c>
    </row>
    <row r="10303" spans="1:6" x14ac:dyDescent="0.25">
      <c r="A10303" t="str">
        <f>"5321160132"</f>
        <v>5321160132</v>
      </c>
      <c r="B10303" t="s">
        <v>14366</v>
      </c>
      <c r="C10303" t="s">
        <v>7</v>
      </c>
      <c r="D10303" t="s">
        <v>33</v>
      </c>
      <c r="E10303" t="s">
        <v>14289</v>
      </c>
      <c r="F10303" t="s">
        <v>14367</v>
      </c>
    </row>
    <row r="10304" spans="1:6" x14ac:dyDescent="0.25">
      <c r="A10304" t="str">
        <f>"532116839955"</f>
        <v>532116839955</v>
      </c>
      <c r="B10304" t="s">
        <v>14368</v>
      </c>
      <c r="C10304" t="s">
        <v>7</v>
      </c>
      <c r="D10304" t="s">
        <v>14</v>
      </c>
      <c r="E10304" t="s">
        <v>14289</v>
      </c>
    </row>
    <row r="10305" spans="1:6" x14ac:dyDescent="0.25">
      <c r="A10305" t="str">
        <f>"532125105936"</f>
        <v>532125105936</v>
      </c>
      <c r="B10305" t="s">
        <v>14369</v>
      </c>
      <c r="C10305" t="s">
        <v>7</v>
      </c>
      <c r="D10305" t="s">
        <v>14</v>
      </c>
      <c r="E10305" t="s">
        <v>14289</v>
      </c>
    </row>
    <row r="10306" spans="1:6" x14ac:dyDescent="0.25">
      <c r="A10306" t="str">
        <f>"531300011791"</f>
        <v>531300011791</v>
      </c>
      <c r="B10306" t="s">
        <v>14370</v>
      </c>
      <c r="C10306" t="s">
        <v>7</v>
      </c>
      <c r="D10306" t="s">
        <v>14</v>
      </c>
      <c r="E10306" t="s">
        <v>14289</v>
      </c>
    </row>
    <row r="10307" spans="1:6" x14ac:dyDescent="0.25">
      <c r="A10307" t="str">
        <f>"5315005770"</f>
        <v>5315005770</v>
      </c>
      <c r="B10307" t="s">
        <v>14371</v>
      </c>
      <c r="C10307" t="s">
        <v>7</v>
      </c>
      <c r="D10307" t="s">
        <v>8</v>
      </c>
      <c r="E10307" t="s">
        <v>14289</v>
      </c>
      <c r="F10307" t="s">
        <v>14372</v>
      </c>
    </row>
    <row r="10308" spans="1:6" x14ac:dyDescent="0.25">
      <c r="A10308" t="str">
        <f>"531700858102"</f>
        <v>531700858102</v>
      </c>
      <c r="B10308" t="s">
        <v>14373</v>
      </c>
      <c r="C10308" t="s">
        <v>7</v>
      </c>
      <c r="D10308" t="s">
        <v>14</v>
      </c>
      <c r="E10308" t="s">
        <v>14289</v>
      </c>
    </row>
    <row r="10309" spans="1:6" x14ac:dyDescent="0.25">
      <c r="A10309" t="str">
        <f>"531800013290"</f>
        <v>531800013290</v>
      </c>
      <c r="B10309" t="s">
        <v>14374</v>
      </c>
      <c r="C10309" t="s">
        <v>7</v>
      </c>
      <c r="D10309" t="s">
        <v>14</v>
      </c>
      <c r="E10309" t="s">
        <v>14289</v>
      </c>
    </row>
    <row r="10310" spans="1:6" x14ac:dyDescent="0.25">
      <c r="A10310" t="str">
        <f>"5320012607"</f>
        <v>5320012607</v>
      </c>
      <c r="B10310" t="s">
        <v>14375</v>
      </c>
      <c r="C10310" t="s">
        <v>7</v>
      </c>
      <c r="D10310" t="s">
        <v>14</v>
      </c>
      <c r="E10310" t="s">
        <v>14289</v>
      </c>
      <c r="F10310" t="s">
        <v>14376</v>
      </c>
    </row>
    <row r="10311" spans="1:6" x14ac:dyDescent="0.25">
      <c r="A10311" t="str">
        <f>"5320024867"</f>
        <v>5320024867</v>
      </c>
      <c r="B10311" t="s">
        <v>14377</v>
      </c>
      <c r="C10311" t="s">
        <v>7</v>
      </c>
      <c r="D10311" t="s">
        <v>12</v>
      </c>
      <c r="E10311" t="s">
        <v>14289</v>
      </c>
      <c r="F10311" t="s">
        <v>14378</v>
      </c>
    </row>
    <row r="10312" spans="1:6" x14ac:dyDescent="0.25">
      <c r="A10312" t="str">
        <f>"532004782250"</f>
        <v>532004782250</v>
      </c>
      <c r="B10312" t="s">
        <v>14379</v>
      </c>
      <c r="C10312" t="s">
        <v>7</v>
      </c>
      <c r="D10312" t="s">
        <v>33</v>
      </c>
      <c r="E10312" t="s">
        <v>14289</v>
      </c>
    </row>
    <row r="10313" spans="1:6" x14ac:dyDescent="0.25">
      <c r="A10313" t="str">
        <f>"532006342279"</f>
        <v>532006342279</v>
      </c>
      <c r="B10313" t="s">
        <v>14380</v>
      </c>
      <c r="C10313" t="s">
        <v>7</v>
      </c>
      <c r="D10313" t="s">
        <v>14</v>
      </c>
      <c r="E10313" t="s">
        <v>14289</v>
      </c>
    </row>
    <row r="10314" spans="1:6" x14ac:dyDescent="0.25">
      <c r="A10314" t="str">
        <f>"532100162763"</f>
        <v>532100162763</v>
      </c>
      <c r="B10314" t="s">
        <v>14381</v>
      </c>
      <c r="C10314" t="s">
        <v>7</v>
      </c>
      <c r="D10314" t="s">
        <v>14</v>
      </c>
      <c r="E10314" t="s">
        <v>14289</v>
      </c>
    </row>
    <row r="10315" spans="1:6" x14ac:dyDescent="0.25">
      <c r="A10315" t="str">
        <f>"5321134407"</f>
        <v>5321134407</v>
      </c>
      <c r="B10315" t="s">
        <v>14382</v>
      </c>
      <c r="C10315" t="s">
        <v>7</v>
      </c>
      <c r="D10315" t="s">
        <v>14</v>
      </c>
      <c r="E10315" t="s">
        <v>14289</v>
      </c>
      <c r="F10315" t="s">
        <v>14383</v>
      </c>
    </row>
    <row r="10316" spans="1:6" x14ac:dyDescent="0.25">
      <c r="A10316" t="str">
        <f>"5321164803"</f>
        <v>5321164803</v>
      </c>
      <c r="B10316" t="s">
        <v>14384</v>
      </c>
      <c r="C10316" t="s">
        <v>7</v>
      </c>
      <c r="D10316" t="s">
        <v>12</v>
      </c>
      <c r="E10316" t="s">
        <v>14289</v>
      </c>
      <c r="F10316" t="s">
        <v>14385</v>
      </c>
    </row>
    <row r="10317" spans="1:6" x14ac:dyDescent="0.25">
      <c r="A10317" t="str">
        <f>"5321173692"</f>
        <v>5321173692</v>
      </c>
      <c r="B10317" t="s">
        <v>14386</v>
      </c>
      <c r="C10317" t="s">
        <v>7</v>
      </c>
      <c r="D10317" t="s">
        <v>14</v>
      </c>
      <c r="E10317" t="s">
        <v>14289</v>
      </c>
      <c r="F10317" t="s">
        <v>14387</v>
      </c>
    </row>
    <row r="10318" spans="1:6" x14ac:dyDescent="0.25">
      <c r="A10318" t="str">
        <f>"5321200586"</f>
        <v>5321200586</v>
      </c>
      <c r="B10318" t="s">
        <v>14388</v>
      </c>
      <c r="C10318" t="s">
        <v>7</v>
      </c>
      <c r="D10318" t="s">
        <v>14</v>
      </c>
      <c r="E10318" t="s">
        <v>14289</v>
      </c>
      <c r="F10318" t="s">
        <v>14389</v>
      </c>
    </row>
    <row r="10319" spans="1:6" x14ac:dyDescent="0.25">
      <c r="A10319" t="str">
        <f>"532200006912"</f>
        <v>532200006912</v>
      </c>
      <c r="B10319" t="s">
        <v>14390</v>
      </c>
      <c r="C10319" t="s">
        <v>7</v>
      </c>
      <c r="D10319" t="s">
        <v>14</v>
      </c>
      <c r="E10319" t="s">
        <v>14289</v>
      </c>
    </row>
    <row r="10320" spans="1:6" x14ac:dyDescent="0.25">
      <c r="A10320" t="str">
        <f>"532203273120"</f>
        <v>532203273120</v>
      </c>
      <c r="B10320" t="s">
        <v>14391</v>
      </c>
      <c r="C10320" t="s">
        <v>7</v>
      </c>
      <c r="D10320" t="s">
        <v>14</v>
      </c>
      <c r="E10320" t="s">
        <v>14289</v>
      </c>
    </row>
    <row r="10321" spans="1:6" x14ac:dyDescent="0.25">
      <c r="A10321" t="str">
        <f>"101800111402"</f>
        <v>101800111402</v>
      </c>
      <c r="B10321" t="s">
        <v>14392</v>
      </c>
      <c r="C10321" t="s">
        <v>7</v>
      </c>
      <c r="D10321" t="s">
        <v>14</v>
      </c>
      <c r="E10321" t="s">
        <v>14289</v>
      </c>
    </row>
    <row r="10322" spans="1:6" x14ac:dyDescent="0.25">
      <c r="A10322" t="str">
        <f>"5038077900"</f>
        <v>5038077900</v>
      </c>
      <c r="B10322" t="s">
        <v>3008</v>
      </c>
      <c r="C10322" t="s">
        <v>7</v>
      </c>
      <c r="D10322" t="s">
        <v>14</v>
      </c>
      <c r="E10322" t="s">
        <v>14289</v>
      </c>
      <c r="F10322" t="s">
        <v>14393</v>
      </c>
    </row>
    <row r="10323" spans="1:6" x14ac:dyDescent="0.25">
      <c r="A10323" t="str">
        <f>"672700064773"</f>
        <v>672700064773</v>
      </c>
      <c r="B10323" t="s">
        <v>14394</v>
      </c>
      <c r="C10323" t="s">
        <v>7</v>
      </c>
      <c r="D10323" t="s">
        <v>14</v>
      </c>
      <c r="E10323" t="s">
        <v>14289</v>
      </c>
    </row>
    <row r="10324" spans="1:6" x14ac:dyDescent="0.25">
      <c r="A10324" t="str">
        <f>"421810389729"</f>
        <v>421810389729</v>
      </c>
      <c r="B10324" t="s">
        <v>14395</v>
      </c>
      <c r="C10324" t="s">
        <v>7</v>
      </c>
      <c r="D10324" t="s">
        <v>14</v>
      </c>
      <c r="E10324" t="s">
        <v>14396</v>
      </c>
    </row>
    <row r="10325" spans="1:6" x14ac:dyDescent="0.25">
      <c r="A10325" t="str">
        <f>"422300824944"</f>
        <v>422300824944</v>
      </c>
      <c r="B10325" t="s">
        <v>14397</v>
      </c>
      <c r="C10325" t="s">
        <v>7</v>
      </c>
      <c r="D10325" t="s">
        <v>14</v>
      </c>
      <c r="E10325" t="s">
        <v>14396</v>
      </c>
    </row>
    <row r="10326" spans="1:6" x14ac:dyDescent="0.25">
      <c r="A10326" t="str">
        <f>"424750638204"</f>
        <v>424750638204</v>
      </c>
      <c r="B10326" t="s">
        <v>14398</v>
      </c>
      <c r="C10326" t="s">
        <v>7</v>
      </c>
      <c r="D10326" t="s">
        <v>12</v>
      </c>
      <c r="E10326" t="s">
        <v>14396</v>
      </c>
    </row>
    <row r="10327" spans="1:6" x14ac:dyDescent="0.25">
      <c r="A10327" t="str">
        <f>"422330198395"</f>
        <v>422330198395</v>
      </c>
      <c r="B10327" t="s">
        <v>14399</v>
      </c>
      <c r="C10327" t="s">
        <v>7</v>
      </c>
      <c r="D10327" t="s">
        <v>12</v>
      </c>
      <c r="E10327" t="s">
        <v>14396</v>
      </c>
    </row>
    <row r="10328" spans="1:6" x14ac:dyDescent="0.25">
      <c r="A10328" t="str">
        <f>"4217198459"</f>
        <v>4217198459</v>
      </c>
      <c r="B10328" t="s">
        <v>8833</v>
      </c>
      <c r="C10328" t="s">
        <v>7</v>
      </c>
      <c r="D10328" t="s">
        <v>8</v>
      </c>
      <c r="E10328" t="s">
        <v>14396</v>
      </c>
      <c r="F10328" t="s">
        <v>14400</v>
      </c>
    </row>
    <row r="10329" spans="1:6" x14ac:dyDescent="0.25">
      <c r="A10329" t="str">
        <f>"422000441179"</f>
        <v>422000441179</v>
      </c>
      <c r="B10329" t="s">
        <v>14401</v>
      </c>
      <c r="C10329" t="s">
        <v>7</v>
      </c>
      <c r="D10329" t="s">
        <v>12</v>
      </c>
      <c r="E10329" t="s">
        <v>14396</v>
      </c>
    </row>
    <row r="10330" spans="1:6" x14ac:dyDescent="0.25">
      <c r="A10330" t="str">
        <f>"4223106030"</f>
        <v>4223106030</v>
      </c>
      <c r="B10330" t="s">
        <v>7139</v>
      </c>
      <c r="C10330" t="s">
        <v>7</v>
      </c>
      <c r="D10330" t="s">
        <v>14</v>
      </c>
      <c r="E10330" t="s">
        <v>14396</v>
      </c>
      <c r="F10330" t="s">
        <v>14402</v>
      </c>
    </row>
    <row r="10331" spans="1:6" x14ac:dyDescent="0.25">
      <c r="A10331" t="str">
        <f>"424702256501"</f>
        <v>424702256501</v>
      </c>
      <c r="B10331" t="s">
        <v>14403</v>
      </c>
      <c r="C10331" t="s">
        <v>7</v>
      </c>
      <c r="D10331" t="s">
        <v>463</v>
      </c>
      <c r="E10331" t="s">
        <v>14396</v>
      </c>
    </row>
    <row r="10332" spans="1:6" x14ac:dyDescent="0.25">
      <c r="A10332" t="str">
        <f>"246313600760"</f>
        <v>246313600760</v>
      </c>
      <c r="B10332" t="s">
        <v>14404</v>
      </c>
      <c r="C10332" t="s">
        <v>7</v>
      </c>
      <c r="D10332" t="s">
        <v>12</v>
      </c>
      <c r="E10332" t="s">
        <v>14396</v>
      </c>
    </row>
    <row r="10333" spans="1:6" x14ac:dyDescent="0.25">
      <c r="A10333" t="str">
        <f>"701728078740"</f>
        <v>701728078740</v>
      </c>
      <c r="B10333" t="s">
        <v>14405</v>
      </c>
      <c r="C10333" t="s">
        <v>7</v>
      </c>
      <c r="D10333" t="s">
        <v>14</v>
      </c>
      <c r="E10333" t="s">
        <v>14396</v>
      </c>
    </row>
    <row r="10334" spans="1:6" x14ac:dyDescent="0.25">
      <c r="A10334" t="str">
        <f>"4345172953"</f>
        <v>4345172953</v>
      </c>
      <c r="B10334" t="s">
        <v>14406</v>
      </c>
      <c r="C10334" t="s">
        <v>7</v>
      </c>
      <c r="D10334" t="s">
        <v>12</v>
      </c>
      <c r="E10334" t="s">
        <v>14396</v>
      </c>
      <c r="F10334" t="s">
        <v>14407</v>
      </c>
    </row>
    <row r="10335" spans="1:6" x14ac:dyDescent="0.25">
      <c r="A10335" t="str">
        <f>"5401131070"</f>
        <v>5401131070</v>
      </c>
      <c r="B10335" t="s">
        <v>14408</v>
      </c>
      <c r="C10335" t="s">
        <v>7</v>
      </c>
      <c r="D10335" t="s">
        <v>12</v>
      </c>
      <c r="E10335" t="s">
        <v>14396</v>
      </c>
      <c r="F10335" t="s">
        <v>14409</v>
      </c>
    </row>
    <row r="10336" spans="1:6" x14ac:dyDescent="0.25">
      <c r="A10336" t="str">
        <f>"5401195162"</f>
        <v>5401195162</v>
      </c>
      <c r="B10336" t="s">
        <v>14410</v>
      </c>
      <c r="C10336" t="s">
        <v>7</v>
      </c>
      <c r="D10336" t="s">
        <v>12</v>
      </c>
      <c r="E10336" t="s">
        <v>14396</v>
      </c>
      <c r="F10336" t="s">
        <v>14411</v>
      </c>
    </row>
    <row r="10337" spans="1:6" x14ac:dyDescent="0.25">
      <c r="A10337" t="str">
        <f>"5401357590"</f>
        <v>5401357590</v>
      </c>
      <c r="B10337" t="s">
        <v>14412</v>
      </c>
      <c r="C10337" t="s">
        <v>7</v>
      </c>
      <c r="D10337" t="s">
        <v>14</v>
      </c>
      <c r="E10337" t="s">
        <v>14396</v>
      </c>
      <c r="F10337" t="s">
        <v>14413</v>
      </c>
    </row>
    <row r="10338" spans="1:6" x14ac:dyDescent="0.25">
      <c r="A10338" t="str">
        <f>"5401403486"</f>
        <v>5401403486</v>
      </c>
      <c r="B10338" t="s">
        <v>14414</v>
      </c>
      <c r="C10338" t="s">
        <v>7</v>
      </c>
      <c r="D10338" t="s">
        <v>12</v>
      </c>
      <c r="E10338" t="s">
        <v>14396</v>
      </c>
      <c r="F10338" t="s">
        <v>14415</v>
      </c>
    </row>
    <row r="10339" spans="1:6" x14ac:dyDescent="0.25">
      <c r="A10339" t="str">
        <f>"5402005738"</f>
        <v>5402005738</v>
      </c>
      <c r="B10339" t="s">
        <v>14416</v>
      </c>
      <c r="C10339" t="s">
        <v>7</v>
      </c>
      <c r="D10339" t="s">
        <v>14</v>
      </c>
      <c r="E10339" t="s">
        <v>14396</v>
      </c>
      <c r="F10339" t="s">
        <v>14417</v>
      </c>
    </row>
    <row r="10340" spans="1:6" x14ac:dyDescent="0.25">
      <c r="A10340" t="str">
        <f>"540225518295"</f>
        <v>540225518295</v>
      </c>
      <c r="B10340" t="s">
        <v>14418</v>
      </c>
      <c r="C10340" t="s">
        <v>7</v>
      </c>
      <c r="D10340" t="s">
        <v>14</v>
      </c>
      <c r="E10340" t="s">
        <v>14396</v>
      </c>
    </row>
    <row r="10341" spans="1:6" x14ac:dyDescent="0.25">
      <c r="A10341" t="str">
        <f>"5402498258"</f>
        <v>5402498258</v>
      </c>
      <c r="B10341" t="s">
        <v>14419</v>
      </c>
      <c r="C10341" t="s">
        <v>7</v>
      </c>
      <c r="D10341" t="s">
        <v>33</v>
      </c>
      <c r="E10341" t="s">
        <v>14396</v>
      </c>
      <c r="F10341" t="s">
        <v>14420</v>
      </c>
    </row>
    <row r="10342" spans="1:6" x14ac:dyDescent="0.25">
      <c r="A10342" t="str">
        <f>"143522622102"</f>
        <v>143522622102</v>
      </c>
      <c r="B10342" t="s">
        <v>14421</v>
      </c>
      <c r="C10342" t="s">
        <v>7</v>
      </c>
      <c r="D10342" t="s">
        <v>463</v>
      </c>
      <c r="E10342" t="s">
        <v>14396</v>
      </c>
    </row>
    <row r="10343" spans="1:6" x14ac:dyDescent="0.25">
      <c r="A10343" t="str">
        <f>"540122815560"</f>
        <v>540122815560</v>
      </c>
      <c r="B10343" t="s">
        <v>14422</v>
      </c>
      <c r="C10343" t="s">
        <v>7</v>
      </c>
      <c r="D10343" t="s">
        <v>33</v>
      </c>
      <c r="E10343" t="s">
        <v>14396</v>
      </c>
    </row>
    <row r="10344" spans="1:6" x14ac:dyDescent="0.25">
      <c r="A10344" t="str">
        <f>"540132685198"</f>
        <v>540132685198</v>
      </c>
      <c r="B10344" t="s">
        <v>14423</v>
      </c>
      <c r="C10344" t="s">
        <v>7</v>
      </c>
      <c r="D10344" t="s">
        <v>8</v>
      </c>
      <c r="E10344" t="s">
        <v>14396</v>
      </c>
    </row>
    <row r="10345" spans="1:6" x14ac:dyDescent="0.25">
      <c r="A10345" t="str">
        <f>"540134420694"</f>
        <v>540134420694</v>
      </c>
      <c r="B10345" t="s">
        <v>14424</v>
      </c>
      <c r="C10345" t="s">
        <v>7</v>
      </c>
      <c r="D10345" t="s">
        <v>14</v>
      </c>
      <c r="E10345" t="s">
        <v>14396</v>
      </c>
    </row>
    <row r="10346" spans="1:6" x14ac:dyDescent="0.25">
      <c r="A10346" t="str">
        <f>"540134892432"</f>
        <v>540134892432</v>
      </c>
      <c r="B10346" t="s">
        <v>14425</v>
      </c>
      <c r="C10346" t="s">
        <v>7</v>
      </c>
      <c r="D10346" t="s">
        <v>14</v>
      </c>
      <c r="E10346" t="s">
        <v>14396</v>
      </c>
    </row>
    <row r="10347" spans="1:6" x14ac:dyDescent="0.25">
      <c r="A10347" t="str">
        <f>"5401349599"</f>
        <v>5401349599</v>
      </c>
      <c r="B10347" t="s">
        <v>14426</v>
      </c>
      <c r="C10347" t="s">
        <v>7</v>
      </c>
      <c r="D10347" t="s">
        <v>33</v>
      </c>
      <c r="E10347" t="s">
        <v>14396</v>
      </c>
      <c r="F10347" t="s">
        <v>14427</v>
      </c>
    </row>
    <row r="10348" spans="1:6" x14ac:dyDescent="0.25">
      <c r="A10348" t="str">
        <f>"540137807731"</f>
        <v>540137807731</v>
      </c>
      <c r="B10348" t="s">
        <v>14428</v>
      </c>
      <c r="C10348" t="s">
        <v>7</v>
      </c>
      <c r="D10348" t="s">
        <v>14</v>
      </c>
      <c r="E10348" t="s">
        <v>14396</v>
      </c>
    </row>
    <row r="10349" spans="1:6" x14ac:dyDescent="0.25">
      <c r="A10349" t="str">
        <f>"5401960416"</f>
        <v>5401960416</v>
      </c>
      <c r="B10349" t="s">
        <v>14429</v>
      </c>
      <c r="C10349" t="s">
        <v>7</v>
      </c>
      <c r="D10349" t="s">
        <v>1430</v>
      </c>
      <c r="E10349" t="s">
        <v>14396</v>
      </c>
      <c r="F10349" t="s">
        <v>14430</v>
      </c>
    </row>
    <row r="10350" spans="1:6" x14ac:dyDescent="0.25">
      <c r="A10350" t="str">
        <f>"5401963390"</f>
        <v>5401963390</v>
      </c>
      <c r="B10350" t="s">
        <v>14431</v>
      </c>
      <c r="C10350" t="s">
        <v>7</v>
      </c>
      <c r="D10350" t="s">
        <v>12</v>
      </c>
      <c r="E10350" t="s">
        <v>14396</v>
      </c>
      <c r="F10350" t="s">
        <v>14432</v>
      </c>
    </row>
    <row r="10351" spans="1:6" x14ac:dyDescent="0.25">
      <c r="A10351" t="str">
        <f>"5401978580"</f>
        <v>5401978580</v>
      </c>
      <c r="B10351" t="s">
        <v>14433</v>
      </c>
      <c r="C10351" t="s">
        <v>7</v>
      </c>
      <c r="D10351" t="s">
        <v>33</v>
      </c>
      <c r="E10351" t="s">
        <v>14396</v>
      </c>
      <c r="F10351" t="s">
        <v>14434</v>
      </c>
    </row>
    <row r="10352" spans="1:6" x14ac:dyDescent="0.25">
      <c r="A10352" t="str">
        <f>"5402004276"</f>
        <v>5402004276</v>
      </c>
      <c r="B10352" t="s">
        <v>14435</v>
      </c>
      <c r="C10352" t="s">
        <v>7</v>
      </c>
      <c r="D10352" t="s">
        <v>14</v>
      </c>
      <c r="E10352" t="s">
        <v>14396</v>
      </c>
      <c r="F10352" t="s">
        <v>14436</v>
      </c>
    </row>
    <row r="10353" spans="1:6" x14ac:dyDescent="0.25">
      <c r="A10353" t="str">
        <f>"5402044600"</f>
        <v>5402044600</v>
      </c>
      <c r="B10353" t="s">
        <v>14437</v>
      </c>
      <c r="C10353" t="s">
        <v>7</v>
      </c>
      <c r="D10353" t="s">
        <v>14</v>
      </c>
      <c r="E10353" t="s">
        <v>14396</v>
      </c>
      <c r="F10353" t="s">
        <v>14438</v>
      </c>
    </row>
    <row r="10354" spans="1:6" x14ac:dyDescent="0.25">
      <c r="A10354" t="str">
        <f>"5402057503"</f>
        <v>5402057503</v>
      </c>
      <c r="B10354" t="s">
        <v>9508</v>
      </c>
      <c r="C10354" t="s">
        <v>7</v>
      </c>
      <c r="D10354" t="s">
        <v>14</v>
      </c>
      <c r="E10354" t="s">
        <v>14396</v>
      </c>
      <c r="F10354" t="s">
        <v>14439</v>
      </c>
    </row>
    <row r="10355" spans="1:6" x14ac:dyDescent="0.25">
      <c r="A10355" t="str">
        <f>"5402116491"</f>
        <v>5402116491</v>
      </c>
      <c r="B10355" t="s">
        <v>14440</v>
      </c>
      <c r="C10355" t="s">
        <v>7</v>
      </c>
      <c r="D10355" t="s">
        <v>14</v>
      </c>
      <c r="E10355" t="s">
        <v>14396</v>
      </c>
      <c r="F10355" t="s">
        <v>14441</v>
      </c>
    </row>
    <row r="10356" spans="1:6" x14ac:dyDescent="0.25">
      <c r="A10356" t="str">
        <f>"5402578778"</f>
        <v>5402578778</v>
      </c>
      <c r="B10356" t="s">
        <v>14442</v>
      </c>
      <c r="C10356" t="s">
        <v>7</v>
      </c>
      <c r="D10356" t="s">
        <v>33</v>
      </c>
      <c r="E10356" t="s">
        <v>14396</v>
      </c>
      <c r="F10356" t="s">
        <v>14443</v>
      </c>
    </row>
    <row r="10357" spans="1:6" x14ac:dyDescent="0.25">
      <c r="A10357" t="str">
        <f>"5403023560"</f>
        <v>5403023560</v>
      </c>
      <c r="B10357" t="s">
        <v>14444</v>
      </c>
      <c r="C10357" t="s">
        <v>7</v>
      </c>
      <c r="D10357" t="s">
        <v>14</v>
      </c>
      <c r="E10357" t="s">
        <v>14396</v>
      </c>
      <c r="F10357" t="s">
        <v>14445</v>
      </c>
    </row>
    <row r="10358" spans="1:6" x14ac:dyDescent="0.25">
      <c r="A10358" t="str">
        <f>"540302698581"</f>
        <v>540302698581</v>
      </c>
      <c r="B10358" t="s">
        <v>14446</v>
      </c>
      <c r="C10358" t="s">
        <v>7</v>
      </c>
      <c r="D10358" t="s">
        <v>14</v>
      </c>
      <c r="E10358" t="s">
        <v>14396</v>
      </c>
    </row>
    <row r="10359" spans="1:6" x14ac:dyDescent="0.25">
      <c r="A10359" t="str">
        <f>"5403040319"</f>
        <v>5403040319</v>
      </c>
      <c r="B10359" t="s">
        <v>2280</v>
      </c>
      <c r="C10359" t="s">
        <v>7</v>
      </c>
      <c r="D10359" t="s">
        <v>12</v>
      </c>
      <c r="E10359" t="s">
        <v>14396</v>
      </c>
      <c r="F10359" t="s">
        <v>14447</v>
      </c>
    </row>
    <row r="10360" spans="1:6" x14ac:dyDescent="0.25">
      <c r="A10360" t="str">
        <f>"5403082118"</f>
        <v>5403082118</v>
      </c>
      <c r="B10360" t="s">
        <v>14448</v>
      </c>
      <c r="C10360" t="s">
        <v>7</v>
      </c>
      <c r="D10360" t="s">
        <v>146</v>
      </c>
      <c r="E10360" t="s">
        <v>14396</v>
      </c>
      <c r="F10360" t="s">
        <v>14449</v>
      </c>
    </row>
    <row r="10361" spans="1:6" x14ac:dyDescent="0.25">
      <c r="A10361" t="str">
        <f>"5403088543"</f>
        <v>5403088543</v>
      </c>
      <c r="B10361" t="s">
        <v>14450</v>
      </c>
      <c r="C10361" t="s">
        <v>7</v>
      </c>
      <c r="D10361" t="s">
        <v>33</v>
      </c>
      <c r="E10361" t="s">
        <v>14396</v>
      </c>
      <c r="F10361" t="s">
        <v>14451</v>
      </c>
    </row>
    <row r="10362" spans="1:6" x14ac:dyDescent="0.25">
      <c r="A10362" t="str">
        <f>"5403132464"</f>
        <v>5403132464</v>
      </c>
      <c r="B10362" t="s">
        <v>14452</v>
      </c>
      <c r="C10362" t="s">
        <v>7</v>
      </c>
      <c r="D10362" t="s">
        <v>12</v>
      </c>
      <c r="E10362" t="s">
        <v>14396</v>
      </c>
      <c r="F10362" t="s">
        <v>14453</v>
      </c>
    </row>
    <row r="10363" spans="1:6" x14ac:dyDescent="0.25">
      <c r="A10363" t="str">
        <f>"540317024641"</f>
        <v>540317024641</v>
      </c>
      <c r="B10363" t="s">
        <v>14454</v>
      </c>
      <c r="C10363" t="s">
        <v>7</v>
      </c>
      <c r="D10363" t="s">
        <v>12</v>
      </c>
      <c r="E10363" t="s">
        <v>14396</v>
      </c>
    </row>
    <row r="10364" spans="1:6" x14ac:dyDescent="0.25">
      <c r="A10364" t="str">
        <f>"540320430139"</f>
        <v>540320430139</v>
      </c>
      <c r="B10364" t="s">
        <v>14455</v>
      </c>
      <c r="C10364" t="s">
        <v>7</v>
      </c>
      <c r="D10364" t="s">
        <v>14</v>
      </c>
      <c r="E10364" t="s">
        <v>14396</v>
      </c>
    </row>
    <row r="10365" spans="1:6" x14ac:dyDescent="0.25">
      <c r="A10365" t="str">
        <f>"5403343828"</f>
        <v>5403343828</v>
      </c>
      <c r="B10365" t="s">
        <v>14456</v>
      </c>
      <c r="C10365" t="s">
        <v>7</v>
      </c>
      <c r="D10365" t="s">
        <v>8</v>
      </c>
      <c r="E10365" t="s">
        <v>14396</v>
      </c>
      <c r="F10365" t="s">
        <v>14457</v>
      </c>
    </row>
    <row r="10366" spans="1:6" x14ac:dyDescent="0.25">
      <c r="A10366" t="str">
        <f>"5403349989"</f>
        <v>5403349989</v>
      </c>
      <c r="B10366" t="s">
        <v>14458</v>
      </c>
      <c r="C10366" t="s">
        <v>7</v>
      </c>
      <c r="D10366" t="s">
        <v>463</v>
      </c>
      <c r="E10366" t="s">
        <v>14396</v>
      </c>
      <c r="F10366" t="s">
        <v>14459</v>
      </c>
    </row>
    <row r="10367" spans="1:6" x14ac:dyDescent="0.25">
      <c r="A10367" t="str">
        <f>"5403360950"</f>
        <v>5403360950</v>
      </c>
      <c r="B10367" t="s">
        <v>14460</v>
      </c>
      <c r="C10367" t="s">
        <v>7</v>
      </c>
      <c r="D10367" t="s">
        <v>98</v>
      </c>
      <c r="E10367" t="s">
        <v>14396</v>
      </c>
      <c r="F10367" t="s">
        <v>14461</v>
      </c>
    </row>
    <row r="10368" spans="1:6" x14ac:dyDescent="0.25">
      <c r="A10368" t="str">
        <f>"540363238790"</f>
        <v>540363238790</v>
      </c>
      <c r="B10368" t="s">
        <v>14462</v>
      </c>
      <c r="C10368" t="s">
        <v>7</v>
      </c>
      <c r="D10368" t="s">
        <v>12</v>
      </c>
      <c r="E10368" t="s">
        <v>14396</v>
      </c>
    </row>
    <row r="10369" spans="1:6" x14ac:dyDescent="0.25">
      <c r="A10369" t="str">
        <f>"5404018309"</f>
        <v>5404018309</v>
      </c>
      <c r="B10369" t="s">
        <v>14463</v>
      </c>
      <c r="C10369" t="s">
        <v>7</v>
      </c>
      <c r="D10369" t="s">
        <v>33</v>
      </c>
      <c r="E10369" t="s">
        <v>14396</v>
      </c>
      <c r="F10369" t="s">
        <v>14464</v>
      </c>
    </row>
    <row r="10370" spans="1:6" x14ac:dyDescent="0.25">
      <c r="A10370" t="str">
        <f>"5404023450"</f>
        <v>5404023450</v>
      </c>
      <c r="B10370" t="s">
        <v>14465</v>
      </c>
      <c r="C10370" t="s">
        <v>7</v>
      </c>
      <c r="D10370" t="s">
        <v>674</v>
      </c>
      <c r="E10370" t="s">
        <v>14396</v>
      </c>
      <c r="F10370" t="s">
        <v>14466</v>
      </c>
    </row>
    <row r="10371" spans="1:6" x14ac:dyDescent="0.25">
      <c r="A10371" t="str">
        <f>"5404030810"</f>
        <v>5404030810</v>
      </c>
      <c r="B10371" t="s">
        <v>14467</v>
      </c>
      <c r="C10371" t="s">
        <v>7</v>
      </c>
      <c r="D10371" t="s">
        <v>674</v>
      </c>
      <c r="E10371" t="s">
        <v>14396</v>
      </c>
      <c r="F10371" t="s">
        <v>14468</v>
      </c>
    </row>
    <row r="10372" spans="1:6" x14ac:dyDescent="0.25">
      <c r="A10372" t="str">
        <f>"540403504730"</f>
        <v>540403504730</v>
      </c>
      <c r="B10372" t="s">
        <v>14469</v>
      </c>
      <c r="C10372" t="s">
        <v>7</v>
      </c>
      <c r="D10372" t="s">
        <v>14</v>
      </c>
      <c r="E10372" t="s">
        <v>14396</v>
      </c>
    </row>
    <row r="10373" spans="1:6" x14ac:dyDescent="0.25">
      <c r="A10373" t="str">
        <f>"5404073405"</f>
        <v>5404073405</v>
      </c>
      <c r="B10373" t="s">
        <v>14470</v>
      </c>
      <c r="C10373" t="s">
        <v>7</v>
      </c>
      <c r="D10373" t="s">
        <v>12</v>
      </c>
      <c r="E10373" t="s">
        <v>14396</v>
      </c>
      <c r="F10373" t="s">
        <v>14471</v>
      </c>
    </row>
    <row r="10374" spans="1:6" x14ac:dyDescent="0.25">
      <c r="A10374" t="str">
        <f>"540411902798"</f>
        <v>540411902798</v>
      </c>
      <c r="B10374" t="s">
        <v>14472</v>
      </c>
      <c r="C10374" t="s">
        <v>7</v>
      </c>
      <c r="D10374" t="s">
        <v>12</v>
      </c>
      <c r="E10374" t="s">
        <v>14396</v>
      </c>
    </row>
    <row r="10375" spans="1:6" x14ac:dyDescent="0.25">
      <c r="A10375" t="str">
        <f>"5404167205"</f>
        <v>5404167205</v>
      </c>
      <c r="B10375" t="s">
        <v>14473</v>
      </c>
      <c r="C10375" t="s">
        <v>7</v>
      </c>
      <c r="D10375" t="s">
        <v>14</v>
      </c>
      <c r="E10375" t="s">
        <v>14396</v>
      </c>
      <c r="F10375" t="s">
        <v>14474</v>
      </c>
    </row>
    <row r="10376" spans="1:6" x14ac:dyDescent="0.25">
      <c r="A10376" t="str">
        <f>"5404183327"</f>
        <v>5404183327</v>
      </c>
      <c r="B10376" t="s">
        <v>14475</v>
      </c>
      <c r="C10376" t="s">
        <v>7</v>
      </c>
      <c r="D10376" t="s">
        <v>14</v>
      </c>
      <c r="E10376" t="s">
        <v>14396</v>
      </c>
      <c r="F10376" t="s">
        <v>14476</v>
      </c>
    </row>
    <row r="10377" spans="1:6" x14ac:dyDescent="0.25">
      <c r="A10377" t="str">
        <f>"5404222752"</f>
        <v>5404222752</v>
      </c>
      <c r="B10377" t="s">
        <v>14477</v>
      </c>
      <c r="C10377" t="s">
        <v>7</v>
      </c>
      <c r="D10377" t="s">
        <v>14</v>
      </c>
      <c r="E10377" t="s">
        <v>14396</v>
      </c>
      <c r="F10377" t="s">
        <v>14478</v>
      </c>
    </row>
    <row r="10378" spans="1:6" x14ac:dyDescent="0.25">
      <c r="A10378" t="str">
        <f>"5404250830"</f>
        <v>5404250830</v>
      </c>
      <c r="B10378" t="s">
        <v>2204</v>
      </c>
      <c r="C10378" t="s">
        <v>7</v>
      </c>
      <c r="D10378" t="s">
        <v>12</v>
      </c>
      <c r="E10378" t="s">
        <v>14396</v>
      </c>
      <c r="F10378" t="s">
        <v>14479</v>
      </c>
    </row>
    <row r="10379" spans="1:6" x14ac:dyDescent="0.25">
      <c r="A10379" t="str">
        <f>"5404314026"</f>
        <v>5404314026</v>
      </c>
      <c r="B10379" t="s">
        <v>14480</v>
      </c>
      <c r="C10379" t="s">
        <v>7</v>
      </c>
      <c r="D10379" t="s">
        <v>33</v>
      </c>
      <c r="E10379" t="s">
        <v>14396</v>
      </c>
      <c r="F10379" t="s">
        <v>14481</v>
      </c>
    </row>
    <row r="10380" spans="1:6" x14ac:dyDescent="0.25">
      <c r="A10380" t="str">
        <f>"5404314192"</f>
        <v>5404314192</v>
      </c>
      <c r="B10380" t="s">
        <v>14482</v>
      </c>
      <c r="C10380" t="s">
        <v>7</v>
      </c>
      <c r="D10380" t="s">
        <v>146</v>
      </c>
      <c r="E10380" t="s">
        <v>14396</v>
      </c>
      <c r="F10380" t="s">
        <v>14483</v>
      </c>
    </row>
    <row r="10381" spans="1:6" x14ac:dyDescent="0.25">
      <c r="A10381" t="str">
        <f>"5404329262"</f>
        <v>5404329262</v>
      </c>
      <c r="B10381" t="s">
        <v>11847</v>
      </c>
      <c r="C10381" t="s">
        <v>7</v>
      </c>
      <c r="D10381" t="s">
        <v>14</v>
      </c>
      <c r="E10381" t="s">
        <v>14396</v>
      </c>
      <c r="F10381" t="s">
        <v>14484</v>
      </c>
    </row>
    <row r="10382" spans="1:6" x14ac:dyDescent="0.25">
      <c r="A10382" t="str">
        <f>"540437613127"</f>
        <v>540437613127</v>
      </c>
      <c r="B10382" t="s">
        <v>14485</v>
      </c>
      <c r="C10382" t="s">
        <v>7</v>
      </c>
      <c r="D10382" t="s">
        <v>12</v>
      </c>
      <c r="E10382" t="s">
        <v>14396</v>
      </c>
    </row>
    <row r="10383" spans="1:6" x14ac:dyDescent="0.25">
      <c r="A10383" t="str">
        <f>"540437819505"</f>
        <v>540437819505</v>
      </c>
      <c r="B10383" t="s">
        <v>14486</v>
      </c>
      <c r="C10383" t="s">
        <v>7</v>
      </c>
      <c r="D10383" t="s">
        <v>12</v>
      </c>
      <c r="E10383" t="s">
        <v>14396</v>
      </c>
    </row>
    <row r="10384" spans="1:6" x14ac:dyDescent="0.25">
      <c r="A10384" t="str">
        <f>"5404391077"</f>
        <v>5404391077</v>
      </c>
      <c r="B10384" t="s">
        <v>14487</v>
      </c>
      <c r="C10384" t="s">
        <v>7</v>
      </c>
      <c r="D10384" t="s">
        <v>33</v>
      </c>
      <c r="E10384" t="s">
        <v>14396</v>
      </c>
      <c r="F10384" t="s">
        <v>14488</v>
      </c>
    </row>
    <row r="10385" spans="1:6" x14ac:dyDescent="0.25">
      <c r="A10385" t="str">
        <f>"5404393490"</f>
        <v>5404393490</v>
      </c>
      <c r="B10385" t="s">
        <v>14489</v>
      </c>
      <c r="C10385" t="s">
        <v>7</v>
      </c>
      <c r="D10385" t="s">
        <v>189</v>
      </c>
      <c r="E10385" t="s">
        <v>14396</v>
      </c>
      <c r="F10385" t="s">
        <v>14490</v>
      </c>
    </row>
    <row r="10386" spans="1:6" x14ac:dyDescent="0.25">
      <c r="A10386" t="str">
        <f>"540442222640"</f>
        <v>540442222640</v>
      </c>
      <c r="B10386" t="s">
        <v>14491</v>
      </c>
      <c r="C10386" t="s">
        <v>7</v>
      </c>
      <c r="D10386" t="s">
        <v>14</v>
      </c>
      <c r="E10386" t="s">
        <v>14396</v>
      </c>
    </row>
    <row r="10387" spans="1:6" x14ac:dyDescent="0.25">
      <c r="A10387" t="str">
        <f>"5404434034"</f>
        <v>5404434034</v>
      </c>
      <c r="B10387" t="s">
        <v>14492</v>
      </c>
      <c r="C10387" t="s">
        <v>7</v>
      </c>
      <c r="D10387" t="s">
        <v>33</v>
      </c>
      <c r="E10387" t="s">
        <v>14396</v>
      </c>
      <c r="F10387" t="s">
        <v>14493</v>
      </c>
    </row>
    <row r="10388" spans="1:6" x14ac:dyDescent="0.25">
      <c r="A10388" t="str">
        <f>"540444878318"</f>
        <v>540444878318</v>
      </c>
      <c r="B10388" t="s">
        <v>14494</v>
      </c>
      <c r="C10388" t="s">
        <v>7</v>
      </c>
      <c r="D10388" t="s">
        <v>14</v>
      </c>
      <c r="E10388" t="s">
        <v>14396</v>
      </c>
    </row>
    <row r="10389" spans="1:6" x14ac:dyDescent="0.25">
      <c r="A10389" t="str">
        <f>"540446387918"</f>
        <v>540446387918</v>
      </c>
      <c r="B10389" t="s">
        <v>14495</v>
      </c>
      <c r="C10389" t="s">
        <v>7</v>
      </c>
      <c r="D10389" t="s">
        <v>12</v>
      </c>
      <c r="E10389" t="s">
        <v>14396</v>
      </c>
    </row>
    <row r="10390" spans="1:6" x14ac:dyDescent="0.25">
      <c r="A10390" t="str">
        <f>"5404953865"</f>
        <v>5404953865</v>
      </c>
      <c r="B10390" t="s">
        <v>4756</v>
      </c>
      <c r="C10390" t="s">
        <v>7</v>
      </c>
      <c r="D10390" t="s">
        <v>33</v>
      </c>
      <c r="E10390" t="s">
        <v>14396</v>
      </c>
      <c r="F10390" t="s">
        <v>14496</v>
      </c>
    </row>
    <row r="10391" spans="1:6" x14ac:dyDescent="0.25">
      <c r="A10391" t="str">
        <f>"5405012892"</f>
        <v>5405012892</v>
      </c>
      <c r="B10391" t="s">
        <v>14497</v>
      </c>
      <c r="C10391" t="s">
        <v>7</v>
      </c>
      <c r="D10391" t="s">
        <v>8</v>
      </c>
      <c r="E10391" t="s">
        <v>14396</v>
      </c>
      <c r="F10391" t="s">
        <v>14498</v>
      </c>
    </row>
    <row r="10392" spans="1:6" x14ac:dyDescent="0.25">
      <c r="A10392" t="str">
        <f>"5405027338"</f>
        <v>5405027338</v>
      </c>
      <c r="B10392" t="s">
        <v>14499</v>
      </c>
      <c r="C10392" t="s">
        <v>7</v>
      </c>
      <c r="D10392" t="s">
        <v>33</v>
      </c>
      <c r="E10392" t="s">
        <v>14396</v>
      </c>
      <c r="F10392" t="s">
        <v>14500</v>
      </c>
    </row>
    <row r="10393" spans="1:6" x14ac:dyDescent="0.25">
      <c r="A10393" t="str">
        <f>"5405038308"</f>
        <v>5405038308</v>
      </c>
      <c r="B10393" t="s">
        <v>14501</v>
      </c>
      <c r="C10393" t="s">
        <v>7</v>
      </c>
      <c r="D10393" t="s">
        <v>674</v>
      </c>
      <c r="E10393" t="s">
        <v>14396</v>
      </c>
      <c r="F10393" t="s">
        <v>14502</v>
      </c>
    </row>
    <row r="10394" spans="1:6" x14ac:dyDescent="0.25">
      <c r="A10394" t="str">
        <f>"540112474713"</f>
        <v>540112474713</v>
      </c>
      <c r="B10394" t="s">
        <v>14503</v>
      </c>
      <c r="C10394" t="s">
        <v>7</v>
      </c>
      <c r="D10394" t="s">
        <v>674</v>
      </c>
      <c r="E10394" t="s">
        <v>14396</v>
      </c>
    </row>
    <row r="10395" spans="1:6" x14ac:dyDescent="0.25">
      <c r="A10395" t="str">
        <f>"540122811615"</f>
        <v>540122811615</v>
      </c>
      <c r="B10395" t="s">
        <v>14504</v>
      </c>
      <c r="C10395" t="s">
        <v>7</v>
      </c>
      <c r="D10395" t="s">
        <v>14</v>
      </c>
      <c r="E10395" t="s">
        <v>14396</v>
      </c>
    </row>
    <row r="10396" spans="1:6" x14ac:dyDescent="0.25">
      <c r="A10396" t="str">
        <f>"540127171768"</f>
        <v>540127171768</v>
      </c>
      <c r="B10396" t="s">
        <v>14505</v>
      </c>
      <c r="C10396" t="s">
        <v>7</v>
      </c>
      <c r="D10396" t="s">
        <v>8</v>
      </c>
      <c r="E10396" t="s">
        <v>14396</v>
      </c>
    </row>
    <row r="10397" spans="1:6" x14ac:dyDescent="0.25">
      <c r="A10397" t="str">
        <f>"540133549511"</f>
        <v>540133549511</v>
      </c>
      <c r="B10397" t="s">
        <v>14506</v>
      </c>
      <c r="C10397" t="s">
        <v>7</v>
      </c>
      <c r="D10397" t="s">
        <v>14</v>
      </c>
      <c r="E10397" t="s">
        <v>14396</v>
      </c>
    </row>
    <row r="10398" spans="1:6" x14ac:dyDescent="0.25">
      <c r="A10398" t="str">
        <f>"540135254383"</f>
        <v>540135254383</v>
      </c>
      <c r="B10398" t="s">
        <v>14507</v>
      </c>
      <c r="C10398" t="s">
        <v>7</v>
      </c>
      <c r="D10398" t="s">
        <v>14</v>
      </c>
      <c r="E10398" t="s">
        <v>14396</v>
      </c>
    </row>
    <row r="10399" spans="1:6" x14ac:dyDescent="0.25">
      <c r="A10399" t="str">
        <f>"5401988588"</f>
        <v>5401988588</v>
      </c>
      <c r="B10399" t="s">
        <v>1731</v>
      </c>
      <c r="C10399" t="s">
        <v>7</v>
      </c>
      <c r="D10399" t="s">
        <v>14</v>
      </c>
      <c r="E10399" t="s">
        <v>14396</v>
      </c>
      <c r="F10399" t="s">
        <v>14508</v>
      </c>
    </row>
    <row r="10400" spans="1:6" x14ac:dyDescent="0.25">
      <c r="A10400" t="str">
        <f>"5401989172"</f>
        <v>5401989172</v>
      </c>
      <c r="B10400" t="s">
        <v>3066</v>
      </c>
      <c r="C10400" t="s">
        <v>7</v>
      </c>
      <c r="D10400" t="s">
        <v>14</v>
      </c>
      <c r="E10400" t="s">
        <v>14396</v>
      </c>
      <c r="F10400" t="s">
        <v>14509</v>
      </c>
    </row>
    <row r="10401" spans="1:6" x14ac:dyDescent="0.25">
      <c r="A10401" t="str">
        <f>"5402041790"</f>
        <v>5402041790</v>
      </c>
      <c r="B10401" t="s">
        <v>2204</v>
      </c>
      <c r="C10401" t="s">
        <v>7</v>
      </c>
      <c r="D10401" t="s">
        <v>33</v>
      </c>
      <c r="E10401" t="s">
        <v>14396</v>
      </c>
      <c r="F10401" t="s">
        <v>14510</v>
      </c>
    </row>
    <row r="10402" spans="1:6" x14ac:dyDescent="0.25">
      <c r="A10402" t="str">
        <f>"5402074530"</f>
        <v>5402074530</v>
      </c>
      <c r="B10402" t="s">
        <v>14511</v>
      </c>
      <c r="C10402" t="s">
        <v>7</v>
      </c>
      <c r="D10402" t="s">
        <v>14</v>
      </c>
      <c r="E10402" t="s">
        <v>14396</v>
      </c>
      <c r="F10402" t="s">
        <v>14512</v>
      </c>
    </row>
    <row r="10403" spans="1:6" x14ac:dyDescent="0.25">
      <c r="A10403" t="str">
        <f>"540208774098"</f>
        <v>540208774098</v>
      </c>
      <c r="B10403" t="s">
        <v>14513</v>
      </c>
      <c r="C10403" t="s">
        <v>7</v>
      </c>
      <c r="D10403" t="s">
        <v>14</v>
      </c>
      <c r="E10403" t="s">
        <v>14396</v>
      </c>
    </row>
    <row r="10404" spans="1:6" x14ac:dyDescent="0.25">
      <c r="A10404" t="str">
        <f>"5402134412"</f>
        <v>5402134412</v>
      </c>
      <c r="B10404" t="s">
        <v>14514</v>
      </c>
      <c r="C10404" t="s">
        <v>7</v>
      </c>
      <c r="D10404" t="s">
        <v>14</v>
      </c>
      <c r="E10404" t="s">
        <v>14396</v>
      </c>
      <c r="F10404" t="s">
        <v>14515</v>
      </c>
    </row>
    <row r="10405" spans="1:6" x14ac:dyDescent="0.25">
      <c r="A10405" t="str">
        <f>"540223775219"</f>
        <v>540223775219</v>
      </c>
      <c r="B10405" t="s">
        <v>14516</v>
      </c>
      <c r="C10405" t="s">
        <v>7</v>
      </c>
      <c r="D10405" t="s">
        <v>12</v>
      </c>
      <c r="E10405" t="s">
        <v>14396</v>
      </c>
    </row>
    <row r="10406" spans="1:6" x14ac:dyDescent="0.25">
      <c r="A10406" t="str">
        <f>"5403003331"</f>
        <v>5403003331</v>
      </c>
      <c r="B10406" t="s">
        <v>14517</v>
      </c>
      <c r="C10406" t="s">
        <v>7</v>
      </c>
      <c r="D10406" t="s">
        <v>98</v>
      </c>
      <c r="E10406" t="s">
        <v>14396</v>
      </c>
      <c r="F10406" t="s">
        <v>14518</v>
      </c>
    </row>
    <row r="10407" spans="1:6" x14ac:dyDescent="0.25">
      <c r="A10407" t="str">
        <f>"5403007985"</f>
        <v>5403007985</v>
      </c>
      <c r="B10407" t="s">
        <v>14519</v>
      </c>
      <c r="C10407" t="s">
        <v>7</v>
      </c>
      <c r="D10407" t="s">
        <v>12</v>
      </c>
      <c r="E10407" t="s">
        <v>14396</v>
      </c>
      <c r="F10407" t="s">
        <v>14520</v>
      </c>
    </row>
    <row r="10408" spans="1:6" x14ac:dyDescent="0.25">
      <c r="A10408" t="str">
        <f>"5403044000"</f>
        <v>5403044000</v>
      </c>
      <c r="B10408" t="s">
        <v>14521</v>
      </c>
      <c r="C10408" t="s">
        <v>7</v>
      </c>
      <c r="D10408" t="s">
        <v>12</v>
      </c>
      <c r="E10408" t="s">
        <v>14396</v>
      </c>
      <c r="F10408" t="s">
        <v>14522</v>
      </c>
    </row>
    <row r="10409" spans="1:6" x14ac:dyDescent="0.25">
      <c r="A10409" t="str">
        <f>"5403063027"</f>
        <v>5403063027</v>
      </c>
      <c r="B10409" t="s">
        <v>14523</v>
      </c>
      <c r="C10409" t="s">
        <v>7</v>
      </c>
      <c r="D10409" t="s">
        <v>98</v>
      </c>
      <c r="E10409" t="s">
        <v>14396</v>
      </c>
      <c r="F10409" t="s">
        <v>14524</v>
      </c>
    </row>
    <row r="10410" spans="1:6" x14ac:dyDescent="0.25">
      <c r="A10410" t="str">
        <f>"5403069692"</f>
        <v>5403069692</v>
      </c>
      <c r="B10410" t="s">
        <v>6097</v>
      </c>
      <c r="C10410" t="s">
        <v>7</v>
      </c>
      <c r="D10410" t="s">
        <v>33</v>
      </c>
      <c r="E10410" t="s">
        <v>14396</v>
      </c>
      <c r="F10410" t="s">
        <v>14525</v>
      </c>
    </row>
    <row r="10411" spans="1:6" x14ac:dyDescent="0.25">
      <c r="A10411" t="str">
        <f>"540308469605"</f>
        <v>540308469605</v>
      </c>
      <c r="B10411" t="s">
        <v>14526</v>
      </c>
      <c r="C10411" t="s">
        <v>7</v>
      </c>
      <c r="D10411" t="s">
        <v>14</v>
      </c>
      <c r="E10411" t="s">
        <v>14396</v>
      </c>
    </row>
    <row r="10412" spans="1:6" x14ac:dyDescent="0.25">
      <c r="A10412" t="str">
        <f>"540311702026"</f>
        <v>540311702026</v>
      </c>
      <c r="B10412" t="s">
        <v>14527</v>
      </c>
      <c r="C10412" t="s">
        <v>7</v>
      </c>
      <c r="D10412" t="s">
        <v>14</v>
      </c>
      <c r="E10412" t="s">
        <v>14396</v>
      </c>
    </row>
    <row r="10413" spans="1:6" x14ac:dyDescent="0.25">
      <c r="A10413" t="str">
        <f>"5403325272"</f>
        <v>5403325272</v>
      </c>
      <c r="B10413" t="s">
        <v>14528</v>
      </c>
      <c r="C10413" t="s">
        <v>7</v>
      </c>
      <c r="D10413" t="s">
        <v>33</v>
      </c>
      <c r="E10413" t="s">
        <v>14396</v>
      </c>
      <c r="F10413" t="s">
        <v>14529</v>
      </c>
    </row>
    <row r="10414" spans="1:6" x14ac:dyDescent="0.25">
      <c r="A10414" t="str">
        <f>"5403335619"</f>
        <v>5403335619</v>
      </c>
      <c r="B10414" t="s">
        <v>14530</v>
      </c>
      <c r="C10414" t="s">
        <v>7</v>
      </c>
      <c r="D10414" t="s">
        <v>14</v>
      </c>
      <c r="E10414" t="s">
        <v>14396</v>
      </c>
      <c r="F10414" t="s">
        <v>14531</v>
      </c>
    </row>
    <row r="10415" spans="1:6" x14ac:dyDescent="0.25">
      <c r="A10415" t="str">
        <f>"5403338271"</f>
        <v>5403338271</v>
      </c>
      <c r="B10415" t="s">
        <v>14532</v>
      </c>
      <c r="C10415" t="s">
        <v>7</v>
      </c>
      <c r="D10415" t="s">
        <v>14</v>
      </c>
      <c r="E10415" t="s">
        <v>14396</v>
      </c>
      <c r="F10415" t="s">
        <v>14533</v>
      </c>
    </row>
    <row r="10416" spans="1:6" x14ac:dyDescent="0.25">
      <c r="A10416" t="str">
        <f>"5403348030"</f>
        <v>5403348030</v>
      </c>
      <c r="B10416" t="s">
        <v>14534</v>
      </c>
      <c r="C10416" t="s">
        <v>7</v>
      </c>
      <c r="D10416" t="s">
        <v>33</v>
      </c>
      <c r="E10416" t="s">
        <v>14396</v>
      </c>
      <c r="F10416" t="s">
        <v>14535</v>
      </c>
    </row>
    <row r="10417" spans="1:6" x14ac:dyDescent="0.25">
      <c r="A10417" t="str">
        <f>"5403357570"</f>
        <v>5403357570</v>
      </c>
      <c r="B10417" t="s">
        <v>14536</v>
      </c>
      <c r="C10417" t="s">
        <v>7</v>
      </c>
      <c r="D10417" t="s">
        <v>12</v>
      </c>
      <c r="E10417" t="s">
        <v>14396</v>
      </c>
      <c r="F10417" t="s">
        <v>14537</v>
      </c>
    </row>
    <row r="10418" spans="1:6" x14ac:dyDescent="0.25">
      <c r="A10418" t="str">
        <f>"5404005910"</f>
        <v>5404005910</v>
      </c>
      <c r="B10418" t="s">
        <v>14538</v>
      </c>
      <c r="C10418" t="s">
        <v>7</v>
      </c>
      <c r="D10418" t="s">
        <v>33</v>
      </c>
      <c r="E10418" t="s">
        <v>14396</v>
      </c>
      <c r="F10418" t="s">
        <v>14539</v>
      </c>
    </row>
    <row r="10419" spans="1:6" x14ac:dyDescent="0.25">
      <c r="A10419" t="str">
        <f>"5404009248"</f>
        <v>5404009248</v>
      </c>
      <c r="B10419" t="s">
        <v>14540</v>
      </c>
      <c r="C10419" t="s">
        <v>7</v>
      </c>
      <c r="D10419" t="s">
        <v>12</v>
      </c>
      <c r="E10419" t="s">
        <v>14396</v>
      </c>
      <c r="F10419" t="s">
        <v>14541</v>
      </c>
    </row>
    <row r="10420" spans="1:6" x14ac:dyDescent="0.25">
      <c r="A10420" t="str">
        <f>"5404013325"</f>
        <v>5404013325</v>
      </c>
      <c r="B10420" t="s">
        <v>14542</v>
      </c>
      <c r="C10420" t="s">
        <v>7</v>
      </c>
      <c r="D10420" t="s">
        <v>674</v>
      </c>
      <c r="E10420" t="s">
        <v>14396</v>
      </c>
      <c r="F10420" t="s">
        <v>14543</v>
      </c>
    </row>
    <row r="10421" spans="1:6" x14ac:dyDescent="0.25">
      <c r="A10421" t="str">
        <f>"5404035216"</f>
        <v>5404035216</v>
      </c>
      <c r="B10421" t="s">
        <v>14544</v>
      </c>
      <c r="C10421" t="s">
        <v>7</v>
      </c>
      <c r="D10421" t="s">
        <v>146</v>
      </c>
      <c r="E10421" t="s">
        <v>14396</v>
      </c>
      <c r="F10421" t="s">
        <v>14545</v>
      </c>
    </row>
    <row r="10422" spans="1:6" x14ac:dyDescent="0.25">
      <c r="A10422" t="str">
        <f>"5404044500"</f>
        <v>5404044500</v>
      </c>
      <c r="B10422" t="s">
        <v>14546</v>
      </c>
      <c r="C10422" t="s">
        <v>7</v>
      </c>
      <c r="D10422" t="s">
        <v>12</v>
      </c>
      <c r="E10422" t="s">
        <v>14396</v>
      </c>
      <c r="F10422" t="s">
        <v>14547</v>
      </c>
    </row>
    <row r="10423" spans="1:6" x14ac:dyDescent="0.25">
      <c r="A10423" t="str">
        <f>"5404045140"</f>
        <v>5404045140</v>
      </c>
      <c r="B10423" t="s">
        <v>14548</v>
      </c>
      <c r="C10423" t="s">
        <v>7</v>
      </c>
      <c r="D10423" t="s">
        <v>28</v>
      </c>
      <c r="E10423" t="s">
        <v>14396</v>
      </c>
      <c r="F10423" t="s">
        <v>14471</v>
      </c>
    </row>
    <row r="10424" spans="1:6" x14ac:dyDescent="0.25">
      <c r="A10424" t="str">
        <f>"5404060526"</f>
        <v>5404060526</v>
      </c>
      <c r="B10424" t="s">
        <v>14549</v>
      </c>
      <c r="C10424" t="s">
        <v>7</v>
      </c>
      <c r="D10424" t="s">
        <v>12</v>
      </c>
      <c r="E10424" t="s">
        <v>14396</v>
      </c>
      <c r="F10424" t="s">
        <v>14550</v>
      </c>
    </row>
    <row r="10425" spans="1:6" x14ac:dyDescent="0.25">
      <c r="A10425" t="str">
        <f>"5404061230"</f>
        <v>5404061230</v>
      </c>
      <c r="B10425" t="s">
        <v>3422</v>
      </c>
      <c r="C10425" t="s">
        <v>7</v>
      </c>
      <c r="D10425" t="s">
        <v>14</v>
      </c>
      <c r="E10425" t="s">
        <v>14396</v>
      </c>
      <c r="F10425" t="s">
        <v>14551</v>
      </c>
    </row>
    <row r="10426" spans="1:6" x14ac:dyDescent="0.25">
      <c r="A10426" t="str">
        <f>"5404062153"</f>
        <v>5404062153</v>
      </c>
      <c r="B10426" t="s">
        <v>14552</v>
      </c>
      <c r="C10426" t="s">
        <v>7</v>
      </c>
      <c r="D10426" t="s">
        <v>12</v>
      </c>
      <c r="E10426" t="s">
        <v>14396</v>
      </c>
      <c r="F10426" t="s">
        <v>14471</v>
      </c>
    </row>
    <row r="10427" spans="1:6" x14ac:dyDescent="0.25">
      <c r="A10427" t="str">
        <f>"5404084252"</f>
        <v>5404084252</v>
      </c>
      <c r="B10427" t="s">
        <v>14553</v>
      </c>
      <c r="C10427" t="s">
        <v>7</v>
      </c>
      <c r="D10427" t="s">
        <v>14</v>
      </c>
      <c r="E10427" t="s">
        <v>14396</v>
      </c>
      <c r="F10427" t="s">
        <v>14554</v>
      </c>
    </row>
    <row r="10428" spans="1:6" x14ac:dyDescent="0.25">
      <c r="A10428" t="str">
        <f>"5404086323"</f>
        <v>5404086323</v>
      </c>
      <c r="B10428" t="s">
        <v>14555</v>
      </c>
      <c r="C10428" t="s">
        <v>7</v>
      </c>
      <c r="D10428" t="s">
        <v>460</v>
      </c>
      <c r="E10428" t="s">
        <v>14396</v>
      </c>
      <c r="F10428" t="s">
        <v>14556</v>
      </c>
    </row>
    <row r="10429" spans="1:6" x14ac:dyDescent="0.25">
      <c r="A10429" t="str">
        <f>"5404091468"</f>
        <v>5404091468</v>
      </c>
      <c r="B10429" t="s">
        <v>14557</v>
      </c>
      <c r="C10429" t="s">
        <v>7</v>
      </c>
      <c r="D10429" t="s">
        <v>33</v>
      </c>
      <c r="E10429" t="s">
        <v>14396</v>
      </c>
      <c r="F10429" t="s">
        <v>14558</v>
      </c>
    </row>
    <row r="10430" spans="1:6" x14ac:dyDescent="0.25">
      <c r="A10430" t="str">
        <f>"5404151283"</f>
        <v>5404151283</v>
      </c>
      <c r="B10430" t="s">
        <v>14559</v>
      </c>
      <c r="C10430" t="s">
        <v>7</v>
      </c>
      <c r="D10430" t="s">
        <v>33</v>
      </c>
      <c r="E10430" t="s">
        <v>14396</v>
      </c>
      <c r="F10430" t="s">
        <v>14560</v>
      </c>
    </row>
    <row r="10431" spans="1:6" x14ac:dyDescent="0.25">
      <c r="A10431" t="str">
        <f>"5404177147"</f>
        <v>5404177147</v>
      </c>
      <c r="B10431" t="s">
        <v>14561</v>
      </c>
      <c r="C10431" t="s">
        <v>7</v>
      </c>
      <c r="D10431" t="s">
        <v>14</v>
      </c>
      <c r="E10431" t="s">
        <v>14396</v>
      </c>
      <c r="F10431" t="s">
        <v>14562</v>
      </c>
    </row>
    <row r="10432" spans="1:6" x14ac:dyDescent="0.25">
      <c r="A10432" t="str">
        <f>"5404213691"</f>
        <v>5404213691</v>
      </c>
      <c r="B10432" t="s">
        <v>2798</v>
      </c>
      <c r="C10432" t="s">
        <v>7</v>
      </c>
      <c r="D10432" t="s">
        <v>8</v>
      </c>
      <c r="E10432" t="s">
        <v>14396</v>
      </c>
      <c r="F10432" t="s">
        <v>14563</v>
      </c>
    </row>
    <row r="10433" spans="1:6" x14ac:dyDescent="0.25">
      <c r="A10433" t="str">
        <f>"5404289490"</f>
        <v>5404289490</v>
      </c>
      <c r="B10433" t="s">
        <v>14564</v>
      </c>
      <c r="C10433" t="s">
        <v>7</v>
      </c>
      <c r="D10433" t="s">
        <v>14</v>
      </c>
      <c r="E10433" t="s">
        <v>14396</v>
      </c>
      <c r="F10433" t="s">
        <v>14565</v>
      </c>
    </row>
    <row r="10434" spans="1:6" x14ac:dyDescent="0.25">
      <c r="A10434" t="str">
        <f>"5404309763"</f>
        <v>5404309763</v>
      </c>
      <c r="B10434" t="s">
        <v>14566</v>
      </c>
      <c r="C10434" t="s">
        <v>7</v>
      </c>
      <c r="D10434" t="s">
        <v>12</v>
      </c>
      <c r="E10434" t="s">
        <v>14396</v>
      </c>
      <c r="F10434" t="s">
        <v>14567</v>
      </c>
    </row>
    <row r="10435" spans="1:6" x14ac:dyDescent="0.25">
      <c r="A10435" t="str">
        <f>"5404316062"</f>
        <v>5404316062</v>
      </c>
      <c r="B10435" t="s">
        <v>14568</v>
      </c>
      <c r="C10435" t="s">
        <v>7</v>
      </c>
      <c r="D10435" t="s">
        <v>674</v>
      </c>
      <c r="E10435" t="s">
        <v>14396</v>
      </c>
      <c r="F10435" t="s">
        <v>14569</v>
      </c>
    </row>
    <row r="10436" spans="1:6" x14ac:dyDescent="0.25">
      <c r="A10436" t="str">
        <f>"540433229400"</f>
        <v>540433229400</v>
      </c>
      <c r="B10436" t="s">
        <v>14570</v>
      </c>
      <c r="C10436" t="s">
        <v>7</v>
      </c>
      <c r="D10436" t="s">
        <v>14</v>
      </c>
      <c r="E10436" t="s">
        <v>14396</v>
      </c>
    </row>
    <row r="10437" spans="1:6" x14ac:dyDescent="0.25">
      <c r="A10437" t="str">
        <f>"540437592004"</f>
        <v>540437592004</v>
      </c>
      <c r="B10437" t="s">
        <v>14571</v>
      </c>
      <c r="C10437" t="s">
        <v>7</v>
      </c>
      <c r="D10437" t="s">
        <v>14</v>
      </c>
      <c r="E10437" t="s">
        <v>14396</v>
      </c>
    </row>
    <row r="10438" spans="1:6" x14ac:dyDescent="0.25">
      <c r="A10438" t="str">
        <f>"5404378686"</f>
        <v>5404378686</v>
      </c>
      <c r="B10438" t="s">
        <v>14572</v>
      </c>
      <c r="C10438" t="s">
        <v>7</v>
      </c>
      <c r="D10438" t="s">
        <v>146</v>
      </c>
      <c r="E10438" t="s">
        <v>14396</v>
      </c>
      <c r="F10438" t="s">
        <v>14573</v>
      </c>
    </row>
    <row r="10439" spans="1:6" x14ac:dyDescent="0.25">
      <c r="A10439" t="str">
        <f>"5404418755"</f>
        <v>5404418755</v>
      </c>
      <c r="B10439" t="s">
        <v>14574</v>
      </c>
      <c r="C10439" t="s">
        <v>7</v>
      </c>
      <c r="D10439" t="s">
        <v>33</v>
      </c>
      <c r="E10439" t="s">
        <v>14396</v>
      </c>
      <c r="F10439" t="s">
        <v>14575</v>
      </c>
    </row>
    <row r="10440" spans="1:6" x14ac:dyDescent="0.25">
      <c r="A10440" t="str">
        <f>"540445550946"</f>
        <v>540445550946</v>
      </c>
      <c r="B10440" t="s">
        <v>14576</v>
      </c>
      <c r="C10440" t="s">
        <v>7</v>
      </c>
      <c r="D10440" t="s">
        <v>14</v>
      </c>
      <c r="E10440" t="s">
        <v>14396</v>
      </c>
    </row>
    <row r="10441" spans="1:6" x14ac:dyDescent="0.25">
      <c r="A10441" t="str">
        <f>"220907725737"</f>
        <v>220907725737</v>
      </c>
      <c r="B10441" t="s">
        <v>14577</v>
      </c>
      <c r="C10441" t="s">
        <v>7</v>
      </c>
      <c r="D10441" t="s">
        <v>8</v>
      </c>
      <c r="E10441" t="s">
        <v>14396</v>
      </c>
    </row>
    <row r="10442" spans="1:6" x14ac:dyDescent="0.25">
      <c r="A10442" t="str">
        <f>"2222899858"</f>
        <v>2222899858</v>
      </c>
      <c r="B10442" t="s">
        <v>14578</v>
      </c>
      <c r="C10442" t="s">
        <v>7</v>
      </c>
      <c r="D10442" t="s">
        <v>8</v>
      </c>
      <c r="E10442" t="s">
        <v>14396</v>
      </c>
      <c r="F10442" t="s">
        <v>14579</v>
      </c>
    </row>
    <row r="10443" spans="1:6" x14ac:dyDescent="0.25">
      <c r="A10443" t="str">
        <f>"702403259200"</f>
        <v>702403259200</v>
      </c>
      <c r="B10443" t="s">
        <v>14580</v>
      </c>
      <c r="C10443" t="s">
        <v>7</v>
      </c>
      <c r="D10443" t="s">
        <v>14</v>
      </c>
      <c r="E10443" t="s">
        <v>14396</v>
      </c>
    </row>
    <row r="10444" spans="1:6" x14ac:dyDescent="0.25">
      <c r="A10444" t="str">
        <f>"540110887360"</f>
        <v>540110887360</v>
      </c>
      <c r="B10444" t="s">
        <v>14581</v>
      </c>
      <c r="C10444" t="s">
        <v>7</v>
      </c>
      <c r="D10444" t="s">
        <v>14</v>
      </c>
      <c r="E10444" t="s">
        <v>14396</v>
      </c>
    </row>
    <row r="10445" spans="1:6" x14ac:dyDescent="0.25">
      <c r="A10445" t="str">
        <f>"5401171387"</f>
        <v>5401171387</v>
      </c>
      <c r="B10445" t="s">
        <v>14582</v>
      </c>
      <c r="C10445" t="s">
        <v>7</v>
      </c>
      <c r="D10445" t="s">
        <v>14</v>
      </c>
      <c r="E10445" t="s">
        <v>14396</v>
      </c>
      <c r="F10445" t="s">
        <v>14583</v>
      </c>
    </row>
    <row r="10446" spans="1:6" x14ac:dyDescent="0.25">
      <c r="A10446" t="str">
        <f>"5401206382"</f>
        <v>5401206382</v>
      </c>
      <c r="B10446" t="s">
        <v>14584</v>
      </c>
      <c r="C10446" t="s">
        <v>7</v>
      </c>
      <c r="D10446" t="s">
        <v>8</v>
      </c>
      <c r="E10446" t="s">
        <v>14396</v>
      </c>
      <c r="F10446" t="s">
        <v>14585</v>
      </c>
    </row>
    <row r="10447" spans="1:6" x14ac:dyDescent="0.25">
      <c r="A10447" t="str">
        <f>"5401339590"</f>
        <v>5401339590</v>
      </c>
      <c r="B10447" t="s">
        <v>14586</v>
      </c>
      <c r="C10447" t="s">
        <v>7</v>
      </c>
      <c r="D10447" t="s">
        <v>8</v>
      </c>
      <c r="E10447" t="s">
        <v>14396</v>
      </c>
      <c r="F10447" t="s">
        <v>14587</v>
      </c>
    </row>
    <row r="10448" spans="1:6" x14ac:dyDescent="0.25">
      <c r="A10448" t="str">
        <f>"5401403133"</f>
        <v>5401403133</v>
      </c>
      <c r="B10448" t="s">
        <v>14588</v>
      </c>
      <c r="C10448" t="s">
        <v>7</v>
      </c>
      <c r="D10448" t="s">
        <v>33</v>
      </c>
      <c r="E10448" t="s">
        <v>14396</v>
      </c>
      <c r="F10448" t="s">
        <v>14589</v>
      </c>
    </row>
    <row r="10449" spans="1:6" x14ac:dyDescent="0.25">
      <c r="A10449" t="str">
        <f>"5402019459"</f>
        <v>5402019459</v>
      </c>
      <c r="B10449" t="s">
        <v>1957</v>
      </c>
      <c r="C10449" t="s">
        <v>7</v>
      </c>
      <c r="D10449" t="s">
        <v>33</v>
      </c>
      <c r="E10449" t="s">
        <v>14396</v>
      </c>
      <c r="F10449" t="s">
        <v>14590</v>
      </c>
    </row>
    <row r="10450" spans="1:6" x14ac:dyDescent="0.25">
      <c r="A10450" t="str">
        <f>"540202947749"</f>
        <v>540202947749</v>
      </c>
      <c r="B10450" t="s">
        <v>14591</v>
      </c>
      <c r="C10450" t="s">
        <v>7</v>
      </c>
      <c r="D10450" t="s">
        <v>12</v>
      </c>
      <c r="E10450" t="s">
        <v>14396</v>
      </c>
    </row>
    <row r="10451" spans="1:6" x14ac:dyDescent="0.25">
      <c r="A10451" t="str">
        <f>"5402053643"</f>
        <v>5402053643</v>
      </c>
      <c r="B10451" t="s">
        <v>14592</v>
      </c>
      <c r="C10451" t="s">
        <v>7</v>
      </c>
      <c r="D10451" t="s">
        <v>33</v>
      </c>
      <c r="E10451" t="s">
        <v>14396</v>
      </c>
      <c r="F10451" t="s">
        <v>14593</v>
      </c>
    </row>
    <row r="10452" spans="1:6" x14ac:dyDescent="0.25">
      <c r="A10452" t="str">
        <f>"5402059268"</f>
        <v>5402059268</v>
      </c>
      <c r="B10452" t="s">
        <v>14594</v>
      </c>
      <c r="C10452" t="s">
        <v>7</v>
      </c>
      <c r="D10452" t="s">
        <v>146</v>
      </c>
      <c r="E10452" t="s">
        <v>14396</v>
      </c>
      <c r="F10452" t="s">
        <v>14595</v>
      </c>
    </row>
    <row r="10453" spans="1:6" x14ac:dyDescent="0.25">
      <c r="A10453" t="str">
        <f>"540207092504"</f>
        <v>540207092504</v>
      </c>
      <c r="B10453" t="s">
        <v>14596</v>
      </c>
      <c r="C10453" t="s">
        <v>7</v>
      </c>
      <c r="D10453" t="s">
        <v>12</v>
      </c>
      <c r="E10453" t="s">
        <v>14396</v>
      </c>
    </row>
    <row r="10454" spans="1:6" x14ac:dyDescent="0.25">
      <c r="A10454" t="str">
        <f>"540230109107"</f>
        <v>540230109107</v>
      </c>
      <c r="B10454" t="s">
        <v>14597</v>
      </c>
      <c r="C10454" t="s">
        <v>7</v>
      </c>
      <c r="D10454" t="s">
        <v>14</v>
      </c>
      <c r="E10454" t="s">
        <v>14396</v>
      </c>
    </row>
    <row r="10455" spans="1:6" x14ac:dyDescent="0.25">
      <c r="A10455" t="str">
        <f>"540230462016"</f>
        <v>540230462016</v>
      </c>
      <c r="B10455" t="s">
        <v>14598</v>
      </c>
      <c r="C10455" t="s">
        <v>7</v>
      </c>
      <c r="D10455" t="s">
        <v>14</v>
      </c>
      <c r="E10455" t="s">
        <v>14396</v>
      </c>
    </row>
    <row r="10456" spans="1:6" x14ac:dyDescent="0.25">
      <c r="A10456" t="str">
        <f>"5402554657"</f>
        <v>5402554657</v>
      </c>
      <c r="B10456" t="s">
        <v>14599</v>
      </c>
      <c r="C10456" t="s">
        <v>7</v>
      </c>
      <c r="D10456" t="s">
        <v>33</v>
      </c>
      <c r="E10456" t="s">
        <v>14396</v>
      </c>
      <c r="F10456" t="s">
        <v>14600</v>
      </c>
    </row>
    <row r="10457" spans="1:6" x14ac:dyDescent="0.25">
      <c r="A10457" t="str">
        <f>"5402561220"</f>
        <v>5402561220</v>
      </c>
      <c r="B10457" t="s">
        <v>4600</v>
      </c>
      <c r="C10457" t="s">
        <v>7</v>
      </c>
      <c r="D10457" t="s">
        <v>463</v>
      </c>
      <c r="E10457" t="s">
        <v>14396</v>
      </c>
      <c r="F10457" t="s">
        <v>14601</v>
      </c>
    </row>
    <row r="10458" spans="1:6" x14ac:dyDescent="0.25">
      <c r="A10458" t="str">
        <f>"5402561502"</f>
        <v>5402561502</v>
      </c>
      <c r="B10458" t="s">
        <v>14602</v>
      </c>
      <c r="C10458" t="s">
        <v>7</v>
      </c>
      <c r="D10458" t="s">
        <v>14</v>
      </c>
      <c r="E10458" t="s">
        <v>14396</v>
      </c>
      <c r="F10458" t="s">
        <v>14603</v>
      </c>
    </row>
    <row r="10459" spans="1:6" x14ac:dyDescent="0.25">
      <c r="A10459" t="str">
        <f>"5402564165"</f>
        <v>5402564165</v>
      </c>
      <c r="B10459" t="s">
        <v>14604</v>
      </c>
      <c r="C10459" t="s">
        <v>7</v>
      </c>
      <c r="D10459" t="s">
        <v>14</v>
      </c>
      <c r="E10459" t="s">
        <v>14396</v>
      </c>
      <c r="F10459" t="s">
        <v>14605</v>
      </c>
    </row>
    <row r="10460" spans="1:6" x14ac:dyDescent="0.25">
      <c r="A10460" t="str">
        <f>"540301832700"</f>
        <v>540301832700</v>
      </c>
      <c r="B10460" t="s">
        <v>14606</v>
      </c>
      <c r="C10460" t="s">
        <v>7</v>
      </c>
      <c r="D10460" t="s">
        <v>14</v>
      </c>
      <c r="E10460" t="s">
        <v>14396</v>
      </c>
    </row>
    <row r="10461" spans="1:6" x14ac:dyDescent="0.25">
      <c r="A10461" t="str">
        <f>"5403040245"</f>
        <v>5403040245</v>
      </c>
      <c r="B10461" t="s">
        <v>14607</v>
      </c>
      <c r="C10461" t="s">
        <v>7</v>
      </c>
      <c r="D10461" t="s">
        <v>33</v>
      </c>
      <c r="E10461" t="s">
        <v>14396</v>
      </c>
      <c r="F10461" t="s">
        <v>14608</v>
      </c>
    </row>
    <row r="10462" spans="1:6" x14ac:dyDescent="0.25">
      <c r="A10462" t="str">
        <f>"5403049720"</f>
        <v>5403049720</v>
      </c>
      <c r="B10462" t="s">
        <v>14609</v>
      </c>
      <c r="C10462" t="s">
        <v>7</v>
      </c>
      <c r="D10462" t="s">
        <v>146</v>
      </c>
      <c r="E10462" t="s">
        <v>14396</v>
      </c>
      <c r="F10462" t="s">
        <v>14610</v>
      </c>
    </row>
    <row r="10463" spans="1:6" x14ac:dyDescent="0.25">
      <c r="A10463" t="str">
        <f>"5403050469"</f>
        <v>5403050469</v>
      </c>
      <c r="B10463" t="s">
        <v>14611</v>
      </c>
      <c r="C10463" t="s">
        <v>7</v>
      </c>
      <c r="D10463" t="s">
        <v>8</v>
      </c>
      <c r="E10463" t="s">
        <v>14396</v>
      </c>
      <c r="F10463" t="s">
        <v>14612</v>
      </c>
    </row>
    <row r="10464" spans="1:6" x14ac:dyDescent="0.25">
      <c r="A10464" t="str">
        <f>"5403071250"</f>
        <v>5403071250</v>
      </c>
      <c r="B10464" t="s">
        <v>14613</v>
      </c>
      <c r="C10464" t="s">
        <v>7</v>
      </c>
      <c r="D10464" t="s">
        <v>12</v>
      </c>
      <c r="E10464" t="s">
        <v>14396</v>
      </c>
      <c r="F10464" t="s">
        <v>14525</v>
      </c>
    </row>
    <row r="10465" spans="1:6" x14ac:dyDescent="0.25">
      <c r="A10465" t="str">
        <f>"5403087412"</f>
        <v>5403087412</v>
      </c>
      <c r="B10465" t="s">
        <v>14614</v>
      </c>
      <c r="C10465" t="s">
        <v>7</v>
      </c>
      <c r="D10465" t="s">
        <v>33</v>
      </c>
      <c r="E10465" t="s">
        <v>14396</v>
      </c>
      <c r="F10465" t="s">
        <v>14615</v>
      </c>
    </row>
    <row r="10466" spans="1:6" x14ac:dyDescent="0.25">
      <c r="A10466" t="str">
        <f>"540308759304"</f>
        <v>540308759304</v>
      </c>
      <c r="B10466" t="s">
        <v>14616</v>
      </c>
      <c r="C10466" t="s">
        <v>7</v>
      </c>
      <c r="D10466" t="s">
        <v>14</v>
      </c>
      <c r="E10466" t="s">
        <v>14396</v>
      </c>
    </row>
    <row r="10467" spans="1:6" x14ac:dyDescent="0.25">
      <c r="A10467" t="str">
        <f>"5403322458"</f>
        <v>5403322458</v>
      </c>
      <c r="B10467" t="s">
        <v>14617</v>
      </c>
      <c r="C10467" t="s">
        <v>7</v>
      </c>
      <c r="D10467" t="s">
        <v>33</v>
      </c>
      <c r="E10467" t="s">
        <v>14396</v>
      </c>
      <c r="F10467" t="s">
        <v>14618</v>
      </c>
    </row>
    <row r="10468" spans="1:6" x14ac:dyDescent="0.25">
      <c r="A10468" t="str">
        <f>"5403354026"</f>
        <v>5403354026</v>
      </c>
      <c r="B10468" t="s">
        <v>14619</v>
      </c>
      <c r="C10468" t="s">
        <v>7</v>
      </c>
      <c r="D10468" t="s">
        <v>33</v>
      </c>
      <c r="E10468" t="s">
        <v>14396</v>
      </c>
      <c r="F10468" t="s">
        <v>14620</v>
      </c>
    </row>
    <row r="10469" spans="1:6" x14ac:dyDescent="0.25">
      <c r="A10469" t="str">
        <f>"5403356834"</f>
        <v>5403356834</v>
      </c>
      <c r="B10469" t="s">
        <v>14621</v>
      </c>
      <c r="C10469" t="s">
        <v>7</v>
      </c>
      <c r="D10469" t="s">
        <v>14</v>
      </c>
      <c r="E10469" t="s">
        <v>14396</v>
      </c>
      <c r="F10469" t="s">
        <v>14622</v>
      </c>
    </row>
    <row r="10470" spans="1:6" x14ac:dyDescent="0.25">
      <c r="A10470" t="str">
        <f>"540362350693"</f>
        <v>540362350693</v>
      </c>
      <c r="B10470" t="s">
        <v>14623</v>
      </c>
      <c r="C10470" t="s">
        <v>7</v>
      </c>
      <c r="D10470" t="s">
        <v>12</v>
      </c>
      <c r="E10470" t="s">
        <v>14396</v>
      </c>
    </row>
    <row r="10471" spans="1:6" x14ac:dyDescent="0.25">
      <c r="A10471" t="str">
        <f>"540400886350"</f>
        <v>540400886350</v>
      </c>
      <c r="B10471" t="s">
        <v>14624</v>
      </c>
      <c r="C10471" t="s">
        <v>7</v>
      </c>
      <c r="D10471" t="s">
        <v>14</v>
      </c>
      <c r="E10471" t="s">
        <v>14396</v>
      </c>
    </row>
    <row r="10472" spans="1:6" x14ac:dyDescent="0.25">
      <c r="A10472" t="str">
        <f>"5404023468"</f>
        <v>5404023468</v>
      </c>
      <c r="B10472" t="s">
        <v>14070</v>
      </c>
      <c r="C10472" t="s">
        <v>7</v>
      </c>
      <c r="D10472" t="s">
        <v>33</v>
      </c>
      <c r="E10472" t="s">
        <v>14396</v>
      </c>
      <c r="F10472" t="s">
        <v>14625</v>
      </c>
    </row>
    <row r="10473" spans="1:6" x14ac:dyDescent="0.25">
      <c r="A10473" t="str">
        <f>"5404105343"</f>
        <v>5404105343</v>
      </c>
      <c r="B10473" t="s">
        <v>14626</v>
      </c>
      <c r="C10473" t="s">
        <v>7</v>
      </c>
      <c r="D10473" t="s">
        <v>463</v>
      </c>
      <c r="E10473" t="s">
        <v>14396</v>
      </c>
      <c r="F10473" t="s">
        <v>14627</v>
      </c>
    </row>
    <row r="10474" spans="1:6" x14ac:dyDescent="0.25">
      <c r="A10474" t="str">
        <f>"540414342142"</f>
        <v>540414342142</v>
      </c>
      <c r="B10474" t="s">
        <v>14628</v>
      </c>
      <c r="C10474" t="s">
        <v>7</v>
      </c>
      <c r="D10474" t="s">
        <v>14</v>
      </c>
      <c r="E10474" t="s">
        <v>14396</v>
      </c>
    </row>
    <row r="10475" spans="1:6" x14ac:dyDescent="0.25">
      <c r="A10475" t="str">
        <f>"5404143645"</f>
        <v>5404143645</v>
      </c>
      <c r="B10475" t="s">
        <v>1622</v>
      </c>
      <c r="C10475" t="s">
        <v>7</v>
      </c>
      <c r="D10475" t="s">
        <v>12</v>
      </c>
      <c r="E10475" t="s">
        <v>14396</v>
      </c>
      <c r="F10475" t="s">
        <v>14629</v>
      </c>
    </row>
    <row r="10476" spans="1:6" x14ac:dyDescent="0.25">
      <c r="A10476" t="str">
        <f>"5404144656"</f>
        <v>5404144656</v>
      </c>
      <c r="B10476" t="s">
        <v>14630</v>
      </c>
      <c r="C10476" t="s">
        <v>7</v>
      </c>
      <c r="D10476" t="s">
        <v>12</v>
      </c>
      <c r="E10476" t="s">
        <v>14396</v>
      </c>
      <c r="F10476" t="s">
        <v>14631</v>
      </c>
    </row>
    <row r="10477" spans="1:6" x14ac:dyDescent="0.25">
      <c r="A10477" t="str">
        <f>"540428554309"</f>
        <v>540428554309</v>
      </c>
      <c r="B10477" t="s">
        <v>14632</v>
      </c>
      <c r="C10477" t="s">
        <v>7</v>
      </c>
      <c r="D10477" t="s">
        <v>28</v>
      </c>
      <c r="E10477" t="s">
        <v>14396</v>
      </c>
    </row>
    <row r="10478" spans="1:6" x14ac:dyDescent="0.25">
      <c r="A10478" t="str">
        <f>"540433178762"</f>
        <v>540433178762</v>
      </c>
      <c r="B10478" t="s">
        <v>14633</v>
      </c>
      <c r="C10478" t="s">
        <v>7</v>
      </c>
      <c r="D10478" t="s">
        <v>12</v>
      </c>
      <c r="E10478" t="s">
        <v>14396</v>
      </c>
    </row>
    <row r="10479" spans="1:6" x14ac:dyDescent="0.25">
      <c r="A10479" t="str">
        <f>"5404377330"</f>
        <v>5404377330</v>
      </c>
      <c r="B10479" t="s">
        <v>14634</v>
      </c>
      <c r="C10479" t="s">
        <v>7</v>
      </c>
      <c r="D10479" t="s">
        <v>33</v>
      </c>
      <c r="E10479" t="s">
        <v>14396</v>
      </c>
      <c r="F10479" t="s">
        <v>14635</v>
      </c>
    </row>
    <row r="10480" spans="1:6" x14ac:dyDescent="0.25">
      <c r="A10480" t="str">
        <f>"5403344821"</f>
        <v>5403344821</v>
      </c>
      <c r="B10480" t="s">
        <v>14636</v>
      </c>
      <c r="C10480" t="s">
        <v>7</v>
      </c>
      <c r="D10480" t="s">
        <v>463</v>
      </c>
      <c r="E10480" t="s">
        <v>14396</v>
      </c>
      <c r="F10480" t="s">
        <v>14637</v>
      </c>
    </row>
    <row r="10481" spans="1:6" x14ac:dyDescent="0.25">
      <c r="A10481" t="str">
        <f>"5404094892"</f>
        <v>5404094892</v>
      </c>
      <c r="B10481" t="s">
        <v>14638</v>
      </c>
      <c r="C10481" t="s">
        <v>7</v>
      </c>
      <c r="D10481" t="s">
        <v>33</v>
      </c>
      <c r="E10481" t="s">
        <v>14396</v>
      </c>
      <c r="F10481" t="s">
        <v>14639</v>
      </c>
    </row>
    <row r="10482" spans="1:6" x14ac:dyDescent="0.25">
      <c r="A10482" t="str">
        <f>"540447002247"</f>
        <v>540447002247</v>
      </c>
      <c r="B10482" t="s">
        <v>14640</v>
      </c>
      <c r="C10482" t="s">
        <v>7</v>
      </c>
      <c r="D10482" t="s">
        <v>33</v>
      </c>
      <c r="E10482" t="s">
        <v>14396</v>
      </c>
    </row>
    <row r="10483" spans="1:6" x14ac:dyDescent="0.25">
      <c r="A10483" t="str">
        <f>"5404490991"</f>
        <v>5404490991</v>
      </c>
      <c r="B10483" t="s">
        <v>14641</v>
      </c>
      <c r="C10483" t="s">
        <v>7</v>
      </c>
      <c r="D10483" t="s">
        <v>33</v>
      </c>
      <c r="E10483" t="s">
        <v>14396</v>
      </c>
      <c r="F10483" t="s">
        <v>14642</v>
      </c>
    </row>
    <row r="10484" spans="1:6" x14ac:dyDescent="0.25">
      <c r="A10484" t="str">
        <f>"5405177090"</f>
        <v>5405177090</v>
      </c>
      <c r="B10484" t="s">
        <v>14643</v>
      </c>
      <c r="C10484" t="s">
        <v>7</v>
      </c>
      <c r="D10484" t="s">
        <v>12</v>
      </c>
      <c r="E10484" t="s">
        <v>14396</v>
      </c>
      <c r="F10484" t="s">
        <v>14644</v>
      </c>
    </row>
    <row r="10485" spans="1:6" x14ac:dyDescent="0.25">
      <c r="A10485" t="str">
        <f>"5405310472"</f>
        <v>5405310472</v>
      </c>
      <c r="B10485" t="s">
        <v>14645</v>
      </c>
      <c r="C10485" t="s">
        <v>7</v>
      </c>
      <c r="D10485" t="s">
        <v>33</v>
      </c>
      <c r="E10485" t="s">
        <v>14396</v>
      </c>
      <c r="F10485" t="s">
        <v>14646</v>
      </c>
    </row>
    <row r="10486" spans="1:6" x14ac:dyDescent="0.25">
      <c r="A10486" t="str">
        <f>"5405382318"</f>
        <v>5405382318</v>
      </c>
      <c r="B10486" t="s">
        <v>14647</v>
      </c>
      <c r="C10486" t="s">
        <v>7</v>
      </c>
      <c r="D10486" t="s">
        <v>98</v>
      </c>
      <c r="E10486" t="s">
        <v>14396</v>
      </c>
      <c r="F10486" t="s">
        <v>14648</v>
      </c>
    </row>
    <row r="10487" spans="1:6" x14ac:dyDescent="0.25">
      <c r="A10487" t="str">
        <f>"540540526140"</f>
        <v>540540526140</v>
      </c>
      <c r="B10487" t="s">
        <v>14649</v>
      </c>
      <c r="C10487" t="s">
        <v>7</v>
      </c>
      <c r="D10487" t="s">
        <v>12</v>
      </c>
      <c r="E10487" t="s">
        <v>14396</v>
      </c>
    </row>
    <row r="10488" spans="1:6" x14ac:dyDescent="0.25">
      <c r="A10488" t="str">
        <f>"5406815758"</f>
        <v>5406815758</v>
      </c>
      <c r="B10488" t="s">
        <v>2376</v>
      </c>
      <c r="C10488" t="s">
        <v>7</v>
      </c>
      <c r="D10488" t="s">
        <v>14</v>
      </c>
      <c r="E10488" t="s">
        <v>14396</v>
      </c>
      <c r="F10488" t="s">
        <v>14650</v>
      </c>
    </row>
    <row r="10489" spans="1:6" x14ac:dyDescent="0.25">
      <c r="A10489" t="str">
        <f>"5407015031"</f>
        <v>5407015031</v>
      </c>
      <c r="B10489" t="s">
        <v>14651</v>
      </c>
      <c r="C10489" t="s">
        <v>7</v>
      </c>
      <c r="D10489" t="s">
        <v>14</v>
      </c>
      <c r="E10489" t="s">
        <v>14396</v>
      </c>
      <c r="F10489" t="s">
        <v>14652</v>
      </c>
    </row>
    <row r="10490" spans="1:6" x14ac:dyDescent="0.25">
      <c r="A10490" t="str">
        <f>"540701652130"</f>
        <v>540701652130</v>
      </c>
      <c r="B10490" t="s">
        <v>14653</v>
      </c>
      <c r="C10490" t="s">
        <v>7</v>
      </c>
      <c r="D10490" t="s">
        <v>14</v>
      </c>
      <c r="E10490" t="s">
        <v>14396</v>
      </c>
    </row>
    <row r="10491" spans="1:6" x14ac:dyDescent="0.25">
      <c r="A10491" t="str">
        <f>"5408311210"</f>
        <v>5408311210</v>
      </c>
      <c r="B10491" t="s">
        <v>14654</v>
      </c>
      <c r="C10491" t="s">
        <v>7</v>
      </c>
      <c r="D10491" t="s">
        <v>14</v>
      </c>
      <c r="E10491" t="s">
        <v>14396</v>
      </c>
      <c r="F10491" t="s">
        <v>14655</v>
      </c>
    </row>
    <row r="10492" spans="1:6" x14ac:dyDescent="0.25">
      <c r="A10492" t="str">
        <f>"541000053155"</f>
        <v>541000053155</v>
      </c>
      <c r="B10492" t="s">
        <v>14656</v>
      </c>
      <c r="C10492" t="s">
        <v>7</v>
      </c>
      <c r="D10492" t="s">
        <v>12</v>
      </c>
      <c r="E10492" t="s">
        <v>14396</v>
      </c>
    </row>
    <row r="10493" spans="1:6" x14ac:dyDescent="0.25">
      <c r="A10493" t="str">
        <f>"5410168077"</f>
        <v>5410168077</v>
      </c>
      <c r="B10493" t="s">
        <v>14657</v>
      </c>
      <c r="C10493" t="s">
        <v>7</v>
      </c>
      <c r="D10493" t="s">
        <v>14</v>
      </c>
      <c r="E10493" t="s">
        <v>14396</v>
      </c>
      <c r="F10493" t="s">
        <v>14658</v>
      </c>
    </row>
    <row r="10494" spans="1:6" x14ac:dyDescent="0.25">
      <c r="A10494" t="str">
        <f>"542005354503"</f>
        <v>542005354503</v>
      </c>
      <c r="B10494" t="s">
        <v>14659</v>
      </c>
      <c r="C10494" t="s">
        <v>7</v>
      </c>
      <c r="D10494" t="s">
        <v>14</v>
      </c>
      <c r="E10494" t="s">
        <v>14396</v>
      </c>
    </row>
    <row r="10495" spans="1:6" x14ac:dyDescent="0.25">
      <c r="A10495" t="str">
        <f>"542905159463"</f>
        <v>542905159463</v>
      </c>
      <c r="B10495" t="s">
        <v>14660</v>
      </c>
      <c r="C10495" t="s">
        <v>7</v>
      </c>
      <c r="D10495" t="s">
        <v>14</v>
      </c>
      <c r="E10495" t="s">
        <v>14396</v>
      </c>
    </row>
    <row r="10496" spans="1:6" x14ac:dyDescent="0.25">
      <c r="A10496" t="str">
        <f>"543210023200"</f>
        <v>543210023200</v>
      </c>
      <c r="B10496" t="s">
        <v>14661</v>
      </c>
      <c r="C10496" t="s">
        <v>7</v>
      </c>
      <c r="D10496" t="s">
        <v>14</v>
      </c>
      <c r="E10496" t="s">
        <v>14396</v>
      </c>
    </row>
    <row r="10497" spans="1:6" x14ac:dyDescent="0.25">
      <c r="A10497" t="str">
        <f>"5436109728"</f>
        <v>5436109728</v>
      </c>
      <c r="B10497" t="s">
        <v>14662</v>
      </c>
      <c r="C10497" t="s">
        <v>7</v>
      </c>
      <c r="D10497" t="s">
        <v>14</v>
      </c>
      <c r="E10497" t="s">
        <v>14396</v>
      </c>
      <c r="F10497" t="s">
        <v>14663</v>
      </c>
    </row>
    <row r="10498" spans="1:6" x14ac:dyDescent="0.25">
      <c r="A10498" t="str">
        <f>"5439000782"</f>
        <v>5439000782</v>
      </c>
      <c r="B10498" t="s">
        <v>14602</v>
      </c>
      <c r="C10498" t="s">
        <v>7</v>
      </c>
      <c r="D10498" t="s">
        <v>12</v>
      </c>
      <c r="E10498" t="s">
        <v>14396</v>
      </c>
      <c r="F10498" t="s">
        <v>14664</v>
      </c>
    </row>
    <row r="10499" spans="1:6" x14ac:dyDescent="0.25">
      <c r="A10499" t="str">
        <f>"544311674129"</f>
        <v>544311674129</v>
      </c>
      <c r="B10499" t="s">
        <v>14665</v>
      </c>
      <c r="C10499" t="s">
        <v>7</v>
      </c>
      <c r="D10499" t="s">
        <v>14</v>
      </c>
      <c r="E10499" t="s">
        <v>14396</v>
      </c>
    </row>
    <row r="10500" spans="1:6" x14ac:dyDescent="0.25">
      <c r="A10500" t="str">
        <f>"5445016452"</f>
        <v>5445016452</v>
      </c>
      <c r="B10500" t="s">
        <v>14666</v>
      </c>
      <c r="C10500" t="s">
        <v>7</v>
      </c>
      <c r="D10500" t="s">
        <v>12</v>
      </c>
      <c r="E10500" t="s">
        <v>14396</v>
      </c>
      <c r="F10500" t="s">
        <v>14667</v>
      </c>
    </row>
    <row r="10501" spans="1:6" x14ac:dyDescent="0.25">
      <c r="A10501" t="str">
        <f>"544590348210"</f>
        <v>544590348210</v>
      </c>
      <c r="B10501" t="s">
        <v>14668</v>
      </c>
      <c r="C10501" t="s">
        <v>7</v>
      </c>
      <c r="D10501" t="s">
        <v>12</v>
      </c>
      <c r="E10501" t="s">
        <v>14396</v>
      </c>
    </row>
    <row r="10502" spans="1:6" x14ac:dyDescent="0.25">
      <c r="A10502" t="str">
        <f>"544600698369"</f>
        <v>544600698369</v>
      </c>
      <c r="B10502" t="s">
        <v>14669</v>
      </c>
      <c r="C10502" t="s">
        <v>7</v>
      </c>
      <c r="D10502" t="s">
        <v>14</v>
      </c>
      <c r="E10502" t="s">
        <v>14396</v>
      </c>
    </row>
    <row r="10503" spans="1:6" x14ac:dyDescent="0.25">
      <c r="A10503" t="str">
        <f>"544605413680"</f>
        <v>544605413680</v>
      </c>
      <c r="B10503" t="s">
        <v>14670</v>
      </c>
      <c r="C10503" t="s">
        <v>7</v>
      </c>
      <c r="D10503" t="s">
        <v>14</v>
      </c>
      <c r="E10503" t="s">
        <v>14396</v>
      </c>
    </row>
    <row r="10504" spans="1:6" x14ac:dyDescent="0.25">
      <c r="A10504" t="str">
        <f>"5405048673"</f>
        <v>5405048673</v>
      </c>
      <c r="B10504" t="s">
        <v>14671</v>
      </c>
      <c r="C10504" t="s">
        <v>7</v>
      </c>
      <c r="D10504" t="s">
        <v>12</v>
      </c>
      <c r="E10504" t="s">
        <v>14396</v>
      </c>
      <c r="F10504" t="s">
        <v>14672</v>
      </c>
    </row>
    <row r="10505" spans="1:6" x14ac:dyDescent="0.25">
      <c r="A10505" t="str">
        <f>"540505040413"</f>
        <v>540505040413</v>
      </c>
      <c r="B10505" t="s">
        <v>14673</v>
      </c>
      <c r="C10505" t="s">
        <v>7</v>
      </c>
      <c r="D10505" t="s">
        <v>14</v>
      </c>
      <c r="E10505" t="s">
        <v>14396</v>
      </c>
    </row>
    <row r="10506" spans="1:6" x14ac:dyDescent="0.25">
      <c r="A10506" t="str">
        <f>"5405052077"</f>
        <v>5405052077</v>
      </c>
      <c r="B10506" t="s">
        <v>14674</v>
      </c>
      <c r="C10506" t="s">
        <v>7</v>
      </c>
      <c r="D10506" t="s">
        <v>8</v>
      </c>
      <c r="E10506" t="s">
        <v>14396</v>
      </c>
      <c r="F10506" t="s">
        <v>14675</v>
      </c>
    </row>
    <row r="10507" spans="1:6" x14ac:dyDescent="0.25">
      <c r="A10507" t="str">
        <f>"5405053338"</f>
        <v>5405053338</v>
      </c>
      <c r="B10507" t="s">
        <v>14676</v>
      </c>
      <c r="C10507" t="s">
        <v>7</v>
      </c>
      <c r="D10507" t="s">
        <v>674</v>
      </c>
      <c r="E10507" t="s">
        <v>14396</v>
      </c>
      <c r="F10507" t="s">
        <v>14677</v>
      </c>
    </row>
    <row r="10508" spans="1:6" x14ac:dyDescent="0.25">
      <c r="A10508" t="str">
        <f>"5405066785"</f>
        <v>5405066785</v>
      </c>
      <c r="B10508" t="s">
        <v>14678</v>
      </c>
      <c r="C10508" t="s">
        <v>7</v>
      </c>
      <c r="D10508" t="s">
        <v>33</v>
      </c>
      <c r="E10508" t="s">
        <v>14396</v>
      </c>
      <c r="F10508" t="s">
        <v>14679</v>
      </c>
    </row>
    <row r="10509" spans="1:6" x14ac:dyDescent="0.25">
      <c r="A10509" t="str">
        <f>"5405069426"</f>
        <v>5405069426</v>
      </c>
      <c r="B10509" t="s">
        <v>14680</v>
      </c>
      <c r="C10509" t="s">
        <v>7</v>
      </c>
      <c r="D10509" t="s">
        <v>8</v>
      </c>
      <c r="E10509" t="s">
        <v>14396</v>
      </c>
      <c r="F10509" t="s">
        <v>14681</v>
      </c>
    </row>
    <row r="10510" spans="1:6" x14ac:dyDescent="0.25">
      <c r="A10510" t="str">
        <f>"5405075589"</f>
        <v>5405075589</v>
      </c>
      <c r="B10510" t="s">
        <v>14682</v>
      </c>
      <c r="C10510" t="s">
        <v>7</v>
      </c>
      <c r="D10510" t="s">
        <v>33</v>
      </c>
      <c r="E10510" t="s">
        <v>14396</v>
      </c>
      <c r="F10510" t="s">
        <v>14683</v>
      </c>
    </row>
    <row r="10511" spans="1:6" x14ac:dyDescent="0.25">
      <c r="A10511" t="str">
        <f>"5405092873"</f>
        <v>5405092873</v>
      </c>
      <c r="B10511" t="s">
        <v>14684</v>
      </c>
      <c r="C10511" t="s">
        <v>7</v>
      </c>
      <c r="D10511" t="s">
        <v>12</v>
      </c>
      <c r="E10511" t="s">
        <v>14396</v>
      </c>
      <c r="F10511" t="s">
        <v>14685</v>
      </c>
    </row>
    <row r="10512" spans="1:6" x14ac:dyDescent="0.25">
      <c r="A10512" t="str">
        <f>"5405180826"</f>
        <v>5405180826</v>
      </c>
      <c r="B10512" t="s">
        <v>14686</v>
      </c>
      <c r="C10512" t="s">
        <v>7</v>
      </c>
      <c r="D10512" t="s">
        <v>14</v>
      </c>
      <c r="E10512" t="s">
        <v>14396</v>
      </c>
      <c r="F10512" t="s">
        <v>14687</v>
      </c>
    </row>
    <row r="10513" spans="1:6" x14ac:dyDescent="0.25">
      <c r="A10513" t="str">
        <f>"5405265156"</f>
        <v>5405265156</v>
      </c>
      <c r="B10513" t="s">
        <v>14688</v>
      </c>
      <c r="C10513" t="s">
        <v>7</v>
      </c>
      <c r="D10513" t="s">
        <v>8</v>
      </c>
      <c r="E10513" t="s">
        <v>14396</v>
      </c>
      <c r="F10513" t="s">
        <v>14689</v>
      </c>
    </row>
    <row r="10514" spans="1:6" x14ac:dyDescent="0.25">
      <c r="A10514" t="str">
        <f>"5405316435"</f>
        <v>5405316435</v>
      </c>
      <c r="B10514" t="s">
        <v>14690</v>
      </c>
      <c r="C10514" t="s">
        <v>7</v>
      </c>
      <c r="D10514" t="s">
        <v>14</v>
      </c>
      <c r="E10514" t="s">
        <v>14396</v>
      </c>
      <c r="F10514" t="s">
        <v>14691</v>
      </c>
    </row>
    <row r="10515" spans="1:6" x14ac:dyDescent="0.25">
      <c r="A10515" t="str">
        <f>"5405345468"</f>
        <v>5405345468</v>
      </c>
      <c r="B10515" t="s">
        <v>14692</v>
      </c>
      <c r="C10515" t="s">
        <v>7</v>
      </c>
      <c r="D10515" t="s">
        <v>12</v>
      </c>
      <c r="E10515" t="s">
        <v>14396</v>
      </c>
      <c r="F10515" t="s">
        <v>14693</v>
      </c>
    </row>
    <row r="10516" spans="1:6" x14ac:dyDescent="0.25">
      <c r="A10516" t="str">
        <f>"5405365753"</f>
        <v>5405365753</v>
      </c>
      <c r="B10516" t="s">
        <v>14694</v>
      </c>
      <c r="C10516" t="s">
        <v>7</v>
      </c>
      <c r="D10516" t="s">
        <v>33</v>
      </c>
      <c r="E10516" t="s">
        <v>14396</v>
      </c>
      <c r="F10516" t="s">
        <v>14695</v>
      </c>
    </row>
    <row r="10517" spans="1:6" x14ac:dyDescent="0.25">
      <c r="A10517" t="str">
        <f>"5405954300"</f>
        <v>5405954300</v>
      </c>
      <c r="B10517" t="s">
        <v>14696</v>
      </c>
      <c r="C10517" t="s">
        <v>7</v>
      </c>
      <c r="D10517" t="s">
        <v>12</v>
      </c>
      <c r="E10517" t="s">
        <v>14396</v>
      </c>
      <c r="F10517" t="s">
        <v>14697</v>
      </c>
    </row>
    <row r="10518" spans="1:6" x14ac:dyDescent="0.25">
      <c r="A10518" t="str">
        <f>"5405965856"</f>
        <v>5405965856</v>
      </c>
      <c r="B10518" t="s">
        <v>14698</v>
      </c>
      <c r="C10518" t="s">
        <v>7</v>
      </c>
      <c r="D10518" t="s">
        <v>14</v>
      </c>
      <c r="E10518" t="s">
        <v>14396</v>
      </c>
      <c r="F10518" t="s">
        <v>14699</v>
      </c>
    </row>
    <row r="10519" spans="1:6" x14ac:dyDescent="0.25">
      <c r="A10519" t="str">
        <f>"5405998812"</f>
        <v>5405998812</v>
      </c>
      <c r="B10519" t="s">
        <v>709</v>
      </c>
      <c r="C10519" t="s">
        <v>7</v>
      </c>
      <c r="D10519" t="s">
        <v>33</v>
      </c>
      <c r="E10519" t="s">
        <v>14396</v>
      </c>
      <c r="F10519" t="s">
        <v>14700</v>
      </c>
    </row>
    <row r="10520" spans="1:6" x14ac:dyDescent="0.25">
      <c r="A10520" t="str">
        <f>"5406341307"</f>
        <v>5406341307</v>
      </c>
      <c r="B10520" t="s">
        <v>14701</v>
      </c>
      <c r="C10520" t="s">
        <v>7</v>
      </c>
      <c r="D10520" t="s">
        <v>674</v>
      </c>
      <c r="E10520" t="s">
        <v>14396</v>
      </c>
      <c r="F10520" t="s">
        <v>14702</v>
      </c>
    </row>
    <row r="10521" spans="1:6" x14ac:dyDescent="0.25">
      <c r="A10521" t="str">
        <f>"5406557747"</f>
        <v>5406557747</v>
      </c>
      <c r="B10521" t="s">
        <v>14703</v>
      </c>
      <c r="C10521" t="s">
        <v>7</v>
      </c>
      <c r="D10521" t="s">
        <v>674</v>
      </c>
      <c r="E10521" t="s">
        <v>14396</v>
      </c>
      <c r="F10521" t="s">
        <v>14704</v>
      </c>
    </row>
    <row r="10522" spans="1:6" x14ac:dyDescent="0.25">
      <c r="A10522" t="str">
        <f>"5406564198"</f>
        <v>5406564198</v>
      </c>
      <c r="B10522" t="s">
        <v>14705</v>
      </c>
      <c r="C10522" t="s">
        <v>7</v>
      </c>
      <c r="D10522" t="s">
        <v>14</v>
      </c>
      <c r="E10522" t="s">
        <v>14396</v>
      </c>
      <c r="F10522" t="s">
        <v>14706</v>
      </c>
    </row>
    <row r="10523" spans="1:6" x14ac:dyDescent="0.25">
      <c r="A10523" t="str">
        <f>"5406672813"</f>
        <v>5406672813</v>
      </c>
      <c r="B10523" t="s">
        <v>14707</v>
      </c>
      <c r="C10523" t="s">
        <v>7</v>
      </c>
      <c r="D10523" t="s">
        <v>12</v>
      </c>
      <c r="E10523" t="s">
        <v>14396</v>
      </c>
      <c r="F10523" t="s">
        <v>14708</v>
      </c>
    </row>
    <row r="10524" spans="1:6" x14ac:dyDescent="0.25">
      <c r="A10524" t="str">
        <f>"5406816247"</f>
        <v>5406816247</v>
      </c>
      <c r="B10524" t="s">
        <v>14709</v>
      </c>
      <c r="C10524" t="s">
        <v>7</v>
      </c>
      <c r="D10524" t="s">
        <v>33</v>
      </c>
      <c r="E10524" t="s">
        <v>14396</v>
      </c>
      <c r="F10524" t="s">
        <v>14710</v>
      </c>
    </row>
    <row r="10525" spans="1:6" x14ac:dyDescent="0.25">
      <c r="A10525" t="str">
        <f>"5406828475"</f>
        <v>5406828475</v>
      </c>
      <c r="B10525" t="s">
        <v>14711</v>
      </c>
      <c r="C10525" t="s">
        <v>7</v>
      </c>
      <c r="D10525" t="s">
        <v>674</v>
      </c>
      <c r="E10525" t="s">
        <v>14396</v>
      </c>
      <c r="F10525" t="s">
        <v>14712</v>
      </c>
    </row>
    <row r="10526" spans="1:6" x14ac:dyDescent="0.25">
      <c r="A10526" t="str">
        <f>"5406832143"</f>
        <v>5406832143</v>
      </c>
      <c r="B10526" t="s">
        <v>10126</v>
      </c>
      <c r="C10526" t="s">
        <v>7</v>
      </c>
      <c r="D10526" t="s">
        <v>189</v>
      </c>
      <c r="E10526" t="s">
        <v>14396</v>
      </c>
      <c r="F10526" t="s">
        <v>14713</v>
      </c>
    </row>
    <row r="10527" spans="1:6" x14ac:dyDescent="0.25">
      <c r="A10527" t="str">
        <f>"5406834133"</f>
        <v>5406834133</v>
      </c>
      <c r="B10527" t="s">
        <v>8998</v>
      </c>
      <c r="C10527" t="s">
        <v>7</v>
      </c>
      <c r="D10527" t="s">
        <v>12</v>
      </c>
      <c r="E10527" t="s">
        <v>14396</v>
      </c>
      <c r="F10527" t="s">
        <v>14714</v>
      </c>
    </row>
    <row r="10528" spans="1:6" x14ac:dyDescent="0.25">
      <c r="A10528" t="str">
        <f>"5406835200"</f>
        <v>5406835200</v>
      </c>
      <c r="B10528" t="s">
        <v>14715</v>
      </c>
      <c r="C10528" t="s">
        <v>7</v>
      </c>
      <c r="D10528" t="s">
        <v>12</v>
      </c>
      <c r="E10528" t="s">
        <v>14396</v>
      </c>
      <c r="F10528" t="s">
        <v>14716</v>
      </c>
    </row>
    <row r="10529" spans="1:6" x14ac:dyDescent="0.25">
      <c r="A10529" t="str">
        <f>"5406843177"</f>
        <v>5406843177</v>
      </c>
      <c r="B10529" t="s">
        <v>10654</v>
      </c>
      <c r="C10529" t="s">
        <v>7</v>
      </c>
      <c r="D10529" t="s">
        <v>8</v>
      </c>
      <c r="E10529" t="s">
        <v>14396</v>
      </c>
      <c r="F10529" t="s">
        <v>14717</v>
      </c>
    </row>
    <row r="10530" spans="1:6" x14ac:dyDescent="0.25">
      <c r="A10530" t="str">
        <f>"5406978505"</f>
        <v>5406978505</v>
      </c>
      <c r="B10530" t="s">
        <v>14718</v>
      </c>
      <c r="C10530" t="s">
        <v>7</v>
      </c>
      <c r="D10530" t="s">
        <v>674</v>
      </c>
      <c r="E10530" t="s">
        <v>14396</v>
      </c>
      <c r="F10530" t="s">
        <v>14719</v>
      </c>
    </row>
    <row r="10531" spans="1:6" x14ac:dyDescent="0.25">
      <c r="A10531" t="str">
        <f>"540702356222"</f>
        <v>540702356222</v>
      </c>
      <c r="B10531" t="s">
        <v>14720</v>
      </c>
      <c r="C10531" t="s">
        <v>7</v>
      </c>
      <c r="D10531" t="s">
        <v>12</v>
      </c>
      <c r="E10531" t="s">
        <v>14396</v>
      </c>
    </row>
    <row r="10532" spans="1:6" x14ac:dyDescent="0.25">
      <c r="A10532" t="str">
        <f>"5407485693"</f>
        <v>5407485693</v>
      </c>
      <c r="B10532" t="s">
        <v>14721</v>
      </c>
      <c r="C10532" t="s">
        <v>7</v>
      </c>
      <c r="D10532" t="s">
        <v>14</v>
      </c>
      <c r="E10532" t="s">
        <v>14396</v>
      </c>
      <c r="F10532" t="s">
        <v>14722</v>
      </c>
    </row>
    <row r="10533" spans="1:6" x14ac:dyDescent="0.25">
      <c r="A10533" t="str">
        <f>"5407490848"</f>
        <v>5407490848</v>
      </c>
      <c r="B10533" t="s">
        <v>1773</v>
      </c>
      <c r="C10533" t="s">
        <v>7</v>
      </c>
      <c r="D10533" t="s">
        <v>12</v>
      </c>
      <c r="E10533" t="s">
        <v>14396</v>
      </c>
      <c r="F10533" t="s">
        <v>14723</v>
      </c>
    </row>
    <row r="10534" spans="1:6" x14ac:dyDescent="0.25">
      <c r="A10534" t="str">
        <f>"5407971132"</f>
        <v>5407971132</v>
      </c>
      <c r="B10534" t="s">
        <v>14724</v>
      </c>
      <c r="C10534" t="s">
        <v>7</v>
      </c>
      <c r="D10534" t="s">
        <v>33</v>
      </c>
      <c r="E10534" t="s">
        <v>14396</v>
      </c>
      <c r="F10534" t="s">
        <v>14725</v>
      </c>
    </row>
    <row r="10535" spans="1:6" x14ac:dyDescent="0.25">
      <c r="A10535" t="str">
        <f>"5408009785"</f>
        <v>5408009785</v>
      </c>
      <c r="B10535" t="s">
        <v>14726</v>
      </c>
      <c r="C10535" t="s">
        <v>7</v>
      </c>
      <c r="D10535" t="s">
        <v>14</v>
      </c>
      <c r="E10535" t="s">
        <v>14396</v>
      </c>
      <c r="F10535" t="s">
        <v>14727</v>
      </c>
    </row>
    <row r="10536" spans="1:6" x14ac:dyDescent="0.25">
      <c r="A10536" t="str">
        <f>"5408023941"</f>
        <v>5408023941</v>
      </c>
      <c r="B10536" t="s">
        <v>14728</v>
      </c>
      <c r="C10536" t="s">
        <v>7</v>
      </c>
      <c r="D10536" t="s">
        <v>14</v>
      </c>
      <c r="E10536" t="s">
        <v>14396</v>
      </c>
      <c r="F10536" t="s">
        <v>14729</v>
      </c>
    </row>
    <row r="10537" spans="1:6" x14ac:dyDescent="0.25">
      <c r="A10537" t="str">
        <f>"540805568268"</f>
        <v>540805568268</v>
      </c>
      <c r="B10537" t="s">
        <v>14730</v>
      </c>
      <c r="C10537" t="s">
        <v>7</v>
      </c>
      <c r="D10537" t="s">
        <v>12</v>
      </c>
      <c r="E10537" t="s">
        <v>14396</v>
      </c>
    </row>
    <row r="10538" spans="1:6" x14ac:dyDescent="0.25">
      <c r="A10538" t="str">
        <f>"540805951664"</f>
        <v>540805951664</v>
      </c>
      <c r="B10538" t="s">
        <v>14731</v>
      </c>
      <c r="C10538" t="s">
        <v>7</v>
      </c>
      <c r="D10538" t="s">
        <v>14</v>
      </c>
      <c r="E10538" t="s">
        <v>14396</v>
      </c>
    </row>
    <row r="10539" spans="1:6" x14ac:dyDescent="0.25">
      <c r="A10539" t="str">
        <f>"5408100233"</f>
        <v>5408100233</v>
      </c>
      <c r="B10539" t="s">
        <v>14732</v>
      </c>
      <c r="C10539" t="s">
        <v>7</v>
      </c>
      <c r="D10539" t="s">
        <v>14</v>
      </c>
      <c r="E10539" t="s">
        <v>14396</v>
      </c>
      <c r="F10539" t="s">
        <v>14733</v>
      </c>
    </row>
    <row r="10540" spans="1:6" x14ac:dyDescent="0.25">
      <c r="A10540" t="str">
        <f>"5408148588"</f>
        <v>5408148588</v>
      </c>
      <c r="B10540" t="s">
        <v>14734</v>
      </c>
      <c r="C10540" t="s">
        <v>7</v>
      </c>
      <c r="D10540" t="s">
        <v>14</v>
      </c>
      <c r="E10540" t="s">
        <v>14396</v>
      </c>
      <c r="F10540" t="s">
        <v>14735</v>
      </c>
    </row>
    <row r="10541" spans="1:6" x14ac:dyDescent="0.25">
      <c r="A10541" t="str">
        <f>"540819003660"</f>
        <v>540819003660</v>
      </c>
      <c r="B10541" t="s">
        <v>14736</v>
      </c>
      <c r="C10541" t="s">
        <v>7</v>
      </c>
      <c r="D10541" t="s">
        <v>14</v>
      </c>
      <c r="E10541" t="s">
        <v>14396</v>
      </c>
    </row>
    <row r="10542" spans="1:6" x14ac:dyDescent="0.25">
      <c r="A10542" t="str">
        <f>"5408227078"</f>
        <v>5408227078</v>
      </c>
      <c r="B10542" t="s">
        <v>14737</v>
      </c>
      <c r="C10542" t="s">
        <v>7</v>
      </c>
      <c r="D10542" t="s">
        <v>8</v>
      </c>
      <c r="E10542" t="s">
        <v>14396</v>
      </c>
      <c r="F10542" t="s">
        <v>14738</v>
      </c>
    </row>
    <row r="10543" spans="1:6" x14ac:dyDescent="0.25">
      <c r="A10543" t="str">
        <f>"540864565928"</f>
        <v>540864565928</v>
      </c>
      <c r="B10543" t="s">
        <v>14739</v>
      </c>
      <c r="C10543" t="s">
        <v>7</v>
      </c>
      <c r="D10543" t="s">
        <v>14</v>
      </c>
      <c r="E10543" t="s">
        <v>14396</v>
      </c>
    </row>
    <row r="10544" spans="1:6" x14ac:dyDescent="0.25">
      <c r="A10544" t="str">
        <f>"5409007090"</f>
        <v>5409007090</v>
      </c>
      <c r="B10544" t="s">
        <v>1353</v>
      </c>
      <c r="C10544" t="s">
        <v>7</v>
      </c>
      <c r="D10544" t="s">
        <v>12</v>
      </c>
      <c r="E10544" t="s">
        <v>14396</v>
      </c>
      <c r="F10544" t="s">
        <v>14740</v>
      </c>
    </row>
    <row r="10545" spans="1:6" x14ac:dyDescent="0.25">
      <c r="A10545" t="str">
        <f>"5410043582"</f>
        <v>5410043582</v>
      </c>
      <c r="B10545" t="s">
        <v>14741</v>
      </c>
      <c r="C10545" t="s">
        <v>7</v>
      </c>
      <c r="D10545" t="s">
        <v>674</v>
      </c>
      <c r="E10545" t="s">
        <v>14396</v>
      </c>
      <c r="F10545" t="s">
        <v>14742</v>
      </c>
    </row>
    <row r="10546" spans="1:6" x14ac:dyDescent="0.25">
      <c r="A10546" t="str">
        <f>"5410064864"</f>
        <v>5410064864</v>
      </c>
      <c r="B10546" t="s">
        <v>14743</v>
      </c>
      <c r="C10546" t="s">
        <v>7</v>
      </c>
      <c r="D10546" t="s">
        <v>33</v>
      </c>
      <c r="E10546" t="s">
        <v>14396</v>
      </c>
      <c r="F10546" t="s">
        <v>14744</v>
      </c>
    </row>
    <row r="10547" spans="1:6" x14ac:dyDescent="0.25">
      <c r="A10547" t="str">
        <f>"5410094883"</f>
        <v>5410094883</v>
      </c>
      <c r="B10547" t="s">
        <v>14745</v>
      </c>
      <c r="C10547" t="s">
        <v>7</v>
      </c>
      <c r="D10547" t="s">
        <v>12</v>
      </c>
      <c r="E10547" t="s">
        <v>14396</v>
      </c>
      <c r="F10547" t="s">
        <v>14746</v>
      </c>
    </row>
    <row r="10548" spans="1:6" x14ac:dyDescent="0.25">
      <c r="A10548" t="str">
        <f>"5410135346"</f>
        <v>5410135346</v>
      </c>
      <c r="B10548" t="s">
        <v>14747</v>
      </c>
      <c r="C10548" t="s">
        <v>7</v>
      </c>
      <c r="D10548" t="s">
        <v>33</v>
      </c>
      <c r="E10548" t="s">
        <v>14396</v>
      </c>
      <c r="F10548" t="s">
        <v>14748</v>
      </c>
    </row>
    <row r="10549" spans="1:6" x14ac:dyDescent="0.25">
      <c r="A10549" t="str">
        <f>"5410164234"</f>
        <v>5410164234</v>
      </c>
      <c r="B10549" t="s">
        <v>1291</v>
      </c>
      <c r="C10549" t="s">
        <v>7</v>
      </c>
      <c r="D10549" t="s">
        <v>14</v>
      </c>
      <c r="E10549" t="s">
        <v>14396</v>
      </c>
      <c r="F10549" t="s">
        <v>14749</v>
      </c>
    </row>
    <row r="10550" spans="1:6" x14ac:dyDescent="0.25">
      <c r="A10550" t="str">
        <f>"5410164717"</f>
        <v>5410164717</v>
      </c>
      <c r="B10550" t="s">
        <v>14750</v>
      </c>
      <c r="C10550" t="s">
        <v>7</v>
      </c>
      <c r="D10550" t="s">
        <v>8</v>
      </c>
      <c r="E10550" t="s">
        <v>14396</v>
      </c>
      <c r="F10550" t="s">
        <v>14751</v>
      </c>
    </row>
    <row r="10551" spans="1:6" x14ac:dyDescent="0.25">
      <c r="A10551" t="str">
        <f>"5410773927"</f>
        <v>5410773927</v>
      </c>
      <c r="B10551" t="s">
        <v>14752</v>
      </c>
      <c r="C10551" t="s">
        <v>7</v>
      </c>
      <c r="D10551" t="s">
        <v>33</v>
      </c>
      <c r="E10551" t="s">
        <v>14396</v>
      </c>
      <c r="F10551" t="s">
        <v>14753</v>
      </c>
    </row>
    <row r="10552" spans="1:6" x14ac:dyDescent="0.25">
      <c r="A10552" t="str">
        <f>"541300177730"</f>
        <v>541300177730</v>
      </c>
      <c r="B10552" t="s">
        <v>14754</v>
      </c>
      <c r="C10552" t="s">
        <v>7</v>
      </c>
      <c r="D10552" t="s">
        <v>14</v>
      </c>
      <c r="E10552" t="s">
        <v>14396</v>
      </c>
    </row>
    <row r="10553" spans="1:6" x14ac:dyDescent="0.25">
      <c r="A10553" t="str">
        <f>"541308488021"</f>
        <v>541308488021</v>
      </c>
      <c r="B10553" t="s">
        <v>14755</v>
      </c>
      <c r="C10553" t="s">
        <v>7</v>
      </c>
      <c r="D10553" t="s">
        <v>463</v>
      </c>
      <c r="E10553" t="s">
        <v>14396</v>
      </c>
    </row>
    <row r="10554" spans="1:6" x14ac:dyDescent="0.25">
      <c r="A10554" t="str">
        <f>"5414101940"</f>
        <v>5414101940</v>
      </c>
      <c r="B10554" t="s">
        <v>2630</v>
      </c>
      <c r="C10554" t="s">
        <v>7</v>
      </c>
      <c r="D10554" t="s">
        <v>12</v>
      </c>
      <c r="E10554" t="s">
        <v>14396</v>
      </c>
      <c r="F10554" t="s">
        <v>14756</v>
      </c>
    </row>
    <row r="10555" spans="1:6" x14ac:dyDescent="0.25">
      <c r="A10555" t="str">
        <f>"541751008237"</f>
        <v>541751008237</v>
      </c>
      <c r="B10555" t="s">
        <v>14757</v>
      </c>
      <c r="C10555" t="s">
        <v>7</v>
      </c>
      <c r="D10555" t="s">
        <v>14</v>
      </c>
      <c r="E10555" t="s">
        <v>14396</v>
      </c>
    </row>
    <row r="10556" spans="1:6" x14ac:dyDescent="0.25">
      <c r="A10556" t="str">
        <f>"542006294906"</f>
        <v>542006294906</v>
      </c>
      <c r="B10556" t="s">
        <v>14758</v>
      </c>
      <c r="C10556" t="s">
        <v>7</v>
      </c>
      <c r="D10556" t="s">
        <v>14</v>
      </c>
      <c r="E10556" t="s">
        <v>14396</v>
      </c>
    </row>
    <row r="10557" spans="1:6" x14ac:dyDescent="0.25">
      <c r="A10557" t="str">
        <f>"5420103992"</f>
        <v>5420103992</v>
      </c>
      <c r="B10557" t="s">
        <v>14759</v>
      </c>
      <c r="C10557" t="s">
        <v>7</v>
      </c>
      <c r="D10557" t="s">
        <v>14</v>
      </c>
      <c r="E10557" t="s">
        <v>14396</v>
      </c>
      <c r="F10557" t="s">
        <v>14760</v>
      </c>
    </row>
    <row r="10558" spans="1:6" x14ac:dyDescent="0.25">
      <c r="A10558" t="str">
        <f>"542207104070"</f>
        <v>542207104070</v>
      </c>
      <c r="B10558" t="s">
        <v>14761</v>
      </c>
      <c r="C10558" t="s">
        <v>7</v>
      </c>
      <c r="D10558" t="s">
        <v>14</v>
      </c>
      <c r="E10558" t="s">
        <v>14396</v>
      </c>
    </row>
    <row r="10559" spans="1:6" x14ac:dyDescent="0.25">
      <c r="A10559" t="str">
        <f>"542211990871"</f>
        <v>542211990871</v>
      </c>
      <c r="B10559" t="s">
        <v>14762</v>
      </c>
      <c r="C10559" t="s">
        <v>7</v>
      </c>
      <c r="D10559" t="s">
        <v>14</v>
      </c>
      <c r="E10559" t="s">
        <v>14396</v>
      </c>
    </row>
    <row r="10560" spans="1:6" x14ac:dyDescent="0.25">
      <c r="A10560" t="str">
        <f>"542510335470"</f>
        <v>542510335470</v>
      </c>
      <c r="B10560" t="s">
        <v>14763</v>
      </c>
      <c r="C10560" t="s">
        <v>7</v>
      </c>
      <c r="D10560" t="s">
        <v>14</v>
      </c>
      <c r="E10560" t="s">
        <v>14396</v>
      </c>
    </row>
    <row r="10561" spans="1:6" x14ac:dyDescent="0.25">
      <c r="A10561" t="str">
        <f>"542605201604"</f>
        <v>542605201604</v>
      </c>
      <c r="B10561" t="s">
        <v>14764</v>
      </c>
      <c r="C10561" t="s">
        <v>7</v>
      </c>
      <c r="D10561" t="s">
        <v>14</v>
      </c>
      <c r="E10561" t="s">
        <v>14396</v>
      </c>
    </row>
    <row r="10562" spans="1:6" x14ac:dyDescent="0.25">
      <c r="A10562" t="str">
        <f>"220411819940"</f>
        <v>220411819940</v>
      </c>
      <c r="B10562" t="s">
        <v>14765</v>
      </c>
      <c r="C10562" t="s">
        <v>7</v>
      </c>
      <c r="D10562" t="s">
        <v>14</v>
      </c>
      <c r="E10562" t="s">
        <v>14396</v>
      </c>
    </row>
    <row r="10563" spans="1:6" x14ac:dyDescent="0.25">
      <c r="A10563" t="str">
        <f>"2221180073"</f>
        <v>2221180073</v>
      </c>
      <c r="B10563" t="s">
        <v>14766</v>
      </c>
      <c r="C10563" t="s">
        <v>7</v>
      </c>
      <c r="D10563" t="s">
        <v>8</v>
      </c>
      <c r="E10563" t="s">
        <v>14396</v>
      </c>
      <c r="F10563" t="s">
        <v>14767</v>
      </c>
    </row>
    <row r="10564" spans="1:6" x14ac:dyDescent="0.25">
      <c r="A10564" t="str">
        <f>"540447307263"</f>
        <v>540447307263</v>
      </c>
      <c r="B10564" t="s">
        <v>14768</v>
      </c>
      <c r="C10564" t="s">
        <v>7</v>
      </c>
      <c r="D10564" t="s">
        <v>12</v>
      </c>
      <c r="E10564" t="s">
        <v>14396</v>
      </c>
    </row>
    <row r="10565" spans="1:6" x14ac:dyDescent="0.25">
      <c r="A10565" t="str">
        <f>"5405043555"</f>
        <v>5405043555</v>
      </c>
      <c r="B10565" t="s">
        <v>14769</v>
      </c>
      <c r="C10565" t="s">
        <v>7</v>
      </c>
      <c r="D10565" t="s">
        <v>14</v>
      </c>
      <c r="E10565" t="s">
        <v>14396</v>
      </c>
      <c r="F10565" t="s">
        <v>14770</v>
      </c>
    </row>
    <row r="10566" spans="1:6" x14ac:dyDescent="0.25">
      <c r="A10566" t="str">
        <f>"5405069546"</f>
        <v>5405069546</v>
      </c>
      <c r="B10566" t="s">
        <v>14771</v>
      </c>
      <c r="C10566" t="s">
        <v>7</v>
      </c>
      <c r="D10566" t="s">
        <v>189</v>
      </c>
      <c r="E10566" t="s">
        <v>14396</v>
      </c>
      <c r="F10566" t="s">
        <v>14772</v>
      </c>
    </row>
    <row r="10567" spans="1:6" x14ac:dyDescent="0.25">
      <c r="A10567" t="str">
        <f>"5405080130"</f>
        <v>5405080130</v>
      </c>
      <c r="B10567" t="s">
        <v>14773</v>
      </c>
      <c r="C10567" t="s">
        <v>7</v>
      </c>
      <c r="D10567" t="s">
        <v>14</v>
      </c>
      <c r="E10567" t="s">
        <v>14396</v>
      </c>
      <c r="F10567" t="s">
        <v>14774</v>
      </c>
    </row>
    <row r="10568" spans="1:6" x14ac:dyDescent="0.25">
      <c r="A10568" t="str">
        <f>"5405091559"</f>
        <v>5405091559</v>
      </c>
      <c r="B10568" t="s">
        <v>14775</v>
      </c>
      <c r="C10568" t="s">
        <v>7</v>
      </c>
      <c r="D10568" t="s">
        <v>12</v>
      </c>
      <c r="E10568" t="s">
        <v>14396</v>
      </c>
      <c r="F10568" t="s">
        <v>14776</v>
      </c>
    </row>
    <row r="10569" spans="1:6" x14ac:dyDescent="0.25">
      <c r="A10569" t="str">
        <f>"5405099685"</f>
        <v>5405099685</v>
      </c>
      <c r="B10569" t="s">
        <v>14777</v>
      </c>
      <c r="C10569" t="s">
        <v>7</v>
      </c>
      <c r="D10569" t="s">
        <v>674</v>
      </c>
      <c r="E10569" t="s">
        <v>14396</v>
      </c>
      <c r="F10569" t="s">
        <v>14778</v>
      </c>
    </row>
    <row r="10570" spans="1:6" x14ac:dyDescent="0.25">
      <c r="A10570" t="str">
        <f>"5405132928"</f>
        <v>5405132928</v>
      </c>
      <c r="B10570" t="s">
        <v>14779</v>
      </c>
      <c r="C10570" t="s">
        <v>7</v>
      </c>
      <c r="D10570" t="s">
        <v>14</v>
      </c>
      <c r="E10570" t="s">
        <v>14396</v>
      </c>
      <c r="F10570" t="s">
        <v>14780</v>
      </c>
    </row>
    <row r="10571" spans="1:6" x14ac:dyDescent="0.25">
      <c r="A10571" t="str">
        <f>"540513773005"</f>
        <v>540513773005</v>
      </c>
      <c r="B10571" t="s">
        <v>14781</v>
      </c>
      <c r="C10571" t="s">
        <v>7</v>
      </c>
      <c r="D10571" t="s">
        <v>14</v>
      </c>
      <c r="E10571" t="s">
        <v>14396</v>
      </c>
    </row>
    <row r="10572" spans="1:6" x14ac:dyDescent="0.25">
      <c r="A10572" t="str">
        <f>"5405279487"</f>
        <v>5405279487</v>
      </c>
      <c r="B10572" t="s">
        <v>14782</v>
      </c>
      <c r="C10572" t="s">
        <v>7</v>
      </c>
      <c r="D10572" t="s">
        <v>8</v>
      </c>
      <c r="E10572" t="s">
        <v>14396</v>
      </c>
      <c r="F10572" t="s">
        <v>14783</v>
      </c>
    </row>
    <row r="10573" spans="1:6" x14ac:dyDescent="0.25">
      <c r="A10573" t="str">
        <f>"540528815674"</f>
        <v>540528815674</v>
      </c>
      <c r="B10573" t="s">
        <v>14784</v>
      </c>
      <c r="C10573" t="s">
        <v>7</v>
      </c>
      <c r="D10573" t="s">
        <v>14</v>
      </c>
      <c r="E10573" t="s">
        <v>14396</v>
      </c>
    </row>
    <row r="10574" spans="1:6" x14ac:dyDescent="0.25">
      <c r="A10574" t="str">
        <f>"540529877000"</f>
        <v>540529877000</v>
      </c>
      <c r="B10574" t="s">
        <v>3833</v>
      </c>
      <c r="C10574" t="s">
        <v>7</v>
      </c>
      <c r="D10574" t="s">
        <v>14</v>
      </c>
      <c r="E10574" t="s">
        <v>14396</v>
      </c>
    </row>
    <row r="10575" spans="1:6" x14ac:dyDescent="0.25">
      <c r="A10575" t="str">
        <f>"5405314830"</f>
        <v>5405314830</v>
      </c>
      <c r="B10575" t="s">
        <v>14785</v>
      </c>
      <c r="C10575" t="s">
        <v>7</v>
      </c>
      <c r="D10575" t="s">
        <v>14</v>
      </c>
      <c r="E10575" t="s">
        <v>14396</v>
      </c>
      <c r="F10575" t="s">
        <v>14691</v>
      </c>
    </row>
    <row r="10576" spans="1:6" x14ac:dyDescent="0.25">
      <c r="A10576" t="str">
        <f>"540537618337"</f>
        <v>540537618337</v>
      </c>
      <c r="B10576" t="s">
        <v>14786</v>
      </c>
      <c r="C10576" t="s">
        <v>7</v>
      </c>
      <c r="D10576" t="s">
        <v>14</v>
      </c>
      <c r="E10576" t="s">
        <v>14396</v>
      </c>
    </row>
    <row r="10577" spans="1:6" x14ac:dyDescent="0.25">
      <c r="A10577" t="str">
        <f>"540540452794"</f>
        <v>540540452794</v>
      </c>
      <c r="B10577" t="s">
        <v>14787</v>
      </c>
      <c r="C10577" t="s">
        <v>7</v>
      </c>
      <c r="D10577" t="s">
        <v>14</v>
      </c>
      <c r="E10577" t="s">
        <v>14396</v>
      </c>
    </row>
    <row r="10578" spans="1:6" x14ac:dyDescent="0.25">
      <c r="A10578" t="str">
        <f>"5405415980"</f>
        <v>5405415980</v>
      </c>
      <c r="B10578" t="s">
        <v>14788</v>
      </c>
      <c r="C10578" t="s">
        <v>7</v>
      </c>
      <c r="D10578" t="s">
        <v>12</v>
      </c>
      <c r="E10578" t="s">
        <v>14396</v>
      </c>
      <c r="F10578" t="s">
        <v>14789</v>
      </c>
    </row>
    <row r="10579" spans="1:6" x14ac:dyDescent="0.25">
      <c r="A10579" t="str">
        <f>"5405420556"</f>
        <v>5405420556</v>
      </c>
      <c r="B10579" t="s">
        <v>14790</v>
      </c>
      <c r="C10579" t="s">
        <v>7</v>
      </c>
      <c r="D10579" t="s">
        <v>33</v>
      </c>
      <c r="E10579" t="s">
        <v>14396</v>
      </c>
      <c r="F10579" t="s">
        <v>14791</v>
      </c>
    </row>
    <row r="10580" spans="1:6" x14ac:dyDescent="0.25">
      <c r="A10580" t="str">
        <f>"5405459553"</f>
        <v>5405459553</v>
      </c>
      <c r="B10580" t="s">
        <v>14792</v>
      </c>
      <c r="C10580" t="s">
        <v>7</v>
      </c>
      <c r="D10580" t="s">
        <v>189</v>
      </c>
      <c r="E10580" t="s">
        <v>14396</v>
      </c>
      <c r="F10580" t="s">
        <v>14695</v>
      </c>
    </row>
    <row r="10581" spans="1:6" x14ac:dyDescent="0.25">
      <c r="A10581" t="str">
        <f>"5405486959"</f>
        <v>5405486959</v>
      </c>
      <c r="B10581" t="s">
        <v>14793</v>
      </c>
      <c r="C10581" t="s">
        <v>7</v>
      </c>
      <c r="D10581" t="s">
        <v>189</v>
      </c>
      <c r="E10581" t="s">
        <v>14396</v>
      </c>
      <c r="F10581" t="s">
        <v>14794</v>
      </c>
    </row>
    <row r="10582" spans="1:6" x14ac:dyDescent="0.25">
      <c r="A10582" t="str">
        <f>"5405971539"</f>
        <v>5405971539</v>
      </c>
      <c r="B10582" t="s">
        <v>14795</v>
      </c>
      <c r="C10582" t="s">
        <v>7</v>
      </c>
      <c r="D10582" t="s">
        <v>33</v>
      </c>
      <c r="E10582" t="s">
        <v>14396</v>
      </c>
      <c r="F10582" t="s">
        <v>14693</v>
      </c>
    </row>
    <row r="10583" spans="1:6" x14ac:dyDescent="0.25">
      <c r="A10583" t="str">
        <f>"5405992225"</f>
        <v>5405992225</v>
      </c>
      <c r="B10583" t="s">
        <v>14796</v>
      </c>
      <c r="C10583" t="s">
        <v>7</v>
      </c>
      <c r="D10583" t="s">
        <v>12</v>
      </c>
      <c r="E10583" t="s">
        <v>14396</v>
      </c>
      <c r="F10583" t="s">
        <v>14797</v>
      </c>
    </row>
    <row r="10584" spans="1:6" x14ac:dyDescent="0.25">
      <c r="A10584" t="str">
        <f>"5405999735"</f>
        <v>5405999735</v>
      </c>
      <c r="B10584" t="s">
        <v>1185</v>
      </c>
      <c r="C10584" t="s">
        <v>7</v>
      </c>
      <c r="D10584" t="s">
        <v>14</v>
      </c>
      <c r="E10584" t="s">
        <v>14396</v>
      </c>
      <c r="F10584" t="s">
        <v>14798</v>
      </c>
    </row>
    <row r="10585" spans="1:6" x14ac:dyDescent="0.25">
      <c r="A10585" t="str">
        <f>"5406112674"</f>
        <v>5406112674</v>
      </c>
      <c r="B10585" t="s">
        <v>14799</v>
      </c>
      <c r="C10585" t="s">
        <v>7</v>
      </c>
      <c r="D10585" t="s">
        <v>33</v>
      </c>
      <c r="E10585" t="s">
        <v>14396</v>
      </c>
      <c r="F10585" t="s">
        <v>14800</v>
      </c>
    </row>
    <row r="10586" spans="1:6" x14ac:dyDescent="0.25">
      <c r="A10586" t="str">
        <f>"5406197460"</f>
        <v>5406197460</v>
      </c>
      <c r="B10586" t="s">
        <v>14801</v>
      </c>
      <c r="C10586" t="s">
        <v>7</v>
      </c>
      <c r="D10586" t="s">
        <v>674</v>
      </c>
      <c r="E10586" t="s">
        <v>14396</v>
      </c>
      <c r="F10586" t="s">
        <v>14802</v>
      </c>
    </row>
    <row r="10587" spans="1:6" x14ac:dyDescent="0.25">
      <c r="A10587" t="str">
        <f>"540630392966"</f>
        <v>540630392966</v>
      </c>
      <c r="B10587" t="s">
        <v>14803</v>
      </c>
      <c r="C10587" t="s">
        <v>7</v>
      </c>
      <c r="D10587" t="s">
        <v>14</v>
      </c>
      <c r="E10587" t="s">
        <v>14396</v>
      </c>
    </row>
    <row r="10588" spans="1:6" x14ac:dyDescent="0.25">
      <c r="A10588" t="str">
        <f>"5406371453"</f>
        <v>5406371453</v>
      </c>
      <c r="B10588" t="s">
        <v>14804</v>
      </c>
      <c r="C10588" t="s">
        <v>7</v>
      </c>
      <c r="D10588" t="s">
        <v>33</v>
      </c>
      <c r="E10588" t="s">
        <v>14396</v>
      </c>
      <c r="F10588" t="s">
        <v>14805</v>
      </c>
    </row>
    <row r="10589" spans="1:6" x14ac:dyDescent="0.25">
      <c r="A10589" t="str">
        <f>"5406626207"</f>
        <v>5406626207</v>
      </c>
      <c r="B10589" t="s">
        <v>14806</v>
      </c>
      <c r="C10589" t="s">
        <v>7</v>
      </c>
      <c r="D10589" t="s">
        <v>12</v>
      </c>
      <c r="E10589" t="s">
        <v>14396</v>
      </c>
      <c r="F10589" t="s">
        <v>14807</v>
      </c>
    </row>
    <row r="10590" spans="1:6" x14ac:dyDescent="0.25">
      <c r="A10590" t="str">
        <f>"5406776428"</f>
        <v>5406776428</v>
      </c>
      <c r="B10590" t="s">
        <v>14808</v>
      </c>
      <c r="C10590" t="s">
        <v>7</v>
      </c>
      <c r="D10590" t="s">
        <v>14</v>
      </c>
      <c r="E10590" t="s">
        <v>14396</v>
      </c>
      <c r="F10590" t="s">
        <v>14809</v>
      </c>
    </row>
    <row r="10591" spans="1:6" x14ac:dyDescent="0.25">
      <c r="A10591" t="str">
        <f>"5406777164"</f>
        <v>5406777164</v>
      </c>
      <c r="B10591" t="s">
        <v>14810</v>
      </c>
      <c r="C10591" t="s">
        <v>7</v>
      </c>
      <c r="D10591" t="s">
        <v>33</v>
      </c>
      <c r="E10591" t="s">
        <v>14396</v>
      </c>
      <c r="F10591" t="s">
        <v>14811</v>
      </c>
    </row>
    <row r="10592" spans="1:6" x14ac:dyDescent="0.25">
      <c r="A10592" t="str">
        <f>"5406807806"</f>
        <v>5406807806</v>
      </c>
      <c r="B10592" t="s">
        <v>14812</v>
      </c>
      <c r="C10592" t="s">
        <v>7</v>
      </c>
      <c r="D10592" t="s">
        <v>33</v>
      </c>
      <c r="E10592" t="s">
        <v>14396</v>
      </c>
      <c r="F10592" t="s">
        <v>14813</v>
      </c>
    </row>
    <row r="10593" spans="1:6" x14ac:dyDescent="0.25">
      <c r="A10593" t="str">
        <f>"5406813775"</f>
        <v>5406813775</v>
      </c>
      <c r="B10593" t="s">
        <v>14814</v>
      </c>
      <c r="C10593" t="s">
        <v>7</v>
      </c>
      <c r="D10593" t="s">
        <v>12</v>
      </c>
      <c r="E10593" t="s">
        <v>14396</v>
      </c>
      <c r="F10593" t="s">
        <v>14815</v>
      </c>
    </row>
    <row r="10594" spans="1:6" x14ac:dyDescent="0.25">
      <c r="A10594" t="str">
        <f>"5406837550"</f>
        <v>5406837550</v>
      </c>
      <c r="B10594" t="s">
        <v>14816</v>
      </c>
      <c r="C10594" t="s">
        <v>7</v>
      </c>
      <c r="D10594" t="s">
        <v>33</v>
      </c>
      <c r="E10594" t="s">
        <v>14396</v>
      </c>
      <c r="F10594" t="s">
        <v>14817</v>
      </c>
    </row>
    <row r="10595" spans="1:6" x14ac:dyDescent="0.25">
      <c r="A10595" t="str">
        <f>"5406977597"</f>
        <v>5406977597</v>
      </c>
      <c r="B10595" t="s">
        <v>14818</v>
      </c>
      <c r="C10595" t="s">
        <v>7</v>
      </c>
      <c r="D10595" t="s">
        <v>33</v>
      </c>
      <c r="E10595" t="s">
        <v>14396</v>
      </c>
      <c r="F10595" t="s">
        <v>14819</v>
      </c>
    </row>
    <row r="10596" spans="1:6" x14ac:dyDescent="0.25">
      <c r="A10596" t="str">
        <f>"5406977660"</f>
        <v>5406977660</v>
      </c>
      <c r="B10596" t="s">
        <v>7804</v>
      </c>
      <c r="C10596" t="s">
        <v>7</v>
      </c>
      <c r="D10596" t="s">
        <v>12</v>
      </c>
      <c r="E10596" t="s">
        <v>14396</v>
      </c>
      <c r="F10596" t="s">
        <v>14820</v>
      </c>
    </row>
    <row r="10597" spans="1:6" x14ac:dyDescent="0.25">
      <c r="A10597" t="str">
        <f>"5406985686"</f>
        <v>5406985686</v>
      </c>
      <c r="B10597" t="s">
        <v>14821</v>
      </c>
      <c r="C10597" t="s">
        <v>7</v>
      </c>
      <c r="D10597" t="s">
        <v>12</v>
      </c>
      <c r="E10597" t="s">
        <v>14396</v>
      </c>
      <c r="F10597" t="s">
        <v>14822</v>
      </c>
    </row>
    <row r="10598" spans="1:6" x14ac:dyDescent="0.25">
      <c r="A10598" t="str">
        <f>"5406988817"</f>
        <v>5406988817</v>
      </c>
      <c r="B10598" t="s">
        <v>14823</v>
      </c>
      <c r="C10598" t="s">
        <v>7</v>
      </c>
      <c r="D10598" t="s">
        <v>33</v>
      </c>
      <c r="E10598" t="s">
        <v>14396</v>
      </c>
      <c r="F10598" t="s">
        <v>14824</v>
      </c>
    </row>
    <row r="10599" spans="1:6" x14ac:dyDescent="0.25">
      <c r="A10599" t="str">
        <f>"540701375832"</f>
        <v>540701375832</v>
      </c>
      <c r="B10599" t="s">
        <v>14825</v>
      </c>
      <c r="C10599" t="s">
        <v>7</v>
      </c>
      <c r="D10599" t="s">
        <v>14</v>
      </c>
      <c r="E10599" t="s">
        <v>14396</v>
      </c>
    </row>
    <row r="10600" spans="1:6" x14ac:dyDescent="0.25">
      <c r="A10600" t="str">
        <f>"540718741886"</f>
        <v>540718741886</v>
      </c>
      <c r="B10600" t="s">
        <v>14826</v>
      </c>
      <c r="C10600" t="s">
        <v>7</v>
      </c>
      <c r="D10600" t="s">
        <v>14</v>
      </c>
      <c r="E10600" t="s">
        <v>14396</v>
      </c>
    </row>
    <row r="10601" spans="1:6" x14ac:dyDescent="0.25">
      <c r="A10601" t="str">
        <f>"5407493775"</f>
        <v>5407493775</v>
      </c>
      <c r="B10601" t="s">
        <v>14827</v>
      </c>
      <c r="C10601" t="s">
        <v>7</v>
      </c>
      <c r="D10601" t="s">
        <v>14</v>
      </c>
      <c r="E10601" t="s">
        <v>14396</v>
      </c>
      <c r="F10601" t="s">
        <v>14828</v>
      </c>
    </row>
    <row r="10602" spans="1:6" x14ac:dyDescent="0.25">
      <c r="A10602" t="str">
        <f>"5407979188"</f>
        <v>5407979188</v>
      </c>
      <c r="B10602" t="s">
        <v>14829</v>
      </c>
      <c r="C10602" t="s">
        <v>7</v>
      </c>
      <c r="D10602" t="s">
        <v>33</v>
      </c>
      <c r="E10602" t="s">
        <v>14396</v>
      </c>
      <c r="F10602" t="s">
        <v>14830</v>
      </c>
    </row>
    <row r="10603" spans="1:6" x14ac:dyDescent="0.25">
      <c r="A10603" t="str">
        <f>"5408007940"</f>
        <v>5408007940</v>
      </c>
      <c r="B10603" t="s">
        <v>14831</v>
      </c>
      <c r="C10603" t="s">
        <v>7</v>
      </c>
      <c r="D10603" t="s">
        <v>33</v>
      </c>
      <c r="E10603" t="s">
        <v>14396</v>
      </c>
      <c r="F10603" t="s">
        <v>14832</v>
      </c>
    </row>
    <row r="10604" spans="1:6" x14ac:dyDescent="0.25">
      <c r="A10604" t="str">
        <f>"5408010452"</f>
        <v>5408010452</v>
      </c>
      <c r="B10604" t="s">
        <v>14833</v>
      </c>
      <c r="C10604" t="s">
        <v>7</v>
      </c>
      <c r="D10604" t="s">
        <v>12</v>
      </c>
      <c r="E10604" t="s">
        <v>14396</v>
      </c>
      <c r="F10604" t="s">
        <v>14834</v>
      </c>
    </row>
    <row r="10605" spans="1:6" x14ac:dyDescent="0.25">
      <c r="A10605" t="str">
        <f>"540818833040"</f>
        <v>540818833040</v>
      </c>
      <c r="B10605" t="s">
        <v>14835</v>
      </c>
      <c r="C10605" t="s">
        <v>7</v>
      </c>
      <c r="D10605" t="s">
        <v>14</v>
      </c>
      <c r="E10605" t="s">
        <v>14396</v>
      </c>
    </row>
    <row r="10606" spans="1:6" x14ac:dyDescent="0.25">
      <c r="A10606" t="str">
        <f>"540819054061"</f>
        <v>540819054061</v>
      </c>
      <c r="B10606" t="s">
        <v>14836</v>
      </c>
      <c r="C10606" t="s">
        <v>7</v>
      </c>
      <c r="D10606" t="s">
        <v>33</v>
      </c>
      <c r="E10606" t="s">
        <v>14396</v>
      </c>
    </row>
    <row r="10607" spans="1:6" x14ac:dyDescent="0.25">
      <c r="A10607" t="str">
        <f>"5408266013"</f>
        <v>5408266013</v>
      </c>
      <c r="B10607" t="s">
        <v>14837</v>
      </c>
      <c r="C10607" t="s">
        <v>7</v>
      </c>
      <c r="D10607" t="s">
        <v>33</v>
      </c>
      <c r="E10607" t="s">
        <v>14396</v>
      </c>
      <c r="F10607" t="s">
        <v>14838</v>
      </c>
    </row>
    <row r="10608" spans="1:6" x14ac:dyDescent="0.25">
      <c r="A10608" t="str">
        <f>"5408280850"</f>
        <v>5408280850</v>
      </c>
      <c r="B10608" t="s">
        <v>14839</v>
      </c>
      <c r="C10608" t="s">
        <v>7</v>
      </c>
      <c r="D10608" t="s">
        <v>33</v>
      </c>
      <c r="E10608" t="s">
        <v>14396</v>
      </c>
      <c r="F10608" t="s">
        <v>14840</v>
      </c>
    </row>
    <row r="10609" spans="1:6" x14ac:dyDescent="0.25">
      <c r="A10609" t="str">
        <f>"5408299347"</f>
        <v>5408299347</v>
      </c>
      <c r="B10609" t="s">
        <v>14841</v>
      </c>
      <c r="C10609" t="s">
        <v>7</v>
      </c>
      <c r="D10609" t="s">
        <v>12</v>
      </c>
      <c r="E10609" t="s">
        <v>14396</v>
      </c>
      <c r="F10609" t="s">
        <v>14842</v>
      </c>
    </row>
    <row r="10610" spans="1:6" x14ac:dyDescent="0.25">
      <c r="A10610" t="str">
        <f>"5408308707"</f>
        <v>5408308707</v>
      </c>
      <c r="B10610" t="s">
        <v>14843</v>
      </c>
      <c r="C10610" t="s">
        <v>7</v>
      </c>
      <c r="D10610" t="s">
        <v>14</v>
      </c>
      <c r="E10610" t="s">
        <v>14396</v>
      </c>
      <c r="F10610" t="s">
        <v>14844</v>
      </c>
    </row>
    <row r="10611" spans="1:6" x14ac:dyDescent="0.25">
      <c r="A10611" t="str">
        <f>"540836207342"</f>
        <v>540836207342</v>
      </c>
      <c r="B10611" t="s">
        <v>14845</v>
      </c>
      <c r="C10611" t="s">
        <v>7</v>
      </c>
      <c r="D10611" t="s">
        <v>28</v>
      </c>
      <c r="E10611" t="s">
        <v>14396</v>
      </c>
    </row>
    <row r="10612" spans="1:6" x14ac:dyDescent="0.25">
      <c r="A10612" t="str">
        <f>"540861715011"</f>
        <v>540861715011</v>
      </c>
      <c r="B10612" t="s">
        <v>14846</v>
      </c>
      <c r="C10612" t="s">
        <v>7</v>
      </c>
      <c r="D10612" t="s">
        <v>14</v>
      </c>
      <c r="E10612" t="s">
        <v>14396</v>
      </c>
    </row>
    <row r="10613" spans="1:6" x14ac:dyDescent="0.25">
      <c r="A10613" t="str">
        <f>"5409236276"</f>
        <v>5409236276</v>
      </c>
      <c r="B10613" t="s">
        <v>14847</v>
      </c>
      <c r="C10613" t="s">
        <v>7</v>
      </c>
      <c r="D10613" t="s">
        <v>146</v>
      </c>
      <c r="E10613" t="s">
        <v>14396</v>
      </c>
      <c r="F10613" t="s">
        <v>14848</v>
      </c>
    </row>
    <row r="10614" spans="1:6" x14ac:dyDescent="0.25">
      <c r="A10614" t="str">
        <f>"540959101177"</f>
        <v>540959101177</v>
      </c>
      <c r="B10614" t="s">
        <v>14849</v>
      </c>
      <c r="C10614" t="s">
        <v>7</v>
      </c>
      <c r="D10614" t="s">
        <v>14</v>
      </c>
      <c r="E10614" t="s">
        <v>14396</v>
      </c>
    </row>
    <row r="10615" spans="1:6" x14ac:dyDescent="0.25">
      <c r="A10615" t="str">
        <f>"540961975486"</f>
        <v>540961975486</v>
      </c>
      <c r="B10615" t="s">
        <v>14850</v>
      </c>
      <c r="C10615" t="s">
        <v>7</v>
      </c>
      <c r="D10615" t="s">
        <v>12</v>
      </c>
      <c r="E10615" t="s">
        <v>14396</v>
      </c>
    </row>
    <row r="10616" spans="1:6" x14ac:dyDescent="0.25">
      <c r="A10616" t="str">
        <f>"540962587373"</f>
        <v>540962587373</v>
      </c>
      <c r="B10616" t="s">
        <v>14851</v>
      </c>
      <c r="C10616" t="s">
        <v>7</v>
      </c>
      <c r="D10616" t="s">
        <v>14</v>
      </c>
      <c r="E10616" t="s">
        <v>14396</v>
      </c>
    </row>
    <row r="10617" spans="1:6" x14ac:dyDescent="0.25">
      <c r="A10617" t="str">
        <f>"541002214048"</f>
        <v>541002214048</v>
      </c>
      <c r="B10617" t="s">
        <v>14852</v>
      </c>
      <c r="C10617" t="s">
        <v>7</v>
      </c>
      <c r="D10617" t="s">
        <v>14</v>
      </c>
      <c r="E10617" t="s">
        <v>14396</v>
      </c>
    </row>
    <row r="10618" spans="1:6" x14ac:dyDescent="0.25">
      <c r="A10618" t="str">
        <f>"5410027686"</f>
        <v>5410027686</v>
      </c>
      <c r="B10618" t="s">
        <v>11991</v>
      </c>
      <c r="C10618" t="s">
        <v>7</v>
      </c>
      <c r="D10618" t="s">
        <v>14</v>
      </c>
      <c r="E10618" t="s">
        <v>14396</v>
      </c>
      <c r="F10618" t="s">
        <v>14853</v>
      </c>
    </row>
    <row r="10619" spans="1:6" x14ac:dyDescent="0.25">
      <c r="A10619" t="str">
        <f>"5410052266"</f>
        <v>5410052266</v>
      </c>
      <c r="B10619" t="s">
        <v>14854</v>
      </c>
      <c r="C10619" t="s">
        <v>7</v>
      </c>
      <c r="D10619" t="s">
        <v>14</v>
      </c>
      <c r="E10619" t="s">
        <v>14396</v>
      </c>
      <c r="F10619" t="s">
        <v>14855</v>
      </c>
    </row>
    <row r="10620" spans="1:6" x14ac:dyDescent="0.25">
      <c r="A10620" t="str">
        <f>"5410099480"</f>
        <v>5410099480</v>
      </c>
      <c r="B10620" t="s">
        <v>14856</v>
      </c>
      <c r="C10620" t="s">
        <v>7</v>
      </c>
      <c r="D10620" t="s">
        <v>33</v>
      </c>
      <c r="E10620" t="s">
        <v>14396</v>
      </c>
      <c r="F10620" t="s">
        <v>14857</v>
      </c>
    </row>
    <row r="10621" spans="1:6" x14ac:dyDescent="0.25">
      <c r="A10621" t="str">
        <f>"5410136928"</f>
        <v>5410136928</v>
      </c>
      <c r="B10621" t="s">
        <v>14858</v>
      </c>
      <c r="C10621" t="s">
        <v>7</v>
      </c>
      <c r="D10621" t="s">
        <v>14</v>
      </c>
      <c r="E10621" t="s">
        <v>14396</v>
      </c>
      <c r="F10621" t="s">
        <v>14859</v>
      </c>
    </row>
    <row r="10622" spans="1:6" x14ac:dyDescent="0.25">
      <c r="A10622" t="str">
        <f>"5410141519"</f>
        <v>5410141519</v>
      </c>
      <c r="B10622" t="s">
        <v>14860</v>
      </c>
      <c r="C10622" t="s">
        <v>7</v>
      </c>
      <c r="D10622" t="s">
        <v>28</v>
      </c>
      <c r="E10622" t="s">
        <v>14396</v>
      </c>
      <c r="F10622" t="s">
        <v>14861</v>
      </c>
    </row>
    <row r="10623" spans="1:6" x14ac:dyDescent="0.25">
      <c r="A10623" t="str">
        <f>"5410154010"</f>
        <v>5410154010</v>
      </c>
      <c r="B10623" t="s">
        <v>14862</v>
      </c>
      <c r="C10623" t="s">
        <v>7</v>
      </c>
      <c r="D10623" t="s">
        <v>14</v>
      </c>
      <c r="E10623" t="s">
        <v>14396</v>
      </c>
      <c r="F10623" t="s">
        <v>14863</v>
      </c>
    </row>
    <row r="10624" spans="1:6" x14ac:dyDescent="0.25">
      <c r="A10624" t="str">
        <f>"5410783876"</f>
        <v>5410783876</v>
      </c>
      <c r="B10624" t="s">
        <v>14864</v>
      </c>
      <c r="C10624" t="s">
        <v>7</v>
      </c>
      <c r="D10624" t="s">
        <v>14</v>
      </c>
      <c r="E10624" t="s">
        <v>14396</v>
      </c>
      <c r="F10624" t="s">
        <v>14865</v>
      </c>
    </row>
    <row r="10625" spans="1:6" x14ac:dyDescent="0.25">
      <c r="A10625" t="str">
        <f>"541520789311"</f>
        <v>541520789311</v>
      </c>
      <c r="B10625" t="s">
        <v>14866</v>
      </c>
      <c r="C10625" t="s">
        <v>7</v>
      </c>
      <c r="D10625" t="s">
        <v>14</v>
      </c>
      <c r="E10625" t="s">
        <v>14396</v>
      </c>
    </row>
    <row r="10626" spans="1:6" x14ac:dyDescent="0.25">
      <c r="A10626" t="str">
        <f>"541605773631"</f>
        <v>541605773631</v>
      </c>
      <c r="B10626" t="s">
        <v>14867</v>
      </c>
      <c r="C10626" t="s">
        <v>7</v>
      </c>
      <c r="D10626" t="s">
        <v>14</v>
      </c>
      <c r="E10626" t="s">
        <v>14396</v>
      </c>
    </row>
    <row r="10627" spans="1:6" x14ac:dyDescent="0.25">
      <c r="A10627" t="str">
        <f>"542105011549"</f>
        <v>542105011549</v>
      </c>
      <c r="B10627" t="s">
        <v>14868</v>
      </c>
      <c r="C10627" t="s">
        <v>7</v>
      </c>
      <c r="D10627" t="s">
        <v>14</v>
      </c>
      <c r="E10627" t="s">
        <v>14396</v>
      </c>
    </row>
    <row r="10628" spans="1:6" x14ac:dyDescent="0.25">
      <c r="A10628" t="str">
        <f>"542406433640"</f>
        <v>542406433640</v>
      </c>
      <c r="B10628" t="s">
        <v>14869</v>
      </c>
      <c r="C10628" t="s">
        <v>7</v>
      </c>
      <c r="D10628" t="s">
        <v>14</v>
      </c>
      <c r="E10628" t="s">
        <v>14396</v>
      </c>
    </row>
    <row r="10629" spans="1:6" x14ac:dyDescent="0.25">
      <c r="A10629" t="str">
        <f>"542407675786"</f>
        <v>542407675786</v>
      </c>
      <c r="B10629" t="s">
        <v>14870</v>
      </c>
      <c r="C10629" t="s">
        <v>7</v>
      </c>
      <c r="D10629" t="s">
        <v>14</v>
      </c>
      <c r="E10629" t="s">
        <v>14396</v>
      </c>
    </row>
    <row r="10630" spans="1:6" x14ac:dyDescent="0.25">
      <c r="A10630" t="str">
        <f>"542606740253"</f>
        <v>542606740253</v>
      </c>
      <c r="B10630" t="s">
        <v>14871</v>
      </c>
      <c r="C10630" t="s">
        <v>7</v>
      </c>
      <c r="D10630" t="s">
        <v>14</v>
      </c>
      <c r="E10630" t="s">
        <v>14396</v>
      </c>
    </row>
    <row r="10631" spans="1:6" x14ac:dyDescent="0.25">
      <c r="A10631" t="str">
        <f>"5427106946"</f>
        <v>5427106946</v>
      </c>
      <c r="B10631" t="s">
        <v>14872</v>
      </c>
      <c r="C10631" t="s">
        <v>7</v>
      </c>
      <c r="D10631" t="s">
        <v>14</v>
      </c>
      <c r="E10631" t="s">
        <v>14396</v>
      </c>
      <c r="F10631" t="s">
        <v>14873</v>
      </c>
    </row>
    <row r="10632" spans="1:6" x14ac:dyDescent="0.25">
      <c r="A10632" t="str">
        <f>"0326551772"</f>
        <v>0326551772</v>
      </c>
      <c r="B10632" t="s">
        <v>14874</v>
      </c>
      <c r="C10632" t="s">
        <v>7</v>
      </c>
      <c r="D10632" t="s">
        <v>14</v>
      </c>
      <c r="E10632" t="s">
        <v>14396</v>
      </c>
      <c r="F10632" t="s">
        <v>14875</v>
      </c>
    </row>
    <row r="10633" spans="1:6" x14ac:dyDescent="0.25">
      <c r="A10633" t="str">
        <f>"7203333431"</f>
        <v>7203333431</v>
      </c>
      <c r="B10633" t="s">
        <v>14876</v>
      </c>
      <c r="C10633" t="s">
        <v>7</v>
      </c>
      <c r="D10633" t="s">
        <v>14</v>
      </c>
      <c r="E10633" t="s">
        <v>14396</v>
      </c>
      <c r="F10633" t="s">
        <v>14877</v>
      </c>
    </row>
    <row r="10634" spans="1:6" x14ac:dyDescent="0.25">
      <c r="A10634" t="str">
        <f>"5404475834"</f>
        <v>5404475834</v>
      </c>
      <c r="B10634" t="s">
        <v>14878</v>
      </c>
      <c r="C10634" t="s">
        <v>7</v>
      </c>
      <c r="D10634" t="s">
        <v>14</v>
      </c>
      <c r="E10634" t="s">
        <v>14396</v>
      </c>
      <c r="F10634" t="s">
        <v>14879</v>
      </c>
    </row>
    <row r="10635" spans="1:6" x14ac:dyDescent="0.25">
      <c r="A10635" t="str">
        <f>"540449511225"</f>
        <v>540449511225</v>
      </c>
      <c r="B10635" t="s">
        <v>14880</v>
      </c>
      <c r="C10635" t="s">
        <v>7</v>
      </c>
      <c r="D10635" t="s">
        <v>14</v>
      </c>
      <c r="E10635" t="s">
        <v>14396</v>
      </c>
    </row>
    <row r="10636" spans="1:6" x14ac:dyDescent="0.25">
      <c r="A10636" t="str">
        <f>"540449719791"</f>
        <v>540449719791</v>
      </c>
      <c r="B10636" t="s">
        <v>14881</v>
      </c>
      <c r="C10636" t="s">
        <v>7</v>
      </c>
      <c r="D10636" t="s">
        <v>14</v>
      </c>
      <c r="E10636" t="s">
        <v>14396</v>
      </c>
    </row>
    <row r="10637" spans="1:6" x14ac:dyDescent="0.25">
      <c r="A10637" t="str">
        <f>"5404527088"</f>
        <v>5404527088</v>
      </c>
      <c r="B10637" t="s">
        <v>14882</v>
      </c>
      <c r="C10637" t="s">
        <v>7</v>
      </c>
      <c r="D10637" t="s">
        <v>12</v>
      </c>
      <c r="E10637" t="s">
        <v>14396</v>
      </c>
      <c r="F10637" t="s">
        <v>14883</v>
      </c>
    </row>
    <row r="10638" spans="1:6" x14ac:dyDescent="0.25">
      <c r="A10638" t="str">
        <f>"5405010599"</f>
        <v>5405010599</v>
      </c>
      <c r="B10638" t="s">
        <v>7647</v>
      </c>
      <c r="C10638" t="s">
        <v>7</v>
      </c>
      <c r="D10638" t="s">
        <v>14</v>
      </c>
      <c r="E10638" t="s">
        <v>14396</v>
      </c>
      <c r="F10638" t="s">
        <v>14884</v>
      </c>
    </row>
    <row r="10639" spans="1:6" x14ac:dyDescent="0.25">
      <c r="A10639" t="str">
        <f>"5405026422"</f>
        <v>5405026422</v>
      </c>
      <c r="B10639" t="s">
        <v>7043</v>
      </c>
      <c r="C10639" t="s">
        <v>7</v>
      </c>
      <c r="D10639" t="s">
        <v>674</v>
      </c>
      <c r="E10639" t="s">
        <v>14396</v>
      </c>
      <c r="F10639" t="s">
        <v>14885</v>
      </c>
    </row>
    <row r="10640" spans="1:6" x14ac:dyDescent="0.25">
      <c r="A10640" t="str">
        <f>"5405056106"</f>
        <v>5405056106</v>
      </c>
      <c r="B10640" t="s">
        <v>14886</v>
      </c>
      <c r="C10640" t="s">
        <v>7</v>
      </c>
      <c r="D10640" t="s">
        <v>33</v>
      </c>
      <c r="E10640" t="s">
        <v>14396</v>
      </c>
      <c r="F10640" t="s">
        <v>14887</v>
      </c>
    </row>
    <row r="10641" spans="1:6" x14ac:dyDescent="0.25">
      <c r="A10641" t="str">
        <f>"5405058230"</f>
        <v>5405058230</v>
      </c>
      <c r="B10641" t="s">
        <v>14888</v>
      </c>
      <c r="C10641" t="s">
        <v>7</v>
      </c>
      <c r="D10641" t="s">
        <v>12</v>
      </c>
      <c r="E10641" t="s">
        <v>14396</v>
      </c>
      <c r="F10641" t="s">
        <v>14889</v>
      </c>
    </row>
    <row r="10642" spans="1:6" x14ac:dyDescent="0.25">
      <c r="A10642" t="str">
        <f>"5405077787"</f>
        <v>5405077787</v>
      </c>
      <c r="B10642" t="s">
        <v>1957</v>
      </c>
      <c r="C10642" t="s">
        <v>7</v>
      </c>
      <c r="D10642" t="s">
        <v>12</v>
      </c>
      <c r="E10642" t="s">
        <v>14396</v>
      </c>
      <c r="F10642" t="s">
        <v>14890</v>
      </c>
    </row>
    <row r="10643" spans="1:6" x14ac:dyDescent="0.25">
      <c r="A10643" t="str">
        <f>"5405115993"</f>
        <v>5405115993</v>
      </c>
      <c r="B10643" t="s">
        <v>14891</v>
      </c>
      <c r="C10643" t="s">
        <v>7</v>
      </c>
      <c r="D10643" t="s">
        <v>14</v>
      </c>
      <c r="E10643" t="s">
        <v>14396</v>
      </c>
      <c r="F10643" t="s">
        <v>14892</v>
      </c>
    </row>
    <row r="10644" spans="1:6" x14ac:dyDescent="0.25">
      <c r="A10644" t="str">
        <f>"540523840684"</f>
        <v>540523840684</v>
      </c>
      <c r="B10644" t="s">
        <v>14893</v>
      </c>
      <c r="C10644" t="s">
        <v>7</v>
      </c>
      <c r="D10644" t="s">
        <v>14</v>
      </c>
      <c r="E10644" t="s">
        <v>14396</v>
      </c>
    </row>
    <row r="10645" spans="1:6" x14ac:dyDescent="0.25">
      <c r="A10645" t="str">
        <f>"540525410888"</f>
        <v>540525410888</v>
      </c>
      <c r="B10645" t="s">
        <v>14894</v>
      </c>
      <c r="C10645" t="s">
        <v>7</v>
      </c>
      <c r="D10645" t="s">
        <v>14</v>
      </c>
      <c r="E10645" t="s">
        <v>14396</v>
      </c>
    </row>
    <row r="10646" spans="1:6" x14ac:dyDescent="0.25">
      <c r="A10646" t="str">
        <f>"540529168691"</f>
        <v>540529168691</v>
      </c>
      <c r="B10646" t="s">
        <v>14895</v>
      </c>
      <c r="C10646" t="s">
        <v>7</v>
      </c>
      <c r="D10646" t="s">
        <v>463</v>
      </c>
      <c r="E10646" t="s">
        <v>14396</v>
      </c>
    </row>
    <row r="10647" spans="1:6" x14ac:dyDescent="0.25">
      <c r="A10647" t="str">
        <f>"5405322358"</f>
        <v>5405322358</v>
      </c>
      <c r="B10647" t="s">
        <v>14896</v>
      </c>
      <c r="C10647" t="s">
        <v>7</v>
      </c>
      <c r="D10647" t="s">
        <v>33</v>
      </c>
      <c r="E10647" t="s">
        <v>14396</v>
      </c>
      <c r="F10647" t="s">
        <v>14897</v>
      </c>
    </row>
    <row r="10648" spans="1:6" x14ac:dyDescent="0.25">
      <c r="A10648" t="str">
        <f>"5405457281"</f>
        <v>5405457281</v>
      </c>
      <c r="B10648" t="s">
        <v>14898</v>
      </c>
      <c r="C10648" t="s">
        <v>7</v>
      </c>
      <c r="D10648" t="s">
        <v>33</v>
      </c>
      <c r="E10648" t="s">
        <v>14396</v>
      </c>
      <c r="F10648" t="s">
        <v>14899</v>
      </c>
    </row>
    <row r="10649" spans="1:6" x14ac:dyDescent="0.25">
      <c r="A10649" t="str">
        <f>"5405467850"</f>
        <v>5405467850</v>
      </c>
      <c r="B10649" t="s">
        <v>14900</v>
      </c>
      <c r="C10649" t="s">
        <v>7</v>
      </c>
      <c r="D10649" t="s">
        <v>12</v>
      </c>
      <c r="E10649" t="s">
        <v>14396</v>
      </c>
      <c r="F10649" t="s">
        <v>14901</v>
      </c>
    </row>
    <row r="10650" spans="1:6" x14ac:dyDescent="0.25">
      <c r="A10650" t="str">
        <f>"5405498376"</f>
        <v>5405498376</v>
      </c>
      <c r="B10650" t="s">
        <v>14902</v>
      </c>
      <c r="C10650" t="s">
        <v>7</v>
      </c>
      <c r="D10650" t="s">
        <v>33</v>
      </c>
      <c r="E10650" t="s">
        <v>14396</v>
      </c>
      <c r="F10650" t="s">
        <v>14903</v>
      </c>
    </row>
    <row r="10651" spans="1:6" x14ac:dyDescent="0.25">
      <c r="A10651" t="str">
        <f>"5405500674"</f>
        <v>5405500674</v>
      </c>
      <c r="B10651" t="s">
        <v>14904</v>
      </c>
      <c r="C10651" t="s">
        <v>7</v>
      </c>
      <c r="D10651" t="s">
        <v>33</v>
      </c>
      <c r="E10651" t="s">
        <v>14396</v>
      </c>
      <c r="F10651" t="s">
        <v>14905</v>
      </c>
    </row>
    <row r="10652" spans="1:6" x14ac:dyDescent="0.25">
      <c r="A10652" t="str">
        <f>"540550277943"</f>
        <v>540550277943</v>
      </c>
      <c r="B10652" t="s">
        <v>14906</v>
      </c>
      <c r="C10652" t="s">
        <v>7</v>
      </c>
      <c r="D10652" t="s">
        <v>14</v>
      </c>
      <c r="E10652" t="s">
        <v>14396</v>
      </c>
    </row>
    <row r="10653" spans="1:6" x14ac:dyDescent="0.25">
      <c r="A10653" t="str">
        <f>"540606252855"</f>
        <v>540606252855</v>
      </c>
      <c r="B10653" t="s">
        <v>14907</v>
      </c>
      <c r="C10653" t="s">
        <v>7</v>
      </c>
      <c r="D10653" t="s">
        <v>12</v>
      </c>
      <c r="E10653" t="s">
        <v>14396</v>
      </c>
    </row>
    <row r="10654" spans="1:6" x14ac:dyDescent="0.25">
      <c r="A10654" t="str">
        <f>"5406258761"</f>
        <v>5406258761</v>
      </c>
      <c r="B10654" t="s">
        <v>14908</v>
      </c>
      <c r="C10654" t="s">
        <v>7</v>
      </c>
      <c r="D10654" t="s">
        <v>674</v>
      </c>
      <c r="E10654" t="s">
        <v>14396</v>
      </c>
      <c r="F10654" t="s">
        <v>14695</v>
      </c>
    </row>
    <row r="10655" spans="1:6" x14ac:dyDescent="0.25">
      <c r="A10655" t="str">
        <f>"5406335127"</f>
        <v>5406335127</v>
      </c>
      <c r="B10655" t="s">
        <v>14085</v>
      </c>
      <c r="C10655" t="s">
        <v>7</v>
      </c>
      <c r="D10655" t="s">
        <v>12</v>
      </c>
      <c r="E10655" t="s">
        <v>14396</v>
      </c>
      <c r="F10655" t="s">
        <v>14909</v>
      </c>
    </row>
    <row r="10656" spans="1:6" x14ac:dyDescent="0.25">
      <c r="A10656" t="str">
        <f>"5406340021"</f>
        <v>5406340021</v>
      </c>
      <c r="B10656" t="s">
        <v>14910</v>
      </c>
      <c r="C10656" t="s">
        <v>7</v>
      </c>
      <c r="D10656" t="s">
        <v>33</v>
      </c>
      <c r="E10656" t="s">
        <v>14396</v>
      </c>
      <c r="F10656" t="s">
        <v>14911</v>
      </c>
    </row>
    <row r="10657" spans="1:6" x14ac:dyDescent="0.25">
      <c r="A10657" t="str">
        <f>"5406629649"</f>
        <v>5406629649</v>
      </c>
      <c r="B10657" t="s">
        <v>14912</v>
      </c>
      <c r="C10657" t="s">
        <v>7</v>
      </c>
      <c r="D10657" t="s">
        <v>33</v>
      </c>
      <c r="E10657" t="s">
        <v>14396</v>
      </c>
      <c r="F10657" t="s">
        <v>14719</v>
      </c>
    </row>
    <row r="10658" spans="1:6" x14ac:dyDescent="0.25">
      <c r="A10658" t="str">
        <f>"5406668648"</f>
        <v>5406668648</v>
      </c>
      <c r="B10658" t="s">
        <v>14913</v>
      </c>
      <c r="C10658" t="s">
        <v>7</v>
      </c>
      <c r="D10658" t="s">
        <v>189</v>
      </c>
      <c r="E10658" t="s">
        <v>14396</v>
      </c>
      <c r="F10658" t="s">
        <v>14914</v>
      </c>
    </row>
    <row r="10659" spans="1:6" x14ac:dyDescent="0.25">
      <c r="A10659" t="str">
        <f>"5406725060"</f>
        <v>5406725060</v>
      </c>
      <c r="B10659" t="s">
        <v>14915</v>
      </c>
      <c r="C10659" t="s">
        <v>7</v>
      </c>
      <c r="D10659" t="s">
        <v>12</v>
      </c>
      <c r="E10659" t="s">
        <v>14396</v>
      </c>
      <c r="F10659" t="s">
        <v>14916</v>
      </c>
    </row>
    <row r="10660" spans="1:6" x14ac:dyDescent="0.25">
      <c r="A10660" t="str">
        <f>"5406819199"</f>
        <v>5406819199</v>
      </c>
      <c r="B10660" t="s">
        <v>3237</v>
      </c>
      <c r="C10660" t="s">
        <v>7</v>
      </c>
      <c r="D10660" t="s">
        <v>33</v>
      </c>
      <c r="E10660" t="s">
        <v>14396</v>
      </c>
      <c r="F10660" t="s">
        <v>14917</v>
      </c>
    </row>
    <row r="10661" spans="1:6" x14ac:dyDescent="0.25">
      <c r="A10661" t="str">
        <f>"5406820540"</f>
        <v>5406820540</v>
      </c>
      <c r="B10661" t="s">
        <v>1008</v>
      </c>
      <c r="C10661" t="s">
        <v>7</v>
      </c>
      <c r="D10661" t="s">
        <v>33</v>
      </c>
      <c r="E10661" t="s">
        <v>14396</v>
      </c>
      <c r="F10661" t="s">
        <v>14918</v>
      </c>
    </row>
    <row r="10662" spans="1:6" x14ac:dyDescent="0.25">
      <c r="A10662" t="str">
        <f>"5406821455"</f>
        <v>5406821455</v>
      </c>
      <c r="B10662" t="s">
        <v>4131</v>
      </c>
      <c r="C10662" t="s">
        <v>7</v>
      </c>
      <c r="D10662" t="s">
        <v>12</v>
      </c>
      <c r="E10662" t="s">
        <v>14396</v>
      </c>
      <c r="F10662" t="s">
        <v>14919</v>
      </c>
    </row>
    <row r="10663" spans="1:6" x14ac:dyDescent="0.25">
      <c r="A10663" t="str">
        <f>"5406833436"</f>
        <v>5406833436</v>
      </c>
      <c r="B10663" t="s">
        <v>2552</v>
      </c>
      <c r="C10663" t="s">
        <v>7</v>
      </c>
      <c r="D10663" t="s">
        <v>33</v>
      </c>
      <c r="E10663" t="s">
        <v>14396</v>
      </c>
      <c r="F10663" t="s">
        <v>14920</v>
      </c>
    </row>
    <row r="10664" spans="1:6" x14ac:dyDescent="0.25">
      <c r="A10664" t="str">
        <f>"5407212840"</f>
        <v>5407212840</v>
      </c>
      <c r="B10664" t="s">
        <v>14796</v>
      </c>
      <c r="C10664" t="s">
        <v>7</v>
      </c>
      <c r="D10664" t="s">
        <v>14</v>
      </c>
      <c r="E10664" t="s">
        <v>14396</v>
      </c>
      <c r="F10664" t="s">
        <v>14921</v>
      </c>
    </row>
    <row r="10665" spans="1:6" x14ac:dyDescent="0.25">
      <c r="A10665" t="str">
        <f>"5407237690"</f>
        <v>5407237690</v>
      </c>
      <c r="B10665" t="s">
        <v>14922</v>
      </c>
      <c r="C10665" t="s">
        <v>7</v>
      </c>
      <c r="D10665" t="s">
        <v>33</v>
      </c>
      <c r="E10665" t="s">
        <v>14396</v>
      </c>
      <c r="F10665" t="s">
        <v>14923</v>
      </c>
    </row>
    <row r="10666" spans="1:6" x14ac:dyDescent="0.25">
      <c r="A10666" t="str">
        <f>"540787444450"</f>
        <v>540787444450</v>
      </c>
      <c r="B10666" t="s">
        <v>14924</v>
      </c>
      <c r="C10666" t="s">
        <v>7</v>
      </c>
      <c r="D10666" t="s">
        <v>12</v>
      </c>
      <c r="E10666" t="s">
        <v>14396</v>
      </c>
    </row>
    <row r="10667" spans="1:6" x14ac:dyDescent="0.25">
      <c r="A10667" t="str">
        <f>"5407973732"</f>
        <v>5407973732</v>
      </c>
      <c r="B10667" t="s">
        <v>14925</v>
      </c>
      <c r="C10667" t="s">
        <v>7</v>
      </c>
      <c r="D10667" t="s">
        <v>14</v>
      </c>
      <c r="E10667" t="s">
        <v>14396</v>
      </c>
      <c r="F10667" t="s">
        <v>14926</v>
      </c>
    </row>
    <row r="10668" spans="1:6" x14ac:dyDescent="0.25">
      <c r="A10668" t="str">
        <f>"5408006463"</f>
        <v>5408006463</v>
      </c>
      <c r="B10668" t="s">
        <v>14927</v>
      </c>
      <c r="C10668" t="s">
        <v>7</v>
      </c>
      <c r="D10668" t="s">
        <v>33</v>
      </c>
      <c r="E10668" t="s">
        <v>14396</v>
      </c>
      <c r="F10668" t="s">
        <v>14928</v>
      </c>
    </row>
    <row r="10669" spans="1:6" x14ac:dyDescent="0.25">
      <c r="A10669" t="str">
        <f>"5408014182"</f>
        <v>5408014182</v>
      </c>
      <c r="B10669" t="s">
        <v>14929</v>
      </c>
      <c r="C10669" t="s">
        <v>7</v>
      </c>
      <c r="D10669" t="s">
        <v>12</v>
      </c>
      <c r="E10669" t="s">
        <v>14396</v>
      </c>
      <c r="F10669" t="s">
        <v>14667</v>
      </c>
    </row>
    <row r="10670" spans="1:6" x14ac:dyDescent="0.25">
      <c r="A10670" t="str">
        <f>"5408229460"</f>
        <v>5408229460</v>
      </c>
      <c r="B10670" t="s">
        <v>14930</v>
      </c>
      <c r="C10670" t="s">
        <v>7</v>
      </c>
      <c r="D10670" t="s">
        <v>33</v>
      </c>
      <c r="E10670" t="s">
        <v>14396</v>
      </c>
      <c r="F10670" t="s">
        <v>14931</v>
      </c>
    </row>
    <row r="10671" spans="1:6" x14ac:dyDescent="0.25">
      <c r="A10671" t="str">
        <f>"5408241499"</f>
        <v>5408241499</v>
      </c>
      <c r="B10671" t="s">
        <v>14932</v>
      </c>
      <c r="C10671" t="s">
        <v>7</v>
      </c>
      <c r="D10671" t="s">
        <v>14</v>
      </c>
      <c r="E10671" t="s">
        <v>14396</v>
      </c>
      <c r="F10671" t="s">
        <v>14933</v>
      </c>
    </row>
    <row r="10672" spans="1:6" x14ac:dyDescent="0.25">
      <c r="A10672" t="str">
        <f>"540863933424"</f>
        <v>540863933424</v>
      </c>
      <c r="B10672" t="s">
        <v>14934</v>
      </c>
      <c r="C10672" t="s">
        <v>7</v>
      </c>
      <c r="D10672" t="s">
        <v>14</v>
      </c>
      <c r="E10672" t="s">
        <v>14396</v>
      </c>
    </row>
    <row r="10673" spans="1:6" x14ac:dyDescent="0.25">
      <c r="A10673" t="str">
        <f>"540865020162"</f>
        <v>540865020162</v>
      </c>
      <c r="B10673" t="s">
        <v>14935</v>
      </c>
      <c r="C10673" t="s">
        <v>7</v>
      </c>
      <c r="D10673" t="s">
        <v>14</v>
      </c>
      <c r="E10673" t="s">
        <v>14396</v>
      </c>
    </row>
    <row r="10674" spans="1:6" x14ac:dyDescent="0.25">
      <c r="A10674" t="str">
        <f>"540963086997"</f>
        <v>540963086997</v>
      </c>
      <c r="B10674" t="s">
        <v>14936</v>
      </c>
      <c r="C10674" t="s">
        <v>7</v>
      </c>
      <c r="D10674" t="s">
        <v>14</v>
      </c>
      <c r="E10674" t="s">
        <v>14396</v>
      </c>
    </row>
    <row r="10675" spans="1:6" x14ac:dyDescent="0.25">
      <c r="A10675" t="str">
        <f>"540964134146"</f>
        <v>540964134146</v>
      </c>
      <c r="B10675" t="s">
        <v>14937</v>
      </c>
      <c r="C10675" t="s">
        <v>7</v>
      </c>
      <c r="D10675" t="s">
        <v>14</v>
      </c>
      <c r="E10675" t="s">
        <v>14396</v>
      </c>
    </row>
    <row r="10676" spans="1:6" x14ac:dyDescent="0.25">
      <c r="A10676" t="str">
        <f>"5410002040"</f>
        <v>5410002040</v>
      </c>
      <c r="B10676" t="s">
        <v>9141</v>
      </c>
      <c r="C10676" t="s">
        <v>7</v>
      </c>
      <c r="D10676" t="s">
        <v>12</v>
      </c>
      <c r="E10676" t="s">
        <v>14396</v>
      </c>
      <c r="F10676" t="s">
        <v>14938</v>
      </c>
    </row>
    <row r="10677" spans="1:6" x14ac:dyDescent="0.25">
      <c r="A10677" t="str">
        <f>"541002161798"</f>
        <v>541002161798</v>
      </c>
      <c r="B10677" t="s">
        <v>14939</v>
      </c>
      <c r="C10677" t="s">
        <v>7</v>
      </c>
      <c r="D10677" t="s">
        <v>14</v>
      </c>
      <c r="E10677" t="s">
        <v>14396</v>
      </c>
    </row>
    <row r="10678" spans="1:6" x14ac:dyDescent="0.25">
      <c r="A10678" t="str">
        <f>"5410046400"</f>
        <v>5410046400</v>
      </c>
      <c r="B10678" t="s">
        <v>14940</v>
      </c>
      <c r="C10678" t="s">
        <v>7</v>
      </c>
      <c r="D10678" t="s">
        <v>14</v>
      </c>
      <c r="E10678" t="s">
        <v>14396</v>
      </c>
      <c r="F10678" t="s">
        <v>14941</v>
      </c>
    </row>
    <row r="10679" spans="1:6" x14ac:dyDescent="0.25">
      <c r="A10679" t="str">
        <f>"5410054182"</f>
        <v>5410054182</v>
      </c>
      <c r="B10679" t="s">
        <v>14942</v>
      </c>
      <c r="C10679" t="s">
        <v>7</v>
      </c>
      <c r="D10679" t="s">
        <v>14</v>
      </c>
      <c r="E10679" t="s">
        <v>14396</v>
      </c>
      <c r="F10679" t="s">
        <v>14943</v>
      </c>
    </row>
    <row r="10680" spans="1:6" x14ac:dyDescent="0.25">
      <c r="A10680" t="str">
        <f>"5410066974"</f>
        <v>5410066974</v>
      </c>
      <c r="B10680" t="s">
        <v>14944</v>
      </c>
      <c r="C10680" t="s">
        <v>7</v>
      </c>
      <c r="D10680" t="s">
        <v>14</v>
      </c>
      <c r="E10680" t="s">
        <v>14396</v>
      </c>
      <c r="F10680" t="s">
        <v>14945</v>
      </c>
    </row>
    <row r="10681" spans="1:6" x14ac:dyDescent="0.25">
      <c r="A10681" t="str">
        <f>"5410069326"</f>
        <v>5410069326</v>
      </c>
      <c r="B10681" t="s">
        <v>14946</v>
      </c>
      <c r="C10681" t="s">
        <v>7</v>
      </c>
      <c r="D10681" t="s">
        <v>14</v>
      </c>
      <c r="E10681" t="s">
        <v>14396</v>
      </c>
      <c r="F10681" t="s">
        <v>14947</v>
      </c>
    </row>
    <row r="10682" spans="1:6" x14ac:dyDescent="0.25">
      <c r="A10682" t="str">
        <f>"5410090737"</f>
        <v>5410090737</v>
      </c>
      <c r="B10682" t="s">
        <v>14948</v>
      </c>
      <c r="C10682" t="s">
        <v>7</v>
      </c>
      <c r="D10682" t="s">
        <v>14</v>
      </c>
      <c r="E10682" t="s">
        <v>14396</v>
      </c>
      <c r="F10682" t="s">
        <v>14949</v>
      </c>
    </row>
    <row r="10683" spans="1:6" x14ac:dyDescent="0.25">
      <c r="A10683" t="str">
        <f>"541010110613"</f>
        <v>541010110613</v>
      </c>
      <c r="B10683" t="s">
        <v>14950</v>
      </c>
      <c r="C10683" t="s">
        <v>7</v>
      </c>
      <c r="D10683" t="s">
        <v>14</v>
      </c>
      <c r="E10683" t="s">
        <v>14396</v>
      </c>
    </row>
    <row r="10684" spans="1:6" x14ac:dyDescent="0.25">
      <c r="A10684" t="str">
        <f>"5410114346"</f>
        <v>5410114346</v>
      </c>
      <c r="B10684" t="s">
        <v>14951</v>
      </c>
      <c r="C10684" t="s">
        <v>7</v>
      </c>
      <c r="D10684" t="s">
        <v>33</v>
      </c>
      <c r="E10684" t="s">
        <v>14396</v>
      </c>
      <c r="F10684" t="s">
        <v>14952</v>
      </c>
    </row>
    <row r="10685" spans="1:6" x14ac:dyDescent="0.25">
      <c r="A10685" t="str">
        <f>"541011922664"</f>
        <v>541011922664</v>
      </c>
      <c r="B10685" t="s">
        <v>14953</v>
      </c>
      <c r="C10685" t="s">
        <v>7</v>
      </c>
      <c r="D10685" t="s">
        <v>189</v>
      </c>
      <c r="E10685" t="s">
        <v>14396</v>
      </c>
    </row>
    <row r="10686" spans="1:6" x14ac:dyDescent="0.25">
      <c r="A10686" t="str">
        <f>"5410156000"</f>
        <v>5410156000</v>
      </c>
      <c r="B10686" t="s">
        <v>14954</v>
      </c>
      <c r="C10686" t="s">
        <v>7</v>
      </c>
      <c r="D10686" t="s">
        <v>33</v>
      </c>
      <c r="E10686" t="s">
        <v>14396</v>
      </c>
      <c r="F10686" t="s">
        <v>14955</v>
      </c>
    </row>
    <row r="10687" spans="1:6" x14ac:dyDescent="0.25">
      <c r="A10687" t="str">
        <f>"5410162678"</f>
        <v>5410162678</v>
      </c>
      <c r="B10687" t="s">
        <v>14956</v>
      </c>
      <c r="C10687" t="s">
        <v>7</v>
      </c>
      <c r="D10687" t="s">
        <v>33</v>
      </c>
      <c r="E10687" t="s">
        <v>14396</v>
      </c>
      <c r="F10687" t="s">
        <v>14957</v>
      </c>
    </row>
    <row r="10688" spans="1:6" x14ac:dyDescent="0.25">
      <c r="A10688" t="str">
        <f>"541016420996"</f>
        <v>541016420996</v>
      </c>
      <c r="B10688" t="s">
        <v>14958</v>
      </c>
      <c r="C10688" t="s">
        <v>7</v>
      </c>
      <c r="D10688" t="s">
        <v>14</v>
      </c>
      <c r="E10688" t="s">
        <v>14396</v>
      </c>
    </row>
    <row r="10689" spans="1:6" x14ac:dyDescent="0.25">
      <c r="A10689" t="str">
        <f>"541910290920"</f>
        <v>541910290920</v>
      </c>
      <c r="B10689" t="s">
        <v>14959</v>
      </c>
      <c r="C10689" t="s">
        <v>7</v>
      </c>
      <c r="D10689" t="s">
        <v>14</v>
      </c>
      <c r="E10689" t="s">
        <v>14396</v>
      </c>
    </row>
    <row r="10690" spans="1:6" x14ac:dyDescent="0.25">
      <c r="A10690" t="str">
        <f>"5422114076"</f>
        <v>5422114076</v>
      </c>
      <c r="B10690" t="s">
        <v>14960</v>
      </c>
      <c r="C10690" t="s">
        <v>7</v>
      </c>
      <c r="D10690" t="s">
        <v>33</v>
      </c>
      <c r="E10690" t="s">
        <v>14396</v>
      </c>
      <c r="F10690" t="s">
        <v>14961</v>
      </c>
    </row>
    <row r="10691" spans="1:6" x14ac:dyDescent="0.25">
      <c r="A10691" t="str">
        <f>"220803536083"</f>
        <v>220803536083</v>
      </c>
      <c r="B10691" t="s">
        <v>14962</v>
      </c>
      <c r="C10691" t="s">
        <v>7</v>
      </c>
      <c r="D10691" t="s">
        <v>14</v>
      </c>
      <c r="E10691" t="s">
        <v>14396</v>
      </c>
    </row>
    <row r="10692" spans="1:6" x14ac:dyDescent="0.25">
      <c r="A10692" t="str">
        <f>"220912170110"</f>
        <v>220912170110</v>
      </c>
      <c r="B10692" t="s">
        <v>14963</v>
      </c>
      <c r="C10692" t="s">
        <v>7</v>
      </c>
      <c r="D10692" t="s">
        <v>12</v>
      </c>
      <c r="E10692" t="s">
        <v>14396</v>
      </c>
    </row>
    <row r="10693" spans="1:6" x14ac:dyDescent="0.25">
      <c r="A10693" t="str">
        <f>"222107728676"</f>
        <v>222107728676</v>
      </c>
      <c r="B10693" t="s">
        <v>14964</v>
      </c>
      <c r="C10693" t="s">
        <v>7</v>
      </c>
      <c r="D10693" t="s">
        <v>14</v>
      </c>
      <c r="E10693" t="s">
        <v>14396</v>
      </c>
    </row>
    <row r="10694" spans="1:6" x14ac:dyDescent="0.25">
      <c r="A10694" t="str">
        <f>"2223594320"</f>
        <v>2223594320</v>
      </c>
      <c r="B10694" t="s">
        <v>14965</v>
      </c>
      <c r="C10694" t="s">
        <v>7</v>
      </c>
      <c r="D10694" t="s">
        <v>12</v>
      </c>
      <c r="E10694" t="s">
        <v>14396</v>
      </c>
      <c r="F10694" t="s">
        <v>14966</v>
      </c>
    </row>
    <row r="10695" spans="1:6" x14ac:dyDescent="0.25">
      <c r="A10695" t="str">
        <f>"032625910422"</f>
        <v>032625910422</v>
      </c>
      <c r="B10695" t="s">
        <v>14967</v>
      </c>
      <c r="C10695" t="s">
        <v>7</v>
      </c>
      <c r="D10695" t="s">
        <v>189</v>
      </c>
      <c r="E10695" t="s">
        <v>14396</v>
      </c>
    </row>
    <row r="10696" spans="1:6" x14ac:dyDescent="0.25">
      <c r="A10696" t="str">
        <f>"5432002283"</f>
        <v>5432002283</v>
      </c>
      <c r="B10696" t="s">
        <v>14968</v>
      </c>
      <c r="C10696" t="s">
        <v>7</v>
      </c>
      <c r="D10696" t="s">
        <v>12</v>
      </c>
      <c r="E10696" t="s">
        <v>14396</v>
      </c>
      <c r="F10696" t="s">
        <v>14969</v>
      </c>
    </row>
    <row r="10697" spans="1:6" x14ac:dyDescent="0.25">
      <c r="A10697" t="str">
        <f>"543206637045"</f>
        <v>543206637045</v>
      </c>
      <c r="B10697" t="s">
        <v>14970</v>
      </c>
      <c r="C10697" t="s">
        <v>7</v>
      </c>
      <c r="D10697" t="s">
        <v>12</v>
      </c>
      <c r="E10697" t="s">
        <v>14396</v>
      </c>
    </row>
    <row r="10698" spans="1:6" x14ac:dyDescent="0.25">
      <c r="A10698" t="str">
        <f>"543240875547"</f>
        <v>543240875547</v>
      </c>
      <c r="B10698" t="s">
        <v>14971</v>
      </c>
      <c r="C10698" t="s">
        <v>7</v>
      </c>
      <c r="D10698" t="s">
        <v>33</v>
      </c>
      <c r="E10698" t="s">
        <v>14396</v>
      </c>
    </row>
    <row r="10699" spans="1:6" x14ac:dyDescent="0.25">
      <c r="A10699" t="str">
        <f>"543307031067"</f>
        <v>543307031067</v>
      </c>
      <c r="B10699" t="s">
        <v>14972</v>
      </c>
      <c r="C10699" t="s">
        <v>7</v>
      </c>
      <c r="D10699" t="s">
        <v>14</v>
      </c>
      <c r="E10699" t="s">
        <v>14396</v>
      </c>
    </row>
    <row r="10700" spans="1:6" x14ac:dyDescent="0.25">
      <c r="A10700" t="str">
        <f>"543309958682"</f>
        <v>543309958682</v>
      </c>
      <c r="B10700" t="s">
        <v>14973</v>
      </c>
      <c r="C10700" t="s">
        <v>7</v>
      </c>
      <c r="D10700" t="s">
        <v>14</v>
      </c>
      <c r="E10700" t="s">
        <v>14396</v>
      </c>
    </row>
    <row r="10701" spans="1:6" x14ac:dyDescent="0.25">
      <c r="A10701" t="str">
        <f>"543314127348"</f>
        <v>543314127348</v>
      </c>
      <c r="B10701" t="s">
        <v>14974</v>
      </c>
      <c r="C10701" t="s">
        <v>7</v>
      </c>
      <c r="D10701" t="s">
        <v>14</v>
      </c>
      <c r="E10701" t="s">
        <v>14396</v>
      </c>
    </row>
    <row r="10702" spans="1:6" x14ac:dyDescent="0.25">
      <c r="A10702" t="str">
        <f>"5433166005"</f>
        <v>5433166005</v>
      </c>
      <c r="B10702" t="s">
        <v>14975</v>
      </c>
      <c r="C10702" t="s">
        <v>7</v>
      </c>
      <c r="D10702" t="s">
        <v>33</v>
      </c>
      <c r="E10702" t="s">
        <v>14396</v>
      </c>
      <c r="F10702" t="s">
        <v>14976</v>
      </c>
    </row>
    <row r="10703" spans="1:6" x14ac:dyDescent="0.25">
      <c r="A10703" t="str">
        <f>"543318115600"</f>
        <v>543318115600</v>
      </c>
      <c r="B10703" t="s">
        <v>14977</v>
      </c>
      <c r="C10703" t="s">
        <v>7</v>
      </c>
      <c r="D10703" t="s">
        <v>14</v>
      </c>
      <c r="E10703" t="s">
        <v>14396</v>
      </c>
    </row>
    <row r="10704" spans="1:6" x14ac:dyDescent="0.25">
      <c r="A10704" t="str">
        <f>"5433954119"</f>
        <v>5433954119</v>
      </c>
      <c r="B10704" t="s">
        <v>14978</v>
      </c>
      <c r="C10704" t="s">
        <v>7</v>
      </c>
      <c r="D10704" t="s">
        <v>14</v>
      </c>
      <c r="E10704" t="s">
        <v>14396</v>
      </c>
      <c r="F10704" t="s">
        <v>14979</v>
      </c>
    </row>
    <row r="10705" spans="1:6" x14ac:dyDescent="0.25">
      <c r="A10705" t="str">
        <f>"5433959893"</f>
        <v>5433959893</v>
      </c>
      <c r="B10705" t="s">
        <v>14980</v>
      </c>
      <c r="C10705" t="s">
        <v>7</v>
      </c>
      <c r="D10705" t="s">
        <v>14</v>
      </c>
      <c r="E10705" t="s">
        <v>14396</v>
      </c>
      <c r="F10705" t="s">
        <v>14981</v>
      </c>
    </row>
    <row r="10706" spans="1:6" x14ac:dyDescent="0.25">
      <c r="A10706" t="str">
        <f>"5433960313"</f>
        <v>5433960313</v>
      </c>
      <c r="B10706" t="s">
        <v>14982</v>
      </c>
      <c r="C10706" t="s">
        <v>7</v>
      </c>
      <c r="D10706" t="s">
        <v>14</v>
      </c>
      <c r="E10706" t="s">
        <v>14396</v>
      </c>
      <c r="F10706" t="s">
        <v>14983</v>
      </c>
    </row>
    <row r="10707" spans="1:6" x14ac:dyDescent="0.25">
      <c r="A10707" t="str">
        <f>"5433969517"</f>
        <v>5433969517</v>
      </c>
      <c r="B10707" t="s">
        <v>14984</v>
      </c>
      <c r="C10707" t="s">
        <v>7</v>
      </c>
      <c r="D10707" t="s">
        <v>33</v>
      </c>
      <c r="E10707" t="s">
        <v>14396</v>
      </c>
      <c r="F10707" t="s">
        <v>14985</v>
      </c>
    </row>
    <row r="10708" spans="1:6" x14ac:dyDescent="0.25">
      <c r="A10708" t="str">
        <f>"543405009302"</f>
        <v>543405009302</v>
      </c>
      <c r="B10708" t="s">
        <v>14986</v>
      </c>
      <c r="C10708" t="s">
        <v>7</v>
      </c>
      <c r="D10708" t="s">
        <v>14</v>
      </c>
      <c r="E10708" t="s">
        <v>14396</v>
      </c>
    </row>
    <row r="10709" spans="1:6" x14ac:dyDescent="0.25">
      <c r="A10709" t="str">
        <f>"5434101191"</f>
        <v>5434101191</v>
      </c>
      <c r="B10709" t="s">
        <v>14987</v>
      </c>
      <c r="C10709" t="s">
        <v>7</v>
      </c>
      <c r="D10709" t="s">
        <v>14</v>
      </c>
      <c r="E10709" t="s">
        <v>14396</v>
      </c>
      <c r="F10709" t="s">
        <v>14988</v>
      </c>
    </row>
    <row r="10710" spans="1:6" x14ac:dyDescent="0.25">
      <c r="A10710" t="str">
        <f>"543852756296"</f>
        <v>543852756296</v>
      </c>
      <c r="B10710" t="s">
        <v>14989</v>
      </c>
      <c r="C10710" t="s">
        <v>7</v>
      </c>
      <c r="D10710" t="s">
        <v>14</v>
      </c>
      <c r="E10710" t="s">
        <v>14396</v>
      </c>
    </row>
    <row r="10711" spans="1:6" x14ac:dyDescent="0.25">
      <c r="A10711" t="str">
        <f>"543905883068"</f>
        <v>543905883068</v>
      </c>
      <c r="B10711" t="s">
        <v>14990</v>
      </c>
      <c r="C10711" t="s">
        <v>7</v>
      </c>
      <c r="D10711" t="s">
        <v>14</v>
      </c>
      <c r="E10711" t="s">
        <v>14396</v>
      </c>
    </row>
    <row r="10712" spans="1:6" x14ac:dyDescent="0.25">
      <c r="A10712" t="str">
        <f>"5440115273"</f>
        <v>5440115273</v>
      </c>
      <c r="B10712" t="s">
        <v>14991</v>
      </c>
      <c r="C10712" t="s">
        <v>7</v>
      </c>
      <c r="D10712" t="s">
        <v>33</v>
      </c>
      <c r="E10712" t="s">
        <v>14396</v>
      </c>
      <c r="F10712" t="s">
        <v>14992</v>
      </c>
    </row>
    <row r="10713" spans="1:6" x14ac:dyDescent="0.25">
      <c r="A10713" t="str">
        <f>"544205909795"</f>
        <v>544205909795</v>
      </c>
      <c r="B10713" t="s">
        <v>14993</v>
      </c>
      <c r="C10713" t="s">
        <v>7</v>
      </c>
      <c r="D10713" t="s">
        <v>14</v>
      </c>
      <c r="E10713" t="s">
        <v>14396</v>
      </c>
    </row>
    <row r="10714" spans="1:6" x14ac:dyDescent="0.25">
      <c r="A10714" t="str">
        <f>"544301250321"</f>
        <v>544301250321</v>
      </c>
      <c r="B10714" t="s">
        <v>14994</v>
      </c>
      <c r="C10714" t="s">
        <v>7</v>
      </c>
      <c r="D10714" t="s">
        <v>14</v>
      </c>
      <c r="E10714" t="s">
        <v>14396</v>
      </c>
    </row>
    <row r="10715" spans="1:6" x14ac:dyDescent="0.25">
      <c r="A10715" t="str">
        <f>"544305009036"</f>
        <v>544305009036</v>
      </c>
      <c r="B10715" t="s">
        <v>14995</v>
      </c>
      <c r="C10715" t="s">
        <v>7</v>
      </c>
      <c r="D10715" t="s">
        <v>14</v>
      </c>
      <c r="E10715" t="s">
        <v>14396</v>
      </c>
    </row>
    <row r="10716" spans="1:6" x14ac:dyDescent="0.25">
      <c r="A10716" t="str">
        <f>"544308524300"</f>
        <v>544308524300</v>
      </c>
      <c r="B10716" t="s">
        <v>14996</v>
      </c>
      <c r="C10716" t="s">
        <v>7</v>
      </c>
      <c r="D10716" t="s">
        <v>463</v>
      </c>
      <c r="E10716" t="s">
        <v>14396</v>
      </c>
    </row>
    <row r="10717" spans="1:6" x14ac:dyDescent="0.25">
      <c r="A10717" t="str">
        <f>"544309559400"</f>
        <v>544309559400</v>
      </c>
      <c r="B10717" t="s">
        <v>14997</v>
      </c>
      <c r="C10717" t="s">
        <v>7</v>
      </c>
      <c r="D10717" t="s">
        <v>33</v>
      </c>
      <c r="E10717" t="s">
        <v>14396</v>
      </c>
    </row>
    <row r="10718" spans="1:6" x14ac:dyDescent="0.25">
      <c r="A10718" t="str">
        <f>"544309831110"</f>
        <v>544309831110</v>
      </c>
      <c r="B10718" t="s">
        <v>14998</v>
      </c>
      <c r="C10718" t="s">
        <v>7</v>
      </c>
      <c r="D10718" t="s">
        <v>463</v>
      </c>
      <c r="E10718" t="s">
        <v>14396</v>
      </c>
    </row>
    <row r="10719" spans="1:6" x14ac:dyDescent="0.25">
      <c r="A10719" t="str">
        <f>"544312920049"</f>
        <v>544312920049</v>
      </c>
      <c r="B10719" t="s">
        <v>14999</v>
      </c>
      <c r="C10719" t="s">
        <v>7</v>
      </c>
      <c r="D10719" t="s">
        <v>14</v>
      </c>
      <c r="E10719" t="s">
        <v>14396</v>
      </c>
    </row>
    <row r="10720" spans="1:6" x14ac:dyDescent="0.25">
      <c r="A10720" t="str">
        <f>"544591263104"</f>
        <v>544591263104</v>
      </c>
      <c r="B10720" t="s">
        <v>15000</v>
      </c>
      <c r="C10720" t="s">
        <v>7</v>
      </c>
      <c r="D10720" t="s">
        <v>12</v>
      </c>
      <c r="E10720" t="s">
        <v>14396</v>
      </c>
    </row>
    <row r="10721" spans="1:6" x14ac:dyDescent="0.25">
      <c r="A10721" t="str">
        <f>"5446010767"</f>
        <v>5446010767</v>
      </c>
      <c r="B10721" t="s">
        <v>2311</v>
      </c>
      <c r="C10721" t="s">
        <v>7</v>
      </c>
      <c r="D10721" t="s">
        <v>14</v>
      </c>
      <c r="E10721" t="s">
        <v>14396</v>
      </c>
      <c r="F10721" t="s">
        <v>15001</v>
      </c>
    </row>
    <row r="10722" spans="1:6" x14ac:dyDescent="0.25">
      <c r="A10722" t="str">
        <f>"544650855289"</f>
        <v>544650855289</v>
      </c>
      <c r="B10722" t="s">
        <v>15002</v>
      </c>
      <c r="C10722" t="s">
        <v>7</v>
      </c>
      <c r="D10722" t="s">
        <v>14</v>
      </c>
      <c r="E10722" t="s">
        <v>14396</v>
      </c>
    </row>
    <row r="10723" spans="1:6" x14ac:dyDescent="0.25">
      <c r="A10723" t="str">
        <f>"544705691473"</f>
        <v>544705691473</v>
      </c>
      <c r="B10723" t="s">
        <v>15003</v>
      </c>
      <c r="C10723" t="s">
        <v>7</v>
      </c>
      <c r="D10723" t="s">
        <v>14</v>
      </c>
      <c r="E10723" t="s">
        <v>14396</v>
      </c>
    </row>
    <row r="10724" spans="1:6" x14ac:dyDescent="0.25">
      <c r="A10724" t="str">
        <f>"545207304363"</f>
        <v>545207304363</v>
      </c>
      <c r="B10724" t="s">
        <v>15004</v>
      </c>
      <c r="C10724" t="s">
        <v>7</v>
      </c>
      <c r="D10724" t="s">
        <v>12</v>
      </c>
      <c r="E10724" t="s">
        <v>14396</v>
      </c>
    </row>
    <row r="10725" spans="1:6" x14ac:dyDescent="0.25">
      <c r="A10725" t="str">
        <f>"545213494955"</f>
        <v>545213494955</v>
      </c>
      <c r="B10725" t="s">
        <v>15005</v>
      </c>
      <c r="C10725" t="s">
        <v>7</v>
      </c>
      <c r="D10725" t="s">
        <v>14</v>
      </c>
      <c r="E10725" t="s">
        <v>14396</v>
      </c>
    </row>
    <row r="10726" spans="1:6" x14ac:dyDescent="0.25">
      <c r="A10726" t="str">
        <f>"5473003470"</f>
        <v>5473003470</v>
      </c>
      <c r="B10726" t="s">
        <v>15006</v>
      </c>
      <c r="C10726" t="s">
        <v>7</v>
      </c>
      <c r="D10726" t="s">
        <v>14</v>
      </c>
      <c r="E10726" t="s">
        <v>14396</v>
      </c>
      <c r="F10726" t="s">
        <v>15007</v>
      </c>
    </row>
    <row r="10727" spans="1:6" x14ac:dyDescent="0.25">
      <c r="A10727" t="str">
        <f>"5473004699"</f>
        <v>5473004699</v>
      </c>
      <c r="B10727" t="s">
        <v>15008</v>
      </c>
      <c r="C10727" t="s">
        <v>7</v>
      </c>
      <c r="D10727" t="s">
        <v>12</v>
      </c>
      <c r="E10727" t="s">
        <v>14396</v>
      </c>
      <c r="F10727" t="s">
        <v>15009</v>
      </c>
    </row>
    <row r="10728" spans="1:6" x14ac:dyDescent="0.25">
      <c r="A10728" t="str">
        <f>"5429109572"</f>
        <v>5429109572</v>
      </c>
      <c r="B10728" t="s">
        <v>15010</v>
      </c>
      <c r="C10728" t="s">
        <v>7</v>
      </c>
      <c r="D10728" t="s">
        <v>14</v>
      </c>
      <c r="E10728" t="s">
        <v>14396</v>
      </c>
      <c r="F10728" t="s">
        <v>15011</v>
      </c>
    </row>
    <row r="10729" spans="1:6" x14ac:dyDescent="0.25">
      <c r="A10729" t="str">
        <f>"543105818052"</f>
        <v>543105818052</v>
      </c>
      <c r="B10729" t="s">
        <v>15012</v>
      </c>
      <c r="C10729" t="s">
        <v>7</v>
      </c>
      <c r="D10729" t="s">
        <v>14</v>
      </c>
      <c r="E10729" t="s">
        <v>14396</v>
      </c>
    </row>
    <row r="10730" spans="1:6" x14ac:dyDescent="0.25">
      <c r="A10730" t="str">
        <f>"543206399270"</f>
        <v>543206399270</v>
      </c>
      <c r="B10730" t="s">
        <v>15013</v>
      </c>
      <c r="C10730" t="s">
        <v>7</v>
      </c>
      <c r="D10730" t="s">
        <v>14</v>
      </c>
      <c r="E10730" t="s">
        <v>14396</v>
      </c>
    </row>
    <row r="10731" spans="1:6" x14ac:dyDescent="0.25">
      <c r="A10731" t="str">
        <f>"543315644236"</f>
        <v>543315644236</v>
      </c>
      <c r="B10731" t="s">
        <v>15014</v>
      </c>
      <c r="C10731" t="s">
        <v>7</v>
      </c>
      <c r="D10731" t="s">
        <v>14</v>
      </c>
      <c r="E10731" t="s">
        <v>14396</v>
      </c>
    </row>
    <row r="10732" spans="1:6" x14ac:dyDescent="0.25">
      <c r="A10732" t="str">
        <f>"543317285832"</f>
        <v>543317285832</v>
      </c>
      <c r="B10732" t="s">
        <v>15015</v>
      </c>
      <c r="C10732" t="s">
        <v>7</v>
      </c>
      <c r="D10732" t="s">
        <v>14</v>
      </c>
      <c r="E10732" t="s">
        <v>14396</v>
      </c>
    </row>
    <row r="10733" spans="1:6" x14ac:dyDescent="0.25">
      <c r="A10733" t="str">
        <f>"543330430704"</f>
        <v>543330430704</v>
      </c>
      <c r="B10733" t="s">
        <v>15016</v>
      </c>
      <c r="C10733" t="s">
        <v>7</v>
      </c>
      <c r="D10733" t="s">
        <v>12</v>
      </c>
      <c r="E10733" t="s">
        <v>14396</v>
      </c>
    </row>
    <row r="10734" spans="1:6" x14ac:dyDescent="0.25">
      <c r="A10734" t="str">
        <f>"5433951020"</f>
        <v>5433951020</v>
      </c>
      <c r="B10734" t="s">
        <v>15017</v>
      </c>
      <c r="C10734" t="s">
        <v>7</v>
      </c>
      <c r="D10734" t="s">
        <v>33</v>
      </c>
      <c r="E10734" t="s">
        <v>14396</v>
      </c>
      <c r="F10734" t="s">
        <v>15018</v>
      </c>
    </row>
    <row r="10735" spans="1:6" x14ac:dyDescent="0.25">
      <c r="A10735" t="str">
        <f>"5433960306"</f>
        <v>5433960306</v>
      </c>
      <c r="B10735" t="s">
        <v>15019</v>
      </c>
      <c r="C10735" t="s">
        <v>7</v>
      </c>
      <c r="D10735" t="s">
        <v>12</v>
      </c>
      <c r="E10735" t="s">
        <v>14396</v>
      </c>
      <c r="F10735" t="s">
        <v>15020</v>
      </c>
    </row>
    <row r="10736" spans="1:6" x14ac:dyDescent="0.25">
      <c r="A10736" t="str">
        <f>"5433968506"</f>
        <v>5433968506</v>
      </c>
      <c r="B10736" t="s">
        <v>15021</v>
      </c>
      <c r="C10736" t="s">
        <v>7</v>
      </c>
      <c r="D10736" t="s">
        <v>33</v>
      </c>
      <c r="E10736" t="s">
        <v>14396</v>
      </c>
      <c r="F10736" t="s">
        <v>15022</v>
      </c>
    </row>
    <row r="10737" spans="1:6" x14ac:dyDescent="0.25">
      <c r="A10737" t="str">
        <f>"5433974926"</f>
        <v>5433974926</v>
      </c>
      <c r="B10737" t="s">
        <v>709</v>
      </c>
      <c r="C10737" t="s">
        <v>7</v>
      </c>
      <c r="D10737" t="s">
        <v>12</v>
      </c>
      <c r="E10737" t="s">
        <v>14396</v>
      </c>
      <c r="F10737" t="s">
        <v>15023</v>
      </c>
    </row>
    <row r="10738" spans="1:6" x14ac:dyDescent="0.25">
      <c r="A10738" t="str">
        <f>"543405806227"</f>
        <v>543405806227</v>
      </c>
      <c r="B10738" t="s">
        <v>15024</v>
      </c>
      <c r="C10738" t="s">
        <v>7</v>
      </c>
      <c r="D10738" t="s">
        <v>14</v>
      </c>
      <c r="E10738" t="s">
        <v>14396</v>
      </c>
    </row>
    <row r="10739" spans="1:6" x14ac:dyDescent="0.25">
      <c r="A10739" t="str">
        <f>"543411894503"</f>
        <v>543411894503</v>
      </c>
      <c r="B10739" t="s">
        <v>15025</v>
      </c>
      <c r="C10739" t="s">
        <v>7</v>
      </c>
      <c r="D10739" t="s">
        <v>14</v>
      </c>
      <c r="E10739" t="s">
        <v>14396</v>
      </c>
    </row>
    <row r="10740" spans="1:6" x14ac:dyDescent="0.25">
      <c r="A10740" t="str">
        <f>"5438100840"</f>
        <v>5438100840</v>
      </c>
      <c r="B10740" t="s">
        <v>15026</v>
      </c>
      <c r="C10740" t="s">
        <v>7</v>
      </c>
      <c r="D10740" t="s">
        <v>14</v>
      </c>
      <c r="E10740" t="s">
        <v>14396</v>
      </c>
      <c r="F10740" t="s">
        <v>15027</v>
      </c>
    </row>
    <row r="10741" spans="1:6" x14ac:dyDescent="0.25">
      <c r="A10741" t="str">
        <f>"5438109699"</f>
        <v>5438109699</v>
      </c>
      <c r="B10741" t="s">
        <v>15028</v>
      </c>
      <c r="C10741" t="s">
        <v>7</v>
      </c>
      <c r="D10741" t="s">
        <v>14</v>
      </c>
      <c r="E10741" t="s">
        <v>14396</v>
      </c>
      <c r="F10741" t="s">
        <v>14476</v>
      </c>
    </row>
    <row r="10742" spans="1:6" x14ac:dyDescent="0.25">
      <c r="A10742" t="str">
        <f>"544220245845"</f>
        <v>544220245845</v>
      </c>
      <c r="B10742" t="s">
        <v>15029</v>
      </c>
      <c r="C10742" t="s">
        <v>7</v>
      </c>
      <c r="D10742" t="s">
        <v>14</v>
      </c>
      <c r="E10742" t="s">
        <v>14396</v>
      </c>
    </row>
    <row r="10743" spans="1:6" x14ac:dyDescent="0.25">
      <c r="A10743" t="str">
        <f>"5443026818"</f>
        <v>5443026818</v>
      </c>
      <c r="B10743" t="s">
        <v>15030</v>
      </c>
      <c r="C10743" t="s">
        <v>7</v>
      </c>
      <c r="D10743" t="s">
        <v>14</v>
      </c>
      <c r="E10743" t="s">
        <v>14396</v>
      </c>
      <c r="F10743" t="s">
        <v>15031</v>
      </c>
    </row>
    <row r="10744" spans="1:6" x14ac:dyDescent="0.25">
      <c r="A10744" t="str">
        <f>"544314612201"</f>
        <v>544314612201</v>
      </c>
      <c r="B10744" t="s">
        <v>15032</v>
      </c>
      <c r="C10744" t="s">
        <v>7</v>
      </c>
      <c r="D10744" t="s">
        <v>463</v>
      </c>
      <c r="E10744" t="s">
        <v>14396</v>
      </c>
    </row>
    <row r="10745" spans="1:6" x14ac:dyDescent="0.25">
      <c r="A10745" t="str">
        <f>"544510927409"</f>
        <v>544510927409</v>
      </c>
      <c r="B10745" t="s">
        <v>15033</v>
      </c>
      <c r="C10745" t="s">
        <v>7</v>
      </c>
      <c r="D10745" t="s">
        <v>12</v>
      </c>
      <c r="E10745" t="s">
        <v>14396</v>
      </c>
    </row>
    <row r="10746" spans="1:6" x14ac:dyDescent="0.25">
      <c r="A10746" t="str">
        <f>"544525194401"</f>
        <v>544525194401</v>
      </c>
      <c r="B10746" t="s">
        <v>15034</v>
      </c>
      <c r="C10746" t="s">
        <v>7</v>
      </c>
      <c r="D10746" t="s">
        <v>1430</v>
      </c>
      <c r="E10746" t="s">
        <v>14396</v>
      </c>
    </row>
    <row r="10747" spans="1:6" x14ac:dyDescent="0.25">
      <c r="A10747" t="str">
        <f>"544591095481"</f>
        <v>544591095481</v>
      </c>
      <c r="B10747" t="s">
        <v>15035</v>
      </c>
      <c r="C10747" t="s">
        <v>7</v>
      </c>
      <c r="D10747" t="s">
        <v>14</v>
      </c>
      <c r="E10747" t="s">
        <v>14396</v>
      </c>
    </row>
    <row r="10748" spans="1:6" x14ac:dyDescent="0.25">
      <c r="A10748" t="str">
        <f>"544600079425"</f>
        <v>544600079425</v>
      </c>
      <c r="B10748" t="s">
        <v>15036</v>
      </c>
      <c r="C10748" t="s">
        <v>7</v>
      </c>
      <c r="D10748" t="s">
        <v>463</v>
      </c>
      <c r="E10748" t="s">
        <v>14396</v>
      </c>
    </row>
    <row r="10749" spans="1:6" x14ac:dyDescent="0.25">
      <c r="A10749" t="str">
        <f>"544615359062"</f>
        <v>544615359062</v>
      </c>
      <c r="B10749" t="s">
        <v>15037</v>
      </c>
      <c r="C10749" t="s">
        <v>7</v>
      </c>
      <c r="D10749" t="s">
        <v>14</v>
      </c>
      <c r="E10749" t="s">
        <v>14396</v>
      </c>
    </row>
    <row r="10750" spans="1:6" x14ac:dyDescent="0.25">
      <c r="A10750" t="str">
        <f>"544616123180"</f>
        <v>544616123180</v>
      </c>
      <c r="B10750" t="s">
        <v>15038</v>
      </c>
      <c r="C10750" t="s">
        <v>7</v>
      </c>
      <c r="D10750" t="s">
        <v>14</v>
      </c>
      <c r="E10750" t="s">
        <v>14396</v>
      </c>
    </row>
    <row r="10751" spans="1:6" x14ac:dyDescent="0.25">
      <c r="A10751" t="str">
        <f>"544807838622"</f>
        <v>544807838622</v>
      </c>
      <c r="B10751" t="s">
        <v>15039</v>
      </c>
      <c r="C10751" t="s">
        <v>7</v>
      </c>
      <c r="D10751" t="s">
        <v>12</v>
      </c>
      <c r="E10751" t="s">
        <v>14396</v>
      </c>
    </row>
    <row r="10752" spans="1:6" x14ac:dyDescent="0.25">
      <c r="A10752" t="str">
        <f>"545210895042"</f>
        <v>545210895042</v>
      </c>
      <c r="B10752" t="s">
        <v>15040</v>
      </c>
      <c r="C10752" t="s">
        <v>7</v>
      </c>
      <c r="D10752" t="s">
        <v>14</v>
      </c>
      <c r="E10752" t="s">
        <v>14396</v>
      </c>
    </row>
    <row r="10753" spans="1:6" x14ac:dyDescent="0.25">
      <c r="A10753" t="str">
        <f>"545305395986"</f>
        <v>545305395986</v>
      </c>
      <c r="B10753" t="s">
        <v>15041</v>
      </c>
      <c r="C10753" t="s">
        <v>7</v>
      </c>
      <c r="D10753" t="s">
        <v>14</v>
      </c>
      <c r="E10753" t="s">
        <v>14396</v>
      </c>
    </row>
    <row r="10754" spans="1:6" x14ac:dyDescent="0.25">
      <c r="A10754" t="str">
        <f>"545310263801"</f>
        <v>545310263801</v>
      </c>
      <c r="B10754" t="s">
        <v>15042</v>
      </c>
      <c r="C10754" t="s">
        <v>7</v>
      </c>
      <c r="D10754" t="s">
        <v>14</v>
      </c>
      <c r="E10754" t="s">
        <v>14396</v>
      </c>
    </row>
    <row r="10755" spans="1:6" x14ac:dyDescent="0.25">
      <c r="A10755" t="str">
        <f>"5473002589"</f>
        <v>5473002589</v>
      </c>
      <c r="B10755" t="s">
        <v>15043</v>
      </c>
      <c r="C10755" t="s">
        <v>7</v>
      </c>
      <c r="D10755" t="s">
        <v>33</v>
      </c>
      <c r="E10755" t="s">
        <v>14396</v>
      </c>
      <c r="F10755" t="s">
        <v>15044</v>
      </c>
    </row>
    <row r="10756" spans="1:6" x14ac:dyDescent="0.25">
      <c r="A10756" t="str">
        <f>"5473008929"</f>
        <v>5473008929</v>
      </c>
      <c r="B10756" t="s">
        <v>15045</v>
      </c>
      <c r="C10756" t="s">
        <v>7</v>
      </c>
      <c r="D10756" t="s">
        <v>33</v>
      </c>
      <c r="E10756" t="s">
        <v>14396</v>
      </c>
      <c r="F10756" t="s">
        <v>15046</v>
      </c>
    </row>
    <row r="10757" spans="1:6" x14ac:dyDescent="0.25">
      <c r="A10757" t="str">
        <f>"5427128770"</f>
        <v>5427128770</v>
      </c>
      <c r="B10757" t="s">
        <v>15047</v>
      </c>
      <c r="C10757" t="s">
        <v>7</v>
      </c>
      <c r="D10757" t="s">
        <v>14</v>
      </c>
      <c r="E10757" t="s">
        <v>14396</v>
      </c>
      <c r="F10757" t="s">
        <v>15048</v>
      </c>
    </row>
    <row r="10758" spans="1:6" x14ac:dyDescent="0.25">
      <c r="A10758" t="str">
        <f>"543105554280"</f>
        <v>543105554280</v>
      </c>
      <c r="B10758" t="s">
        <v>15049</v>
      </c>
      <c r="C10758" t="s">
        <v>7</v>
      </c>
      <c r="D10758" t="s">
        <v>14</v>
      </c>
      <c r="E10758" t="s">
        <v>14396</v>
      </c>
    </row>
    <row r="10759" spans="1:6" x14ac:dyDescent="0.25">
      <c r="A10759" t="str">
        <f>"543241653610"</f>
        <v>543241653610</v>
      </c>
      <c r="B10759" t="s">
        <v>15050</v>
      </c>
      <c r="C10759" t="s">
        <v>7</v>
      </c>
      <c r="D10759" t="s">
        <v>33</v>
      </c>
      <c r="E10759" t="s">
        <v>14396</v>
      </c>
    </row>
    <row r="10760" spans="1:6" x14ac:dyDescent="0.25">
      <c r="A10760" t="str">
        <f>"543306164466"</f>
        <v>543306164466</v>
      </c>
      <c r="B10760" t="s">
        <v>15051</v>
      </c>
      <c r="C10760" t="s">
        <v>7</v>
      </c>
      <c r="D10760" t="s">
        <v>14</v>
      </c>
      <c r="E10760" t="s">
        <v>14396</v>
      </c>
    </row>
    <row r="10761" spans="1:6" x14ac:dyDescent="0.25">
      <c r="A10761" t="str">
        <f>"543309411184"</f>
        <v>543309411184</v>
      </c>
      <c r="B10761" t="s">
        <v>15052</v>
      </c>
      <c r="C10761" t="s">
        <v>7</v>
      </c>
      <c r="D10761" t="s">
        <v>14</v>
      </c>
      <c r="E10761" t="s">
        <v>14396</v>
      </c>
    </row>
    <row r="10762" spans="1:6" x14ac:dyDescent="0.25">
      <c r="A10762" t="str">
        <f>"543310573817"</f>
        <v>543310573817</v>
      </c>
      <c r="B10762" t="s">
        <v>15053</v>
      </c>
      <c r="C10762" t="s">
        <v>7</v>
      </c>
      <c r="D10762" t="s">
        <v>14</v>
      </c>
      <c r="E10762" t="s">
        <v>14396</v>
      </c>
    </row>
    <row r="10763" spans="1:6" x14ac:dyDescent="0.25">
      <c r="A10763" t="str">
        <f>"5433127581"</f>
        <v>5433127581</v>
      </c>
      <c r="B10763" t="s">
        <v>15054</v>
      </c>
      <c r="C10763" t="s">
        <v>7</v>
      </c>
      <c r="D10763" t="s">
        <v>12</v>
      </c>
      <c r="E10763" t="s">
        <v>14396</v>
      </c>
      <c r="F10763" t="s">
        <v>15055</v>
      </c>
    </row>
    <row r="10764" spans="1:6" x14ac:dyDescent="0.25">
      <c r="A10764" t="str">
        <f>"5433147891"</f>
        <v>5433147891</v>
      </c>
      <c r="B10764" t="s">
        <v>15056</v>
      </c>
      <c r="C10764" t="s">
        <v>7</v>
      </c>
      <c r="D10764" t="s">
        <v>14</v>
      </c>
      <c r="E10764" t="s">
        <v>14396</v>
      </c>
      <c r="F10764" t="s">
        <v>15057</v>
      </c>
    </row>
    <row r="10765" spans="1:6" x14ac:dyDescent="0.25">
      <c r="A10765" t="str">
        <f>"543315639349"</f>
        <v>543315639349</v>
      </c>
      <c r="B10765" t="s">
        <v>15058</v>
      </c>
      <c r="C10765" t="s">
        <v>7</v>
      </c>
      <c r="D10765" t="s">
        <v>14</v>
      </c>
      <c r="E10765" t="s">
        <v>14396</v>
      </c>
    </row>
    <row r="10766" spans="1:6" x14ac:dyDescent="0.25">
      <c r="A10766" t="str">
        <f>"5434116776"</f>
        <v>5434116776</v>
      </c>
      <c r="B10766" t="s">
        <v>15059</v>
      </c>
      <c r="C10766" t="s">
        <v>7</v>
      </c>
      <c r="D10766" t="s">
        <v>14</v>
      </c>
      <c r="E10766" t="s">
        <v>14396</v>
      </c>
      <c r="F10766" t="s">
        <v>15060</v>
      </c>
    </row>
    <row r="10767" spans="1:6" x14ac:dyDescent="0.25">
      <c r="A10767" t="str">
        <f>"543625895487"</f>
        <v>543625895487</v>
      </c>
      <c r="B10767" t="s">
        <v>15061</v>
      </c>
      <c r="C10767" t="s">
        <v>7</v>
      </c>
      <c r="D10767" t="s">
        <v>14</v>
      </c>
      <c r="E10767" t="s">
        <v>14396</v>
      </c>
    </row>
    <row r="10768" spans="1:6" x14ac:dyDescent="0.25">
      <c r="A10768" t="str">
        <f>"543670387848"</f>
        <v>543670387848</v>
      </c>
      <c r="B10768" t="s">
        <v>15062</v>
      </c>
      <c r="C10768" t="s">
        <v>7</v>
      </c>
      <c r="D10768" t="s">
        <v>14</v>
      </c>
      <c r="E10768" t="s">
        <v>14396</v>
      </c>
    </row>
    <row r="10769" spans="1:6" x14ac:dyDescent="0.25">
      <c r="A10769" t="str">
        <f>"543670535101"</f>
        <v>543670535101</v>
      </c>
      <c r="B10769" t="s">
        <v>15063</v>
      </c>
      <c r="C10769" t="s">
        <v>7</v>
      </c>
      <c r="D10769" t="s">
        <v>14</v>
      </c>
      <c r="E10769" t="s">
        <v>14396</v>
      </c>
    </row>
    <row r="10770" spans="1:6" x14ac:dyDescent="0.25">
      <c r="A10770" t="str">
        <f>"543852119787"</f>
        <v>543852119787</v>
      </c>
      <c r="B10770" t="s">
        <v>15064</v>
      </c>
      <c r="C10770" t="s">
        <v>7</v>
      </c>
      <c r="D10770" t="s">
        <v>14</v>
      </c>
      <c r="E10770" t="s">
        <v>14396</v>
      </c>
    </row>
    <row r="10771" spans="1:6" x14ac:dyDescent="0.25">
      <c r="A10771" t="str">
        <f>"544305626286"</f>
        <v>544305626286</v>
      </c>
      <c r="B10771" t="s">
        <v>15065</v>
      </c>
      <c r="C10771" t="s">
        <v>7</v>
      </c>
      <c r="D10771" t="s">
        <v>14</v>
      </c>
      <c r="E10771" t="s">
        <v>14396</v>
      </c>
    </row>
    <row r="10772" spans="1:6" x14ac:dyDescent="0.25">
      <c r="A10772" t="str">
        <f>"544307395933"</f>
        <v>544307395933</v>
      </c>
      <c r="B10772" t="s">
        <v>15066</v>
      </c>
      <c r="C10772" t="s">
        <v>7</v>
      </c>
      <c r="D10772" t="s">
        <v>14</v>
      </c>
      <c r="E10772" t="s">
        <v>14396</v>
      </c>
    </row>
    <row r="10773" spans="1:6" x14ac:dyDescent="0.25">
      <c r="A10773" t="str">
        <f>"544313226901"</f>
        <v>544313226901</v>
      </c>
      <c r="B10773" t="s">
        <v>15067</v>
      </c>
      <c r="C10773" t="s">
        <v>7</v>
      </c>
      <c r="D10773" t="s">
        <v>14</v>
      </c>
      <c r="E10773" t="s">
        <v>14396</v>
      </c>
    </row>
    <row r="10774" spans="1:6" x14ac:dyDescent="0.25">
      <c r="A10774" t="str">
        <f>"5444103617"</f>
        <v>5444103617</v>
      </c>
      <c r="B10774" t="s">
        <v>14602</v>
      </c>
      <c r="C10774" t="s">
        <v>7</v>
      </c>
      <c r="D10774" t="s">
        <v>12</v>
      </c>
      <c r="E10774" t="s">
        <v>14396</v>
      </c>
      <c r="F10774" t="s">
        <v>15068</v>
      </c>
    </row>
    <row r="10775" spans="1:6" x14ac:dyDescent="0.25">
      <c r="A10775" t="str">
        <f>"544590694228"</f>
        <v>544590694228</v>
      </c>
      <c r="B10775" t="s">
        <v>15069</v>
      </c>
      <c r="C10775" t="s">
        <v>7</v>
      </c>
      <c r="D10775" t="s">
        <v>14</v>
      </c>
      <c r="E10775" t="s">
        <v>14396</v>
      </c>
    </row>
    <row r="10776" spans="1:6" x14ac:dyDescent="0.25">
      <c r="A10776" t="str">
        <f>"5446116114"</f>
        <v>5446116114</v>
      </c>
      <c r="B10776" t="s">
        <v>15070</v>
      </c>
      <c r="C10776" t="s">
        <v>7</v>
      </c>
      <c r="D10776" t="s">
        <v>33</v>
      </c>
      <c r="E10776" t="s">
        <v>14396</v>
      </c>
      <c r="F10776" t="s">
        <v>15071</v>
      </c>
    </row>
    <row r="10777" spans="1:6" x14ac:dyDescent="0.25">
      <c r="A10777" t="str">
        <f>"5448950614"</f>
        <v>5448950614</v>
      </c>
      <c r="B10777" t="s">
        <v>15072</v>
      </c>
      <c r="C10777" t="s">
        <v>7</v>
      </c>
      <c r="D10777" t="s">
        <v>12</v>
      </c>
      <c r="E10777" t="s">
        <v>14396</v>
      </c>
      <c r="F10777" t="s">
        <v>15073</v>
      </c>
    </row>
    <row r="10778" spans="1:6" x14ac:dyDescent="0.25">
      <c r="A10778" t="str">
        <f>"5473014626"</f>
        <v>5473014626</v>
      </c>
      <c r="B10778" t="s">
        <v>15074</v>
      </c>
      <c r="C10778" t="s">
        <v>7</v>
      </c>
      <c r="D10778" t="s">
        <v>33</v>
      </c>
      <c r="E10778" t="s">
        <v>14396</v>
      </c>
      <c r="F10778" t="s">
        <v>15075</v>
      </c>
    </row>
    <row r="10779" spans="1:6" x14ac:dyDescent="0.25">
      <c r="A10779" t="str">
        <f>"5473015570"</f>
        <v>5473015570</v>
      </c>
      <c r="B10779" t="s">
        <v>15076</v>
      </c>
      <c r="C10779" t="s">
        <v>7</v>
      </c>
      <c r="D10779" t="s">
        <v>12</v>
      </c>
      <c r="E10779" t="s">
        <v>14396</v>
      </c>
      <c r="F10779" t="s">
        <v>15077</v>
      </c>
    </row>
    <row r="10780" spans="1:6" x14ac:dyDescent="0.25">
      <c r="A10780" t="str">
        <f>"228600047035"</f>
        <v>228600047035</v>
      </c>
      <c r="B10780" t="s">
        <v>15078</v>
      </c>
      <c r="C10780" t="s">
        <v>7</v>
      </c>
      <c r="D10780" t="s">
        <v>14</v>
      </c>
      <c r="E10780" t="s">
        <v>14396</v>
      </c>
    </row>
    <row r="10781" spans="1:6" x14ac:dyDescent="0.25">
      <c r="A10781" t="str">
        <f>"741707073994"</f>
        <v>741707073994</v>
      </c>
      <c r="B10781" t="s">
        <v>15079</v>
      </c>
      <c r="C10781" t="s">
        <v>7</v>
      </c>
      <c r="D10781" t="s">
        <v>14</v>
      </c>
      <c r="E10781" t="s">
        <v>14396</v>
      </c>
    </row>
    <row r="10782" spans="1:6" x14ac:dyDescent="0.25">
      <c r="A10782" t="str">
        <f>"651100512845"</f>
        <v>651100512845</v>
      </c>
      <c r="B10782" t="s">
        <v>15080</v>
      </c>
      <c r="C10782" t="s">
        <v>7</v>
      </c>
      <c r="D10782" t="s">
        <v>14</v>
      </c>
      <c r="E10782" t="s">
        <v>14396</v>
      </c>
    </row>
    <row r="10783" spans="1:6" x14ac:dyDescent="0.25">
      <c r="A10783" t="str">
        <f>"753002176006"</f>
        <v>753002176006</v>
      </c>
      <c r="B10783" t="s">
        <v>15081</v>
      </c>
      <c r="C10783" t="s">
        <v>7</v>
      </c>
      <c r="D10783" t="s">
        <v>14</v>
      </c>
      <c r="E10783" t="s">
        <v>14396</v>
      </c>
    </row>
    <row r="10784" spans="1:6" x14ac:dyDescent="0.25">
      <c r="A10784" t="str">
        <f>"3812111616"</f>
        <v>3812111616</v>
      </c>
      <c r="B10784" t="s">
        <v>15082</v>
      </c>
      <c r="C10784" t="s">
        <v>7</v>
      </c>
      <c r="D10784" t="s">
        <v>33</v>
      </c>
      <c r="E10784" t="s">
        <v>14396</v>
      </c>
      <c r="F10784" t="s">
        <v>15083</v>
      </c>
    </row>
    <row r="10785" spans="1:6" x14ac:dyDescent="0.25">
      <c r="A10785" t="str">
        <f>"2315222339"</f>
        <v>2315222339</v>
      </c>
      <c r="B10785" t="s">
        <v>15084</v>
      </c>
      <c r="C10785" t="s">
        <v>7</v>
      </c>
      <c r="D10785" t="s">
        <v>98</v>
      </c>
      <c r="E10785" t="s">
        <v>14396</v>
      </c>
      <c r="F10785" t="s">
        <v>15085</v>
      </c>
    </row>
    <row r="10786" spans="1:6" x14ac:dyDescent="0.25">
      <c r="A10786" t="str">
        <f>"7536165180"</f>
        <v>7536165180</v>
      </c>
      <c r="B10786" t="s">
        <v>15086</v>
      </c>
      <c r="C10786" t="s">
        <v>7</v>
      </c>
      <c r="D10786" t="s">
        <v>12</v>
      </c>
      <c r="E10786" t="s">
        <v>14396</v>
      </c>
      <c r="F10786" t="s">
        <v>15087</v>
      </c>
    </row>
    <row r="10787" spans="1:6" x14ac:dyDescent="0.25">
      <c r="A10787" t="str">
        <f>"4205221833"</f>
        <v>4205221833</v>
      </c>
      <c r="B10787" t="s">
        <v>15088</v>
      </c>
      <c r="C10787" t="s">
        <v>7</v>
      </c>
      <c r="D10787" t="s">
        <v>12</v>
      </c>
      <c r="E10787" t="s">
        <v>14396</v>
      </c>
      <c r="F10787" t="s">
        <v>15089</v>
      </c>
    </row>
    <row r="10788" spans="1:6" x14ac:dyDescent="0.25">
      <c r="A10788" t="str">
        <f>"421400282130"</f>
        <v>421400282130</v>
      </c>
      <c r="B10788" t="s">
        <v>15090</v>
      </c>
      <c r="C10788" t="s">
        <v>7</v>
      </c>
      <c r="D10788" t="s">
        <v>12</v>
      </c>
      <c r="E10788" t="s">
        <v>14396</v>
      </c>
    </row>
    <row r="10789" spans="1:6" x14ac:dyDescent="0.25">
      <c r="A10789" t="str">
        <f>"420100348268"</f>
        <v>420100348268</v>
      </c>
      <c r="B10789" t="s">
        <v>15091</v>
      </c>
      <c r="C10789" t="s">
        <v>7</v>
      </c>
      <c r="D10789" t="s">
        <v>12</v>
      </c>
      <c r="E10789" t="s">
        <v>14396</v>
      </c>
    </row>
    <row r="10790" spans="1:6" x14ac:dyDescent="0.25">
      <c r="A10790" t="str">
        <f>"420524372176"</f>
        <v>420524372176</v>
      </c>
      <c r="B10790" t="s">
        <v>15092</v>
      </c>
      <c r="C10790" t="s">
        <v>7</v>
      </c>
      <c r="D10790" t="s">
        <v>12</v>
      </c>
      <c r="E10790" t="s">
        <v>14396</v>
      </c>
    </row>
    <row r="10791" spans="1:6" x14ac:dyDescent="0.25">
      <c r="A10791" t="str">
        <f>"4205331882"</f>
        <v>4205331882</v>
      </c>
      <c r="B10791" t="s">
        <v>15093</v>
      </c>
      <c r="C10791" t="s">
        <v>7</v>
      </c>
      <c r="D10791" t="s">
        <v>33</v>
      </c>
      <c r="E10791" t="s">
        <v>14396</v>
      </c>
      <c r="F10791" t="s">
        <v>15094</v>
      </c>
    </row>
    <row r="10792" spans="1:6" x14ac:dyDescent="0.25">
      <c r="A10792" t="str">
        <f>"170108277372"</f>
        <v>170108277372</v>
      </c>
      <c r="B10792" t="s">
        <v>15095</v>
      </c>
      <c r="C10792" t="s">
        <v>7</v>
      </c>
      <c r="D10792" t="s">
        <v>14</v>
      </c>
      <c r="E10792" t="s">
        <v>14396</v>
      </c>
    </row>
    <row r="10793" spans="1:6" x14ac:dyDescent="0.25">
      <c r="A10793" t="str">
        <f>"4212038532"</f>
        <v>4212038532</v>
      </c>
      <c r="B10793" t="s">
        <v>15096</v>
      </c>
      <c r="C10793" t="s">
        <v>7</v>
      </c>
      <c r="D10793" t="s">
        <v>674</v>
      </c>
      <c r="E10793" t="s">
        <v>14396</v>
      </c>
      <c r="F10793" t="s">
        <v>15097</v>
      </c>
    </row>
    <row r="10794" spans="1:6" x14ac:dyDescent="0.25">
      <c r="A10794" t="str">
        <f>"9715225986"</f>
        <v>9715225986</v>
      </c>
      <c r="B10794" t="s">
        <v>15098</v>
      </c>
      <c r="C10794" t="s">
        <v>7</v>
      </c>
      <c r="D10794" t="s">
        <v>463</v>
      </c>
      <c r="E10794" t="s">
        <v>14396</v>
      </c>
      <c r="F10794" t="s">
        <v>14459</v>
      </c>
    </row>
    <row r="10795" spans="1:6" x14ac:dyDescent="0.25">
      <c r="A10795" t="str">
        <f>"246001994830"</f>
        <v>246001994830</v>
      </c>
      <c r="B10795" t="s">
        <v>15099</v>
      </c>
      <c r="C10795" t="s">
        <v>7</v>
      </c>
      <c r="D10795" t="s">
        <v>12</v>
      </c>
      <c r="E10795" t="s">
        <v>15100</v>
      </c>
    </row>
    <row r="10796" spans="1:6" x14ac:dyDescent="0.25">
      <c r="A10796" t="str">
        <f>"5402568522"</f>
        <v>5402568522</v>
      </c>
      <c r="B10796" t="s">
        <v>15101</v>
      </c>
      <c r="C10796" t="s">
        <v>7</v>
      </c>
      <c r="D10796" t="s">
        <v>98</v>
      </c>
      <c r="E10796" t="s">
        <v>15100</v>
      </c>
      <c r="F10796" t="s">
        <v>15102</v>
      </c>
    </row>
    <row r="10797" spans="1:6" x14ac:dyDescent="0.25">
      <c r="A10797" t="str">
        <f>"550148330038"</f>
        <v>550148330038</v>
      </c>
      <c r="B10797" t="s">
        <v>15103</v>
      </c>
      <c r="C10797" t="s">
        <v>7</v>
      </c>
      <c r="D10797" t="s">
        <v>14</v>
      </c>
      <c r="E10797" t="s">
        <v>15100</v>
      </c>
    </row>
    <row r="10798" spans="1:6" x14ac:dyDescent="0.25">
      <c r="A10798" t="str">
        <f>"550506141989"</f>
        <v>550506141989</v>
      </c>
      <c r="B10798" t="s">
        <v>15104</v>
      </c>
      <c r="C10798" t="s">
        <v>7</v>
      </c>
      <c r="D10798" t="s">
        <v>14</v>
      </c>
      <c r="E10798" t="s">
        <v>15100</v>
      </c>
    </row>
    <row r="10799" spans="1:6" x14ac:dyDescent="0.25">
      <c r="A10799" t="str">
        <f>"550601137615"</f>
        <v>550601137615</v>
      </c>
      <c r="B10799" t="s">
        <v>15105</v>
      </c>
      <c r="C10799" t="s">
        <v>7</v>
      </c>
      <c r="D10799" t="s">
        <v>12</v>
      </c>
      <c r="E10799" t="s">
        <v>15100</v>
      </c>
    </row>
    <row r="10800" spans="1:6" x14ac:dyDescent="0.25">
      <c r="A10800" t="str">
        <f>"5507039082"</f>
        <v>5507039082</v>
      </c>
      <c r="B10800" t="s">
        <v>15106</v>
      </c>
      <c r="C10800" t="s">
        <v>7</v>
      </c>
      <c r="D10800" t="s">
        <v>33</v>
      </c>
      <c r="E10800" t="s">
        <v>15100</v>
      </c>
      <c r="F10800" t="s">
        <v>15107</v>
      </c>
    </row>
    <row r="10801" spans="1:6" x14ac:dyDescent="0.25">
      <c r="A10801" t="str">
        <f>"550706102803"</f>
        <v>550706102803</v>
      </c>
      <c r="B10801" t="s">
        <v>15108</v>
      </c>
      <c r="C10801" t="s">
        <v>7</v>
      </c>
      <c r="D10801" t="s">
        <v>14</v>
      </c>
      <c r="E10801" t="s">
        <v>15100</v>
      </c>
    </row>
    <row r="10802" spans="1:6" x14ac:dyDescent="0.25">
      <c r="A10802" t="str">
        <f>"5507102760"</f>
        <v>5507102760</v>
      </c>
      <c r="B10802" t="s">
        <v>15109</v>
      </c>
      <c r="C10802" t="s">
        <v>7</v>
      </c>
      <c r="D10802" t="s">
        <v>33</v>
      </c>
      <c r="E10802" t="s">
        <v>15100</v>
      </c>
      <c r="F10802" t="s">
        <v>15110</v>
      </c>
    </row>
    <row r="10803" spans="1:6" x14ac:dyDescent="0.25">
      <c r="A10803" t="str">
        <f>"5507204755"</f>
        <v>5507204755</v>
      </c>
      <c r="B10803" t="s">
        <v>15111</v>
      </c>
      <c r="C10803" t="s">
        <v>7</v>
      </c>
      <c r="D10803" t="s">
        <v>14</v>
      </c>
      <c r="E10803" t="s">
        <v>15100</v>
      </c>
      <c r="F10803" t="s">
        <v>15112</v>
      </c>
    </row>
    <row r="10804" spans="1:6" x14ac:dyDescent="0.25">
      <c r="A10804" t="str">
        <f>"552400015917"</f>
        <v>552400015917</v>
      </c>
      <c r="B10804" t="s">
        <v>15113</v>
      </c>
      <c r="C10804" t="s">
        <v>7</v>
      </c>
      <c r="D10804" t="s">
        <v>14</v>
      </c>
      <c r="E10804" t="s">
        <v>15100</v>
      </c>
    </row>
    <row r="10805" spans="1:6" x14ac:dyDescent="0.25">
      <c r="A10805" t="str">
        <f>"5528052052"</f>
        <v>5528052052</v>
      </c>
      <c r="B10805" t="s">
        <v>15114</v>
      </c>
      <c r="C10805" t="s">
        <v>7</v>
      </c>
      <c r="D10805" t="s">
        <v>12</v>
      </c>
      <c r="E10805" t="s">
        <v>15100</v>
      </c>
      <c r="F10805" t="s">
        <v>15115</v>
      </c>
    </row>
    <row r="10806" spans="1:6" x14ac:dyDescent="0.25">
      <c r="A10806" t="str">
        <f>"552806020139"</f>
        <v>552806020139</v>
      </c>
      <c r="B10806" t="s">
        <v>15116</v>
      </c>
      <c r="C10806" t="s">
        <v>7</v>
      </c>
      <c r="D10806" t="s">
        <v>14</v>
      </c>
      <c r="E10806" t="s">
        <v>15100</v>
      </c>
    </row>
    <row r="10807" spans="1:6" x14ac:dyDescent="0.25">
      <c r="A10807" t="str">
        <f>"553400009930"</f>
        <v>553400009930</v>
      </c>
      <c r="B10807" t="s">
        <v>15117</v>
      </c>
      <c r="C10807" t="s">
        <v>7</v>
      </c>
      <c r="D10807" t="s">
        <v>14</v>
      </c>
      <c r="E10807" t="s">
        <v>15100</v>
      </c>
    </row>
    <row r="10808" spans="1:6" x14ac:dyDescent="0.25">
      <c r="A10808" t="str">
        <f>"702204475291"</f>
        <v>702204475291</v>
      </c>
      <c r="B10808" t="s">
        <v>15118</v>
      </c>
      <c r="C10808" t="s">
        <v>7</v>
      </c>
      <c r="D10808" t="s">
        <v>12</v>
      </c>
      <c r="E10808" t="s">
        <v>15100</v>
      </c>
    </row>
    <row r="10809" spans="1:6" x14ac:dyDescent="0.25">
      <c r="A10809" t="str">
        <f>"590600052989"</f>
        <v>590600052989</v>
      </c>
      <c r="B10809" t="s">
        <v>15119</v>
      </c>
      <c r="C10809" t="s">
        <v>7</v>
      </c>
      <c r="D10809" t="s">
        <v>12</v>
      </c>
      <c r="E10809" t="s">
        <v>15100</v>
      </c>
    </row>
    <row r="10810" spans="1:6" x14ac:dyDescent="0.25">
      <c r="A10810" t="str">
        <f>"5501020261"</f>
        <v>5501020261</v>
      </c>
      <c r="B10810" t="s">
        <v>15120</v>
      </c>
      <c r="C10810" t="s">
        <v>7</v>
      </c>
      <c r="D10810" t="s">
        <v>98</v>
      </c>
      <c r="E10810" t="s">
        <v>15100</v>
      </c>
      <c r="F10810" t="s">
        <v>15121</v>
      </c>
    </row>
    <row r="10811" spans="1:6" x14ac:dyDescent="0.25">
      <c r="A10811" t="str">
        <f>"5501044230"</f>
        <v>5501044230</v>
      </c>
      <c r="B10811" t="s">
        <v>15122</v>
      </c>
      <c r="C10811" t="s">
        <v>7</v>
      </c>
      <c r="D10811" t="s">
        <v>14</v>
      </c>
      <c r="E10811" t="s">
        <v>15100</v>
      </c>
      <c r="F10811" t="s">
        <v>15123</v>
      </c>
    </row>
    <row r="10812" spans="1:6" x14ac:dyDescent="0.25">
      <c r="A10812" t="str">
        <f>"550106908126"</f>
        <v>550106908126</v>
      </c>
      <c r="B10812" t="s">
        <v>15124</v>
      </c>
      <c r="C10812" t="s">
        <v>7</v>
      </c>
      <c r="D10812" t="s">
        <v>14</v>
      </c>
      <c r="E10812" t="s">
        <v>15100</v>
      </c>
    </row>
    <row r="10813" spans="1:6" x14ac:dyDescent="0.25">
      <c r="A10813" t="str">
        <f>"550109108030"</f>
        <v>550109108030</v>
      </c>
      <c r="B10813" t="s">
        <v>15125</v>
      </c>
      <c r="C10813" t="s">
        <v>7</v>
      </c>
      <c r="D10813" t="s">
        <v>12</v>
      </c>
      <c r="E10813" t="s">
        <v>15100</v>
      </c>
    </row>
    <row r="10814" spans="1:6" x14ac:dyDescent="0.25">
      <c r="A10814" t="str">
        <f>"550114598301"</f>
        <v>550114598301</v>
      </c>
      <c r="B10814" t="s">
        <v>15126</v>
      </c>
      <c r="C10814" t="s">
        <v>7</v>
      </c>
      <c r="D10814" t="s">
        <v>14</v>
      </c>
      <c r="E10814" t="s">
        <v>15100</v>
      </c>
    </row>
    <row r="10815" spans="1:6" x14ac:dyDescent="0.25">
      <c r="A10815" t="str">
        <f>"550114707399"</f>
        <v>550114707399</v>
      </c>
      <c r="B10815" t="s">
        <v>15127</v>
      </c>
      <c r="C10815" t="s">
        <v>7</v>
      </c>
      <c r="D10815" t="s">
        <v>14</v>
      </c>
      <c r="E10815" t="s">
        <v>15100</v>
      </c>
    </row>
    <row r="10816" spans="1:6" x14ac:dyDescent="0.25">
      <c r="A10816" t="str">
        <f>"5501174448"</f>
        <v>5501174448</v>
      </c>
      <c r="B10816" t="s">
        <v>1580</v>
      </c>
      <c r="C10816" t="s">
        <v>7</v>
      </c>
      <c r="D10816" t="s">
        <v>146</v>
      </c>
      <c r="E10816" t="s">
        <v>15100</v>
      </c>
      <c r="F10816" t="s">
        <v>15128</v>
      </c>
    </row>
    <row r="10817" spans="1:6" x14ac:dyDescent="0.25">
      <c r="A10817" t="str">
        <f>"550301163702"</f>
        <v>550301163702</v>
      </c>
      <c r="B10817" t="s">
        <v>15129</v>
      </c>
      <c r="C10817" t="s">
        <v>7</v>
      </c>
      <c r="D10817" t="s">
        <v>14</v>
      </c>
      <c r="E10817" t="s">
        <v>15100</v>
      </c>
    </row>
    <row r="10818" spans="1:6" x14ac:dyDescent="0.25">
      <c r="A10818" t="str">
        <f>"550302581501"</f>
        <v>550302581501</v>
      </c>
      <c r="B10818" t="s">
        <v>15130</v>
      </c>
      <c r="C10818" t="s">
        <v>7</v>
      </c>
      <c r="D10818" t="s">
        <v>33</v>
      </c>
      <c r="E10818" t="s">
        <v>15100</v>
      </c>
    </row>
    <row r="10819" spans="1:6" x14ac:dyDescent="0.25">
      <c r="A10819" t="str">
        <f>"550304481118"</f>
        <v>550304481118</v>
      </c>
      <c r="B10819" t="s">
        <v>15131</v>
      </c>
      <c r="C10819" t="s">
        <v>7</v>
      </c>
      <c r="D10819" t="s">
        <v>14</v>
      </c>
      <c r="E10819" t="s">
        <v>15100</v>
      </c>
    </row>
    <row r="10820" spans="1:6" x14ac:dyDescent="0.25">
      <c r="A10820" t="str">
        <f>"550307280201"</f>
        <v>550307280201</v>
      </c>
      <c r="B10820" t="s">
        <v>15132</v>
      </c>
      <c r="C10820" t="s">
        <v>7</v>
      </c>
      <c r="D10820" t="s">
        <v>14</v>
      </c>
      <c r="E10820" t="s">
        <v>15100</v>
      </c>
    </row>
    <row r="10821" spans="1:6" x14ac:dyDescent="0.25">
      <c r="A10821" t="str">
        <f>"5503100829"</f>
        <v>5503100829</v>
      </c>
      <c r="B10821" t="s">
        <v>7620</v>
      </c>
      <c r="C10821" t="s">
        <v>7</v>
      </c>
      <c r="D10821" t="s">
        <v>14</v>
      </c>
      <c r="E10821" t="s">
        <v>15100</v>
      </c>
      <c r="F10821" t="s">
        <v>15133</v>
      </c>
    </row>
    <row r="10822" spans="1:6" x14ac:dyDescent="0.25">
      <c r="A10822" t="str">
        <f>"5503119964"</f>
        <v>5503119964</v>
      </c>
      <c r="B10822" t="s">
        <v>15134</v>
      </c>
      <c r="C10822" t="s">
        <v>7</v>
      </c>
      <c r="D10822" t="s">
        <v>14</v>
      </c>
      <c r="E10822" t="s">
        <v>15100</v>
      </c>
      <c r="F10822" t="s">
        <v>15135</v>
      </c>
    </row>
    <row r="10823" spans="1:6" x14ac:dyDescent="0.25">
      <c r="A10823" t="str">
        <f>"5503149493"</f>
        <v>5503149493</v>
      </c>
      <c r="B10823" t="s">
        <v>523</v>
      </c>
      <c r="C10823" t="s">
        <v>7</v>
      </c>
      <c r="D10823" t="s">
        <v>12</v>
      </c>
      <c r="E10823" t="s">
        <v>15100</v>
      </c>
      <c r="F10823" t="s">
        <v>15136</v>
      </c>
    </row>
    <row r="10824" spans="1:6" x14ac:dyDescent="0.25">
      <c r="A10824" t="str">
        <f>"550315040309"</f>
        <v>550315040309</v>
      </c>
      <c r="B10824" t="s">
        <v>15137</v>
      </c>
      <c r="C10824" t="s">
        <v>7</v>
      </c>
      <c r="D10824" t="s">
        <v>14</v>
      </c>
      <c r="E10824" t="s">
        <v>15100</v>
      </c>
    </row>
    <row r="10825" spans="1:6" x14ac:dyDescent="0.25">
      <c r="A10825" t="str">
        <f>"5503176970"</f>
        <v>5503176970</v>
      </c>
      <c r="B10825" t="s">
        <v>15138</v>
      </c>
      <c r="C10825" t="s">
        <v>7</v>
      </c>
      <c r="D10825" t="s">
        <v>146</v>
      </c>
      <c r="E10825" t="s">
        <v>15100</v>
      </c>
      <c r="F10825" t="s">
        <v>15139</v>
      </c>
    </row>
    <row r="10826" spans="1:6" x14ac:dyDescent="0.25">
      <c r="A10826" t="str">
        <f>"5503184177"</f>
        <v>5503184177</v>
      </c>
      <c r="B10826" t="s">
        <v>15140</v>
      </c>
      <c r="C10826" t="s">
        <v>7</v>
      </c>
      <c r="D10826" t="s">
        <v>14</v>
      </c>
      <c r="E10826" t="s">
        <v>15100</v>
      </c>
      <c r="F10826" t="s">
        <v>15141</v>
      </c>
    </row>
    <row r="10827" spans="1:6" x14ac:dyDescent="0.25">
      <c r="A10827" t="str">
        <f>"5503209174"</f>
        <v>5503209174</v>
      </c>
      <c r="B10827" t="s">
        <v>15142</v>
      </c>
      <c r="C10827" t="s">
        <v>7</v>
      </c>
      <c r="D10827" t="s">
        <v>33</v>
      </c>
      <c r="E10827" t="s">
        <v>15100</v>
      </c>
      <c r="F10827" t="s">
        <v>15143</v>
      </c>
    </row>
    <row r="10828" spans="1:6" x14ac:dyDescent="0.25">
      <c r="A10828" t="str">
        <f>"5503267923"</f>
        <v>5503267923</v>
      </c>
      <c r="B10828" t="s">
        <v>15144</v>
      </c>
      <c r="C10828" t="s">
        <v>7</v>
      </c>
      <c r="D10828" t="s">
        <v>12</v>
      </c>
      <c r="E10828" t="s">
        <v>15100</v>
      </c>
      <c r="F10828" t="s">
        <v>15145</v>
      </c>
    </row>
    <row r="10829" spans="1:6" x14ac:dyDescent="0.25">
      <c r="A10829" t="str">
        <f>"5503275716"</f>
        <v>5503275716</v>
      </c>
      <c r="B10829" t="s">
        <v>15146</v>
      </c>
      <c r="C10829" t="s">
        <v>7</v>
      </c>
      <c r="D10829" t="s">
        <v>14</v>
      </c>
      <c r="E10829" t="s">
        <v>15100</v>
      </c>
      <c r="F10829" t="s">
        <v>15147</v>
      </c>
    </row>
    <row r="10830" spans="1:6" x14ac:dyDescent="0.25">
      <c r="A10830" t="str">
        <f>"550400349916"</f>
        <v>550400349916</v>
      </c>
      <c r="B10830" t="s">
        <v>15148</v>
      </c>
      <c r="C10830" t="s">
        <v>7</v>
      </c>
      <c r="D10830" t="s">
        <v>14</v>
      </c>
      <c r="E10830" t="s">
        <v>15100</v>
      </c>
    </row>
    <row r="10831" spans="1:6" x14ac:dyDescent="0.25">
      <c r="A10831" t="str">
        <f>"550401425888"</f>
        <v>550401425888</v>
      </c>
      <c r="B10831" t="s">
        <v>15149</v>
      </c>
      <c r="C10831" t="s">
        <v>7</v>
      </c>
      <c r="D10831" t="s">
        <v>12</v>
      </c>
      <c r="E10831" t="s">
        <v>15100</v>
      </c>
    </row>
    <row r="10832" spans="1:6" x14ac:dyDescent="0.25">
      <c r="A10832" t="str">
        <f>"550403550404"</f>
        <v>550403550404</v>
      </c>
      <c r="B10832" t="s">
        <v>15150</v>
      </c>
      <c r="C10832" t="s">
        <v>7</v>
      </c>
      <c r="D10832" t="s">
        <v>33</v>
      </c>
      <c r="E10832" t="s">
        <v>15100</v>
      </c>
    </row>
    <row r="10833" spans="1:6" x14ac:dyDescent="0.25">
      <c r="A10833" t="str">
        <f>"550405501787"</f>
        <v>550405501787</v>
      </c>
      <c r="B10833" t="s">
        <v>15151</v>
      </c>
      <c r="C10833" t="s">
        <v>7</v>
      </c>
      <c r="D10833" t="s">
        <v>33</v>
      </c>
      <c r="E10833" t="s">
        <v>15100</v>
      </c>
    </row>
    <row r="10834" spans="1:6" x14ac:dyDescent="0.25">
      <c r="A10834" t="str">
        <f>"550411274099"</f>
        <v>550411274099</v>
      </c>
      <c r="B10834" t="s">
        <v>15152</v>
      </c>
      <c r="C10834" t="s">
        <v>7</v>
      </c>
      <c r="D10834" t="s">
        <v>14</v>
      </c>
      <c r="E10834" t="s">
        <v>15100</v>
      </c>
    </row>
    <row r="10835" spans="1:6" x14ac:dyDescent="0.25">
      <c r="A10835" t="str">
        <f>"550411490572"</f>
        <v>550411490572</v>
      </c>
      <c r="B10835" t="s">
        <v>15153</v>
      </c>
      <c r="C10835" t="s">
        <v>7</v>
      </c>
      <c r="D10835" t="s">
        <v>14</v>
      </c>
      <c r="E10835" t="s">
        <v>15100</v>
      </c>
    </row>
    <row r="10836" spans="1:6" x14ac:dyDescent="0.25">
      <c r="A10836" t="str">
        <f>"545109702207"</f>
        <v>545109702207</v>
      </c>
      <c r="B10836" t="s">
        <v>15154</v>
      </c>
      <c r="C10836" t="s">
        <v>7</v>
      </c>
      <c r="D10836" t="s">
        <v>12</v>
      </c>
      <c r="E10836" t="s">
        <v>15100</v>
      </c>
    </row>
    <row r="10837" spans="1:6" x14ac:dyDescent="0.25">
      <c r="A10837" t="str">
        <f>"5501044093"</f>
        <v>5501044093</v>
      </c>
      <c r="B10837" t="s">
        <v>15155</v>
      </c>
      <c r="C10837" t="s">
        <v>7</v>
      </c>
      <c r="D10837" t="s">
        <v>12</v>
      </c>
      <c r="E10837" t="s">
        <v>15100</v>
      </c>
      <c r="F10837" t="s">
        <v>15156</v>
      </c>
    </row>
    <row r="10838" spans="1:6" x14ac:dyDescent="0.25">
      <c r="A10838" t="str">
        <f>"550106586253"</f>
        <v>550106586253</v>
      </c>
      <c r="B10838" t="s">
        <v>15157</v>
      </c>
      <c r="C10838" t="s">
        <v>7</v>
      </c>
      <c r="D10838" t="s">
        <v>12</v>
      </c>
      <c r="E10838" t="s">
        <v>15100</v>
      </c>
    </row>
    <row r="10839" spans="1:6" x14ac:dyDescent="0.25">
      <c r="A10839" t="str">
        <f>"5501179100"</f>
        <v>5501179100</v>
      </c>
      <c r="B10839" t="s">
        <v>15158</v>
      </c>
      <c r="C10839" t="s">
        <v>7</v>
      </c>
      <c r="D10839" t="s">
        <v>146</v>
      </c>
      <c r="E10839" t="s">
        <v>15100</v>
      </c>
      <c r="F10839" t="s">
        <v>15159</v>
      </c>
    </row>
    <row r="10840" spans="1:6" x14ac:dyDescent="0.25">
      <c r="A10840" t="str">
        <f>"5501189571"</f>
        <v>5501189571</v>
      </c>
      <c r="B10840" t="s">
        <v>15160</v>
      </c>
      <c r="C10840" t="s">
        <v>7</v>
      </c>
      <c r="D10840" t="s">
        <v>12</v>
      </c>
      <c r="E10840" t="s">
        <v>15100</v>
      </c>
      <c r="F10840" t="s">
        <v>15161</v>
      </c>
    </row>
    <row r="10841" spans="1:6" x14ac:dyDescent="0.25">
      <c r="A10841" t="str">
        <f>"5501280005"</f>
        <v>5501280005</v>
      </c>
      <c r="B10841" t="s">
        <v>15162</v>
      </c>
      <c r="C10841" t="s">
        <v>7</v>
      </c>
      <c r="D10841" t="s">
        <v>8</v>
      </c>
      <c r="E10841" t="s">
        <v>15100</v>
      </c>
      <c r="F10841" t="s">
        <v>15163</v>
      </c>
    </row>
    <row r="10842" spans="1:6" x14ac:dyDescent="0.25">
      <c r="A10842" t="str">
        <f>"550145751694"</f>
        <v>550145751694</v>
      </c>
      <c r="B10842" t="s">
        <v>15164</v>
      </c>
      <c r="C10842" t="s">
        <v>7</v>
      </c>
      <c r="D10842" t="s">
        <v>14</v>
      </c>
      <c r="E10842" t="s">
        <v>15100</v>
      </c>
    </row>
    <row r="10843" spans="1:6" x14ac:dyDescent="0.25">
      <c r="A10843" t="str">
        <f>"550200932052"</f>
        <v>550200932052</v>
      </c>
      <c r="B10843" t="s">
        <v>15165</v>
      </c>
      <c r="C10843" t="s">
        <v>7</v>
      </c>
      <c r="D10843" t="s">
        <v>12</v>
      </c>
      <c r="E10843" t="s">
        <v>15100</v>
      </c>
    </row>
    <row r="10844" spans="1:6" x14ac:dyDescent="0.25">
      <c r="A10844" t="str">
        <f>"550304357304"</f>
        <v>550304357304</v>
      </c>
      <c r="B10844" t="s">
        <v>15166</v>
      </c>
      <c r="C10844" t="s">
        <v>7</v>
      </c>
      <c r="D10844" t="s">
        <v>14</v>
      </c>
      <c r="E10844" t="s">
        <v>15100</v>
      </c>
    </row>
    <row r="10845" spans="1:6" x14ac:dyDescent="0.25">
      <c r="A10845" t="str">
        <f>"550313529415"</f>
        <v>550313529415</v>
      </c>
      <c r="B10845" t="s">
        <v>15167</v>
      </c>
      <c r="C10845" t="s">
        <v>7</v>
      </c>
      <c r="D10845" t="s">
        <v>14</v>
      </c>
      <c r="E10845" t="s">
        <v>15100</v>
      </c>
    </row>
    <row r="10846" spans="1:6" x14ac:dyDescent="0.25">
      <c r="A10846" t="str">
        <f>"550320566707"</f>
        <v>550320566707</v>
      </c>
      <c r="B10846" t="s">
        <v>15168</v>
      </c>
      <c r="C10846" t="s">
        <v>7</v>
      </c>
      <c r="D10846" t="s">
        <v>14</v>
      </c>
      <c r="E10846" t="s">
        <v>15100</v>
      </c>
    </row>
    <row r="10847" spans="1:6" x14ac:dyDescent="0.25">
      <c r="A10847" t="str">
        <f>"5503225137"</f>
        <v>5503225137</v>
      </c>
      <c r="B10847" t="s">
        <v>15169</v>
      </c>
      <c r="C10847" t="s">
        <v>7</v>
      </c>
      <c r="D10847" t="s">
        <v>12</v>
      </c>
      <c r="E10847" t="s">
        <v>15100</v>
      </c>
      <c r="F10847" t="s">
        <v>15170</v>
      </c>
    </row>
    <row r="10848" spans="1:6" x14ac:dyDescent="0.25">
      <c r="A10848" t="str">
        <f>"5503236717"</f>
        <v>5503236717</v>
      </c>
      <c r="B10848" t="s">
        <v>15171</v>
      </c>
      <c r="C10848" t="s">
        <v>7</v>
      </c>
      <c r="D10848" t="s">
        <v>8</v>
      </c>
      <c r="E10848" t="s">
        <v>15100</v>
      </c>
      <c r="F10848" t="s">
        <v>15172</v>
      </c>
    </row>
    <row r="10849" spans="1:6" x14ac:dyDescent="0.25">
      <c r="A10849" t="str">
        <f>"5503255727"</f>
        <v>5503255727</v>
      </c>
      <c r="B10849" t="s">
        <v>15173</v>
      </c>
      <c r="C10849" t="s">
        <v>7</v>
      </c>
      <c r="D10849" t="s">
        <v>12</v>
      </c>
      <c r="E10849" t="s">
        <v>15100</v>
      </c>
      <c r="F10849" t="s">
        <v>15174</v>
      </c>
    </row>
    <row r="10850" spans="1:6" x14ac:dyDescent="0.25">
      <c r="A10850" t="str">
        <f>"550401545127"</f>
        <v>550401545127</v>
      </c>
      <c r="B10850" t="s">
        <v>15175</v>
      </c>
      <c r="C10850" t="s">
        <v>7</v>
      </c>
      <c r="D10850" t="s">
        <v>14</v>
      </c>
      <c r="E10850" t="s">
        <v>15100</v>
      </c>
    </row>
    <row r="10851" spans="1:6" x14ac:dyDescent="0.25">
      <c r="A10851" t="str">
        <f>"5504095040"</f>
        <v>5504095040</v>
      </c>
      <c r="B10851" t="s">
        <v>15176</v>
      </c>
      <c r="C10851" t="s">
        <v>7</v>
      </c>
      <c r="D10851" t="s">
        <v>14</v>
      </c>
      <c r="E10851" t="s">
        <v>15100</v>
      </c>
      <c r="F10851" t="s">
        <v>15177</v>
      </c>
    </row>
    <row r="10852" spans="1:6" x14ac:dyDescent="0.25">
      <c r="A10852" t="str">
        <f>"550411115500"</f>
        <v>550411115500</v>
      </c>
      <c r="B10852" t="s">
        <v>15178</v>
      </c>
      <c r="C10852" t="s">
        <v>7</v>
      </c>
      <c r="D10852" t="s">
        <v>14</v>
      </c>
      <c r="E10852" t="s">
        <v>15100</v>
      </c>
    </row>
    <row r="10853" spans="1:6" x14ac:dyDescent="0.25">
      <c r="A10853" t="str">
        <f>"550411312509"</f>
        <v>550411312509</v>
      </c>
      <c r="B10853" t="s">
        <v>15179</v>
      </c>
      <c r="C10853" t="s">
        <v>7</v>
      </c>
      <c r="D10853" t="s">
        <v>14</v>
      </c>
      <c r="E10853" t="s">
        <v>15100</v>
      </c>
    </row>
    <row r="10854" spans="1:6" x14ac:dyDescent="0.25">
      <c r="A10854" t="str">
        <f>"5504123280"</f>
        <v>5504123280</v>
      </c>
      <c r="B10854" t="s">
        <v>15180</v>
      </c>
      <c r="C10854" t="s">
        <v>7</v>
      </c>
      <c r="D10854" t="s">
        <v>12</v>
      </c>
      <c r="E10854" t="s">
        <v>15100</v>
      </c>
      <c r="F10854" t="s">
        <v>15181</v>
      </c>
    </row>
    <row r="10855" spans="1:6" x14ac:dyDescent="0.25">
      <c r="A10855" t="str">
        <f>"550100124541"</f>
        <v>550100124541</v>
      </c>
      <c r="B10855" t="s">
        <v>15182</v>
      </c>
      <c r="C10855" t="s">
        <v>7</v>
      </c>
      <c r="D10855" t="s">
        <v>12</v>
      </c>
      <c r="E10855" t="s">
        <v>15100</v>
      </c>
    </row>
    <row r="10856" spans="1:6" x14ac:dyDescent="0.25">
      <c r="A10856" t="str">
        <f>"550108504633"</f>
        <v>550108504633</v>
      </c>
      <c r="B10856" t="s">
        <v>15183</v>
      </c>
      <c r="C10856" t="s">
        <v>7</v>
      </c>
      <c r="D10856" t="s">
        <v>14</v>
      </c>
      <c r="E10856" t="s">
        <v>15100</v>
      </c>
    </row>
    <row r="10857" spans="1:6" x14ac:dyDescent="0.25">
      <c r="A10857" t="str">
        <f>"5501109897"</f>
        <v>5501109897</v>
      </c>
      <c r="B10857" t="s">
        <v>15184</v>
      </c>
      <c r="C10857" t="s">
        <v>7</v>
      </c>
      <c r="D10857" t="s">
        <v>674</v>
      </c>
      <c r="E10857" t="s">
        <v>15100</v>
      </c>
      <c r="F10857" t="s">
        <v>15185</v>
      </c>
    </row>
    <row r="10858" spans="1:6" x14ac:dyDescent="0.25">
      <c r="A10858" t="str">
        <f>"550113214305"</f>
        <v>550113214305</v>
      </c>
      <c r="B10858" t="s">
        <v>15186</v>
      </c>
      <c r="C10858" t="s">
        <v>7</v>
      </c>
      <c r="D10858" t="s">
        <v>14</v>
      </c>
      <c r="E10858" t="s">
        <v>15100</v>
      </c>
    </row>
    <row r="10859" spans="1:6" x14ac:dyDescent="0.25">
      <c r="A10859" t="str">
        <f>"550117181227"</f>
        <v>550117181227</v>
      </c>
      <c r="B10859" t="s">
        <v>15187</v>
      </c>
      <c r="C10859" t="s">
        <v>7</v>
      </c>
      <c r="D10859" t="s">
        <v>14</v>
      </c>
      <c r="E10859" t="s">
        <v>15100</v>
      </c>
    </row>
    <row r="10860" spans="1:6" x14ac:dyDescent="0.25">
      <c r="A10860" t="str">
        <f>"5501182738"</f>
        <v>5501182738</v>
      </c>
      <c r="B10860" t="s">
        <v>503</v>
      </c>
      <c r="C10860" t="s">
        <v>7</v>
      </c>
      <c r="D10860" t="s">
        <v>14</v>
      </c>
      <c r="E10860" t="s">
        <v>15100</v>
      </c>
      <c r="F10860" t="s">
        <v>15188</v>
      </c>
    </row>
    <row r="10861" spans="1:6" x14ac:dyDescent="0.25">
      <c r="A10861" t="str">
        <f>"5501185094"</f>
        <v>5501185094</v>
      </c>
      <c r="B10861" t="s">
        <v>15189</v>
      </c>
      <c r="C10861" t="s">
        <v>7</v>
      </c>
      <c r="D10861" t="s">
        <v>98</v>
      </c>
      <c r="E10861" t="s">
        <v>15100</v>
      </c>
      <c r="F10861" t="s">
        <v>15190</v>
      </c>
    </row>
    <row r="10862" spans="1:6" x14ac:dyDescent="0.25">
      <c r="A10862" t="str">
        <f>"5501223078"</f>
        <v>5501223078</v>
      </c>
      <c r="B10862" t="s">
        <v>15191</v>
      </c>
      <c r="C10862" t="s">
        <v>7</v>
      </c>
      <c r="D10862" t="s">
        <v>12</v>
      </c>
      <c r="E10862" t="s">
        <v>15100</v>
      </c>
      <c r="F10862" t="s">
        <v>15192</v>
      </c>
    </row>
    <row r="10863" spans="1:6" x14ac:dyDescent="0.25">
      <c r="A10863" t="str">
        <f>"5501229506"</f>
        <v>5501229506</v>
      </c>
      <c r="B10863" t="s">
        <v>15193</v>
      </c>
      <c r="C10863" t="s">
        <v>7</v>
      </c>
      <c r="D10863" t="s">
        <v>14</v>
      </c>
      <c r="E10863" t="s">
        <v>15100</v>
      </c>
      <c r="F10863" t="s">
        <v>15194</v>
      </c>
    </row>
    <row r="10864" spans="1:6" x14ac:dyDescent="0.25">
      <c r="A10864" t="str">
        <f>"5501281369"</f>
        <v>5501281369</v>
      </c>
      <c r="B10864" t="s">
        <v>15195</v>
      </c>
      <c r="C10864" t="s">
        <v>7</v>
      </c>
      <c r="D10864" t="s">
        <v>33</v>
      </c>
      <c r="E10864" t="s">
        <v>15100</v>
      </c>
      <c r="F10864" t="s">
        <v>15196</v>
      </c>
    </row>
    <row r="10865" spans="1:6" x14ac:dyDescent="0.25">
      <c r="A10865" t="str">
        <f>"5501283119"</f>
        <v>5501283119</v>
      </c>
      <c r="B10865" t="s">
        <v>15197</v>
      </c>
      <c r="C10865" t="s">
        <v>7</v>
      </c>
      <c r="D10865" t="s">
        <v>14</v>
      </c>
      <c r="E10865" t="s">
        <v>15100</v>
      </c>
      <c r="F10865" t="s">
        <v>15198</v>
      </c>
    </row>
    <row r="10866" spans="1:6" x14ac:dyDescent="0.25">
      <c r="A10866" t="str">
        <f>"550200025689"</f>
        <v>550200025689</v>
      </c>
      <c r="B10866" t="s">
        <v>15199</v>
      </c>
      <c r="C10866" t="s">
        <v>7</v>
      </c>
      <c r="D10866" t="s">
        <v>14</v>
      </c>
      <c r="E10866" t="s">
        <v>15100</v>
      </c>
    </row>
    <row r="10867" spans="1:6" x14ac:dyDescent="0.25">
      <c r="A10867" t="str">
        <f>"550200710645"</f>
        <v>550200710645</v>
      </c>
      <c r="B10867" t="s">
        <v>15200</v>
      </c>
      <c r="C10867" t="s">
        <v>7</v>
      </c>
      <c r="D10867" t="s">
        <v>14</v>
      </c>
      <c r="E10867" t="s">
        <v>15100</v>
      </c>
    </row>
    <row r="10868" spans="1:6" x14ac:dyDescent="0.25">
      <c r="A10868" t="str">
        <f>"550202201717"</f>
        <v>550202201717</v>
      </c>
      <c r="B10868" t="s">
        <v>15201</v>
      </c>
      <c r="C10868" t="s">
        <v>7</v>
      </c>
      <c r="D10868" t="s">
        <v>12</v>
      </c>
      <c r="E10868" t="s">
        <v>15100</v>
      </c>
    </row>
    <row r="10869" spans="1:6" x14ac:dyDescent="0.25">
      <c r="A10869" t="str">
        <f>"550204478249"</f>
        <v>550204478249</v>
      </c>
      <c r="B10869" t="s">
        <v>15202</v>
      </c>
      <c r="C10869" t="s">
        <v>7</v>
      </c>
      <c r="D10869" t="s">
        <v>14</v>
      </c>
      <c r="E10869" t="s">
        <v>15100</v>
      </c>
    </row>
    <row r="10870" spans="1:6" x14ac:dyDescent="0.25">
      <c r="A10870" t="str">
        <f>"550300088330"</f>
        <v>550300088330</v>
      </c>
      <c r="B10870" t="s">
        <v>15203</v>
      </c>
      <c r="C10870" t="s">
        <v>7</v>
      </c>
      <c r="D10870" t="s">
        <v>12</v>
      </c>
      <c r="E10870" t="s">
        <v>15100</v>
      </c>
    </row>
    <row r="10871" spans="1:6" x14ac:dyDescent="0.25">
      <c r="A10871" t="str">
        <f>"5503119379"</f>
        <v>5503119379</v>
      </c>
      <c r="B10871" t="s">
        <v>5621</v>
      </c>
      <c r="C10871" t="s">
        <v>7</v>
      </c>
      <c r="D10871" t="s">
        <v>8</v>
      </c>
      <c r="E10871" t="s">
        <v>15100</v>
      </c>
      <c r="F10871" t="s">
        <v>15204</v>
      </c>
    </row>
    <row r="10872" spans="1:6" x14ac:dyDescent="0.25">
      <c r="A10872" t="str">
        <f>"550315037507"</f>
        <v>550315037507</v>
      </c>
      <c r="B10872" t="s">
        <v>15205</v>
      </c>
      <c r="C10872" t="s">
        <v>7</v>
      </c>
      <c r="D10872" t="s">
        <v>14</v>
      </c>
      <c r="E10872" t="s">
        <v>15100</v>
      </c>
    </row>
    <row r="10873" spans="1:6" x14ac:dyDescent="0.25">
      <c r="A10873" t="str">
        <f>"5503173055"</f>
        <v>5503173055</v>
      </c>
      <c r="B10873" t="s">
        <v>657</v>
      </c>
      <c r="C10873" t="s">
        <v>7</v>
      </c>
      <c r="D10873" t="s">
        <v>12</v>
      </c>
      <c r="E10873" t="s">
        <v>15100</v>
      </c>
      <c r="F10873" t="s">
        <v>15206</v>
      </c>
    </row>
    <row r="10874" spans="1:6" x14ac:dyDescent="0.25">
      <c r="A10874" t="str">
        <f>"5503278330"</f>
        <v>5503278330</v>
      </c>
      <c r="B10874" t="s">
        <v>15207</v>
      </c>
      <c r="C10874" t="s">
        <v>7</v>
      </c>
      <c r="D10874" t="s">
        <v>14</v>
      </c>
      <c r="E10874" t="s">
        <v>15100</v>
      </c>
      <c r="F10874" t="s">
        <v>15208</v>
      </c>
    </row>
    <row r="10875" spans="1:6" x14ac:dyDescent="0.25">
      <c r="A10875" t="str">
        <f>"550402543161"</f>
        <v>550402543161</v>
      </c>
      <c r="B10875" t="s">
        <v>15209</v>
      </c>
      <c r="C10875" t="s">
        <v>7</v>
      </c>
      <c r="D10875" t="s">
        <v>12</v>
      </c>
      <c r="E10875" t="s">
        <v>15100</v>
      </c>
    </row>
    <row r="10876" spans="1:6" x14ac:dyDescent="0.25">
      <c r="A10876" t="str">
        <f>"550407084641"</f>
        <v>550407084641</v>
      </c>
      <c r="B10876" t="s">
        <v>15210</v>
      </c>
      <c r="C10876" t="s">
        <v>7</v>
      </c>
      <c r="D10876" t="s">
        <v>14</v>
      </c>
      <c r="E10876" t="s">
        <v>15100</v>
      </c>
    </row>
    <row r="10877" spans="1:6" x14ac:dyDescent="0.25">
      <c r="A10877" t="str">
        <f>"550410033478"</f>
        <v>550410033478</v>
      </c>
      <c r="B10877" t="s">
        <v>15211</v>
      </c>
      <c r="C10877" t="s">
        <v>7</v>
      </c>
      <c r="D10877" t="s">
        <v>14</v>
      </c>
      <c r="E10877" t="s">
        <v>15100</v>
      </c>
    </row>
    <row r="10878" spans="1:6" x14ac:dyDescent="0.25">
      <c r="A10878" t="str">
        <f>"5504201675"</f>
        <v>5504201675</v>
      </c>
      <c r="B10878" t="s">
        <v>1159</v>
      </c>
      <c r="C10878" t="s">
        <v>7</v>
      </c>
      <c r="D10878" t="s">
        <v>12</v>
      </c>
      <c r="E10878" t="s">
        <v>15100</v>
      </c>
      <c r="F10878" t="s">
        <v>15212</v>
      </c>
    </row>
    <row r="10879" spans="1:6" x14ac:dyDescent="0.25">
      <c r="A10879" t="str">
        <f>"5504228885"</f>
        <v>5504228885</v>
      </c>
      <c r="B10879" t="s">
        <v>8380</v>
      </c>
      <c r="C10879" t="s">
        <v>7</v>
      </c>
      <c r="D10879" t="s">
        <v>33</v>
      </c>
      <c r="E10879" t="s">
        <v>15100</v>
      </c>
      <c r="F10879" t="s">
        <v>15213</v>
      </c>
    </row>
    <row r="10880" spans="1:6" x14ac:dyDescent="0.25">
      <c r="A10880" t="str">
        <f>"550501497445"</f>
        <v>550501497445</v>
      </c>
      <c r="B10880" t="s">
        <v>15214</v>
      </c>
      <c r="C10880" t="s">
        <v>7</v>
      </c>
      <c r="D10880" t="s">
        <v>14</v>
      </c>
      <c r="E10880" t="s">
        <v>15100</v>
      </c>
    </row>
    <row r="10881" spans="1:6" x14ac:dyDescent="0.25">
      <c r="A10881" t="str">
        <f>"550504156362"</f>
        <v>550504156362</v>
      </c>
      <c r="B10881" t="s">
        <v>15215</v>
      </c>
      <c r="C10881" t="s">
        <v>7</v>
      </c>
      <c r="D10881" t="s">
        <v>14</v>
      </c>
      <c r="E10881" t="s">
        <v>15100</v>
      </c>
    </row>
    <row r="10882" spans="1:6" x14ac:dyDescent="0.25">
      <c r="A10882" t="str">
        <f>"550504692797"</f>
        <v>550504692797</v>
      </c>
      <c r="B10882" t="s">
        <v>15216</v>
      </c>
      <c r="C10882" t="s">
        <v>7</v>
      </c>
      <c r="D10882" t="s">
        <v>14</v>
      </c>
      <c r="E10882" t="s">
        <v>15100</v>
      </c>
    </row>
    <row r="10883" spans="1:6" x14ac:dyDescent="0.25">
      <c r="A10883" t="str">
        <f>"550506668944"</f>
        <v>550506668944</v>
      </c>
      <c r="B10883" t="s">
        <v>15217</v>
      </c>
      <c r="C10883" t="s">
        <v>7</v>
      </c>
      <c r="D10883" t="s">
        <v>14</v>
      </c>
      <c r="E10883" t="s">
        <v>15100</v>
      </c>
    </row>
    <row r="10884" spans="1:6" x14ac:dyDescent="0.25">
      <c r="A10884" t="str">
        <f>"550506838900"</f>
        <v>550506838900</v>
      </c>
      <c r="B10884" t="s">
        <v>15218</v>
      </c>
      <c r="C10884" t="s">
        <v>7</v>
      </c>
      <c r="D10884" t="s">
        <v>12</v>
      </c>
      <c r="E10884" t="s">
        <v>15100</v>
      </c>
    </row>
    <row r="10885" spans="1:6" x14ac:dyDescent="0.25">
      <c r="A10885" t="str">
        <f>"5505073440"</f>
        <v>5505073440</v>
      </c>
      <c r="B10885" t="s">
        <v>15219</v>
      </c>
      <c r="C10885" t="s">
        <v>7</v>
      </c>
      <c r="D10885" t="s">
        <v>8</v>
      </c>
      <c r="E10885" t="s">
        <v>15100</v>
      </c>
      <c r="F10885" t="s">
        <v>15220</v>
      </c>
    </row>
    <row r="10886" spans="1:6" x14ac:dyDescent="0.25">
      <c r="A10886" t="str">
        <f>"550523818300"</f>
        <v>550523818300</v>
      </c>
      <c r="B10886" t="s">
        <v>15221</v>
      </c>
      <c r="C10886" t="s">
        <v>7</v>
      </c>
      <c r="D10886" t="s">
        <v>14</v>
      </c>
      <c r="E10886" t="s">
        <v>15100</v>
      </c>
    </row>
    <row r="10887" spans="1:6" x14ac:dyDescent="0.25">
      <c r="A10887" t="str">
        <f>"550600482947"</f>
        <v>550600482947</v>
      </c>
      <c r="B10887" t="s">
        <v>15222</v>
      </c>
      <c r="C10887" t="s">
        <v>7</v>
      </c>
      <c r="D10887" t="s">
        <v>12</v>
      </c>
      <c r="E10887" t="s">
        <v>15100</v>
      </c>
    </row>
    <row r="10888" spans="1:6" x14ac:dyDescent="0.25">
      <c r="A10888" t="str">
        <f>"550600652902"</f>
        <v>550600652902</v>
      </c>
      <c r="B10888" t="s">
        <v>15223</v>
      </c>
      <c r="C10888" t="s">
        <v>7</v>
      </c>
      <c r="D10888" t="s">
        <v>98</v>
      </c>
      <c r="E10888" t="s">
        <v>15100</v>
      </c>
    </row>
    <row r="10889" spans="1:6" x14ac:dyDescent="0.25">
      <c r="A10889" t="str">
        <f>"5506060162"</f>
        <v>5506060162</v>
      </c>
      <c r="B10889" t="s">
        <v>15224</v>
      </c>
      <c r="C10889" t="s">
        <v>7</v>
      </c>
      <c r="D10889" t="s">
        <v>14</v>
      </c>
      <c r="E10889" t="s">
        <v>15100</v>
      </c>
      <c r="F10889" t="s">
        <v>15225</v>
      </c>
    </row>
    <row r="10890" spans="1:6" x14ac:dyDescent="0.25">
      <c r="A10890" t="str">
        <f>"550606072954"</f>
        <v>550606072954</v>
      </c>
      <c r="B10890" t="s">
        <v>15226</v>
      </c>
      <c r="C10890" t="s">
        <v>7</v>
      </c>
      <c r="D10890" t="s">
        <v>14</v>
      </c>
      <c r="E10890" t="s">
        <v>15100</v>
      </c>
    </row>
    <row r="10891" spans="1:6" x14ac:dyDescent="0.25">
      <c r="A10891" t="str">
        <f>"5506062040"</f>
        <v>5506062040</v>
      </c>
      <c r="B10891" t="s">
        <v>15227</v>
      </c>
      <c r="C10891" t="s">
        <v>7</v>
      </c>
      <c r="D10891" t="s">
        <v>12</v>
      </c>
      <c r="E10891" t="s">
        <v>15100</v>
      </c>
      <c r="F10891" t="s">
        <v>15228</v>
      </c>
    </row>
    <row r="10892" spans="1:6" x14ac:dyDescent="0.25">
      <c r="A10892" t="str">
        <f>"550620541661"</f>
        <v>550620541661</v>
      </c>
      <c r="B10892" t="s">
        <v>15229</v>
      </c>
      <c r="C10892" t="s">
        <v>7</v>
      </c>
      <c r="D10892" t="s">
        <v>12</v>
      </c>
      <c r="E10892" t="s">
        <v>15100</v>
      </c>
    </row>
    <row r="10893" spans="1:6" x14ac:dyDescent="0.25">
      <c r="A10893" t="str">
        <f>"550621237720"</f>
        <v>550621237720</v>
      </c>
      <c r="B10893" t="s">
        <v>15230</v>
      </c>
      <c r="C10893" t="s">
        <v>7</v>
      </c>
      <c r="D10893" t="s">
        <v>14</v>
      </c>
      <c r="E10893" t="s">
        <v>15100</v>
      </c>
    </row>
    <row r="10894" spans="1:6" x14ac:dyDescent="0.25">
      <c r="A10894" t="str">
        <f>"550624385572"</f>
        <v>550624385572</v>
      </c>
      <c r="B10894" t="s">
        <v>15231</v>
      </c>
      <c r="C10894" t="s">
        <v>7</v>
      </c>
      <c r="D10894" t="s">
        <v>14</v>
      </c>
      <c r="E10894" t="s">
        <v>15100</v>
      </c>
    </row>
    <row r="10895" spans="1:6" x14ac:dyDescent="0.25">
      <c r="A10895" t="str">
        <f>"550700223907"</f>
        <v>550700223907</v>
      </c>
      <c r="B10895" t="s">
        <v>15232</v>
      </c>
      <c r="C10895" t="s">
        <v>7</v>
      </c>
      <c r="D10895" t="s">
        <v>14</v>
      </c>
      <c r="E10895" t="s">
        <v>15100</v>
      </c>
    </row>
    <row r="10896" spans="1:6" x14ac:dyDescent="0.25">
      <c r="A10896" t="str">
        <f>"550701418955"</f>
        <v>550701418955</v>
      </c>
      <c r="B10896" t="s">
        <v>15233</v>
      </c>
      <c r="C10896" t="s">
        <v>7</v>
      </c>
      <c r="D10896" t="s">
        <v>33</v>
      </c>
      <c r="E10896" t="s">
        <v>15100</v>
      </c>
    </row>
    <row r="10897" spans="1:6" x14ac:dyDescent="0.25">
      <c r="A10897" t="str">
        <f>"550702087583"</f>
        <v>550702087583</v>
      </c>
      <c r="B10897" t="s">
        <v>15234</v>
      </c>
      <c r="C10897" t="s">
        <v>7</v>
      </c>
      <c r="D10897" t="s">
        <v>14</v>
      </c>
      <c r="E10897" t="s">
        <v>15100</v>
      </c>
    </row>
    <row r="10898" spans="1:6" x14ac:dyDescent="0.25">
      <c r="A10898" t="str">
        <f>"550703840168"</f>
        <v>550703840168</v>
      </c>
      <c r="B10898" t="s">
        <v>15235</v>
      </c>
      <c r="C10898" t="s">
        <v>7</v>
      </c>
      <c r="D10898" t="s">
        <v>33</v>
      </c>
      <c r="E10898" t="s">
        <v>15100</v>
      </c>
    </row>
    <row r="10899" spans="1:6" x14ac:dyDescent="0.25">
      <c r="A10899" t="str">
        <f>"5507087791"</f>
        <v>5507087791</v>
      </c>
      <c r="B10899" t="s">
        <v>15236</v>
      </c>
      <c r="C10899" t="s">
        <v>7</v>
      </c>
      <c r="D10899" t="s">
        <v>12</v>
      </c>
      <c r="E10899" t="s">
        <v>15100</v>
      </c>
      <c r="F10899" t="s">
        <v>15237</v>
      </c>
    </row>
    <row r="10900" spans="1:6" x14ac:dyDescent="0.25">
      <c r="A10900" t="str">
        <f>"550713437102"</f>
        <v>550713437102</v>
      </c>
      <c r="B10900" t="s">
        <v>15238</v>
      </c>
      <c r="C10900" t="s">
        <v>7</v>
      </c>
      <c r="D10900" t="s">
        <v>14</v>
      </c>
      <c r="E10900" t="s">
        <v>15100</v>
      </c>
    </row>
    <row r="10901" spans="1:6" x14ac:dyDescent="0.25">
      <c r="A10901" t="str">
        <f>"550716545089"</f>
        <v>550716545089</v>
      </c>
      <c r="B10901" t="s">
        <v>15239</v>
      </c>
      <c r="C10901" t="s">
        <v>7</v>
      </c>
      <c r="D10901" t="s">
        <v>33</v>
      </c>
      <c r="E10901" t="s">
        <v>15100</v>
      </c>
    </row>
    <row r="10902" spans="1:6" x14ac:dyDescent="0.25">
      <c r="A10902" t="str">
        <f>"5507170538"</f>
        <v>5507170538</v>
      </c>
      <c r="B10902" t="s">
        <v>15240</v>
      </c>
      <c r="C10902" t="s">
        <v>7</v>
      </c>
      <c r="D10902" t="s">
        <v>146</v>
      </c>
      <c r="E10902" t="s">
        <v>15100</v>
      </c>
      <c r="F10902" t="s">
        <v>15241</v>
      </c>
    </row>
    <row r="10903" spans="1:6" x14ac:dyDescent="0.25">
      <c r="A10903" t="str">
        <f>"5507204917"</f>
        <v>5507204917</v>
      </c>
      <c r="B10903" t="s">
        <v>15242</v>
      </c>
      <c r="C10903" t="s">
        <v>7</v>
      </c>
      <c r="D10903" t="s">
        <v>14</v>
      </c>
      <c r="E10903" t="s">
        <v>15100</v>
      </c>
      <c r="F10903" t="s">
        <v>15243</v>
      </c>
    </row>
    <row r="10904" spans="1:6" x14ac:dyDescent="0.25">
      <c r="A10904" t="str">
        <f>"550721347340"</f>
        <v>550721347340</v>
      </c>
      <c r="B10904" t="s">
        <v>15244</v>
      </c>
      <c r="C10904" t="s">
        <v>7</v>
      </c>
      <c r="D10904" t="s">
        <v>14</v>
      </c>
      <c r="E10904" t="s">
        <v>15100</v>
      </c>
    </row>
    <row r="10905" spans="1:6" x14ac:dyDescent="0.25">
      <c r="A10905" t="str">
        <f>"550721623864"</f>
        <v>550721623864</v>
      </c>
      <c r="B10905" t="s">
        <v>15245</v>
      </c>
      <c r="C10905" t="s">
        <v>7</v>
      </c>
      <c r="D10905" t="s">
        <v>14</v>
      </c>
      <c r="E10905" t="s">
        <v>15100</v>
      </c>
    </row>
    <row r="10906" spans="1:6" x14ac:dyDescent="0.25">
      <c r="A10906" t="str">
        <f>"5507225280"</f>
        <v>5507225280</v>
      </c>
      <c r="B10906" t="s">
        <v>15246</v>
      </c>
      <c r="C10906" t="s">
        <v>7</v>
      </c>
      <c r="D10906" t="s">
        <v>33</v>
      </c>
      <c r="E10906" t="s">
        <v>15100</v>
      </c>
      <c r="F10906" t="s">
        <v>15247</v>
      </c>
    </row>
    <row r="10907" spans="1:6" x14ac:dyDescent="0.25">
      <c r="A10907" t="str">
        <f>"550724288540"</f>
        <v>550724288540</v>
      </c>
      <c r="B10907" t="s">
        <v>15248</v>
      </c>
      <c r="C10907" t="s">
        <v>7</v>
      </c>
      <c r="D10907" t="s">
        <v>14</v>
      </c>
      <c r="E10907" t="s">
        <v>15100</v>
      </c>
    </row>
    <row r="10908" spans="1:6" x14ac:dyDescent="0.25">
      <c r="A10908" t="str">
        <f>"550724926345"</f>
        <v>550724926345</v>
      </c>
      <c r="B10908" t="s">
        <v>15249</v>
      </c>
      <c r="C10908" t="s">
        <v>7</v>
      </c>
      <c r="D10908" t="s">
        <v>12</v>
      </c>
      <c r="E10908" t="s">
        <v>15100</v>
      </c>
    </row>
    <row r="10909" spans="1:6" x14ac:dyDescent="0.25">
      <c r="A10909" t="str">
        <f>"5507281245"</f>
        <v>5507281245</v>
      </c>
      <c r="B10909" t="s">
        <v>15250</v>
      </c>
      <c r="C10909" t="s">
        <v>7</v>
      </c>
      <c r="D10909" t="s">
        <v>146</v>
      </c>
      <c r="E10909" t="s">
        <v>15100</v>
      </c>
      <c r="F10909" t="s">
        <v>15251</v>
      </c>
    </row>
    <row r="10910" spans="1:6" x14ac:dyDescent="0.25">
      <c r="A10910" t="str">
        <f>"5507292335"</f>
        <v>5507292335</v>
      </c>
      <c r="B10910" t="s">
        <v>15252</v>
      </c>
      <c r="C10910" t="s">
        <v>7</v>
      </c>
      <c r="D10910" t="s">
        <v>12</v>
      </c>
      <c r="E10910" t="s">
        <v>15100</v>
      </c>
      <c r="F10910" t="s">
        <v>15253</v>
      </c>
    </row>
    <row r="10911" spans="1:6" x14ac:dyDescent="0.25">
      <c r="A10911" t="str">
        <f>"5507296040"</f>
        <v>5507296040</v>
      </c>
      <c r="B10911" t="s">
        <v>15254</v>
      </c>
      <c r="C10911" t="s">
        <v>7</v>
      </c>
      <c r="D10911" t="s">
        <v>14</v>
      </c>
      <c r="E10911" t="s">
        <v>15100</v>
      </c>
      <c r="F10911" t="s">
        <v>15255</v>
      </c>
    </row>
    <row r="10912" spans="1:6" x14ac:dyDescent="0.25">
      <c r="A10912" t="str">
        <f>"5507300579"</f>
        <v>5507300579</v>
      </c>
      <c r="B10912" t="s">
        <v>15256</v>
      </c>
      <c r="C10912" t="s">
        <v>7</v>
      </c>
      <c r="D10912" t="s">
        <v>8</v>
      </c>
      <c r="E10912" t="s">
        <v>15100</v>
      </c>
      <c r="F10912" t="s">
        <v>15257</v>
      </c>
    </row>
    <row r="10913" spans="1:6" x14ac:dyDescent="0.25">
      <c r="A10913" t="str">
        <f>"5507300628"</f>
        <v>5507300628</v>
      </c>
      <c r="B10913" t="s">
        <v>2391</v>
      </c>
      <c r="C10913" t="s">
        <v>7</v>
      </c>
      <c r="D10913" t="s">
        <v>12</v>
      </c>
      <c r="E10913" t="s">
        <v>15100</v>
      </c>
      <c r="F10913" t="s">
        <v>15258</v>
      </c>
    </row>
    <row r="10914" spans="1:6" x14ac:dyDescent="0.25">
      <c r="A10914" t="str">
        <f>"550765515062"</f>
        <v>550765515062</v>
      </c>
      <c r="B10914" t="s">
        <v>15259</v>
      </c>
      <c r="C10914" t="s">
        <v>7</v>
      </c>
      <c r="D10914" t="s">
        <v>12</v>
      </c>
      <c r="E10914" t="s">
        <v>15100</v>
      </c>
    </row>
    <row r="10915" spans="1:6" x14ac:dyDescent="0.25">
      <c r="A10915" t="str">
        <f>"551000561677"</f>
        <v>551000561677</v>
      </c>
      <c r="B10915" t="s">
        <v>15260</v>
      </c>
      <c r="C10915" t="s">
        <v>7</v>
      </c>
      <c r="D10915" t="s">
        <v>14</v>
      </c>
      <c r="E10915" t="s">
        <v>15100</v>
      </c>
    </row>
    <row r="10916" spans="1:6" x14ac:dyDescent="0.25">
      <c r="A10916" t="str">
        <f>"551001609089"</f>
        <v>551001609089</v>
      </c>
      <c r="B10916" t="s">
        <v>15261</v>
      </c>
      <c r="C10916" t="s">
        <v>7</v>
      </c>
      <c r="D10916" t="s">
        <v>14</v>
      </c>
      <c r="E10916" t="s">
        <v>15100</v>
      </c>
    </row>
    <row r="10917" spans="1:6" x14ac:dyDescent="0.25">
      <c r="A10917" t="str">
        <f>"551201846714"</f>
        <v>551201846714</v>
      </c>
      <c r="B10917" t="s">
        <v>15262</v>
      </c>
      <c r="C10917" t="s">
        <v>7</v>
      </c>
      <c r="D10917" t="s">
        <v>12</v>
      </c>
      <c r="E10917" t="s">
        <v>15100</v>
      </c>
    </row>
    <row r="10918" spans="1:6" x14ac:dyDescent="0.25">
      <c r="A10918" t="str">
        <f>"551400012840"</f>
        <v>551400012840</v>
      </c>
      <c r="B10918" t="s">
        <v>15263</v>
      </c>
      <c r="C10918" t="s">
        <v>7</v>
      </c>
      <c r="D10918" t="s">
        <v>14</v>
      </c>
      <c r="E10918" t="s">
        <v>15100</v>
      </c>
    </row>
    <row r="10919" spans="1:6" x14ac:dyDescent="0.25">
      <c r="A10919" t="str">
        <f>"551402948804"</f>
        <v>551402948804</v>
      </c>
      <c r="B10919" t="s">
        <v>15264</v>
      </c>
      <c r="C10919" t="s">
        <v>7</v>
      </c>
      <c r="D10919" t="s">
        <v>33</v>
      </c>
      <c r="E10919" t="s">
        <v>15100</v>
      </c>
    </row>
    <row r="10920" spans="1:6" x14ac:dyDescent="0.25">
      <c r="A10920" t="str">
        <f>"5515014412"</f>
        <v>5515014412</v>
      </c>
      <c r="B10920" t="s">
        <v>15265</v>
      </c>
      <c r="C10920" t="s">
        <v>7</v>
      </c>
      <c r="D10920" t="s">
        <v>33</v>
      </c>
      <c r="E10920" t="s">
        <v>15100</v>
      </c>
      <c r="F10920" t="s">
        <v>15266</v>
      </c>
    </row>
    <row r="10921" spans="1:6" x14ac:dyDescent="0.25">
      <c r="A10921" t="str">
        <f>"552100014990"</f>
        <v>552100014990</v>
      </c>
      <c r="B10921" t="s">
        <v>15267</v>
      </c>
      <c r="C10921" t="s">
        <v>7</v>
      </c>
      <c r="D10921" t="s">
        <v>14</v>
      </c>
      <c r="E10921" t="s">
        <v>15100</v>
      </c>
    </row>
    <row r="10922" spans="1:6" x14ac:dyDescent="0.25">
      <c r="A10922" t="str">
        <f>"552202206839"</f>
        <v>552202206839</v>
      </c>
      <c r="B10922" t="s">
        <v>15268</v>
      </c>
      <c r="C10922" t="s">
        <v>7</v>
      </c>
      <c r="D10922" t="s">
        <v>14</v>
      </c>
      <c r="E10922" t="s">
        <v>15100</v>
      </c>
    </row>
    <row r="10923" spans="1:6" x14ac:dyDescent="0.25">
      <c r="A10923" t="str">
        <f>"552400012634"</f>
        <v>552400012634</v>
      </c>
      <c r="B10923" t="s">
        <v>15269</v>
      </c>
      <c r="C10923" t="s">
        <v>7</v>
      </c>
      <c r="D10923" t="s">
        <v>12</v>
      </c>
      <c r="E10923" t="s">
        <v>15100</v>
      </c>
    </row>
    <row r="10924" spans="1:6" x14ac:dyDescent="0.25">
      <c r="A10924" t="str">
        <f>"552801860039"</f>
        <v>552801860039</v>
      </c>
      <c r="B10924" t="s">
        <v>15270</v>
      </c>
      <c r="C10924" t="s">
        <v>7</v>
      </c>
      <c r="D10924" t="s">
        <v>14</v>
      </c>
      <c r="E10924" t="s">
        <v>15100</v>
      </c>
    </row>
    <row r="10925" spans="1:6" x14ac:dyDescent="0.25">
      <c r="A10925" t="str">
        <f>"553000006370"</f>
        <v>553000006370</v>
      </c>
      <c r="B10925" t="s">
        <v>15271</v>
      </c>
      <c r="C10925" t="s">
        <v>7</v>
      </c>
      <c r="D10925" t="s">
        <v>14</v>
      </c>
      <c r="E10925" t="s">
        <v>15100</v>
      </c>
    </row>
    <row r="10926" spans="1:6" x14ac:dyDescent="0.25">
      <c r="A10926" t="str">
        <f>"553002446190"</f>
        <v>553002446190</v>
      </c>
      <c r="B10926" t="s">
        <v>15272</v>
      </c>
      <c r="C10926" t="s">
        <v>7</v>
      </c>
      <c r="D10926" t="s">
        <v>14</v>
      </c>
      <c r="E10926" t="s">
        <v>15100</v>
      </c>
    </row>
    <row r="10927" spans="1:6" x14ac:dyDescent="0.25">
      <c r="A10927" t="str">
        <f>"5535009234"</f>
        <v>5535009234</v>
      </c>
      <c r="B10927" t="s">
        <v>15273</v>
      </c>
      <c r="C10927" t="s">
        <v>7</v>
      </c>
      <c r="D10927" t="s">
        <v>14</v>
      </c>
      <c r="E10927" t="s">
        <v>15100</v>
      </c>
      <c r="F10927" t="s">
        <v>15274</v>
      </c>
    </row>
    <row r="10928" spans="1:6" x14ac:dyDescent="0.25">
      <c r="A10928" t="str">
        <f>"553502850644"</f>
        <v>553502850644</v>
      </c>
      <c r="B10928" t="s">
        <v>15275</v>
      </c>
      <c r="C10928" t="s">
        <v>7</v>
      </c>
      <c r="D10928" t="s">
        <v>14</v>
      </c>
      <c r="E10928" t="s">
        <v>15100</v>
      </c>
    </row>
    <row r="10929" spans="1:6" x14ac:dyDescent="0.25">
      <c r="A10929" t="str">
        <f>"553601875248"</f>
        <v>553601875248</v>
      </c>
      <c r="B10929" t="s">
        <v>15276</v>
      </c>
      <c r="C10929" t="s">
        <v>7</v>
      </c>
      <c r="D10929" t="s">
        <v>14</v>
      </c>
      <c r="E10929" t="s">
        <v>15100</v>
      </c>
    </row>
    <row r="10930" spans="1:6" x14ac:dyDescent="0.25">
      <c r="A10930" t="str">
        <f>"5504161609"</f>
        <v>5504161609</v>
      </c>
      <c r="B10930" t="s">
        <v>15277</v>
      </c>
      <c r="C10930" t="s">
        <v>7</v>
      </c>
      <c r="D10930" t="s">
        <v>33</v>
      </c>
      <c r="E10930" t="s">
        <v>15100</v>
      </c>
      <c r="F10930" t="s">
        <v>15278</v>
      </c>
    </row>
    <row r="10931" spans="1:6" x14ac:dyDescent="0.25">
      <c r="A10931" t="str">
        <f>"5504167047"</f>
        <v>5504167047</v>
      </c>
      <c r="B10931" t="s">
        <v>15279</v>
      </c>
      <c r="C10931" t="s">
        <v>7</v>
      </c>
      <c r="D10931" t="s">
        <v>33</v>
      </c>
      <c r="E10931" t="s">
        <v>15100</v>
      </c>
      <c r="F10931" t="s">
        <v>15280</v>
      </c>
    </row>
    <row r="10932" spans="1:6" x14ac:dyDescent="0.25">
      <c r="A10932" t="str">
        <f>"5504203320"</f>
        <v>5504203320</v>
      </c>
      <c r="B10932" t="s">
        <v>15281</v>
      </c>
      <c r="C10932" t="s">
        <v>7</v>
      </c>
      <c r="D10932" t="s">
        <v>33</v>
      </c>
      <c r="E10932" t="s">
        <v>15100</v>
      </c>
      <c r="F10932" t="s">
        <v>15282</v>
      </c>
    </row>
    <row r="10933" spans="1:6" x14ac:dyDescent="0.25">
      <c r="A10933" t="str">
        <f>"550500889577"</f>
        <v>550500889577</v>
      </c>
      <c r="B10933" t="s">
        <v>15283</v>
      </c>
      <c r="C10933" t="s">
        <v>7</v>
      </c>
      <c r="D10933" t="s">
        <v>14</v>
      </c>
      <c r="E10933" t="s">
        <v>15100</v>
      </c>
    </row>
    <row r="10934" spans="1:6" x14ac:dyDescent="0.25">
      <c r="A10934" t="str">
        <f>"5505059326"</f>
        <v>5505059326</v>
      </c>
      <c r="B10934" t="s">
        <v>15284</v>
      </c>
      <c r="C10934" t="s">
        <v>7</v>
      </c>
      <c r="D10934" t="s">
        <v>14</v>
      </c>
      <c r="E10934" t="s">
        <v>15100</v>
      </c>
      <c r="F10934" t="s">
        <v>15285</v>
      </c>
    </row>
    <row r="10935" spans="1:6" x14ac:dyDescent="0.25">
      <c r="A10935" t="str">
        <f>"550511865480"</f>
        <v>550511865480</v>
      </c>
      <c r="B10935" t="s">
        <v>15286</v>
      </c>
      <c r="C10935" t="s">
        <v>7</v>
      </c>
      <c r="D10935" t="s">
        <v>12</v>
      </c>
      <c r="E10935" t="s">
        <v>15100</v>
      </c>
    </row>
    <row r="10936" spans="1:6" x14ac:dyDescent="0.25">
      <c r="A10936" t="str">
        <f>"550516605358"</f>
        <v>550516605358</v>
      </c>
      <c r="B10936" t="s">
        <v>15287</v>
      </c>
      <c r="C10936" t="s">
        <v>7</v>
      </c>
      <c r="D10936" t="s">
        <v>14</v>
      </c>
      <c r="E10936" t="s">
        <v>15100</v>
      </c>
    </row>
    <row r="10937" spans="1:6" x14ac:dyDescent="0.25">
      <c r="A10937" t="str">
        <f>"5505203869"</f>
        <v>5505203869</v>
      </c>
      <c r="B10937" t="s">
        <v>15288</v>
      </c>
      <c r="C10937" t="s">
        <v>7</v>
      </c>
      <c r="D10937" t="s">
        <v>12</v>
      </c>
      <c r="E10937" t="s">
        <v>15100</v>
      </c>
      <c r="F10937" t="s">
        <v>15289</v>
      </c>
    </row>
    <row r="10938" spans="1:6" x14ac:dyDescent="0.25">
      <c r="A10938" t="str">
        <f>"550600322870"</f>
        <v>550600322870</v>
      </c>
      <c r="B10938" t="s">
        <v>15290</v>
      </c>
      <c r="C10938" t="s">
        <v>7</v>
      </c>
      <c r="D10938" t="s">
        <v>12</v>
      </c>
      <c r="E10938" t="s">
        <v>15100</v>
      </c>
    </row>
    <row r="10939" spans="1:6" x14ac:dyDescent="0.25">
      <c r="A10939" t="str">
        <f>"550600550379"</f>
        <v>550600550379</v>
      </c>
      <c r="B10939" t="s">
        <v>15291</v>
      </c>
      <c r="C10939" t="s">
        <v>7</v>
      </c>
      <c r="D10939" t="s">
        <v>14</v>
      </c>
      <c r="E10939" t="s">
        <v>15100</v>
      </c>
    </row>
    <row r="10940" spans="1:6" x14ac:dyDescent="0.25">
      <c r="A10940" t="str">
        <f>"550601072855"</f>
        <v>550601072855</v>
      </c>
      <c r="B10940" t="s">
        <v>15292</v>
      </c>
      <c r="C10940" t="s">
        <v>7</v>
      </c>
      <c r="D10940" t="s">
        <v>12</v>
      </c>
      <c r="E10940" t="s">
        <v>15100</v>
      </c>
    </row>
    <row r="10941" spans="1:6" x14ac:dyDescent="0.25">
      <c r="A10941" t="str">
        <f>"550601524710"</f>
        <v>550601524710</v>
      </c>
      <c r="B10941" t="s">
        <v>15293</v>
      </c>
      <c r="C10941" t="s">
        <v>7</v>
      </c>
      <c r="D10941" t="s">
        <v>674</v>
      </c>
      <c r="E10941" t="s">
        <v>15100</v>
      </c>
    </row>
    <row r="10942" spans="1:6" x14ac:dyDescent="0.25">
      <c r="A10942" t="str">
        <f>"5506050823"</f>
        <v>5506050823</v>
      </c>
      <c r="B10942" t="s">
        <v>15294</v>
      </c>
      <c r="C10942" t="s">
        <v>7</v>
      </c>
      <c r="D10942" t="s">
        <v>12</v>
      </c>
      <c r="E10942" t="s">
        <v>15100</v>
      </c>
      <c r="F10942" t="s">
        <v>15295</v>
      </c>
    </row>
    <row r="10943" spans="1:6" x14ac:dyDescent="0.25">
      <c r="A10943" t="str">
        <f>"550606074895"</f>
        <v>550606074895</v>
      </c>
      <c r="B10943" t="s">
        <v>15296</v>
      </c>
      <c r="C10943" t="s">
        <v>7</v>
      </c>
      <c r="D10943" t="s">
        <v>14</v>
      </c>
      <c r="E10943" t="s">
        <v>15100</v>
      </c>
    </row>
    <row r="10944" spans="1:6" x14ac:dyDescent="0.25">
      <c r="A10944" t="str">
        <f>"550608561326"</f>
        <v>550608561326</v>
      </c>
      <c r="B10944" t="s">
        <v>15297</v>
      </c>
      <c r="C10944" t="s">
        <v>7</v>
      </c>
      <c r="D10944" t="s">
        <v>14</v>
      </c>
      <c r="E10944" t="s">
        <v>15100</v>
      </c>
    </row>
    <row r="10945" spans="1:6" x14ac:dyDescent="0.25">
      <c r="A10945" t="str">
        <f>"550609064969"</f>
        <v>550609064969</v>
      </c>
      <c r="B10945" t="s">
        <v>15298</v>
      </c>
      <c r="C10945" t="s">
        <v>7</v>
      </c>
      <c r="D10945" t="s">
        <v>14</v>
      </c>
      <c r="E10945" t="s">
        <v>15100</v>
      </c>
    </row>
    <row r="10946" spans="1:6" x14ac:dyDescent="0.25">
      <c r="A10946" t="str">
        <f>"550609693445"</f>
        <v>550609693445</v>
      </c>
      <c r="B10946" t="s">
        <v>15299</v>
      </c>
      <c r="C10946" t="s">
        <v>7</v>
      </c>
      <c r="D10946" t="s">
        <v>14</v>
      </c>
      <c r="E10946" t="s">
        <v>15100</v>
      </c>
    </row>
    <row r="10947" spans="1:6" x14ac:dyDescent="0.25">
      <c r="A10947" t="str">
        <f>"550609979123"</f>
        <v>550609979123</v>
      </c>
      <c r="B10947" t="s">
        <v>15300</v>
      </c>
      <c r="C10947" t="s">
        <v>7</v>
      </c>
      <c r="D10947" t="s">
        <v>14</v>
      </c>
      <c r="E10947" t="s">
        <v>15100</v>
      </c>
    </row>
    <row r="10948" spans="1:6" x14ac:dyDescent="0.25">
      <c r="A10948" t="str">
        <f>"550610921760"</f>
        <v>550610921760</v>
      </c>
      <c r="B10948" t="s">
        <v>15301</v>
      </c>
      <c r="C10948" t="s">
        <v>7</v>
      </c>
      <c r="D10948" t="s">
        <v>12</v>
      </c>
      <c r="E10948" t="s">
        <v>15100</v>
      </c>
    </row>
    <row r="10949" spans="1:6" x14ac:dyDescent="0.25">
      <c r="A10949" t="str">
        <f>"5506142898"</f>
        <v>5506142898</v>
      </c>
      <c r="B10949" t="s">
        <v>15302</v>
      </c>
      <c r="C10949" t="s">
        <v>7</v>
      </c>
      <c r="D10949" t="s">
        <v>12</v>
      </c>
      <c r="E10949" t="s">
        <v>15100</v>
      </c>
      <c r="F10949" t="s">
        <v>15303</v>
      </c>
    </row>
    <row r="10950" spans="1:6" x14ac:dyDescent="0.25">
      <c r="A10950" t="str">
        <f>"550617250694"</f>
        <v>550617250694</v>
      </c>
      <c r="B10950" t="s">
        <v>15304</v>
      </c>
      <c r="C10950" t="s">
        <v>7</v>
      </c>
      <c r="D10950" t="s">
        <v>14</v>
      </c>
      <c r="E10950" t="s">
        <v>15100</v>
      </c>
    </row>
    <row r="10951" spans="1:6" x14ac:dyDescent="0.25">
      <c r="A10951" t="str">
        <f>"5506187296"</f>
        <v>5506187296</v>
      </c>
      <c r="B10951" t="s">
        <v>15305</v>
      </c>
      <c r="C10951" t="s">
        <v>7</v>
      </c>
      <c r="D10951" t="s">
        <v>33</v>
      </c>
      <c r="E10951" t="s">
        <v>15100</v>
      </c>
      <c r="F10951" t="s">
        <v>15306</v>
      </c>
    </row>
    <row r="10952" spans="1:6" x14ac:dyDescent="0.25">
      <c r="A10952" t="str">
        <f>"550701845925"</f>
        <v>550701845925</v>
      </c>
      <c r="B10952" t="s">
        <v>15307</v>
      </c>
      <c r="C10952" t="s">
        <v>7</v>
      </c>
      <c r="D10952" t="s">
        <v>12</v>
      </c>
      <c r="E10952" t="s">
        <v>15100</v>
      </c>
    </row>
    <row r="10953" spans="1:6" x14ac:dyDescent="0.25">
      <c r="A10953" t="str">
        <f>"550701888157"</f>
        <v>550701888157</v>
      </c>
      <c r="B10953" t="s">
        <v>15308</v>
      </c>
      <c r="C10953" t="s">
        <v>7</v>
      </c>
      <c r="D10953" t="s">
        <v>33</v>
      </c>
      <c r="E10953" t="s">
        <v>15100</v>
      </c>
    </row>
    <row r="10954" spans="1:6" x14ac:dyDescent="0.25">
      <c r="A10954" t="str">
        <f>"5507059875"</f>
        <v>5507059875</v>
      </c>
      <c r="B10954" t="s">
        <v>15309</v>
      </c>
      <c r="C10954" t="s">
        <v>7</v>
      </c>
      <c r="D10954" t="s">
        <v>12</v>
      </c>
      <c r="E10954" t="s">
        <v>15100</v>
      </c>
      <c r="F10954" t="s">
        <v>15310</v>
      </c>
    </row>
    <row r="10955" spans="1:6" x14ac:dyDescent="0.25">
      <c r="A10955" t="str">
        <f>"550706578984"</f>
        <v>550706578984</v>
      </c>
      <c r="B10955" t="s">
        <v>15311</v>
      </c>
      <c r="C10955" t="s">
        <v>7</v>
      </c>
      <c r="D10955" t="s">
        <v>14</v>
      </c>
      <c r="E10955" t="s">
        <v>15100</v>
      </c>
    </row>
    <row r="10956" spans="1:6" x14ac:dyDescent="0.25">
      <c r="A10956" t="str">
        <f>"550710178202"</f>
        <v>550710178202</v>
      </c>
      <c r="B10956" t="s">
        <v>15312</v>
      </c>
      <c r="C10956" t="s">
        <v>7</v>
      </c>
      <c r="D10956" t="s">
        <v>33</v>
      </c>
      <c r="E10956" t="s">
        <v>15100</v>
      </c>
    </row>
    <row r="10957" spans="1:6" x14ac:dyDescent="0.25">
      <c r="A10957" t="str">
        <f>"550710691372"</f>
        <v>550710691372</v>
      </c>
      <c r="B10957" t="s">
        <v>15313</v>
      </c>
      <c r="C10957" t="s">
        <v>7</v>
      </c>
      <c r="D10957" t="s">
        <v>12</v>
      </c>
      <c r="E10957" t="s">
        <v>15100</v>
      </c>
    </row>
    <row r="10958" spans="1:6" x14ac:dyDescent="0.25">
      <c r="A10958" t="str">
        <f>"550710863014"</f>
        <v>550710863014</v>
      </c>
      <c r="B10958" t="s">
        <v>15314</v>
      </c>
      <c r="C10958" t="s">
        <v>7</v>
      </c>
      <c r="D10958" t="s">
        <v>12</v>
      </c>
      <c r="E10958" t="s">
        <v>15100</v>
      </c>
    </row>
    <row r="10959" spans="1:6" x14ac:dyDescent="0.25">
      <c r="A10959" t="str">
        <f>"550722269398"</f>
        <v>550722269398</v>
      </c>
      <c r="B10959" t="s">
        <v>15315</v>
      </c>
      <c r="C10959" t="s">
        <v>7</v>
      </c>
      <c r="D10959" t="s">
        <v>14</v>
      </c>
      <c r="E10959" t="s">
        <v>15100</v>
      </c>
    </row>
    <row r="10960" spans="1:6" x14ac:dyDescent="0.25">
      <c r="A10960" t="str">
        <f>"5507243264"</f>
        <v>5507243264</v>
      </c>
      <c r="B10960" t="s">
        <v>14613</v>
      </c>
      <c r="C10960" t="s">
        <v>7</v>
      </c>
      <c r="D10960" t="s">
        <v>12</v>
      </c>
      <c r="E10960" t="s">
        <v>15100</v>
      </c>
      <c r="F10960" t="s">
        <v>15316</v>
      </c>
    </row>
    <row r="10961" spans="1:6" x14ac:dyDescent="0.25">
      <c r="A10961" t="str">
        <f>"5507264553"</f>
        <v>5507264553</v>
      </c>
      <c r="B10961" t="s">
        <v>15317</v>
      </c>
      <c r="C10961" t="s">
        <v>7</v>
      </c>
      <c r="D10961" t="s">
        <v>8</v>
      </c>
      <c r="E10961" t="s">
        <v>15100</v>
      </c>
      <c r="F10961" t="s">
        <v>15318</v>
      </c>
    </row>
    <row r="10962" spans="1:6" x14ac:dyDescent="0.25">
      <c r="A10962" t="str">
        <f>"5507267025"</f>
        <v>5507267025</v>
      </c>
      <c r="B10962" t="s">
        <v>15319</v>
      </c>
      <c r="C10962" t="s">
        <v>7</v>
      </c>
      <c r="D10962" t="s">
        <v>14</v>
      </c>
      <c r="E10962" t="s">
        <v>15100</v>
      </c>
      <c r="F10962" t="s">
        <v>15320</v>
      </c>
    </row>
    <row r="10963" spans="1:6" x14ac:dyDescent="0.25">
      <c r="A10963" t="str">
        <f>"5507301540"</f>
        <v>5507301540</v>
      </c>
      <c r="B10963" t="s">
        <v>15321</v>
      </c>
      <c r="C10963" t="s">
        <v>7</v>
      </c>
      <c r="D10963" t="s">
        <v>33</v>
      </c>
      <c r="E10963" t="s">
        <v>15100</v>
      </c>
      <c r="F10963" t="s">
        <v>15322</v>
      </c>
    </row>
    <row r="10964" spans="1:6" x14ac:dyDescent="0.25">
      <c r="A10964" t="str">
        <f>"550901102074"</f>
        <v>550901102074</v>
      </c>
      <c r="B10964" t="s">
        <v>15323</v>
      </c>
      <c r="C10964" t="s">
        <v>7</v>
      </c>
      <c r="D10964" t="s">
        <v>33</v>
      </c>
      <c r="E10964" t="s">
        <v>15100</v>
      </c>
    </row>
    <row r="10965" spans="1:6" x14ac:dyDescent="0.25">
      <c r="A10965" t="str">
        <f>"551400033551"</f>
        <v>551400033551</v>
      </c>
      <c r="B10965" t="s">
        <v>15324</v>
      </c>
      <c r="C10965" t="s">
        <v>7</v>
      </c>
      <c r="D10965" t="s">
        <v>14</v>
      </c>
      <c r="E10965" t="s">
        <v>15100</v>
      </c>
    </row>
    <row r="10966" spans="1:6" x14ac:dyDescent="0.25">
      <c r="A10966" t="str">
        <f>"551400137303"</f>
        <v>551400137303</v>
      </c>
      <c r="B10966" t="s">
        <v>15325</v>
      </c>
      <c r="C10966" t="s">
        <v>7</v>
      </c>
      <c r="D10966" t="s">
        <v>14</v>
      </c>
      <c r="E10966" t="s">
        <v>15100</v>
      </c>
    </row>
    <row r="10967" spans="1:6" x14ac:dyDescent="0.25">
      <c r="A10967" t="str">
        <f>"551401565527"</f>
        <v>551401565527</v>
      </c>
      <c r="B10967" t="s">
        <v>15326</v>
      </c>
      <c r="C10967" t="s">
        <v>7</v>
      </c>
      <c r="D10967" t="s">
        <v>14</v>
      </c>
      <c r="E10967" t="s">
        <v>15100</v>
      </c>
    </row>
    <row r="10968" spans="1:6" x14ac:dyDescent="0.25">
      <c r="A10968" t="str">
        <f>"551405631499"</f>
        <v>551405631499</v>
      </c>
      <c r="B10968" t="s">
        <v>15327</v>
      </c>
      <c r="C10968" t="s">
        <v>7</v>
      </c>
      <c r="D10968" t="s">
        <v>14</v>
      </c>
      <c r="E10968" t="s">
        <v>15100</v>
      </c>
    </row>
    <row r="10969" spans="1:6" x14ac:dyDescent="0.25">
      <c r="A10969" t="str">
        <f>"551405731084"</f>
        <v>551405731084</v>
      </c>
      <c r="B10969" t="s">
        <v>15328</v>
      </c>
      <c r="C10969" t="s">
        <v>7</v>
      </c>
      <c r="D10969" t="s">
        <v>14</v>
      </c>
      <c r="E10969" t="s">
        <v>15100</v>
      </c>
    </row>
    <row r="10970" spans="1:6" x14ac:dyDescent="0.25">
      <c r="A10970" t="str">
        <f>"551503297193"</f>
        <v>551503297193</v>
      </c>
      <c r="B10970" t="s">
        <v>15329</v>
      </c>
      <c r="C10970" t="s">
        <v>7</v>
      </c>
      <c r="D10970" t="s">
        <v>12</v>
      </c>
      <c r="E10970" t="s">
        <v>15100</v>
      </c>
    </row>
    <row r="10971" spans="1:6" x14ac:dyDescent="0.25">
      <c r="A10971" t="str">
        <f>"5517012026"</f>
        <v>5517012026</v>
      </c>
      <c r="B10971" t="s">
        <v>15330</v>
      </c>
      <c r="C10971" t="s">
        <v>7</v>
      </c>
      <c r="D10971" t="s">
        <v>14</v>
      </c>
      <c r="E10971" t="s">
        <v>15100</v>
      </c>
      <c r="F10971" t="s">
        <v>15331</v>
      </c>
    </row>
    <row r="10972" spans="1:6" x14ac:dyDescent="0.25">
      <c r="A10972" t="str">
        <f>"5520000616"</f>
        <v>5520000616</v>
      </c>
      <c r="B10972" t="s">
        <v>15332</v>
      </c>
      <c r="C10972" t="s">
        <v>7</v>
      </c>
      <c r="D10972" t="s">
        <v>14</v>
      </c>
      <c r="E10972" t="s">
        <v>15100</v>
      </c>
      <c r="F10972" t="s">
        <v>15333</v>
      </c>
    </row>
    <row r="10973" spans="1:6" x14ac:dyDescent="0.25">
      <c r="A10973" t="str">
        <f>"552002912139"</f>
        <v>552002912139</v>
      </c>
      <c r="B10973" t="s">
        <v>15334</v>
      </c>
      <c r="C10973" t="s">
        <v>7</v>
      </c>
      <c r="D10973" t="s">
        <v>14</v>
      </c>
      <c r="E10973" t="s">
        <v>15100</v>
      </c>
    </row>
    <row r="10974" spans="1:6" x14ac:dyDescent="0.25">
      <c r="A10974" t="str">
        <f>"552500047920"</f>
        <v>552500047920</v>
      </c>
      <c r="B10974" t="s">
        <v>15335</v>
      </c>
      <c r="C10974" t="s">
        <v>7</v>
      </c>
      <c r="D10974" t="s">
        <v>14</v>
      </c>
      <c r="E10974" t="s">
        <v>15100</v>
      </c>
    </row>
    <row r="10975" spans="1:6" x14ac:dyDescent="0.25">
      <c r="A10975" t="str">
        <f>"552500244928"</f>
        <v>552500244928</v>
      </c>
      <c r="B10975" t="s">
        <v>15336</v>
      </c>
      <c r="C10975" t="s">
        <v>7</v>
      </c>
      <c r="D10975" t="s">
        <v>14</v>
      </c>
      <c r="E10975" t="s">
        <v>15100</v>
      </c>
    </row>
    <row r="10976" spans="1:6" x14ac:dyDescent="0.25">
      <c r="A10976" t="str">
        <f>"552502103224"</f>
        <v>552502103224</v>
      </c>
      <c r="B10976" t="s">
        <v>15337</v>
      </c>
      <c r="C10976" t="s">
        <v>7</v>
      </c>
      <c r="D10976" t="s">
        <v>14</v>
      </c>
      <c r="E10976" t="s">
        <v>15100</v>
      </c>
    </row>
    <row r="10977" spans="1:6" x14ac:dyDescent="0.25">
      <c r="A10977" t="str">
        <f>"552813608250"</f>
        <v>552813608250</v>
      </c>
      <c r="B10977" t="s">
        <v>15338</v>
      </c>
      <c r="C10977" t="s">
        <v>7</v>
      </c>
      <c r="D10977" t="s">
        <v>28</v>
      </c>
      <c r="E10977" t="s">
        <v>15100</v>
      </c>
    </row>
    <row r="10978" spans="1:6" x14ac:dyDescent="0.25">
      <c r="A10978" t="str">
        <f>"5528201508"</f>
        <v>5528201508</v>
      </c>
      <c r="B10978" t="s">
        <v>15339</v>
      </c>
      <c r="C10978" t="s">
        <v>7</v>
      </c>
      <c r="D10978" t="s">
        <v>463</v>
      </c>
      <c r="E10978" t="s">
        <v>15100</v>
      </c>
      <c r="F10978" t="s">
        <v>15340</v>
      </c>
    </row>
    <row r="10979" spans="1:6" x14ac:dyDescent="0.25">
      <c r="A10979" t="str">
        <f>"553001398610"</f>
        <v>553001398610</v>
      </c>
      <c r="B10979" t="s">
        <v>15341</v>
      </c>
      <c r="C10979" t="s">
        <v>7</v>
      </c>
      <c r="D10979" t="s">
        <v>14</v>
      </c>
      <c r="E10979" t="s">
        <v>15100</v>
      </c>
    </row>
    <row r="10980" spans="1:6" x14ac:dyDescent="0.25">
      <c r="A10980" t="str">
        <f>"5534010734"</f>
        <v>5534010734</v>
      </c>
      <c r="B10980" t="s">
        <v>15342</v>
      </c>
      <c r="C10980" t="s">
        <v>7</v>
      </c>
      <c r="D10980" t="s">
        <v>14</v>
      </c>
      <c r="E10980" t="s">
        <v>15100</v>
      </c>
      <c r="F10980" t="s">
        <v>15343</v>
      </c>
    </row>
    <row r="10981" spans="1:6" x14ac:dyDescent="0.25">
      <c r="A10981" t="str">
        <f>"553403527305"</f>
        <v>553403527305</v>
      </c>
      <c r="B10981" t="s">
        <v>15344</v>
      </c>
      <c r="C10981" t="s">
        <v>7</v>
      </c>
      <c r="D10981" t="s">
        <v>14</v>
      </c>
      <c r="E10981" t="s">
        <v>15100</v>
      </c>
    </row>
    <row r="10982" spans="1:6" x14ac:dyDescent="0.25">
      <c r="A10982" t="str">
        <f>"553501448108"</f>
        <v>553501448108</v>
      </c>
      <c r="B10982" t="s">
        <v>15345</v>
      </c>
      <c r="C10982" t="s">
        <v>7</v>
      </c>
      <c r="D10982" t="s">
        <v>14</v>
      </c>
      <c r="E10982" t="s">
        <v>15100</v>
      </c>
    </row>
    <row r="10983" spans="1:6" x14ac:dyDescent="0.25">
      <c r="A10983" t="str">
        <f>"553503764660"</f>
        <v>553503764660</v>
      </c>
      <c r="B10983" t="s">
        <v>15346</v>
      </c>
      <c r="C10983" t="s">
        <v>7</v>
      </c>
      <c r="D10983" t="s">
        <v>14</v>
      </c>
      <c r="E10983" t="s">
        <v>15100</v>
      </c>
    </row>
    <row r="10984" spans="1:6" x14ac:dyDescent="0.25">
      <c r="A10984" t="str">
        <f>"553510018937"</f>
        <v>553510018937</v>
      </c>
      <c r="B10984" t="s">
        <v>15347</v>
      </c>
      <c r="C10984" t="s">
        <v>7</v>
      </c>
      <c r="D10984" t="s">
        <v>14</v>
      </c>
      <c r="E10984" t="s">
        <v>15100</v>
      </c>
    </row>
    <row r="10985" spans="1:6" x14ac:dyDescent="0.25">
      <c r="A10985" t="str">
        <f>"553702177786"</f>
        <v>553702177786</v>
      </c>
      <c r="B10985" t="s">
        <v>15348</v>
      </c>
      <c r="C10985" t="s">
        <v>7</v>
      </c>
      <c r="D10985" t="s">
        <v>14</v>
      </c>
      <c r="E10985" t="s">
        <v>15100</v>
      </c>
    </row>
    <row r="10986" spans="1:6" x14ac:dyDescent="0.25">
      <c r="A10986" t="str">
        <f>"553702418128"</f>
        <v>553702418128</v>
      </c>
      <c r="B10986" t="s">
        <v>15349</v>
      </c>
      <c r="C10986" t="s">
        <v>7</v>
      </c>
      <c r="D10986" t="s">
        <v>14</v>
      </c>
      <c r="E10986" t="s">
        <v>15100</v>
      </c>
    </row>
    <row r="10987" spans="1:6" x14ac:dyDescent="0.25">
      <c r="A10987" t="str">
        <f>"2309168595"</f>
        <v>2309168595</v>
      </c>
      <c r="B10987" t="s">
        <v>15350</v>
      </c>
      <c r="C10987" t="s">
        <v>7</v>
      </c>
      <c r="D10987" t="s">
        <v>33</v>
      </c>
      <c r="E10987" t="s">
        <v>15100</v>
      </c>
      <c r="F10987" t="s">
        <v>15351</v>
      </c>
    </row>
    <row r="10988" spans="1:6" x14ac:dyDescent="0.25">
      <c r="A10988" t="str">
        <f>"5504137620"</f>
        <v>5504137620</v>
      </c>
      <c r="B10988" t="s">
        <v>15352</v>
      </c>
      <c r="C10988" t="s">
        <v>7</v>
      </c>
      <c r="D10988" t="s">
        <v>33</v>
      </c>
      <c r="E10988" t="s">
        <v>15100</v>
      </c>
      <c r="F10988" t="s">
        <v>15353</v>
      </c>
    </row>
    <row r="10989" spans="1:6" x14ac:dyDescent="0.25">
      <c r="A10989" t="str">
        <f>"5504139628"</f>
        <v>5504139628</v>
      </c>
      <c r="B10989" t="s">
        <v>15354</v>
      </c>
      <c r="C10989" t="s">
        <v>7</v>
      </c>
      <c r="D10989" t="s">
        <v>12</v>
      </c>
      <c r="E10989" t="s">
        <v>15100</v>
      </c>
      <c r="F10989" t="s">
        <v>15355</v>
      </c>
    </row>
    <row r="10990" spans="1:6" x14ac:dyDescent="0.25">
      <c r="A10990" t="str">
        <f>"5504149922"</f>
        <v>5504149922</v>
      </c>
      <c r="B10990" t="s">
        <v>15356</v>
      </c>
      <c r="C10990" t="s">
        <v>7</v>
      </c>
      <c r="D10990" t="s">
        <v>14</v>
      </c>
      <c r="E10990" t="s">
        <v>15100</v>
      </c>
      <c r="F10990" t="s">
        <v>15357</v>
      </c>
    </row>
    <row r="10991" spans="1:6" x14ac:dyDescent="0.25">
      <c r="A10991" t="str">
        <f>"550500117468"</f>
        <v>550500117468</v>
      </c>
      <c r="B10991" t="s">
        <v>15358</v>
      </c>
      <c r="C10991" t="s">
        <v>7</v>
      </c>
      <c r="D10991" t="s">
        <v>12</v>
      </c>
      <c r="E10991" t="s">
        <v>15100</v>
      </c>
    </row>
    <row r="10992" spans="1:6" x14ac:dyDescent="0.25">
      <c r="A10992" t="str">
        <f>"550500279476"</f>
        <v>550500279476</v>
      </c>
      <c r="B10992" t="s">
        <v>15359</v>
      </c>
      <c r="C10992" t="s">
        <v>7</v>
      </c>
      <c r="D10992" t="s">
        <v>14</v>
      </c>
      <c r="E10992" t="s">
        <v>15100</v>
      </c>
    </row>
    <row r="10993" spans="1:6" x14ac:dyDescent="0.25">
      <c r="A10993" t="str">
        <f>"5505011483"</f>
        <v>5505011483</v>
      </c>
      <c r="B10993" t="s">
        <v>15360</v>
      </c>
      <c r="C10993" t="s">
        <v>7</v>
      </c>
      <c r="D10993" t="s">
        <v>14</v>
      </c>
      <c r="E10993" t="s">
        <v>15100</v>
      </c>
      <c r="F10993" t="s">
        <v>15361</v>
      </c>
    </row>
    <row r="10994" spans="1:6" x14ac:dyDescent="0.25">
      <c r="A10994" t="str">
        <f>"550505198439"</f>
        <v>550505198439</v>
      </c>
      <c r="B10994" t="s">
        <v>15362</v>
      </c>
      <c r="C10994" t="s">
        <v>7</v>
      </c>
      <c r="D10994" t="s">
        <v>14</v>
      </c>
      <c r="E10994" t="s">
        <v>15100</v>
      </c>
    </row>
    <row r="10995" spans="1:6" x14ac:dyDescent="0.25">
      <c r="A10995" t="str">
        <f>"550506230653"</f>
        <v>550506230653</v>
      </c>
      <c r="B10995" t="s">
        <v>15363</v>
      </c>
      <c r="C10995" t="s">
        <v>7</v>
      </c>
      <c r="D10995" t="s">
        <v>14</v>
      </c>
      <c r="E10995" t="s">
        <v>15100</v>
      </c>
    </row>
    <row r="10996" spans="1:6" x14ac:dyDescent="0.25">
      <c r="A10996" t="str">
        <f>"5505071852"</f>
        <v>5505071852</v>
      </c>
      <c r="B10996" t="s">
        <v>15364</v>
      </c>
      <c r="C10996" t="s">
        <v>7</v>
      </c>
      <c r="D10996" t="s">
        <v>14</v>
      </c>
      <c r="E10996" t="s">
        <v>15100</v>
      </c>
      <c r="F10996" t="s">
        <v>15365</v>
      </c>
    </row>
    <row r="10997" spans="1:6" x14ac:dyDescent="0.25">
      <c r="A10997" t="str">
        <f>"550508921952"</f>
        <v>550508921952</v>
      </c>
      <c r="B10997" t="s">
        <v>15366</v>
      </c>
      <c r="C10997" t="s">
        <v>7</v>
      </c>
      <c r="D10997" t="s">
        <v>14</v>
      </c>
      <c r="E10997" t="s">
        <v>15100</v>
      </c>
    </row>
    <row r="10998" spans="1:6" x14ac:dyDescent="0.25">
      <c r="A10998" t="str">
        <f>"5506042903"</f>
        <v>5506042903</v>
      </c>
      <c r="B10998" t="s">
        <v>15367</v>
      </c>
      <c r="C10998" t="s">
        <v>7</v>
      </c>
      <c r="D10998" t="s">
        <v>33</v>
      </c>
      <c r="E10998" t="s">
        <v>15100</v>
      </c>
      <c r="F10998" t="s">
        <v>15368</v>
      </c>
    </row>
    <row r="10999" spans="1:6" x14ac:dyDescent="0.25">
      <c r="A10999" t="str">
        <f>"5506044178"</f>
        <v>5506044178</v>
      </c>
      <c r="B10999" t="s">
        <v>15369</v>
      </c>
      <c r="C10999" t="s">
        <v>7</v>
      </c>
      <c r="D10999" t="s">
        <v>12</v>
      </c>
      <c r="E10999" t="s">
        <v>15100</v>
      </c>
      <c r="F10999" t="s">
        <v>15370</v>
      </c>
    </row>
    <row r="11000" spans="1:6" x14ac:dyDescent="0.25">
      <c r="A11000" t="str">
        <f>"550608642462"</f>
        <v>550608642462</v>
      </c>
      <c r="B11000" t="s">
        <v>15371</v>
      </c>
      <c r="C11000" t="s">
        <v>7</v>
      </c>
      <c r="D11000" t="s">
        <v>14</v>
      </c>
      <c r="E11000" t="s">
        <v>15100</v>
      </c>
    </row>
    <row r="11001" spans="1:6" x14ac:dyDescent="0.25">
      <c r="A11001" t="str">
        <f>"550609949908"</f>
        <v>550609949908</v>
      </c>
      <c r="B11001" t="s">
        <v>15372</v>
      </c>
      <c r="C11001" t="s">
        <v>7</v>
      </c>
      <c r="D11001" t="s">
        <v>12</v>
      </c>
      <c r="E11001" t="s">
        <v>15100</v>
      </c>
    </row>
    <row r="11002" spans="1:6" x14ac:dyDescent="0.25">
      <c r="A11002" t="str">
        <f>"5506160907"</f>
        <v>5506160907</v>
      </c>
      <c r="B11002" t="s">
        <v>15373</v>
      </c>
      <c r="C11002" t="s">
        <v>7</v>
      </c>
      <c r="D11002" t="s">
        <v>674</v>
      </c>
      <c r="E11002" t="s">
        <v>15100</v>
      </c>
      <c r="F11002" t="s">
        <v>15374</v>
      </c>
    </row>
    <row r="11003" spans="1:6" x14ac:dyDescent="0.25">
      <c r="A11003" t="str">
        <f>"550620936878"</f>
        <v>550620936878</v>
      </c>
      <c r="B11003" t="s">
        <v>15375</v>
      </c>
      <c r="C11003" t="s">
        <v>7</v>
      </c>
      <c r="D11003" t="s">
        <v>12</v>
      </c>
      <c r="E11003" t="s">
        <v>15100</v>
      </c>
    </row>
    <row r="11004" spans="1:6" x14ac:dyDescent="0.25">
      <c r="A11004" t="str">
        <f>"550621600373"</f>
        <v>550621600373</v>
      </c>
      <c r="B11004" t="s">
        <v>15376</v>
      </c>
      <c r="C11004" t="s">
        <v>7</v>
      </c>
      <c r="D11004" t="s">
        <v>12</v>
      </c>
      <c r="E11004" t="s">
        <v>15100</v>
      </c>
    </row>
    <row r="11005" spans="1:6" x14ac:dyDescent="0.25">
      <c r="A11005" t="str">
        <f>"550701579511"</f>
        <v>550701579511</v>
      </c>
      <c r="B11005" t="s">
        <v>15377</v>
      </c>
      <c r="C11005" t="s">
        <v>7</v>
      </c>
      <c r="D11005" t="s">
        <v>12</v>
      </c>
      <c r="E11005" t="s">
        <v>15100</v>
      </c>
    </row>
    <row r="11006" spans="1:6" x14ac:dyDescent="0.25">
      <c r="A11006" t="str">
        <f>"550702007980"</f>
        <v>550702007980</v>
      </c>
      <c r="B11006" t="s">
        <v>15378</v>
      </c>
      <c r="C11006" t="s">
        <v>7</v>
      </c>
      <c r="D11006" t="s">
        <v>33</v>
      </c>
      <c r="E11006" t="s">
        <v>15100</v>
      </c>
    </row>
    <row r="11007" spans="1:6" x14ac:dyDescent="0.25">
      <c r="A11007" t="str">
        <f>"550702165263"</f>
        <v>550702165263</v>
      </c>
      <c r="B11007" t="s">
        <v>15379</v>
      </c>
      <c r="C11007" t="s">
        <v>7</v>
      </c>
      <c r="D11007" t="s">
        <v>14</v>
      </c>
      <c r="E11007" t="s">
        <v>15100</v>
      </c>
    </row>
    <row r="11008" spans="1:6" x14ac:dyDescent="0.25">
      <c r="A11008" t="str">
        <f>"550706482834"</f>
        <v>550706482834</v>
      </c>
      <c r="B11008" t="s">
        <v>15380</v>
      </c>
      <c r="C11008" t="s">
        <v>7</v>
      </c>
      <c r="D11008" t="s">
        <v>14</v>
      </c>
      <c r="E11008" t="s">
        <v>15100</v>
      </c>
    </row>
    <row r="11009" spans="1:6" x14ac:dyDescent="0.25">
      <c r="A11009" t="str">
        <f>"5507091371"</f>
        <v>5507091371</v>
      </c>
      <c r="B11009" t="s">
        <v>15381</v>
      </c>
      <c r="C11009" t="s">
        <v>7</v>
      </c>
      <c r="D11009" t="s">
        <v>14</v>
      </c>
      <c r="E11009" t="s">
        <v>15100</v>
      </c>
      <c r="F11009" t="s">
        <v>15382</v>
      </c>
    </row>
    <row r="11010" spans="1:6" x14ac:dyDescent="0.25">
      <c r="A11010" t="str">
        <f>"550711465680"</f>
        <v>550711465680</v>
      </c>
      <c r="B11010" t="s">
        <v>15383</v>
      </c>
      <c r="C11010" t="s">
        <v>7</v>
      </c>
      <c r="D11010" t="s">
        <v>14</v>
      </c>
      <c r="E11010" t="s">
        <v>15100</v>
      </c>
    </row>
    <row r="11011" spans="1:6" x14ac:dyDescent="0.25">
      <c r="A11011" t="str">
        <f>"550712672103"</f>
        <v>550712672103</v>
      </c>
      <c r="B11011" t="s">
        <v>15384</v>
      </c>
      <c r="C11011" t="s">
        <v>7</v>
      </c>
      <c r="D11011" t="s">
        <v>14</v>
      </c>
      <c r="E11011" t="s">
        <v>15100</v>
      </c>
    </row>
    <row r="11012" spans="1:6" x14ac:dyDescent="0.25">
      <c r="A11012" t="str">
        <f>"550714058869"</f>
        <v>550714058869</v>
      </c>
      <c r="B11012" t="s">
        <v>15385</v>
      </c>
      <c r="C11012" t="s">
        <v>7</v>
      </c>
      <c r="D11012" t="s">
        <v>12</v>
      </c>
      <c r="E11012" t="s">
        <v>15100</v>
      </c>
    </row>
    <row r="11013" spans="1:6" x14ac:dyDescent="0.25">
      <c r="A11013" t="str">
        <f>"550715919077"</f>
        <v>550715919077</v>
      </c>
      <c r="B11013" t="s">
        <v>15386</v>
      </c>
      <c r="C11013" t="s">
        <v>7</v>
      </c>
      <c r="D11013" t="s">
        <v>14</v>
      </c>
      <c r="E11013" t="s">
        <v>15100</v>
      </c>
    </row>
    <row r="11014" spans="1:6" x14ac:dyDescent="0.25">
      <c r="A11014" t="str">
        <f>"550717285411"</f>
        <v>550717285411</v>
      </c>
      <c r="B11014" t="s">
        <v>15387</v>
      </c>
      <c r="C11014" t="s">
        <v>7</v>
      </c>
      <c r="D11014" t="s">
        <v>14</v>
      </c>
      <c r="E11014" t="s">
        <v>15100</v>
      </c>
    </row>
    <row r="11015" spans="1:6" x14ac:dyDescent="0.25">
      <c r="A11015" t="str">
        <f>"550718659719"</f>
        <v>550718659719</v>
      </c>
      <c r="B11015" t="s">
        <v>15388</v>
      </c>
      <c r="C11015" t="s">
        <v>7</v>
      </c>
      <c r="D11015" t="s">
        <v>12</v>
      </c>
      <c r="E11015" t="s">
        <v>15100</v>
      </c>
    </row>
    <row r="11016" spans="1:6" x14ac:dyDescent="0.25">
      <c r="A11016" t="str">
        <f>"5507220228"</f>
        <v>5507220228</v>
      </c>
      <c r="B11016" t="s">
        <v>15389</v>
      </c>
      <c r="C11016" t="s">
        <v>7</v>
      </c>
      <c r="D11016" t="s">
        <v>1430</v>
      </c>
      <c r="E11016" t="s">
        <v>15100</v>
      </c>
      <c r="F11016" t="s">
        <v>15390</v>
      </c>
    </row>
    <row r="11017" spans="1:6" x14ac:dyDescent="0.25">
      <c r="A11017" t="str">
        <f>"550723049540"</f>
        <v>550723049540</v>
      </c>
      <c r="B11017" t="s">
        <v>15391</v>
      </c>
      <c r="C11017" t="s">
        <v>7</v>
      </c>
      <c r="D11017" t="s">
        <v>14</v>
      </c>
      <c r="E11017" t="s">
        <v>15100</v>
      </c>
    </row>
    <row r="11018" spans="1:6" x14ac:dyDescent="0.25">
      <c r="A11018" t="str">
        <f>"5507267258"</f>
        <v>5507267258</v>
      </c>
      <c r="B11018" t="s">
        <v>15392</v>
      </c>
      <c r="C11018" t="s">
        <v>7</v>
      </c>
      <c r="D11018" t="s">
        <v>463</v>
      </c>
      <c r="E11018" t="s">
        <v>15100</v>
      </c>
      <c r="F11018" t="s">
        <v>15393</v>
      </c>
    </row>
    <row r="11019" spans="1:6" x14ac:dyDescent="0.25">
      <c r="A11019" t="str">
        <f>"5507294741"</f>
        <v>5507294741</v>
      </c>
      <c r="B11019" t="s">
        <v>15394</v>
      </c>
      <c r="C11019" t="s">
        <v>7</v>
      </c>
      <c r="D11019" t="s">
        <v>12</v>
      </c>
      <c r="E11019" t="s">
        <v>15100</v>
      </c>
      <c r="F11019" t="s">
        <v>15257</v>
      </c>
    </row>
    <row r="11020" spans="1:6" x14ac:dyDescent="0.25">
      <c r="A11020" t="str">
        <f>"550765703228"</f>
        <v>550765703228</v>
      </c>
      <c r="B11020" t="s">
        <v>15395</v>
      </c>
      <c r="C11020" t="s">
        <v>7</v>
      </c>
      <c r="D11020" t="s">
        <v>14</v>
      </c>
      <c r="E11020" t="s">
        <v>15100</v>
      </c>
    </row>
    <row r="11021" spans="1:6" x14ac:dyDescent="0.25">
      <c r="A11021" t="str">
        <f>"550901102148"</f>
        <v>550901102148</v>
      </c>
      <c r="B11021" t="s">
        <v>15396</v>
      </c>
      <c r="C11021" t="s">
        <v>7</v>
      </c>
      <c r="D11021" t="s">
        <v>14</v>
      </c>
      <c r="E11021" t="s">
        <v>15100</v>
      </c>
    </row>
    <row r="11022" spans="1:6" x14ac:dyDescent="0.25">
      <c r="A11022" t="str">
        <f>"551300334178"</f>
        <v>551300334178</v>
      </c>
      <c r="B11022" t="s">
        <v>15397</v>
      </c>
      <c r="C11022" t="s">
        <v>7</v>
      </c>
      <c r="D11022" t="s">
        <v>14</v>
      </c>
      <c r="E11022" t="s">
        <v>15100</v>
      </c>
    </row>
    <row r="11023" spans="1:6" x14ac:dyDescent="0.25">
      <c r="A11023" t="str">
        <f>"551400004670"</f>
        <v>551400004670</v>
      </c>
      <c r="B11023" t="s">
        <v>15398</v>
      </c>
      <c r="C11023" t="s">
        <v>7</v>
      </c>
      <c r="D11023" t="s">
        <v>14</v>
      </c>
      <c r="E11023" t="s">
        <v>15100</v>
      </c>
    </row>
    <row r="11024" spans="1:6" x14ac:dyDescent="0.25">
      <c r="A11024" t="str">
        <f>"551500129761"</f>
        <v>551500129761</v>
      </c>
      <c r="B11024" t="s">
        <v>15399</v>
      </c>
      <c r="C11024" t="s">
        <v>7</v>
      </c>
      <c r="D11024" t="s">
        <v>14</v>
      </c>
      <c r="E11024" t="s">
        <v>15100</v>
      </c>
    </row>
    <row r="11025" spans="1:6" x14ac:dyDescent="0.25">
      <c r="A11025" t="str">
        <f>"551500199712"</f>
        <v>551500199712</v>
      </c>
      <c r="B11025" t="s">
        <v>15400</v>
      </c>
      <c r="C11025" t="s">
        <v>7</v>
      </c>
      <c r="D11025" t="s">
        <v>12</v>
      </c>
      <c r="E11025" t="s">
        <v>15100</v>
      </c>
    </row>
    <row r="11026" spans="1:6" x14ac:dyDescent="0.25">
      <c r="A11026" t="str">
        <f>"5518006610"</f>
        <v>5518006610</v>
      </c>
      <c r="B11026" t="s">
        <v>15401</v>
      </c>
      <c r="C11026" t="s">
        <v>7</v>
      </c>
      <c r="D11026" t="s">
        <v>14</v>
      </c>
      <c r="E11026" t="s">
        <v>15100</v>
      </c>
      <c r="F11026" t="s">
        <v>15402</v>
      </c>
    </row>
    <row r="11027" spans="1:6" x14ac:dyDescent="0.25">
      <c r="A11027" t="str">
        <f>"552300456001"</f>
        <v>552300456001</v>
      </c>
      <c r="B11027" t="s">
        <v>15403</v>
      </c>
      <c r="C11027" t="s">
        <v>7</v>
      </c>
      <c r="D11027" t="s">
        <v>14</v>
      </c>
      <c r="E11027" t="s">
        <v>15100</v>
      </c>
    </row>
    <row r="11028" spans="1:6" x14ac:dyDescent="0.25">
      <c r="A11028" t="str">
        <f>"552301160896"</f>
        <v>552301160896</v>
      </c>
      <c r="B11028" t="s">
        <v>15404</v>
      </c>
      <c r="C11028" t="s">
        <v>7</v>
      </c>
      <c r="D11028" t="s">
        <v>14</v>
      </c>
      <c r="E11028" t="s">
        <v>15100</v>
      </c>
    </row>
    <row r="11029" spans="1:6" x14ac:dyDescent="0.25">
      <c r="A11029" t="str">
        <f>"552401046604"</f>
        <v>552401046604</v>
      </c>
      <c r="B11029" t="s">
        <v>15405</v>
      </c>
      <c r="C11029" t="s">
        <v>7</v>
      </c>
      <c r="D11029" t="s">
        <v>14</v>
      </c>
      <c r="E11029" t="s">
        <v>15100</v>
      </c>
    </row>
    <row r="11030" spans="1:6" x14ac:dyDescent="0.25">
      <c r="A11030" t="str">
        <f>"5524200292"</f>
        <v>5524200292</v>
      </c>
      <c r="B11030" t="s">
        <v>15406</v>
      </c>
      <c r="C11030" t="s">
        <v>7</v>
      </c>
      <c r="D11030" t="s">
        <v>14</v>
      </c>
      <c r="E11030" t="s">
        <v>15100</v>
      </c>
      <c r="F11030" t="s">
        <v>15407</v>
      </c>
    </row>
    <row r="11031" spans="1:6" x14ac:dyDescent="0.25">
      <c r="A11031" t="str">
        <f>"552600929354"</f>
        <v>552600929354</v>
      </c>
      <c r="B11031" t="s">
        <v>15408</v>
      </c>
      <c r="C11031" t="s">
        <v>7</v>
      </c>
      <c r="D11031" t="s">
        <v>12</v>
      </c>
      <c r="E11031" t="s">
        <v>15100</v>
      </c>
    </row>
    <row r="11032" spans="1:6" x14ac:dyDescent="0.25">
      <c r="A11032" t="str">
        <f>"552701557504"</f>
        <v>552701557504</v>
      </c>
      <c r="B11032" t="s">
        <v>15409</v>
      </c>
      <c r="C11032" t="s">
        <v>7</v>
      </c>
      <c r="D11032" t="s">
        <v>14</v>
      </c>
      <c r="E11032" t="s">
        <v>15100</v>
      </c>
    </row>
    <row r="11033" spans="1:6" x14ac:dyDescent="0.25">
      <c r="A11033" t="str">
        <f>"5528034021"</f>
        <v>5528034021</v>
      </c>
      <c r="B11033" t="s">
        <v>15410</v>
      </c>
      <c r="C11033" t="s">
        <v>7</v>
      </c>
      <c r="D11033" t="s">
        <v>8</v>
      </c>
      <c r="E11033" t="s">
        <v>15100</v>
      </c>
      <c r="F11033" t="s">
        <v>15411</v>
      </c>
    </row>
    <row r="11034" spans="1:6" x14ac:dyDescent="0.25">
      <c r="A11034" t="str">
        <f>"552807781055"</f>
        <v>552807781055</v>
      </c>
      <c r="B11034" t="s">
        <v>15412</v>
      </c>
      <c r="C11034" t="s">
        <v>7</v>
      </c>
      <c r="D11034" t="s">
        <v>14</v>
      </c>
      <c r="E11034" t="s">
        <v>15100</v>
      </c>
    </row>
    <row r="11035" spans="1:6" x14ac:dyDescent="0.25">
      <c r="A11035" t="str">
        <f>"5528211440"</f>
        <v>5528211440</v>
      </c>
      <c r="B11035" t="s">
        <v>15413</v>
      </c>
      <c r="C11035" t="s">
        <v>7</v>
      </c>
      <c r="D11035" t="s">
        <v>12</v>
      </c>
      <c r="E11035" t="s">
        <v>15100</v>
      </c>
      <c r="F11035" t="s">
        <v>15414</v>
      </c>
    </row>
    <row r="11036" spans="1:6" x14ac:dyDescent="0.25">
      <c r="A11036" t="str">
        <f>"553801080094"</f>
        <v>553801080094</v>
      </c>
      <c r="B11036" t="s">
        <v>15415</v>
      </c>
      <c r="C11036" t="s">
        <v>7</v>
      </c>
      <c r="D11036" t="s">
        <v>463</v>
      </c>
      <c r="E11036" t="s">
        <v>15100</v>
      </c>
    </row>
    <row r="11037" spans="1:6" x14ac:dyDescent="0.25">
      <c r="A11037" t="str">
        <f>"381803478910"</f>
        <v>381803478910</v>
      </c>
      <c r="B11037" t="s">
        <v>15416</v>
      </c>
      <c r="C11037" t="s">
        <v>7</v>
      </c>
      <c r="D11037" t="s">
        <v>14</v>
      </c>
      <c r="E11037" t="s">
        <v>15100</v>
      </c>
    </row>
    <row r="11038" spans="1:6" x14ac:dyDescent="0.25">
      <c r="A11038" t="str">
        <f>"840100263988"</f>
        <v>840100263988</v>
      </c>
      <c r="B11038" t="s">
        <v>15417</v>
      </c>
      <c r="C11038" t="s">
        <v>7</v>
      </c>
      <c r="D11038" t="s">
        <v>14</v>
      </c>
      <c r="E11038" t="s">
        <v>15100</v>
      </c>
    </row>
    <row r="11039" spans="1:6" x14ac:dyDescent="0.25">
      <c r="A11039" t="str">
        <f>"860400058005"</f>
        <v>860400058005</v>
      </c>
      <c r="B11039" t="s">
        <v>15418</v>
      </c>
      <c r="C11039" t="s">
        <v>7</v>
      </c>
      <c r="D11039" t="s">
        <v>14</v>
      </c>
      <c r="E11039" t="s">
        <v>15100</v>
      </c>
    </row>
    <row r="11040" spans="1:6" x14ac:dyDescent="0.25">
      <c r="A11040" t="str">
        <f>"590600052668"</f>
        <v>590600052668</v>
      </c>
      <c r="B11040" t="s">
        <v>15419</v>
      </c>
      <c r="C11040" t="s">
        <v>7</v>
      </c>
      <c r="D11040" t="s">
        <v>12</v>
      </c>
      <c r="E11040" t="s">
        <v>15100</v>
      </c>
    </row>
    <row r="11041" spans="1:6" x14ac:dyDescent="0.25">
      <c r="A11041" t="str">
        <f>"753706877512"</f>
        <v>753706877512</v>
      </c>
      <c r="B11041" t="s">
        <v>15420</v>
      </c>
      <c r="C11041" t="s">
        <v>7</v>
      </c>
      <c r="D11041" t="s">
        <v>14</v>
      </c>
      <c r="E11041" t="s">
        <v>15100</v>
      </c>
    </row>
    <row r="11042" spans="1:6" x14ac:dyDescent="0.25">
      <c r="A11042" t="str">
        <f>"770400620404"</f>
        <v>770400620404</v>
      </c>
      <c r="B11042" t="s">
        <v>15421</v>
      </c>
      <c r="C11042" t="s">
        <v>7</v>
      </c>
      <c r="D11042" t="s">
        <v>14</v>
      </c>
      <c r="E11042" t="s">
        <v>15100</v>
      </c>
    </row>
    <row r="11043" spans="1:6" x14ac:dyDescent="0.25">
      <c r="A11043" t="str">
        <f>"9705103668"</f>
        <v>9705103668</v>
      </c>
      <c r="B11043" t="s">
        <v>15422</v>
      </c>
      <c r="C11043" t="s">
        <v>7</v>
      </c>
      <c r="D11043" t="s">
        <v>98</v>
      </c>
      <c r="E11043" t="s">
        <v>15100</v>
      </c>
      <c r="F11043" t="s">
        <v>15423</v>
      </c>
    </row>
    <row r="11044" spans="1:6" x14ac:dyDescent="0.25">
      <c r="A11044" t="str">
        <f>"026905653828"</f>
        <v>026905653828</v>
      </c>
      <c r="B11044" t="s">
        <v>15424</v>
      </c>
      <c r="C11044" t="s">
        <v>7</v>
      </c>
      <c r="D11044" t="s">
        <v>14</v>
      </c>
      <c r="E11044" t="s">
        <v>15425</v>
      </c>
    </row>
    <row r="11045" spans="1:6" x14ac:dyDescent="0.25">
      <c r="A11045" t="str">
        <f>"560505727431"</f>
        <v>560505727431</v>
      </c>
      <c r="B11045" t="s">
        <v>15426</v>
      </c>
      <c r="C11045" t="s">
        <v>7</v>
      </c>
      <c r="D11045" t="s">
        <v>14</v>
      </c>
      <c r="E11045" t="s">
        <v>15425</v>
      </c>
    </row>
    <row r="11046" spans="1:6" x14ac:dyDescent="0.25">
      <c r="A11046" t="str">
        <f>"560700581271"</f>
        <v>560700581271</v>
      </c>
      <c r="B11046" t="s">
        <v>15427</v>
      </c>
      <c r="C11046" t="s">
        <v>7</v>
      </c>
      <c r="D11046" t="s">
        <v>14</v>
      </c>
      <c r="E11046" t="s">
        <v>15425</v>
      </c>
    </row>
    <row r="11047" spans="1:6" x14ac:dyDescent="0.25">
      <c r="A11047" t="str">
        <f>"560900507363"</f>
        <v>560900507363</v>
      </c>
      <c r="B11047" t="s">
        <v>15428</v>
      </c>
      <c r="C11047" t="s">
        <v>7</v>
      </c>
      <c r="D11047" t="s">
        <v>14</v>
      </c>
      <c r="E11047" t="s">
        <v>15425</v>
      </c>
    </row>
    <row r="11048" spans="1:6" x14ac:dyDescent="0.25">
      <c r="A11048" t="str">
        <f>"5609093586"</f>
        <v>5609093586</v>
      </c>
      <c r="B11048" t="s">
        <v>15429</v>
      </c>
      <c r="C11048" t="s">
        <v>7</v>
      </c>
      <c r="D11048" t="s">
        <v>14</v>
      </c>
      <c r="E11048" t="s">
        <v>15425</v>
      </c>
      <c r="F11048" t="s">
        <v>15430</v>
      </c>
    </row>
    <row r="11049" spans="1:6" x14ac:dyDescent="0.25">
      <c r="A11049" t="str">
        <f>"5609185597"</f>
        <v>5609185597</v>
      </c>
      <c r="B11049" t="s">
        <v>15431</v>
      </c>
      <c r="C11049" t="s">
        <v>7</v>
      </c>
      <c r="D11049" t="s">
        <v>14</v>
      </c>
      <c r="E11049" t="s">
        <v>15425</v>
      </c>
      <c r="F11049" t="s">
        <v>15432</v>
      </c>
    </row>
    <row r="11050" spans="1:6" x14ac:dyDescent="0.25">
      <c r="A11050" t="str">
        <f>"5609194947"</f>
        <v>5609194947</v>
      </c>
      <c r="B11050" t="s">
        <v>5996</v>
      </c>
      <c r="C11050" t="s">
        <v>7</v>
      </c>
      <c r="D11050" t="s">
        <v>14</v>
      </c>
      <c r="E11050" t="s">
        <v>15425</v>
      </c>
      <c r="F11050" t="s">
        <v>15433</v>
      </c>
    </row>
    <row r="11051" spans="1:6" x14ac:dyDescent="0.25">
      <c r="A11051" t="str">
        <f>"5609202210"</f>
        <v>5609202210</v>
      </c>
      <c r="B11051" t="s">
        <v>3750</v>
      </c>
      <c r="C11051" t="s">
        <v>7</v>
      </c>
      <c r="D11051" t="s">
        <v>14</v>
      </c>
      <c r="E11051" t="s">
        <v>15425</v>
      </c>
      <c r="F11051" t="s">
        <v>15434</v>
      </c>
    </row>
    <row r="11052" spans="1:6" x14ac:dyDescent="0.25">
      <c r="A11052" t="str">
        <f>"5610230879"</f>
        <v>5610230879</v>
      </c>
      <c r="B11052" t="s">
        <v>15435</v>
      </c>
      <c r="C11052" t="s">
        <v>7</v>
      </c>
      <c r="D11052" t="s">
        <v>33</v>
      </c>
      <c r="E11052" t="s">
        <v>15425</v>
      </c>
      <c r="F11052" t="s">
        <v>15436</v>
      </c>
    </row>
    <row r="11053" spans="1:6" x14ac:dyDescent="0.25">
      <c r="A11053" t="str">
        <f>"5610231720"</f>
        <v>5610231720</v>
      </c>
      <c r="B11053" t="s">
        <v>15437</v>
      </c>
      <c r="C11053" t="s">
        <v>7</v>
      </c>
      <c r="D11053" t="s">
        <v>33</v>
      </c>
      <c r="E11053" t="s">
        <v>15425</v>
      </c>
      <c r="F11053" t="s">
        <v>15438</v>
      </c>
    </row>
    <row r="11054" spans="1:6" x14ac:dyDescent="0.25">
      <c r="A11054" t="str">
        <f>"561109066652"</f>
        <v>561109066652</v>
      </c>
      <c r="B11054" t="s">
        <v>15439</v>
      </c>
      <c r="C11054" t="s">
        <v>7</v>
      </c>
      <c r="D11054" t="s">
        <v>14</v>
      </c>
      <c r="E11054" t="s">
        <v>15425</v>
      </c>
    </row>
    <row r="11055" spans="1:6" x14ac:dyDescent="0.25">
      <c r="A11055" t="str">
        <f>"561203150510"</f>
        <v>561203150510</v>
      </c>
      <c r="B11055" t="s">
        <v>15440</v>
      </c>
      <c r="C11055" t="s">
        <v>7</v>
      </c>
      <c r="D11055" t="s">
        <v>33</v>
      </c>
      <c r="E11055" t="s">
        <v>15425</v>
      </c>
    </row>
    <row r="11056" spans="1:6" x14ac:dyDescent="0.25">
      <c r="A11056" t="str">
        <f>"5612071448"</f>
        <v>5612071448</v>
      </c>
      <c r="B11056" t="s">
        <v>15441</v>
      </c>
      <c r="C11056" t="s">
        <v>7</v>
      </c>
      <c r="D11056" t="s">
        <v>12</v>
      </c>
      <c r="E11056" t="s">
        <v>15425</v>
      </c>
      <c r="F11056" t="s">
        <v>15442</v>
      </c>
    </row>
    <row r="11057" spans="1:6" x14ac:dyDescent="0.25">
      <c r="A11057" t="str">
        <f>"561700057077"</f>
        <v>561700057077</v>
      </c>
      <c r="B11057" t="s">
        <v>15443</v>
      </c>
      <c r="C11057" t="s">
        <v>7</v>
      </c>
      <c r="D11057" t="s">
        <v>14</v>
      </c>
      <c r="E11057" t="s">
        <v>15425</v>
      </c>
    </row>
    <row r="11058" spans="1:6" x14ac:dyDescent="0.25">
      <c r="A11058" t="str">
        <f>"561700135215"</f>
        <v>561700135215</v>
      </c>
      <c r="B11058" t="s">
        <v>15444</v>
      </c>
      <c r="C11058" t="s">
        <v>7</v>
      </c>
      <c r="D11058" t="s">
        <v>14</v>
      </c>
      <c r="E11058" t="s">
        <v>15425</v>
      </c>
    </row>
    <row r="11059" spans="1:6" x14ac:dyDescent="0.25">
      <c r="A11059" t="str">
        <f>"5638079829"</f>
        <v>5638079829</v>
      </c>
      <c r="B11059" t="s">
        <v>15445</v>
      </c>
      <c r="C11059" t="s">
        <v>7</v>
      </c>
      <c r="D11059" t="s">
        <v>146</v>
      </c>
      <c r="E11059" t="s">
        <v>15425</v>
      </c>
      <c r="F11059" t="s">
        <v>15446</v>
      </c>
    </row>
    <row r="11060" spans="1:6" x14ac:dyDescent="0.25">
      <c r="A11060" t="str">
        <f>"563902467545"</f>
        <v>563902467545</v>
      </c>
      <c r="B11060" t="s">
        <v>15447</v>
      </c>
      <c r="C11060" t="s">
        <v>7</v>
      </c>
      <c r="D11060" t="s">
        <v>14</v>
      </c>
      <c r="E11060" t="s">
        <v>15425</v>
      </c>
    </row>
    <row r="11061" spans="1:6" x14ac:dyDescent="0.25">
      <c r="A11061" t="str">
        <f>"564701109100"</f>
        <v>564701109100</v>
      </c>
      <c r="B11061" t="s">
        <v>15448</v>
      </c>
      <c r="C11061" t="s">
        <v>7</v>
      </c>
      <c r="D11061" t="s">
        <v>12</v>
      </c>
      <c r="E11061" t="s">
        <v>15425</v>
      </c>
    </row>
    <row r="11062" spans="1:6" x14ac:dyDescent="0.25">
      <c r="A11062" t="str">
        <f>"632131767320"</f>
        <v>632131767320</v>
      </c>
      <c r="B11062" t="s">
        <v>15449</v>
      </c>
      <c r="C11062" t="s">
        <v>7</v>
      </c>
      <c r="D11062" t="s">
        <v>14</v>
      </c>
      <c r="E11062" t="s">
        <v>15425</v>
      </c>
    </row>
    <row r="11063" spans="1:6" x14ac:dyDescent="0.25">
      <c r="A11063" t="str">
        <f>"560103516744"</f>
        <v>560103516744</v>
      </c>
      <c r="B11063" t="s">
        <v>15450</v>
      </c>
      <c r="C11063" t="s">
        <v>7</v>
      </c>
      <c r="D11063" t="s">
        <v>14</v>
      </c>
      <c r="E11063" t="s">
        <v>15425</v>
      </c>
    </row>
    <row r="11064" spans="1:6" x14ac:dyDescent="0.25">
      <c r="A11064" t="str">
        <f>"560200385102"</f>
        <v>560200385102</v>
      </c>
      <c r="B11064" t="s">
        <v>15451</v>
      </c>
      <c r="C11064" t="s">
        <v>7</v>
      </c>
      <c r="D11064" t="s">
        <v>12</v>
      </c>
      <c r="E11064" t="s">
        <v>15425</v>
      </c>
    </row>
    <row r="11065" spans="1:6" x14ac:dyDescent="0.25">
      <c r="A11065" t="str">
        <f>"560300507957"</f>
        <v>560300507957</v>
      </c>
      <c r="B11065" t="s">
        <v>15452</v>
      </c>
      <c r="C11065" t="s">
        <v>7</v>
      </c>
      <c r="D11065" t="s">
        <v>12</v>
      </c>
      <c r="E11065" t="s">
        <v>15425</v>
      </c>
    </row>
    <row r="11066" spans="1:6" x14ac:dyDescent="0.25">
      <c r="A11066" t="str">
        <f>"5603040316"</f>
        <v>5603040316</v>
      </c>
      <c r="B11066" t="s">
        <v>15453</v>
      </c>
      <c r="C11066" t="s">
        <v>7</v>
      </c>
      <c r="D11066" t="s">
        <v>14</v>
      </c>
      <c r="E11066" t="s">
        <v>15425</v>
      </c>
      <c r="F11066" t="s">
        <v>15454</v>
      </c>
    </row>
    <row r="11067" spans="1:6" x14ac:dyDescent="0.25">
      <c r="A11067" t="str">
        <f>"5603044744"</f>
        <v>5603044744</v>
      </c>
      <c r="B11067" t="s">
        <v>3563</v>
      </c>
      <c r="C11067" t="s">
        <v>7</v>
      </c>
      <c r="D11067" t="s">
        <v>460</v>
      </c>
      <c r="E11067" t="s">
        <v>15425</v>
      </c>
      <c r="F11067" t="s">
        <v>15455</v>
      </c>
    </row>
    <row r="11068" spans="1:6" x14ac:dyDescent="0.25">
      <c r="A11068" t="str">
        <f>"5603048964"</f>
        <v>5603048964</v>
      </c>
      <c r="B11068" t="s">
        <v>15456</v>
      </c>
      <c r="C11068" t="s">
        <v>7</v>
      </c>
      <c r="D11068" t="s">
        <v>14</v>
      </c>
      <c r="E11068" t="s">
        <v>15425</v>
      </c>
      <c r="F11068" t="s">
        <v>15457</v>
      </c>
    </row>
    <row r="11069" spans="1:6" x14ac:dyDescent="0.25">
      <c r="A11069" t="str">
        <f>"5603049397"</f>
        <v>5603049397</v>
      </c>
      <c r="B11069" t="s">
        <v>15458</v>
      </c>
      <c r="C11069" t="s">
        <v>7</v>
      </c>
      <c r="D11069" t="s">
        <v>12</v>
      </c>
      <c r="E11069" t="s">
        <v>15425</v>
      </c>
      <c r="F11069" t="s">
        <v>15459</v>
      </c>
    </row>
    <row r="11070" spans="1:6" x14ac:dyDescent="0.25">
      <c r="A11070" t="str">
        <f>"560307209156"</f>
        <v>560307209156</v>
      </c>
      <c r="B11070" t="s">
        <v>15460</v>
      </c>
      <c r="C11070" t="s">
        <v>7</v>
      </c>
      <c r="D11070" t="s">
        <v>33</v>
      </c>
      <c r="E11070" t="s">
        <v>15425</v>
      </c>
    </row>
    <row r="11071" spans="1:6" x14ac:dyDescent="0.25">
      <c r="A11071" t="str">
        <f>"560200079137"</f>
        <v>560200079137</v>
      </c>
      <c r="B11071" t="s">
        <v>15461</v>
      </c>
      <c r="C11071" t="s">
        <v>7</v>
      </c>
      <c r="D11071" t="s">
        <v>14</v>
      </c>
      <c r="E11071" t="s">
        <v>15425</v>
      </c>
    </row>
    <row r="11072" spans="1:6" x14ac:dyDescent="0.25">
      <c r="A11072" t="str">
        <f>"5602024142"</f>
        <v>5602024142</v>
      </c>
      <c r="B11072" t="s">
        <v>15462</v>
      </c>
      <c r="C11072" t="s">
        <v>7</v>
      </c>
      <c r="D11072" t="s">
        <v>14</v>
      </c>
      <c r="E11072" t="s">
        <v>15425</v>
      </c>
      <c r="F11072" t="s">
        <v>15463</v>
      </c>
    </row>
    <row r="11073" spans="1:6" x14ac:dyDescent="0.25">
      <c r="A11073" t="str">
        <f>"5603047142"</f>
        <v>5603047142</v>
      </c>
      <c r="B11073" t="s">
        <v>4700</v>
      </c>
      <c r="C11073" t="s">
        <v>7</v>
      </c>
      <c r="D11073" t="s">
        <v>33</v>
      </c>
      <c r="E11073" t="s">
        <v>15425</v>
      </c>
      <c r="F11073" t="s">
        <v>15464</v>
      </c>
    </row>
    <row r="11074" spans="1:6" x14ac:dyDescent="0.25">
      <c r="A11074" t="str">
        <f>"5603050272"</f>
        <v>5603050272</v>
      </c>
      <c r="B11074" t="s">
        <v>15465</v>
      </c>
      <c r="C11074" t="s">
        <v>7</v>
      </c>
      <c r="D11074" t="s">
        <v>14</v>
      </c>
      <c r="E11074" t="s">
        <v>15425</v>
      </c>
      <c r="F11074" t="s">
        <v>15466</v>
      </c>
    </row>
    <row r="11075" spans="1:6" x14ac:dyDescent="0.25">
      <c r="A11075" t="str">
        <f>"560102835201"</f>
        <v>560102835201</v>
      </c>
      <c r="B11075" t="s">
        <v>15467</v>
      </c>
      <c r="C11075" t="s">
        <v>7</v>
      </c>
      <c r="D11075" t="s">
        <v>14</v>
      </c>
      <c r="E11075" t="s">
        <v>15425</v>
      </c>
    </row>
    <row r="11076" spans="1:6" x14ac:dyDescent="0.25">
      <c r="A11076" t="str">
        <f>"560200023448"</f>
        <v>560200023448</v>
      </c>
      <c r="B11076" t="s">
        <v>15468</v>
      </c>
      <c r="C11076" t="s">
        <v>7</v>
      </c>
      <c r="D11076" t="s">
        <v>14</v>
      </c>
      <c r="E11076" t="s">
        <v>15425</v>
      </c>
    </row>
    <row r="11077" spans="1:6" x14ac:dyDescent="0.25">
      <c r="A11077" t="str">
        <f>"560203460171"</f>
        <v>560203460171</v>
      </c>
      <c r="B11077" t="s">
        <v>15469</v>
      </c>
      <c r="C11077" t="s">
        <v>7</v>
      </c>
      <c r="D11077" t="s">
        <v>14</v>
      </c>
      <c r="E11077" t="s">
        <v>15425</v>
      </c>
    </row>
    <row r="11078" spans="1:6" x14ac:dyDescent="0.25">
      <c r="A11078" t="str">
        <f>"560302667709"</f>
        <v>560302667709</v>
      </c>
      <c r="B11078" t="s">
        <v>15470</v>
      </c>
      <c r="C11078" t="s">
        <v>7</v>
      </c>
      <c r="D11078" t="s">
        <v>14</v>
      </c>
      <c r="E11078" t="s">
        <v>15425</v>
      </c>
    </row>
    <row r="11079" spans="1:6" x14ac:dyDescent="0.25">
      <c r="A11079" t="str">
        <f>"5603042867"</f>
        <v>5603042867</v>
      </c>
      <c r="B11079" t="s">
        <v>15471</v>
      </c>
      <c r="C11079" t="s">
        <v>7</v>
      </c>
      <c r="D11079" t="s">
        <v>33</v>
      </c>
      <c r="E11079" t="s">
        <v>15425</v>
      </c>
      <c r="F11079" t="s">
        <v>15472</v>
      </c>
    </row>
    <row r="11080" spans="1:6" x14ac:dyDescent="0.25">
      <c r="A11080" t="str">
        <f>"560700217120"</f>
        <v>560700217120</v>
      </c>
      <c r="B11080" t="s">
        <v>15473</v>
      </c>
      <c r="C11080" t="s">
        <v>7</v>
      </c>
      <c r="D11080" t="s">
        <v>14</v>
      </c>
      <c r="E11080" t="s">
        <v>15425</v>
      </c>
    </row>
    <row r="11081" spans="1:6" x14ac:dyDescent="0.25">
      <c r="A11081" t="str">
        <f>"560707575735"</f>
        <v>560707575735</v>
      </c>
      <c r="B11081" t="s">
        <v>15474</v>
      </c>
      <c r="C11081" t="s">
        <v>7</v>
      </c>
      <c r="D11081" t="s">
        <v>14</v>
      </c>
      <c r="E11081" t="s">
        <v>15425</v>
      </c>
    </row>
    <row r="11082" spans="1:6" x14ac:dyDescent="0.25">
      <c r="A11082" t="str">
        <f>"560711648190"</f>
        <v>560711648190</v>
      </c>
      <c r="B11082" t="s">
        <v>15475</v>
      </c>
      <c r="C11082" t="s">
        <v>7</v>
      </c>
      <c r="D11082" t="s">
        <v>28</v>
      </c>
      <c r="E11082" t="s">
        <v>15425</v>
      </c>
    </row>
    <row r="11083" spans="1:6" x14ac:dyDescent="0.25">
      <c r="A11083" t="str">
        <f>"560900566009"</f>
        <v>560900566009</v>
      </c>
      <c r="B11083" t="s">
        <v>15476</v>
      </c>
      <c r="C11083" t="s">
        <v>7</v>
      </c>
      <c r="D11083" t="s">
        <v>14</v>
      </c>
      <c r="E11083" t="s">
        <v>15425</v>
      </c>
    </row>
    <row r="11084" spans="1:6" x14ac:dyDescent="0.25">
      <c r="A11084" t="str">
        <f>"560905272323"</f>
        <v>560905272323</v>
      </c>
      <c r="B11084" t="s">
        <v>15477</v>
      </c>
      <c r="C11084" t="s">
        <v>7</v>
      </c>
      <c r="D11084" t="s">
        <v>14</v>
      </c>
      <c r="E11084" t="s">
        <v>15425</v>
      </c>
    </row>
    <row r="11085" spans="1:6" x14ac:dyDescent="0.25">
      <c r="A11085" t="str">
        <f>"5609073950"</f>
        <v>5609073950</v>
      </c>
      <c r="B11085" t="s">
        <v>15478</v>
      </c>
      <c r="C11085" t="s">
        <v>7</v>
      </c>
      <c r="D11085" t="s">
        <v>33</v>
      </c>
      <c r="E11085" t="s">
        <v>15425</v>
      </c>
      <c r="F11085" t="s">
        <v>15479</v>
      </c>
    </row>
    <row r="11086" spans="1:6" x14ac:dyDescent="0.25">
      <c r="A11086" t="str">
        <f>"560908589713"</f>
        <v>560908589713</v>
      </c>
      <c r="B11086" t="s">
        <v>15480</v>
      </c>
      <c r="C11086" t="s">
        <v>7</v>
      </c>
      <c r="D11086" t="s">
        <v>14</v>
      </c>
      <c r="E11086" t="s">
        <v>15425</v>
      </c>
    </row>
    <row r="11087" spans="1:6" x14ac:dyDescent="0.25">
      <c r="A11087" t="str">
        <f>"560910957869"</f>
        <v>560910957869</v>
      </c>
      <c r="B11087" t="s">
        <v>15481</v>
      </c>
      <c r="C11087" t="s">
        <v>7</v>
      </c>
      <c r="D11087" t="s">
        <v>12</v>
      </c>
      <c r="E11087" t="s">
        <v>15425</v>
      </c>
    </row>
    <row r="11088" spans="1:6" x14ac:dyDescent="0.25">
      <c r="A11088" t="str">
        <f>"560911590846"</f>
        <v>560911590846</v>
      </c>
      <c r="B11088" t="s">
        <v>15482</v>
      </c>
      <c r="C11088" t="s">
        <v>7</v>
      </c>
      <c r="D11088" t="s">
        <v>14</v>
      </c>
      <c r="E11088" t="s">
        <v>15425</v>
      </c>
    </row>
    <row r="11089" spans="1:6" x14ac:dyDescent="0.25">
      <c r="A11089" t="str">
        <f>"560912258697"</f>
        <v>560912258697</v>
      </c>
      <c r="B11089" t="s">
        <v>15483</v>
      </c>
      <c r="C11089" t="s">
        <v>7</v>
      </c>
      <c r="D11089" t="s">
        <v>14</v>
      </c>
      <c r="E11089" t="s">
        <v>15425</v>
      </c>
    </row>
    <row r="11090" spans="1:6" x14ac:dyDescent="0.25">
      <c r="A11090" t="str">
        <f>"560913009005"</f>
        <v>560913009005</v>
      </c>
      <c r="B11090" t="s">
        <v>15484</v>
      </c>
      <c r="C11090" t="s">
        <v>7</v>
      </c>
      <c r="D11090" t="s">
        <v>12</v>
      </c>
      <c r="E11090" t="s">
        <v>15425</v>
      </c>
    </row>
    <row r="11091" spans="1:6" x14ac:dyDescent="0.25">
      <c r="A11091" t="str">
        <f>"5609176264"</f>
        <v>5609176264</v>
      </c>
      <c r="B11091" t="s">
        <v>15485</v>
      </c>
      <c r="C11091" t="s">
        <v>7</v>
      </c>
      <c r="D11091" t="s">
        <v>33</v>
      </c>
      <c r="E11091" t="s">
        <v>15425</v>
      </c>
      <c r="F11091" t="s">
        <v>15486</v>
      </c>
    </row>
    <row r="11092" spans="1:6" x14ac:dyDescent="0.25">
      <c r="A11092" t="str">
        <f>"560918205797"</f>
        <v>560918205797</v>
      </c>
      <c r="B11092" t="s">
        <v>15487</v>
      </c>
      <c r="C11092" t="s">
        <v>7</v>
      </c>
      <c r="D11092" t="s">
        <v>33</v>
      </c>
      <c r="E11092" t="s">
        <v>15425</v>
      </c>
    </row>
    <row r="11093" spans="1:6" x14ac:dyDescent="0.25">
      <c r="A11093" t="str">
        <f>"560919618204"</f>
        <v>560919618204</v>
      </c>
      <c r="B11093" t="s">
        <v>15488</v>
      </c>
      <c r="C11093" t="s">
        <v>7</v>
      </c>
      <c r="D11093" t="s">
        <v>14</v>
      </c>
      <c r="E11093" t="s">
        <v>15425</v>
      </c>
    </row>
    <row r="11094" spans="1:6" x14ac:dyDescent="0.25">
      <c r="A11094" t="str">
        <f>"560920469437"</f>
        <v>560920469437</v>
      </c>
      <c r="B11094" t="s">
        <v>15489</v>
      </c>
      <c r="C11094" t="s">
        <v>7</v>
      </c>
      <c r="D11094" t="s">
        <v>14</v>
      </c>
      <c r="E11094" t="s">
        <v>15425</v>
      </c>
    </row>
    <row r="11095" spans="1:6" x14ac:dyDescent="0.25">
      <c r="A11095" t="str">
        <f>"561003477927"</f>
        <v>561003477927</v>
      </c>
      <c r="B11095" t="s">
        <v>15490</v>
      </c>
      <c r="C11095" t="s">
        <v>7</v>
      </c>
      <c r="D11095" t="s">
        <v>14</v>
      </c>
      <c r="E11095" t="s">
        <v>15425</v>
      </c>
    </row>
    <row r="11096" spans="1:6" x14ac:dyDescent="0.25">
      <c r="A11096" t="str">
        <f>"561006247350"</f>
        <v>561006247350</v>
      </c>
      <c r="B11096" t="s">
        <v>15491</v>
      </c>
      <c r="C11096" t="s">
        <v>7</v>
      </c>
      <c r="D11096" t="s">
        <v>14</v>
      </c>
      <c r="E11096" t="s">
        <v>15425</v>
      </c>
    </row>
    <row r="11097" spans="1:6" x14ac:dyDescent="0.25">
      <c r="A11097" t="str">
        <f>"5610068993"</f>
        <v>5610068993</v>
      </c>
      <c r="B11097" t="s">
        <v>15492</v>
      </c>
      <c r="C11097" t="s">
        <v>7</v>
      </c>
      <c r="D11097" t="s">
        <v>33</v>
      </c>
      <c r="E11097" t="s">
        <v>15425</v>
      </c>
      <c r="F11097" t="s">
        <v>15493</v>
      </c>
    </row>
    <row r="11098" spans="1:6" x14ac:dyDescent="0.25">
      <c r="A11098" t="str">
        <f>"5610075581"</f>
        <v>5610075581</v>
      </c>
      <c r="B11098" t="s">
        <v>15494</v>
      </c>
      <c r="C11098" t="s">
        <v>7</v>
      </c>
      <c r="D11098" t="s">
        <v>14</v>
      </c>
      <c r="E11098" t="s">
        <v>15425</v>
      </c>
      <c r="F11098" t="s">
        <v>15495</v>
      </c>
    </row>
    <row r="11099" spans="1:6" x14ac:dyDescent="0.25">
      <c r="A11099" t="str">
        <f>"561010119577"</f>
        <v>561010119577</v>
      </c>
      <c r="B11099" t="s">
        <v>15496</v>
      </c>
      <c r="C11099" t="s">
        <v>7</v>
      </c>
      <c r="D11099" t="s">
        <v>14</v>
      </c>
      <c r="E11099" t="s">
        <v>15425</v>
      </c>
    </row>
    <row r="11100" spans="1:6" x14ac:dyDescent="0.25">
      <c r="A11100" t="str">
        <f>"5610116816"</f>
        <v>5610116816</v>
      </c>
      <c r="B11100" t="s">
        <v>15497</v>
      </c>
      <c r="C11100" t="s">
        <v>7</v>
      </c>
      <c r="D11100" t="s">
        <v>14</v>
      </c>
      <c r="E11100" t="s">
        <v>15425</v>
      </c>
      <c r="F11100" t="s">
        <v>15498</v>
      </c>
    </row>
    <row r="11101" spans="1:6" x14ac:dyDescent="0.25">
      <c r="A11101" t="str">
        <f>"5610122979"</f>
        <v>5610122979</v>
      </c>
      <c r="B11101" t="s">
        <v>15499</v>
      </c>
      <c r="C11101" t="s">
        <v>7</v>
      </c>
      <c r="D11101" t="s">
        <v>12</v>
      </c>
      <c r="E11101" t="s">
        <v>15425</v>
      </c>
      <c r="F11101" t="s">
        <v>15500</v>
      </c>
    </row>
    <row r="11102" spans="1:6" x14ac:dyDescent="0.25">
      <c r="A11102" t="str">
        <f>"561013349265"</f>
        <v>561013349265</v>
      </c>
      <c r="B11102" t="s">
        <v>15501</v>
      </c>
      <c r="C11102" t="s">
        <v>7</v>
      </c>
      <c r="D11102" t="s">
        <v>14</v>
      </c>
      <c r="E11102" t="s">
        <v>15425</v>
      </c>
    </row>
    <row r="11103" spans="1:6" x14ac:dyDescent="0.25">
      <c r="A11103" t="str">
        <f>"561015524593"</f>
        <v>561015524593</v>
      </c>
      <c r="B11103" t="s">
        <v>15502</v>
      </c>
      <c r="C11103" t="s">
        <v>7</v>
      </c>
      <c r="D11103" t="s">
        <v>12</v>
      </c>
      <c r="E11103" t="s">
        <v>15425</v>
      </c>
    </row>
    <row r="11104" spans="1:6" x14ac:dyDescent="0.25">
      <c r="A11104" t="str">
        <f>"561019741863"</f>
        <v>561019741863</v>
      </c>
      <c r="B11104" t="s">
        <v>15503</v>
      </c>
      <c r="C11104" t="s">
        <v>7</v>
      </c>
      <c r="D11104" t="s">
        <v>14</v>
      </c>
      <c r="E11104" t="s">
        <v>15425</v>
      </c>
    </row>
    <row r="11105" spans="1:6" x14ac:dyDescent="0.25">
      <c r="A11105" t="str">
        <f>"5610211153"</f>
        <v>5610211153</v>
      </c>
      <c r="B11105" t="s">
        <v>6503</v>
      </c>
      <c r="C11105" t="s">
        <v>7</v>
      </c>
      <c r="D11105" t="s">
        <v>33</v>
      </c>
      <c r="E11105" t="s">
        <v>15425</v>
      </c>
      <c r="F11105" t="s">
        <v>15504</v>
      </c>
    </row>
    <row r="11106" spans="1:6" x14ac:dyDescent="0.25">
      <c r="A11106" t="str">
        <f>"5610214644"</f>
        <v>5610214644</v>
      </c>
      <c r="B11106" t="s">
        <v>15505</v>
      </c>
      <c r="C11106" t="s">
        <v>7</v>
      </c>
      <c r="D11106" t="s">
        <v>12</v>
      </c>
      <c r="E11106" t="s">
        <v>15425</v>
      </c>
      <c r="F11106" t="s">
        <v>15506</v>
      </c>
    </row>
    <row r="11107" spans="1:6" x14ac:dyDescent="0.25">
      <c r="A11107" t="str">
        <f>"561022376040"</f>
        <v>561022376040</v>
      </c>
      <c r="B11107" t="s">
        <v>15507</v>
      </c>
      <c r="C11107" t="s">
        <v>7</v>
      </c>
      <c r="D11107" t="s">
        <v>14</v>
      </c>
      <c r="E11107" t="s">
        <v>15425</v>
      </c>
    </row>
    <row r="11108" spans="1:6" x14ac:dyDescent="0.25">
      <c r="A11108" t="str">
        <f>"561024916572"</f>
        <v>561024916572</v>
      </c>
      <c r="B11108" t="s">
        <v>15508</v>
      </c>
      <c r="C11108" t="s">
        <v>7</v>
      </c>
      <c r="D11108" t="s">
        <v>12</v>
      </c>
      <c r="E11108" t="s">
        <v>15425</v>
      </c>
    </row>
    <row r="11109" spans="1:6" x14ac:dyDescent="0.25">
      <c r="A11109" t="str">
        <f>"5611076620"</f>
        <v>5611076620</v>
      </c>
      <c r="B11109" t="s">
        <v>15509</v>
      </c>
      <c r="C11109" t="s">
        <v>7</v>
      </c>
      <c r="D11109" t="s">
        <v>33</v>
      </c>
      <c r="E11109" t="s">
        <v>15425</v>
      </c>
      <c r="F11109" t="s">
        <v>15510</v>
      </c>
    </row>
    <row r="11110" spans="1:6" x14ac:dyDescent="0.25">
      <c r="A11110" t="str">
        <f>"561107783968"</f>
        <v>561107783968</v>
      </c>
      <c r="B11110" t="s">
        <v>15511</v>
      </c>
      <c r="C11110" t="s">
        <v>7</v>
      </c>
      <c r="D11110" t="s">
        <v>14</v>
      </c>
      <c r="E11110" t="s">
        <v>15425</v>
      </c>
    </row>
    <row r="11111" spans="1:6" x14ac:dyDescent="0.25">
      <c r="A11111" t="str">
        <f>"561110666598"</f>
        <v>561110666598</v>
      </c>
      <c r="B11111" t="s">
        <v>15512</v>
      </c>
      <c r="C11111" t="s">
        <v>7</v>
      </c>
      <c r="D11111" t="s">
        <v>12</v>
      </c>
      <c r="E11111" t="s">
        <v>15425</v>
      </c>
    </row>
    <row r="11112" spans="1:6" x14ac:dyDescent="0.25">
      <c r="A11112" t="str">
        <f>"5612031149"</f>
        <v>5612031149</v>
      </c>
      <c r="B11112" t="s">
        <v>15513</v>
      </c>
      <c r="C11112" t="s">
        <v>7</v>
      </c>
      <c r="D11112" t="s">
        <v>12</v>
      </c>
      <c r="E11112" t="s">
        <v>15425</v>
      </c>
      <c r="F11112" t="s">
        <v>15514</v>
      </c>
    </row>
    <row r="11113" spans="1:6" x14ac:dyDescent="0.25">
      <c r="A11113" t="str">
        <f>"561204146876"</f>
        <v>561204146876</v>
      </c>
      <c r="B11113" t="s">
        <v>15515</v>
      </c>
      <c r="C11113" t="s">
        <v>7</v>
      </c>
      <c r="D11113" t="s">
        <v>12</v>
      </c>
      <c r="E11113" t="s">
        <v>15425</v>
      </c>
    </row>
    <row r="11114" spans="1:6" x14ac:dyDescent="0.25">
      <c r="A11114" t="str">
        <f>"5612066889"</f>
        <v>5612066889</v>
      </c>
      <c r="B11114" t="s">
        <v>15516</v>
      </c>
      <c r="C11114" t="s">
        <v>7</v>
      </c>
      <c r="D11114" t="s">
        <v>14</v>
      </c>
      <c r="E11114" t="s">
        <v>15425</v>
      </c>
      <c r="F11114" t="s">
        <v>15517</v>
      </c>
    </row>
    <row r="11115" spans="1:6" x14ac:dyDescent="0.25">
      <c r="A11115" t="str">
        <f>"561211638131"</f>
        <v>561211638131</v>
      </c>
      <c r="B11115" t="s">
        <v>15518</v>
      </c>
      <c r="C11115" t="s">
        <v>7</v>
      </c>
      <c r="D11115" t="s">
        <v>14</v>
      </c>
      <c r="E11115" t="s">
        <v>15425</v>
      </c>
    </row>
    <row r="11116" spans="1:6" x14ac:dyDescent="0.25">
      <c r="A11116" t="str">
        <f>"561400093028"</f>
        <v>561400093028</v>
      </c>
      <c r="B11116" t="s">
        <v>15519</v>
      </c>
      <c r="C11116" t="s">
        <v>7</v>
      </c>
      <c r="D11116" t="s">
        <v>12</v>
      </c>
      <c r="E11116" t="s">
        <v>15425</v>
      </c>
    </row>
    <row r="11117" spans="1:6" x14ac:dyDescent="0.25">
      <c r="A11117" t="str">
        <f>"561400419706"</f>
        <v>561400419706</v>
      </c>
      <c r="B11117" t="s">
        <v>15520</v>
      </c>
      <c r="C11117" t="s">
        <v>7</v>
      </c>
      <c r="D11117" t="s">
        <v>12</v>
      </c>
      <c r="E11117" t="s">
        <v>15425</v>
      </c>
    </row>
    <row r="11118" spans="1:6" x14ac:dyDescent="0.25">
      <c r="A11118" t="str">
        <f>"561400754711"</f>
        <v>561400754711</v>
      </c>
      <c r="B11118" t="s">
        <v>15521</v>
      </c>
      <c r="C11118" t="s">
        <v>7</v>
      </c>
      <c r="D11118" t="s">
        <v>14</v>
      </c>
      <c r="E11118" t="s">
        <v>15425</v>
      </c>
    </row>
    <row r="11119" spans="1:6" x14ac:dyDescent="0.25">
      <c r="A11119" t="str">
        <f>"5614012335"</f>
        <v>5614012335</v>
      </c>
      <c r="B11119" t="s">
        <v>15522</v>
      </c>
      <c r="C11119" t="s">
        <v>7</v>
      </c>
      <c r="D11119" t="s">
        <v>14</v>
      </c>
      <c r="E11119" t="s">
        <v>15425</v>
      </c>
      <c r="F11119" t="s">
        <v>15523</v>
      </c>
    </row>
    <row r="11120" spans="1:6" x14ac:dyDescent="0.25">
      <c r="A11120" t="str">
        <f>"561401615541"</f>
        <v>561401615541</v>
      </c>
      <c r="B11120" t="s">
        <v>15524</v>
      </c>
      <c r="C11120" t="s">
        <v>7</v>
      </c>
      <c r="D11120" t="s">
        <v>14</v>
      </c>
      <c r="E11120" t="s">
        <v>15425</v>
      </c>
    </row>
    <row r="11121" spans="1:6" x14ac:dyDescent="0.25">
      <c r="A11121" t="str">
        <f>"561405124103"</f>
        <v>561405124103</v>
      </c>
      <c r="B11121" t="s">
        <v>15525</v>
      </c>
      <c r="C11121" t="s">
        <v>7</v>
      </c>
      <c r="D11121" t="s">
        <v>12</v>
      </c>
      <c r="E11121" t="s">
        <v>15425</v>
      </c>
    </row>
    <row r="11122" spans="1:6" x14ac:dyDescent="0.25">
      <c r="A11122" t="str">
        <f>"5614066884"</f>
        <v>5614066884</v>
      </c>
      <c r="B11122" t="s">
        <v>15526</v>
      </c>
      <c r="C11122" t="s">
        <v>7</v>
      </c>
      <c r="D11122" t="s">
        <v>14</v>
      </c>
      <c r="E11122" t="s">
        <v>15425</v>
      </c>
      <c r="F11122" t="s">
        <v>15527</v>
      </c>
    </row>
    <row r="11123" spans="1:6" x14ac:dyDescent="0.25">
      <c r="A11123" t="str">
        <f>"5614090904"</f>
        <v>5614090904</v>
      </c>
      <c r="B11123" t="s">
        <v>15528</v>
      </c>
      <c r="C11123" t="s">
        <v>7</v>
      </c>
      <c r="D11123" t="s">
        <v>14</v>
      </c>
      <c r="E11123" t="s">
        <v>15425</v>
      </c>
      <c r="F11123" t="s">
        <v>15529</v>
      </c>
    </row>
    <row r="11124" spans="1:6" x14ac:dyDescent="0.25">
      <c r="A11124" t="str">
        <f>"5614090929"</f>
        <v>5614090929</v>
      </c>
      <c r="B11124" t="s">
        <v>15530</v>
      </c>
      <c r="C11124" t="s">
        <v>7</v>
      </c>
      <c r="D11124" t="s">
        <v>12</v>
      </c>
      <c r="E11124" t="s">
        <v>15425</v>
      </c>
      <c r="F11124" t="s">
        <v>15531</v>
      </c>
    </row>
    <row r="11125" spans="1:6" x14ac:dyDescent="0.25">
      <c r="A11125" t="str">
        <f>"561500023063"</f>
        <v>561500023063</v>
      </c>
      <c r="B11125" t="s">
        <v>15532</v>
      </c>
      <c r="C11125" t="s">
        <v>7</v>
      </c>
      <c r="D11125" t="s">
        <v>14</v>
      </c>
      <c r="E11125" t="s">
        <v>15425</v>
      </c>
    </row>
    <row r="11126" spans="1:6" x14ac:dyDescent="0.25">
      <c r="A11126" t="str">
        <f>"5615012916"</f>
        <v>5615012916</v>
      </c>
      <c r="B11126" t="s">
        <v>15533</v>
      </c>
      <c r="C11126" t="s">
        <v>7</v>
      </c>
      <c r="D11126" t="s">
        <v>33</v>
      </c>
      <c r="E11126" t="s">
        <v>15425</v>
      </c>
      <c r="F11126" t="s">
        <v>15534</v>
      </c>
    </row>
    <row r="11127" spans="1:6" x14ac:dyDescent="0.25">
      <c r="A11127" t="str">
        <f>"561502473389"</f>
        <v>561502473389</v>
      </c>
      <c r="B11127" t="s">
        <v>15535</v>
      </c>
      <c r="C11127" t="s">
        <v>7</v>
      </c>
      <c r="D11127" t="s">
        <v>33</v>
      </c>
      <c r="E11127" t="s">
        <v>15425</v>
      </c>
    </row>
    <row r="11128" spans="1:6" x14ac:dyDescent="0.25">
      <c r="A11128" t="str">
        <f>"561504252138"</f>
        <v>561504252138</v>
      </c>
      <c r="B11128" t="s">
        <v>15536</v>
      </c>
      <c r="C11128" t="s">
        <v>7</v>
      </c>
      <c r="D11128" t="s">
        <v>12</v>
      </c>
      <c r="E11128" t="s">
        <v>15425</v>
      </c>
    </row>
    <row r="11129" spans="1:6" x14ac:dyDescent="0.25">
      <c r="A11129" t="str">
        <f>"561507124261"</f>
        <v>561507124261</v>
      </c>
      <c r="B11129" t="s">
        <v>15537</v>
      </c>
      <c r="C11129" t="s">
        <v>7</v>
      </c>
      <c r="D11129" t="s">
        <v>14</v>
      </c>
      <c r="E11129" t="s">
        <v>15425</v>
      </c>
    </row>
    <row r="11130" spans="1:6" x14ac:dyDescent="0.25">
      <c r="A11130" t="str">
        <f>"561602808247"</f>
        <v>561602808247</v>
      </c>
      <c r="B11130" t="s">
        <v>15538</v>
      </c>
      <c r="C11130" t="s">
        <v>7</v>
      </c>
      <c r="D11130" t="s">
        <v>14</v>
      </c>
      <c r="E11130" t="s">
        <v>15425</v>
      </c>
    </row>
    <row r="11131" spans="1:6" x14ac:dyDescent="0.25">
      <c r="A11131" t="str">
        <f>"561602921468"</f>
        <v>561602921468</v>
      </c>
      <c r="B11131" t="s">
        <v>15539</v>
      </c>
      <c r="C11131" t="s">
        <v>7</v>
      </c>
      <c r="D11131" t="s">
        <v>12</v>
      </c>
      <c r="E11131" t="s">
        <v>15425</v>
      </c>
    </row>
    <row r="11132" spans="1:6" x14ac:dyDescent="0.25">
      <c r="A11132" t="str">
        <f>"561606018063"</f>
        <v>561606018063</v>
      </c>
      <c r="B11132" t="s">
        <v>15540</v>
      </c>
      <c r="C11132" t="s">
        <v>7</v>
      </c>
      <c r="D11132" t="s">
        <v>14</v>
      </c>
      <c r="E11132" t="s">
        <v>15425</v>
      </c>
    </row>
    <row r="11133" spans="1:6" x14ac:dyDescent="0.25">
      <c r="A11133" t="str">
        <f>"561700017980"</f>
        <v>561700017980</v>
      </c>
      <c r="B11133" t="s">
        <v>15541</v>
      </c>
      <c r="C11133" t="s">
        <v>7</v>
      </c>
      <c r="D11133" t="s">
        <v>14</v>
      </c>
      <c r="E11133" t="s">
        <v>15425</v>
      </c>
    </row>
    <row r="11134" spans="1:6" x14ac:dyDescent="0.25">
      <c r="A11134" t="str">
        <f>"561700597347"</f>
        <v>561700597347</v>
      </c>
      <c r="B11134" t="s">
        <v>15542</v>
      </c>
      <c r="C11134" t="s">
        <v>7</v>
      </c>
      <c r="D11134" t="s">
        <v>14</v>
      </c>
      <c r="E11134" t="s">
        <v>15425</v>
      </c>
    </row>
    <row r="11135" spans="1:6" x14ac:dyDescent="0.25">
      <c r="A11135" t="str">
        <f>"561701745118"</f>
        <v>561701745118</v>
      </c>
      <c r="B11135" t="s">
        <v>15543</v>
      </c>
      <c r="C11135" t="s">
        <v>7</v>
      </c>
      <c r="D11135" t="s">
        <v>14</v>
      </c>
      <c r="E11135" t="s">
        <v>15425</v>
      </c>
    </row>
    <row r="11136" spans="1:6" x14ac:dyDescent="0.25">
      <c r="A11136" t="str">
        <f>"561703452910"</f>
        <v>561703452910</v>
      </c>
      <c r="B11136" t="s">
        <v>15544</v>
      </c>
      <c r="C11136" t="s">
        <v>7</v>
      </c>
      <c r="D11136" t="s">
        <v>14</v>
      </c>
      <c r="E11136" t="s">
        <v>15425</v>
      </c>
    </row>
    <row r="11137" spans="1:6" x14ac:dyDescent="0.25">
      <c r="A11137" t="str">
        <f>"5619020996"</f>
        <v>5619020996</v>
      </c>
      <c r="B11137" t="s">
        <v>15545</v>
      </c>
      <c r="C11137" t="s">
        <v>7</v>
      </c>
      <c r="D11137" t="s">
        <v>14</v>
      </c>
      <c r="E11137" t="s">
        <v>15425</v>
      </c>
      <c r="F11137" t="s">
        <v>15546</v>
      </c>
    </row>
    <row r="11138" spans="1:6" x14ac:dyDescent="0.25">
      <c r="A11138" t="str">
        <f>"562001435521"</f>
        <v>562001435521</v>
      </c>
      <c r="B11138" t="s">
        <v>15547</v>
      </c>
      <c r="C11138" t="s">
        <v>7</v>
      </c>
      <c r="D11138" t="s">
        <v>14</v>
      </c>
      <c r="E11138" t="s">
        <v>15425</v>
      </c>
    </row>
    <row r="11139" spans="1:6" x14ac:dyDescent="0.25">
      <c r="A11139" t="str">
        <f>"562101990180"</f>
        <v>562101990180</v>
      </c>
      <c r="B11139" t="s">
        <v>15548</v>
      </c>
      <c r="C11139" t="s">
        <v>7</v>
      </c>
      <c r="D11139" t="s">
        <v>12</v>
      </c>
      <c r="E11139" t="s">
        <v>15425</v>
      </c>
    </row>
    <row r="11140" spans="1:6" x14ac:dyDescent="0.25">
      <c r="A11140" t="str">
        <f>"5624004206"</f>
        <v>5624004206</v>
      </c>
      <c r="B11140" t="s">
        <v>450</v>
      </c>
      <c r="C11140" t="s">
        <v>7</v>
      </c>
      <c r="D11140" t="s">
        <v>14</v>
      </c>
      <c r="E11140" t="s">
        <v>15425</v>
      </c>
      <c r="F11140" t="s">
        <v>15549</v>
      </c>
    </row>
    <row r="11141" spans="1:6" x14ac:dyDescent="0.25">
      <c r="A11141" t="str">
        <f>"563301360981"</f>
        <v>563301360981</v>
      </c>
      <c r="B11141" t="s">
        <v>15550</v>
      </c>
      <c r="C11141" t="s">
        <v>7</v>
      </c>
      <c r="D11141" t="s">
        <v>12</v>
      </c>
      <c r="E11141" t="s">
        <v>15425</v>
      </c>
    </row>
    <row r="11142" spans="1:6" x14ac:dyDescent="0.25">
      <c r="A11142" t="str">
        <f>"560306615300"</f>
        <v>560306615300</v>
      </c>
      <c r="B11142" t="s">
        <v>15551</v>
      </c>
      <c r="C11142" t="s">
        <v>7</v>
      </c>
      <c r="D11142" t="s">
        <v>12</v>
      </c>
      <c r="E11142" t="s">
        <v>15425</v>
      </c>
    </row>
    <row r="11143" spans="1:6" x14ac:dyDescent="0.25">
      <c r="A11143" t="str">
        <f>"560308885301"</f>
        <v>560308885301</v>
      </c>
      <c r="B11143" t="s">
        <v>15552</v>
      </c>
      <c r="C11143" t="s">
        <v>7</v>
      </c>
      <c r="D11143" t="s">
        <v>14</v>
      </c>
      <c r="E11143" t="s">
        <v>15425</v>
      </c>
    </row>
    <row r="11144" spans="1:6" x14ac:dyDescent="0.25">
      <c r="A11144" t="str">
        <f>"560500256845"</f>
        <v>560500256845</v>
      </c>
      <c r="B11144" t="s">
        <v>15553</v>
      </c>
      <c r="C11144" t="s">
        <v>7</v>
      </c>
      <c r="D11144" t="s">
        <v>12</v>
      </c>
      <c r="E11144" t="s">
        <v>15425</v>
      </c>
    </row>
    <row r="11145" spans="1:6" x14ac:dyDescent="0.25">
      <c r="A11145" t="str">
        <f>"560602821126"</f>
        <v>560602821126</v>
      </c>
      <c r="B11145" t="s">
        <v>15554</v>
      </c>
      <c r="C11145" t="s">
        <v>7</v>
      </c>
      <c r="D11145" t="s">
        <v>12</v>
      </c>
      <c r="E11145" t="s">
        <v>15425</v>
      </c>
    </row>
    <row r="11146" spans="1:6" x14ac:dyDescent="0.25">
      <c r="A11146" t="str">
        <f>"560700391009"</f>
        <v>560700391009</v>
      </c>
      <c r="B11146" t="s">
        <v>15555</v>
      </c>
      <c r="C11146" t="s">
        <v>7</v>
      </c>
      <c r="D11146" t="s">
        <v>33</v>
      </c>
      <c r="E11146" t="s">
        <v>15425</v>
      </c>
    </row>
    <row r="11147" spans="1:6" x14ac:dyDescent="0.25">
      <c r="A11147" t="str">
        <f>"560700395405"</f>
        <v>560700395405</v>
      </c>
      <c r="B11147" t="s">
        <v>15556</v>
      </c>
      <c r="C11147" t="s">
        <v>7</v>
      </c>
      <c r="D11147" t="s">
        <v>14</v>
      </c>
      <c r="E11147" t="s">
        <v>15425</v>
      </c>
    </row>
    <row r="11148" spans="1:6" x14ac:dyDescent="0.25">
      <c r="A11148" t="str">
        <f>"560700400172"</f>
        <v>560700400172</v>
      </c>
      <c r="B11148" t="s">
        <v>15557</v>
      </c>
      <c r="C11148" t="s">
        <v>7</v>
      </c>
      <c r="D11148" t="s">
        <v>14</v>
      </c>
      <c r="E11148" t="s">
        <v>15425</v>
      </c>
    </row>
    <row r="11149" spans="1:6" x14ac:dyDescent="0.25">
      <c r="A11149" t="str">
        <f>"5609042983"</f>
        <v>5609042983</v>
      </c>
      <c r="B11149" t="s">
        <v>15558</v>
      </c>
      <c r="C11149" t="s">
        <v>7</v>
      </c>
      <c r="D11149" t="s">
        <v>14</v>
      </c>
      <c r="E11149" t="s">
        <v>15425</v>
      </c>
      <c r="F11149" t="s">
        <v>15559</v>
      </c>
    </row>
    <row r="11150" spans="1:6" x14ac:dyDescent="0.25">
      <c r="A11150" t="str">
        <f>"560904843951"</f>
        <v>560904843951</v>
      </c>
      <c r="B11150" t="s">
        <v>15560</v>
      </c>
      <c r="C11150" t="s">
        <v>7</v>
      </c>
      <c r="D11150" t="s">
        <v>14</v>
      </c>
      <c r="E11150" t="s">
        <v>15425</v>
      </c>
    </row>
    <row r="11151" spans="1:6" x14ac:dyDescent="0.25">
      <c r="A11151" t="str">
        <f>"5609050039"</f>
        <v>5609050039</v>
      </c>
      <c r="B11151" t="s">
        <v>15561</v>
      </c>
      <c r="C11151" t="s">
        <v>7</v>
      </c>
      <c r="D11151" t="s">
        <v>12</v>
      </c>
      <c r="E11151" t="s">
        <v>15425</v>
      </c>
      <c r="F11151" t="s">
        <v>15562</v>
      </c>
    </row>
    <row r="11152" spans="1:6" x14ac:dyDescent="0.25">
      <c r="A11152" t="str">
        <f>"560905595557"</f>
        <v>560905595557</v>
      </c>
      <c r="B11152" t="s">
        <v>15563</v>
      </c>
      <c r="C11152" t="s">
        <v>7</v>
      </c>
      <c r="D11152" t="s">
        <v>14</v>
      </c>
      <c r="E11152" t="s">
        <v>15425</v>
      </c>
    </row>
    <row r="11153" spans="1:6" x14ac:dyDescent="0.25">
      <c r="A11153" t="str">
        <f>"5609077440"</f>
        <v>5609077440</v>
      </c>
      <c r="B11153" t="s">
        <v>15564</v>
      </c>
      <c r="C11153" t="s">
        <v>7</v>
      </c>
      <c r="D11153" t="s">
        <v>14</v>
      </c>
      <c r="E11153" t="s">
        <v>15425</v>
      </c>
      <c r="F11153" t="s">
        <v>15565</v>
      </c>
    </row>
    <row r="11154" spans="1:6" x14ac:dyDescent="0.25">
      <c r="A11154" t="str">
        <f>"560907780354"</f>
        <v>560907780354</v>
      </c>
      <c r="B11154" t="s">
        <v>15566</v>
      </c>
      <c r="C11154" t="s">
        <v>7</v>
      </c>
      <c r="D11154" t="s">
        <v>14</v>
      </c>
      <c r="E11154" t="s">
        <v>15425</v>
      </c>
    </row>
    <row r="11155" spans="1:6" x14ac:dyDescent="0.25">
      <c r="A11155" t="str">
        <f>"560908433586"</f>
        <v>560908433586</v>
      </c>
      <c r="B11155" t="s">
        <v>15567</v>
      </c>
      <c r="C11155" t="s">
        <v>7</v>
      </c>
      <c r="D11155" t="s">
        <v>14</v>
      </c>
      <c r="E11155" t="s">
        <v>15425</v>
      </c>
    </row>
    <row r="11156" spans="1:6" x14ac:dyDescent="0.25">
      <c r="A11156" t="str">
        <f>"560912068022"</f>
        <v>560912068022</v>
      </c>
      <c r="B11156" t="s">
        <v>15568</v>
      </c>
      <c r="C11156" t="s">
        <v>7</v>
      </c>
      <c r="D11156" t="s">
        <v>12</v>
      </c>
      <c r="E11156" t="s">
        <v>15425</v>
      </c>
    </row>
    <row r="11157" spans="1:6" x14ac:dyDescent="0.25">
      <c r="A11157" t="str">
        <f>"5609183590"</f>
        <v>5609183590</v>
      </c>
      <c r="B11157" t="s">
        <v>15569</v>
      </c>
      <c r="C11157" t="s">
        <v>7</v>
      </c>
      <c r="D11157" t="s">
        <v>12</v>
      </c>
      <c r="E11157" t="s">
        <v>15425</v>
      </c>
      <c r="F11157" t="s">
        <v>15570</v>
      </c>
    </row>
    <row r="11158" spans="1:6" x14ac:dyDescent="0.25">
      <c r="A11158" t="str">
        <f>"5609184836"</f>
        <v>5609184836</v>
      </c>
      <c r="B11158" t="s">
        <v>15571</v>
      </c>
      <c r="C11158" t="s">
        <v>7</v>
      </c>
      <c r="D11158" t="s">
        <v>14</v>
      </c>
      <c r="E11158" t="s">
        <v>15425</v>
      </c>
      <c r="F11158" t="s">
        <v>15572</v>
      </c>
    </row>
    <row r="11159" spans="1:6" x14ac:dyDescent="0.25">
      <c r="A11159" t="str">
        <f>"5609191390"</f>
        <v>5609191390</v>
      </c>
      <c r="B11159" t="s">
        <v>6958</v>
      </c>
      <c r="C11159" t="s">
        <v>7</v>
      </c>
      <c r="D11159" t="s">
        <v>189</v>
      </c>
      <c r="E11159" t="s">
        <v>15425</v>
      </c>
      <c r="F11159" t="s">
        <v>15573</v>
      </c>
    </row>
    <row r="11160" spans="1:6" x14ac:dyDescent="0.25">
      <c r="A11160" t="str">
        <f>"5609195806"</f>
        <v>5609195806</v>
      </c>
      <c r="B11160" t="s">
        <v>15574</v>
      </c>
      <c r="C11160" t="s">
        <v>7</v>
      </c>
      <c r="D11160" t="s">
        <v>12</v>
      </c>
      <c r="E11160" t="s">
        <v>15425</v>
      </c>
      <c r="F11160" t="s">
        <v>15575</v>
      </c>
    </row>
    <row r="11161" spans="1:6" x14ac:dyDescent="0.25">
      <c r="A11161" t="str">
        <f>"5609203550"</f>
        <v>5609203550</v>
      </c>
      <c r="B11161" t="s">
        <v>15576</v>
      </c>
      <c r="C11161" t="s">
        <v>7</v>
      </c>
      <c r="D11161" t="s">
        <v>14</v>
      </c>
      <c r="E11161" t="s">
        <v>15425</v>
      </c>
      <c r="F11161" t="s">
        <v>15577</v>
      </c>
    </row>
    <row r="11162" spans="1:6" x14ac:dyDescent="0.25">
      <c r="A11162" t="str">
        <f>"561000400637"</f>
        <v>561000400637</v>
      </c>
      <c r="B11162" t="s">
        <v>15578</v>
      </c>
      <c r="C11162" t="s">
        <v>7</v>
      </c>
      <c r="D11162" t="s">
        <v>14</v>
      </c>
      <c r="E11162" t="s">
        <v>15425</v>
      </c>
    </row>
    <row r="11163" spans="1:6" x14ac:dyDescent="0.25">
      <c r="A11163" t="str">
        <f>"561000453822"</f>
        <v>561000453822</v>
      </c>
      <c r="B11163" t="s">
        <v>15579</v>
      </c>
      <c r="C11163" t="s">
        <v>7</v>
      </c>
      <c r="D11163" t="s">
        <v>12</v>
      </c>
      <c r="E11163" t="s">
        <v>15425</v>
      </c>
    </row>
    <row r="11164" spans="1:6" x14ac:dyDescent="0.25">
      <c r="A11164" t="str">
        <f>"561001982201"</f>
        <v>561001982201</v>
      </c>
      <c r="B11164" t="s">
        <v>15580</v>
      </c>
      <c r="C11164" t="s">
        <v>7</v>
      </c>
      <c r="D11164" t="s">
        <v>14</v>
      </c>
      <c r="E11164" t="s">
        <v>15425</v>
      </c>
    </row>
    <row r="11165" spans="1:6" x14ac:dyDescent="0.25">
      <c r="A11165" t="str">
        <f>"561002805163"</f>
        <v>561002805163</v>
      </c>
      <c r="B11165" t="s">
        <v>15581</v>
      </c>
      <c r="C11165" t="s">
        <v>7</v>
      </c>
      <c r="D11165" t="s">
        <v>33</v>
      </c>
      <c r="E11165" t="s">
        <v>15425</v>
      </c>
    </row>
    <row r="11166" spans="1:6" x14ac:dyDescent="0.25">
      <c r="A11166" t="str">
        <f>"5610062110"</f>
        <v>5610062110</v>
      </c>
      <c r="B11166" t="s">
        <v>15582</v>
      </c>
      <c r="C11166" t="s">
        <v>7</v>
      </c>
      <c r="D11166" t="s">
        <v>14</v>
      </c>
      <c r="E11166" t="s">
        <v>15425</v>
      </c>
      <c r="F11166" t="s">
        <v>15500</v>
      </c>
    </row>
    <row r="11167" spans="1:6" x14ac:dyDescent="0.25">
      <c r="A11167" t="str">
        <f>"561011468595"</f>
        <v>561011468595</v>
      </c>
      <c r="B11167" t="s">
        <v>15583</v>
      </c>
      <c r="C11167" t="s">
        <v>7</v>
      </c>
      <c r="D11167" t="s">
        <v>14</v>
      </c>
      <c r="E11167" t="s">
        <v>15425</v>
      </c>
    </row>
    <row r="11168" spans="1:6" x14ac:dyDescent="0.25">
      <c r="A11168" t="str">
        <f>"5610121252"</f>
        <v>5610121252</v>
      </c>
      <c r="B11168" t="s">
        <v>15584</v>
      </c>
      <c r="C11168" t="s">
        <v>7</v>
      </c>
      <c r="D11168" t="s">
        <v>12</v>
      </c>
      <c r="E11168" t="s">
        <v>15425</v>
      </c>
      <c r="F11168" t="s">
        <v>15585</v>
      </c>
    </row>
    <row r="11169" spans="1:6" x14ac:dyDescent="0.25">
      <c r="A11169" t="str">
        <f>"561012986906"</f>
        <v>561012986906</v>
      </c>
      <c r="B11169" t="s">
        <v>15586</v>
      </c>
      <c r="C11169" t="s">
        <v>7</v>
      </c>
      <c r="D11169" t="s">
        <v>12</v>
      </c>
      <c r="E11169" t="s">
        <v>15425</v>
      </c>
    </row>
    <row r="11170" spans="1:6" x14ac:dyDescent="0.25">
      <c r="A11170" t="str">
        <f>"561013325803"</f>
        <v>561013325803</v>
      </c>
      <c r="B11170" t="s">
        <v>15587</v>
      </c>
      <c r="C11170" t="s">
        <v>7</v>
      </c>
      <c r="D11170" t="s">
        <v>14</v>
      </c>
      <c r="E11170" t="s">
        <v>15425</v>
      </c>
    </row>
    <row r="11171" spans="1:6" x14ac:dyDescent="0.25">
      <c r="A11171" t="str">
        <f>"561016648827"</f>
        <v>561016648827</v>
      </c>
      <c r="B11171" t="s">
        <v>15588</v>
      </c>
      <c r="C11171" t="s">
        <v>7</v>
      </c>
      <c r="D11171" t="s">
        <v>12</v>
      </c>
      <c r="E11171" t="s">
        <v>15425</v>
      </c>
    </row>
    <row r="11172" spans="1:6" x14ac:dyDescent="0.25">
      <c r="A11172" t="str">
        <f>"561017314979"</f>
        <v>561017314979</v>
      </c>
      <c r="B11172" t="s">
        <v>15589</v>
      </c>
      <c r="C11172" t="s">
        <v>7</v>
      </c>
      <c r="D11172" t="s">
        <v>14</v>
      </c>
      <c r="E11172" t="s">
        <v>15425</v>
      </c>
    </row>
    <row r="11173" spans="1:6" x14ac:dyDescent="0.25">
      <c r="A11173" t="str">
        <f>"5610249661"</f>
        <v>5610249661</v>
      </c>
      <c r="B11173" t="s">
        <v>15590</v>
      </c>
      <c r="C11173" t="s">
        <v>7</v>
      </c>
      <c r="D11173" t="s">
        <v>12</v>
      </c>
      <c r="E11173" t="s">
        <v>15425</v>
      </c>
      <c r="F11173" t="s">
        <v>15591</v>
      </c>
    </row>
    <row r="11174" spans="1:6" x14ac:dyDescent="0.25">
      <c r="A11174" t="str">
        <f>"5610254862"</f>
        <v>5610254862</v>
      </c>
      <c r="B11174" t="s">
        <v>15592</v>
      </c>
      <c r="C11174" t="s">
        <v>7</v>
      </c>
      <c r="D11174" t="s">
        <v>33</v>
      </c>
      <c r="E11174" t="s">
        <v>15425</v>
      </c>
      <c r="F11174" t="s">
        <v>15593</v>
      </c>
    </row>
    <row r="11175" spans="1:6" x14ac:dyDescent="0.25">
      <c r="A11175" t="str">
        <f>"561100135982"</f>
        <v>561100135982</v>
      </c>
      <c r="B11175" t="s">
        <v>15594</v>
      </c>
      <c r="C11175" t="s">
        <v>7</v>
      </c>
      <c r="D11175" t="s">
        <v>14</v>
      </c>
      <c r="E11175" t="s">
        <v>15425</v>
      </c>
    </row>
    <row r="11176" spans="1:6" x14ac:dyDescent="0.25">
      <c r="A11176" t="str">
        <f>"561107081101"</f>
        <v>561107081101</v>
      </c>
      <c r="B11176" t="s">
        <v>15595</v>
      </c>
      <c r="C11176" t="s">
        <v>7</v>
      </c>
      <c r="D11176" t="s">
        <v>12</v>
      </c>
      <c r="E11176" t="s">
        <v>15425</v>
      </c>
    </row>
    <row r="11177" spans="1:6" x14ac:dyDescent="0.25">
      <c r="A11177" t="str">
        <f>"561201419370"</f>
        <v>561201419370</v>
      </c>
      <c r="B11177" t="s">
        <v>15596</v>
      </c>
      <c r="C11177" t="s">
        <v>7</v>
      </c>
      <c r="D11177" t="s">
        <v>14</v>
      </c>
      <c r="E11177" t="s">
        <v>15425</v>
      </c>
    </row>
    <row r="11178" spans="1:6" x14ac:dyDescent="0.25">
      <c r="A11178" t="str">
        <f>"561201892940"</f>
        <v>561201892940</v>
      </c>
      <c r="B11178" t="s">
        <v>15597</v>
      </c>
      <c r="C11178" t="s">
        <v>7</v>
      </c>
      <c r="D11178" t="s">
        <v>14</v>
      </c>
      <c r="E11178" t="s">
        <v>15425</v>
      </c>
    </row>
    <row r="11179" spans="1:6" x14ac:dyDescent="0.25">
      <c r="A11179" t="str">
        <f>"5612039846"</f>
        <v>5612039846</v>
      </c>
      <c r="B11179" t="s">
        <v>2022</v>
      </c>
      <c r="C11179" t="s">
        <v>7</v>
      </c>
      <c r="D11179" t="s">
        <v>33</v>
      </c>
      <c r="E11179" t="s">
        <v>15425</v>
      </c>
      <c r="F11179" t="s">
        <v>15598</v>
      </c>
    </row>
    <row r="11180" spans="1:6" x14ac:dyDescent="0.25">
      <c r="A11180" t="str">
        <f>"5612047212"</f>
        <v>5612047212</v>
      </c>
      <c r="B11180" t="s">
        <v>15599</v>
      </c>
      <c r="C11180" t="s">
        <v>7</v>
      </c>
      <c r="D11180" t="s">
        <v>33</v>
      </c>
      <c r="E11180" t="s">
        <v>15425</v>
      </c>
      <c r="F11180" t="s">
        <v>15600</v>
      </c>
    </row>
    <row r="11181" spans="1:6" x14ac:dyDescent="0.25">
      <c r="A11181" t="str">
        <f>"5612080227"</f>
        <v>5612080227</v>
      </c>
      <c r="B11181" t="s">
        <v>15601</v>
      </c>
      <c r="C11181" t="s">
        <v>7</v>
      </c>
      <c r="D11181" t="s">
        <v>12</v>
      </c>
      <c r="E11181" t="s">
        <v>15425</v>
      </c>
      <c r="F11181" t="s">
        <v>15602</v>
      </c>
    </row>
    <row r="11182" spans="1:6" x14ac:dyDescent="0.25">
      <c r="A11182" t="str">
        <f>"5612160465"</f>
        <v>5612160465</v>
      </c>
      <c r="B11182" t="s">
        <v>15603</v>
      </c>
      <c r="C11182" t="s">
        <v>7</v>
      </c>
      <c r="D11182" t="s">
        <v>14</v>
      </c>
      <c r="E11182" t="s">
        <v>15425</v>
      </c>
      <c r="F11182" t="s">
        <v>15604</v>
      </c>
    </row>
    <row r="11183" spans="1:6" x14ac:dyDescent="0.25">
      <c r="A11183" t="str">
        <f>"561402347567"</f>
        <v>561402347567</v>
      </c>
      <c r="B11183" t="s">
        <v>15605</v>
      </c>
      <c r="C11183" t="s">
        <v>7</v>
      </c>
      <c r="D11183" t="s">
        <v>12</v>
      </c>
      <c r="E11183" t="s">
        <v>15425</v>
      </c>
    </row>
    <row r="11184" spans="1:6" x14ac:dyDescent="0.25">
      <c r="A11184" t="str">
        <f>"561402393771"</f>
        <v>561402393771</v>
      </c>
      <c r="B11184" t="s">
        <v>15606</v>
      </c>
      <c r="C11184" t="s">
        <v>7</v>
      </c>
      <c r="D11184" t="s">
        <v>14</v>
      </c>
      <c r="E11184" t="s">
        <v>15425</v>
      </c>
    </row>
    <row r="11185" spans="1:6" x14ac:dyDescent="0.25">
      <c r="A11185" t="str">
        <f>"561404997916"</f>
        <v>561404997916</v>
      </c>
      <c r="B11185" t="s">
        <v>15607</v>
      </c>
      <c r="C11185" t="s">
        <v>7</v>
      </c>
      <c r="D11185" t="s">
        <v>12</v>
      </c>
      <c r="E11185" t="s">
        <v>15425</v>
      </c>
    </row>
    <row r="11186" spans="1:6" x14ac:dyDescent="0.25">
      <c r="A11186" t="str">
        <f>"561405393956"</f>
        <v>561405393956</v>
      </c>
      <c r="B11186" t="s">
        <v>15608</v>
      </c>
      <c r="C11186" t="s">
        <v>7</v>
      </c>
      <c r="D11186" t="s">
        <v>14</v>
      </c>
      <c r="E11186" t="s">
        <v>15425</v>
      </c>
    </row>
    <row r="11187" spans="1:6" x14ac:dyDescent="0.25">
      <c r="A11187" t="str">
        <f>"5614088704"</f>
        <v>5614088704</v>
      </c>
      <c r="B11187" t="s">
        <v>15609</v>
      </c>
      <c r="C11187" t="s">
        <v>7</v>
      </c>
      <c r="D11187" t="s">
        <v>12</v>
      </c>
      <c r="E11187" t="s">
        <v>15425</v>
      </c>
      <c r="F11187" t="s">
        <v>15610</v>
      </c>
    </row>
    <row r="11188" spans="1:6" x14ac:dyDescent="0.25">
      <c r="A11188" t="str">
        <f>"5614090647"</f>
        <v>5614090647</v>
      </c>
      <c r="B11188" t="s">
        <v>15611</v>
      </c>
      <c r="C11188" t="s">
        <v>7</v>
      </c>
      <c r="D11188" t="s">
        <v>14</v>
      </c>
      <c r="E11188" t="s">
        <v>15425</v>
      </c>
      <c r="F11188" t="s">
        <v>15612</v>
      </c>
    </row>
    <row r="11189" spans="1:6" x14ac:dyDescent="0.25">
      <c r="A11189" t="str">
        <f>"561409504924"</f>
        <v>561409504924</v>
      </c>
      <c r="B11189" t="s">
        <v>15613</v>
      </c>
      <c r="C11189" t="s">
        <v>7</v>
      </c>
      <c r="D11189" t="s">
        <v>14</v>
      </c>
      <c r="E11189" t="s">
        <v>15425</v>
      </c>
    </row>
    <row r="11190" spans="1:6" x14ac:dyDescent="0.25">
      <c r="A11190" t="str">
        <f>"561500024973"</f>
        <v>561500024973</v>
      </c>
      <c r="B11190" t="s">
        <v>15614</v>
      </c>
      <c r="C11190" t="s">
        <v>7</v>
      </c>
      <c r="D11190" t="s">
        <v>14</v>
      </c>
      <c r="E11190" t="s">
        <v>15425</v>
      </c>
    </row>
    <row r="11191" spans="1:6" x14ac:dyDescent="0.25">
      <c r="A11191" t="str">
        <f>"561500172788"</f>
        <v>561500172788</v>
      </c>
      <c r="B11191" t="s">
        <v>15615</v>
      </c>
      <c r="C11191" t="s">
        <v>7</v>
      </c>
      <c r="D11191" t="s">
        <v>14</v>
      </c>
      <c r="E11191" t="s">
        <v>15425</v>
      </c>
    </row>
    <row r="11192" spans="1:6" x14ac:dyDescent="0.25">
      <c r="A11192" t="str">
        <f>"561500319007"</f>
        <v>561500319007</v>
      </c>
      <c r="B11192" t="s">
        <v>15616</v>
      </c>
      <c r="C11192" t="s">
        <v>7</v>
      </c>
      <c r="D11192" t="s">
        <v>14</v>
      </c>
      <c r="E11192" t="s">
        <v>15425</v>
      </c>
    </row>
    <row r="11193" spans="1:6" x14ac:dyDescent="0.25">
      <c r="A11193" t="str">
        <f>"561506783279"</f>
        <v>561506783279</v>
      </c>
      <c r="B11193" t="s">
        <v>4071</v>
      </c>
      <c r="C11193" t="s">
        <v>7</v>
      </c>
      <c r="D11193" t="s">
        <v>14</v>
      </c>
      <c r="E11193" t="s">
        <v>15425</v>
      </c>
    </row>
    <row r="11194" spans="1:6" x14ac:dyDescent="0.25">
      <c r="A11194" t="str">
        <f>"561701711013"</f>
        <v>561701711013</v>
      </c>
      <c r="B11194" t="s">
        <v>15617</v>
      </c>
      <c r="C11194" t="s">
        <v>7</v>
      </c>
      <c r="D11194" t="s">
        <v>12</v>
      </c>
      <c r="E11194" t="s">
        <v>15425</v>
      </c>
    </row>
    <row r="11195" spans="1:6" x14ac:dyDescent="0.25">
      <c r="A11195" t="str">
        <f>"5617021458"</f>
        <v>5617021458</v>
      </c>
      <c r="B11195" t="s">
        <v>15618</v>
      </c>
      <c r="C11195" t="s">
        <v>7</v>
      </c>
      <c r="D11195" t="s">
        <v>12</v>
      </c>
      <c r="E11195" t="s">
        <v>15425</v>
      </c>
      <c r="F11195" t="s">
        <v>15619</v>
      </c>
    </row>
    <row r="11196" spans="1:6" x14ac:dyDescent="0.25">
      <c r="A11196" t="str">
        <f>"561704554312"</f>
        <v>561704554312</v>
      </c>
      <c r="B11196" t="s">
        <v>15620</v>
      </c>
      <c r="C11196" t="s">
        <v>7</v>
      </c>
      <c r="D11196" t="s">
        <v>189</v>
      </c>
      <c r="E11196" t="s">
        <v>15425</v>
      </c>
    </row>
    <row r="11197" spans="1:6" x14ac:dyDescent="0.25">
      <c r="A11197" t="str">
        <f>"561801664783"</f>
        <v>561801664783</v>
      </c>
      <c r="B11197" t="s">
        <v>15621</v>
      </c>
      <c r="C11197" t="s">
        <v>7</v>
      </c>
      <c r="D11197" t="s">
        <v>586</v>
      </c>
      <c r="E11197" t="s">
        <v>15425</v>
      </c>
    </row>
    <row r="11198" spans="1:6" x14ac:dyDescent="0.25">
      <c r="A11198" t="str">
        <f>"562200011936"</f>
        <v>562200011936</v>
      </c>
      <c r="B11198" t="s">
        <v>15622</v>
      </c>
      <c r="C11198" t="s">
        <v>7</v>
      </c>
      <c r="D11198" t="s">
        <v>14</v>
      </c>
      <c r="E11198" t="s">
        <v>15425</v>
      </c>
    </row>
    <row r="11199" spans="1:6" x14ac:dyDescent="0.25">
      <c r="A11199" t="str">
        <f>"562201048199"</f>
        <v>562201048199</v>
      </c>
      <c r="B11199" t="s">
        <v>15623</v>
      </c>
      <c r="C11199" t="s">
        <v>7</v>
      </c>
      <c r="D11199" t="s">
        <v>14</v>
      </c>
      <c r="E11199" t="s">
        <v>15425</v>
      </c>
    </row>
    <row r="11200" spans="1:6" x14ac:dyDescent="0.25">
      <c r="A11200" t="str">
        <f>"563000018196"</f>
        <v>563000018196</v>
      </c>
      <c r="B11200" t="s">
        <v>15624</v>
      </c>
      <c r="C11200" t="s">
        <v>7</v>
      </c>
      <c r="D11200" t="s">
        <v>14</v>
      </c>
      <c r="E11200" t="s">
        <v>15425</v>
      </c>
    </row>
    <row r="11201" spans="1:6" x14ac:dyDescent="0.25">
      <c r="A11201" t="str">
        <f>"563002528516"</f>
        <v>563002528516</v>
      </c>
      <c r="B11201" t="s">
        <v>15625</v>
      </c>
      <c r="C11201" t="s">
        <v>7</v>
      </c>
      <c r="D11201" t="s">
        <v>14</v>
      </c>
      <c r="E11201" t="s">
        <v>15425</v>
      </c>
    </row>
    <row r="11202" spans="1:6" x14ac:dyDescent="0.25">
      <c r="A11202" t="str">
        <f>"5609003818"</f>
        <v>5609003818</v>
      </c>
      <c r="B11202" t="s">
        <v>15626</v>
      </c>
      <c r="C11202" t="s">
        <v>7</v>
      </c>
      <c r="D11202" t="s">
        <v>14</v>
      </c>
      <c r="E11202" t="s">
        <v>15425</v>
      </c>
      <c r="F11202" t="s">
        <v>15627</v>
      </c>
    </row>
    <row r="11203" spans="1:6" x14ac:dyDescent="0.25">
      <c r="A11203" t="str">
        <f>"560901558988"</f>
        <v>560901558988</v>
      </c>
      <c r="B11203" t="s">
        <v>15628</v>
      </c>
      <c r="C11203" t="s">
        <v>7</v>
      </c>
      <c r="D11203" t="s">
        <v>12</v>
      </c>
      <c r="E11203" t="s">
        <v>15425</v>
      </c>
    </row>
    <row r="11204" spans="1:6" x14ac:dyDescent="0.25">
      <c r="A11204" t="str">
        <f>"560905833184"</f>
        <v>560905833184</v>
      </c>
      <c r="B11204" t="s">
        <v>15629</v>
      </c>
      <c r="C11204" t="s">
        <v>7</v>
      </c>
      <c r="D11204" t="s">
        <v>12</v>
      </c>
      <c r="E11204" t="s">
        <v>15425</v>
      </c>
    </row>
    <row r="11205" spans="1:6" x14ac:dyDescent="0.25">
      <c r="A11205" t="str">
        <f>"560906213232"</f>
        <v>560906213232</v>
      </c>
      <c r="B11205" t="s">
        <v>15630</v>
      </c>
      <c r="C11205" t="s">
        <v>7</v>
      </c>
      <c r="D11205" t="s">
        <v>14</v>
      </c>
      <c r="E11205" t="s">
        <v>15425</v>
      </c>
    </row>
    <row r="11206" spans="1:6" x14ac:dyDescent="0.25">
      <c r="A11206" t="str">
        <f>"5609176240"</f>
        <v>5609176240</v>
      </c>
      <c r="B11206" t="s">
        <v>15631</v>
      </c>
      <c r="C11206" t="s">
        <v>7</v>
      </c>
      <c r="D11206" t="s">
        <v>674</v>
      </c>
      <c r="E11206" t="s">
        <v>15425</v>
      </c>
      <c r="F11206" t="s">
        <v>15632</v>
      </c>
    </row>
    <row r="11207" spans="1:6" x14ac:dyDescent="0.25">
      <c r="A11207" t="str">
        <f>"5609176257"</f>
        <v>5609176257</v>
      </c>
      <c r="B11207" t="s">
        <v>479</v>
      </c>
      <c r="C11207" t="s">
        <v>7</v>
      </c>
      <c r="D11207" t="s">
        <v>33</v>
      </c>
      <c r="E11207" t="s">
        <v>15425</v>
      </c>
      <c r="F11207" t="s">
        <v>15633</v>
      </c>
    </row>
    <row r="11208" spans="1:6" x14ac:dyDescent="0.25">
      <c r="A11208" t="str">
        <f>"5609182148"</f>
        <v>5609182148</v>
      </c>
      <c r="B11208" t="s">
        <v>15634</v>
      </c>
      <c r="C11208" t="s">
        <v>7</v>
      </c>
      <c r="D11208" t="s">
        <v>14</v>
      </c>
      <c r="E11208" t="s">
        <v>15425</v>
      </c>
      <c r="F11208" t="s">
        <v>15635</v>
      </c>
    </row>
    <row r="11209" spans="1:6" x14ac:dyDescent="0.25">
      <c r="A11209" t="str">
        <f>"560919061202"</f>
        <v>560919061202</v>
      </c>
      <c r="B11209" t="s">
        <v>15636</v>
      </c>
      <c r="C11209" t="s">
        <v>7</v>
      </c>
      <c r="D11209" t="s">
        <v>14</v>
      </c>
      <c r="E11209" t="s">
        <v>15425</v>
      </c>
    </row>
    <row r="11210" spans="1:6" x14ac:dyDescent="0.25">
      <c r="A11210" t="str">
        <f>"560920812647"</f>
        <v>560920812647</v>
      </c>
      <c r="B11210" t="s">
        <v>15637</v>
      </c>
      <c r="C11210" t="s">
        <v>7</v>
      </c>
      <c r="D11210" t="s">
        <v>12</v>
      </c>
      <c r="E11210" t="s">
        <v>15425</v>
      </c>
    </row>
    <row r="11211" spans="1:6" x14ac:dyDescent="0.25">
      <c r="A11211" t="str">
        <f>"561000334825"</f>
        <v>561000334825</v>
      </c>
      <c r="B11211" t="s">
        <v>15638</v>
      </c>
      <c r="C11211" t="s">
        <v>7</v>
      </c>
      <c r="D11211" t="s">
        <v>14</v>
      </c>
      <c r="E11211" t="s">
        <v>15425</v>
      </c>
    </row>
    <row r="11212" spans="1:6" x14ac:dyDescent="0.25">
      <c r="A11212" t="str">
        <f>"561003209773"</f>
        <v>561003209773</v>
      </c>
      <c r="B11212" t="s">
        <v>15639</v>
      </c>
      <c r="C11212" t="s">
        <v>7</v>
      </c>
      <c r="D11212" t="s">
        <v>12</v>
      </c>
      <c r="E11212" t="s">
        <v>15425</v>
      </c>
    </row>
    <row r="11213" spans="1:6" x14ac:dyDescent="0.25">
      <c r="A11213" t="str">
        <f>"561011893705"</f>
        <v>561011893705</v>
      </c>
      <c r="B11213" t="s">
        <v>15640</v>
      </c>
      <c r="C11213" t="s">
        <v>7</v>
      </c>
      <c r="D11213" t="s">
        <v>14</v>
      </c>
      <c r="E11213" t="s">
        <v>15425</v>
      </c>
    </row>
    <row r="11214" spans="1:6" x14ac:dyDescent="0.25">
      <c r="A11214" t="str">
        <f>"561012180383"</f>
        <v>561012180383</v>
      </c>
      <c r="B11214" t="s">
        <v>15641</v>
      </c>
      <c r="C11214" t="s">
        <v>7</v>
      </c>
      <c r="D11214" t="s">
        <v>14</v>
      </c>
      <c r="E11214" t="s">
        <v>15425</v>
      </c>
    </row>
    <row r="11215" spans="1:6" x14ac:dyDescent="0.25">
      <c r="A11215" t="str">
        <f>"561013018400"</f>
        <v>561013018400</v>
      </c>
      <c r="B11215" t="s">
        <v>15642</v>
      </c>
      <c r="C11215" t="s">
        <v>7</v>
      </c>
      <c r="D11215" t="s">
        <v>33</v>
      </c>
      <c r="E11215" t="s">
        <v>15425</v>
      </c>
    </row>
    <row r="11216" spans="1:6" x14ac:dyDescent="0.25">
      <c r="A11216" t="str">
        <f>"5610213048"</f>
        <v>5610213048</v>
      </c>
      <c r="B11216" t="s">
        <v>15643</v>
      </c>
      <c r="C11216" t="s">
        <v>7</v>
      </c>
      <c r="D11216" t="s">
        <v>98</v>
      </c>
      <c r="E11216" t="s">
        <v>15425</v>
      </c>
      <c r="F11216" t="s">
        <v>15644</v>
      </c>
    </row>
    <row r="11217" spans="1:6" x14ac:dyDescent="0.25">
      <c r="A11217" t="str">
        <f>"5610215334"</f>
        <v>5610215334</v>
      </c>
      <c r="B11217" t="s">
        <v>15645</v>
      </c>
      <c r="C11217" t="s">
        <v>7</v>
      </c>
      <c r="D11217" t="s">
        <v>14</v>
      </c>
      <c r="E11217" t="s">
        <v>15425</v>
      </c>
      <c r="F11217" t="s">
        <v>15646</v>
      </c>
    </row>
    <row r="11218" spans="1:6" x14ac:dyDescent="0.25">
      <c r="A11218" t="str">
        <f>"5610223448"</f>
        <v>5610223448</v>
      </c>
      <c r="B11218" t="s">
        <v>15647</v>
      </c>
      <c r="C11218" t="s">
        <v>7</v>
      </c>
      <c r="D11218" t="s">
        <v>14</v>
      </c>
      <c r="E11218" t="s">
        <v>15425</v>
      </c>
      <c r="F11218" t="s">
        <v>15648</v>
      </c>
    </row>
    <row r="11219" spans="1:6" x14ac:dyDescent="0.25">
      <c r="A11219" t="str">
        <f>"561023660141"</f>
        <v>561023660141</v>
      </c>
      <c r="B11219" t="s">
        <v>15649</v>
      </c>
      <c r="C11219" t="s">
        <v>7</v>
      </c>
      <c r="D11219" t="s">
        <v>14</v>
      </c>
      <c r="E11219" t="s">
        <v>15425</v>
      </c>
    </row>
    <row r="11220" spans="1:6" x14ac:dyDescent="0.25">
      <c r="A11220" t="str">
        <f>"5611080496"</f>
        <v>5611080496</v>
      </c>
      <c r="B11220" t="s">
        <v>15650</v>
      </c>
      <c r="C11220" t="s">
        <v>7</v>
      </c>
      <c r="D11220" t="s">
        <v>98</v>
      </c>
      <c r="E11220" t="s">
        <v>15425</v>
      </c>
      <c r="F11220" t="s">
        <v>15651</v>
      </c>
    </row>
    <row r="11221" spans="1:6" x14ac:dyDescent="0.25">
      <c r="A11221" t="str">
        <f>"561202768783"</f>
        <v>561202768783</v>
      </c>
      <c r="B11221" t="s">
        <v>13761</v>
      </c>
      <c r="C11221" t="s">
        <v>7</v>
      </c>
      <c r="D11221" t="s">
        <v>14</v>
      </c>
      <c r="E11221" t="s">
        <v>15425</v>
      </c>
    </row>
    <row r="11222" spans="1:6" x14ac:dyDescent="0.25">
      <c r="A11222" t="str">
        <f>"561206765230"</f>
        <v>561206765230</v>
      </c>
      <c r="B11222" t="s">
        <v>15652</v>
      </c>
      <c r="C11222" t="s">
        <v>7</v>
      </c>
      <c r="D11222" t="s">
        <v>12</v>
      </c>
      <c r="E11222" t="s">
        <v>15425</v>
      </c>
    </row>
    <row r="11223" spans="1:6" x14ac:dyDescent="0.25">
      <c r="A11223" t="str">
        <f>"561206821188"</f>
        <v>561206821188</v>
      </c>
      <c r="B11223" t="s">
        <v>15653</v>
      </c>
      <c r="C11223" t="s">
        <v>7</v>
      </c>
      <c r="D11223" t="s">
        <v>14</v>
      </c>
      <c r="E11223" t="s">
        <v>15425</v>
      </c>
    </row>
    <row r="11224" spans="1:6" x14ac:dyDescent="0.25">
      <c r="A11224" t="str">
        <f>"5612164854"</f>
        <v>5612164854</v>
      </c>
      <c r="B11224" t="s">
        <v>15654</v>
      </c>
      <c r="C11224" t="s">
        <v>7</v>
      </c>
      <c r="D11224" t="s">
        <v>14</v>
      </c>
      <c r="E11224" t="s">
        <v>15425</v>
      </c>
      <c r="F11224" t="s">
        <v>15655</v>
      </c>
    </row>
    <row r="11225" spans="1:6" x14ac:dyDescent="0.25">
      <c r="A11225" t="str">
        <f>"561400070704"</f>
        <v>561400070704</v>
      </c>
      <c r="B11225" t="s">
        <v>15656</v>
      </c>
      <c r="C11225" t="s">
        <v>7</v>
      </c>
      <c r="D11225" t="s">
        <v>14</v>
      </c>
      <c r="E11225" t="s">
        <v>15425</v>
      </c>
    </row>
    <row r="11226" spans="1:6" x14ac:dyDescent="0.25">
      <c r="A11226" t="str">
        <f>"5614055970"</f>
        <v>5614055970</v>
      </c>
      <c r="B11226" t="s">
        <v>15657</v>
      </c>
      <c r="C11226" t="s">
        <v>7</v>
      </c>
      <c r="D11226" t="s">
        <v>12</v>
      </c>
      <c r="E11226" t="s">
        <v>15425</v>
      </c>
      <c r="F11226" t="s">
        <v>15658</v>
      </c>
    </row>
    <row r="11227" spans="1:6" x14ac:dyDescent="0.25">
      <c r="A11227" t="str">
        <f>"561405732126"</f>
        <v>561405732126</v>
      </c>
      <c r="B11227" t="s">
        <v>15659</v>
      </c>
      <c r="C11227" t="s">
        <v>7</v>
      </c>
      <c r="D11227" t="s">
        <v>14</v>
      </c>
      <c r="E11227" t="s">
        <v>15425</v>
      </c>
    </row>
    <row r="11228" spans="1:6" x14ac:dyDescent="0.25">
      <c r="A11228" t="str">
        <f>"5614085005"</f>
        <v>5614085005</v>
      </c>
      <c r="B11228" t="s">
        <v>15660</v>
      </c>
      <c r="C11228" t="s">
        <v>7</v>
      </c>
      <c r="D11228" t="s">
        <v>33</v>
      </c>
      <c r="E11228" t="s">
        <v>15425</v>
      </c>
      <c r="F11228" t="s">
        <v>15661</v>
      </c>
    </row>
    <row r="11229" spans="1:6" x14ac:dyDescent="0.25">
      <c r="A11229" t="str">
        <f>"561500051060"</f>
        <v>561500051060</v>
      </c>
      <c r="B11229" t="s">
        <v>15662</v>
      </c>
      <c r="C11229" t="s">
        <v>7</v>
      </c>
      <c r="D11229" t="s">
        <v>33</v>
      </c>
      <c r="E11229" t="s">
        <v>15425</v>
      </c>
    </row>
    <row r="11230" spans="1:6" x14ac:dyDescent="0.25">
      <c r="A11230" t="str">
        <f>"561500627146"</f>
        <v>561500627146</v>
      </c>
      <c r="B11230" t="s">
        <v>15663</v>
      </c>
      <c r="C11230" t="s">
        <v>7</v>
      </c>
      <c r="D11230" t="s">
        <v>14</v>
      </c>
      <c r="E11230" t="s">
        <v>15425</v>
      </c>
    </row>
    <row r="11231" spans="1:6" x14ac:dyDescent="0.25">
      <c r="A11231" t="str">
        <f>"561502507711"</f>
        <v>561502507711</v>
      </c>
      <c r="B11231" t="s">
        <v>15664</v>
      </c>
      <c r="C11231" t="s">
        <v>7</v>
      </c>
      <c r="D11231" t="s">
        <v>14</v>
      </c>
      <c r="E11231" t="s">
        <v>15425</v>
      </c>
    </row>
    <row r="11232" spans="1:6" x14ac:dyDescent="0.25">
      <c r="A11232" t="str">
        <f>"561506971113"</f>
        <v>561506971113</v>
      </c>
      <c r="B11232" t="s">
        <v>15665</v>
      </c>
      <c r="C11232" t="s">
        <v>7</v>
      </c>
      <c r="D11232" t="s">
        <v>14</v>
      </c>
      <c r="E11232" t="s">
        <v>15425</v>
      </c>
    </row>
    <row r="11233" spans="1:6" x14ac:dyDescent="0.25">
      <c r="A11233" t="str">
        <f>"561507457359"</f>
        <v>561507457359</v>
      </c>
      <c r="B11233" t="s">
        <v>15666</v>
      </c>
      <c r="C11233" t="s">
        <v>7</v>
      </c>
      <c r="D11233" t="s">
        <v>12</v>
      </c>
      <c r="E11233" t="s">
        <v>15425</v>
      </c>
    </row>
    <row r="11234" spans="1:6" x14ac:dyDescent="0.25">
      <c r="A11234" t="str">
        <f>"561603062794"</f>
        <v>561603062794</v>
      </c>
      <c r="B11234" t="s">
        <v>15667</v>
      </c>
      <c r="C11234" t="s">
        <v>7</v>
      </c>
      <c r="D11234" t="s">
        <v>14</v>
      </c>
      <c r="E11234" t="s">
        <v>15425</v>
      </c>
    </row>
    <row r="11235" spans="1:6" x14ac:dyDescent="0.25">
      <c r="A11235" t="str">
        <f>"561605186820"</f>
        <v>561605186820</v>
      </c>
      <c r="B11235" t="s">
        <v>15668</v>
      </c>
      <c r="C11235" t="s">
        <v>7</v>
      </c>
      <c r="D11235" t="s">
        <v>14</v>
      </c>
      <c r="E11235" t="s">
        <v>15425</v>
      </c>
    </row>
    <row r="11236" spans="1:6" x14ac:dyDescent="0.25">
      <c r="A11236" t="str">
        <f>"561605491767"</f>
        <v>561605491767</v>
      </c>
      <c r="B11236" t="s">
        <v>15669</v>
      </c>
      <c r="C11236" t="s">
        <v>7</v>
      </c>
      <c r="D11236" t="s">
        <v>14</v>
      </c>
      <c r="E11236" t="s">
        <v>15425</v>
      </c>
    </row>
    <row r="11237" spans="1:6" x14ac:dyDescent="0.25">
      <c r="A11237" t="str">
        <f>"561700002977"</f>
        <v>561700002977</v>
      </c>
      <c r="B11237" t="s">
        <v>15670</v>
      </c>
      <c r="C11237" t="s">
        <v>7</v>
      </c>
      <c r="D11237" t="s">
        <v>14</v>
      </c>
      <c r="E11237" t="s">
        <v>15425</v>
      </c>
    </row>
    <row r="11238" spans="1:6" x14ac:dyDescent="0.25">
      <c r="A11238" t="str">
        <f>"561802054702"</f>
        <v>561802054702</v>
      </c>
      <c r="B11238" t="s">
        <v>15671</v>
      </c>
      <c r="C11238" t="s">
        <v>7</v>
      </c>
      <c r="D11238" t="s">
        <v>14</v>
      </c>
      <c r="E11238" t="s">
        <v>15425</v>
      </c>
    </row>
    <row r="11239" spans="1:6" x14ac:dyDescent="0.25">
      <c r="A11239" t="str">
        <f>"561900289420"</f>
        <v>561900289420</v>
      </c>
      <c r="B11239" t="s">
        <v>15672</v>
      </c>
      <c r="C11239" t="s">
        <v>7</v>
      </c>
      <c r="D11239" t="s">
        <v>14</v>
      </c>
      <c r="E11239" t="s">
        <v>15425</v>
      </c>
    </row>
    <row r="11240" spans="1:6" x14ac:dyDescent="0.25">
      <c r="A11240" t="str">
        <f>"562000143318"</f>
        <v>562000143318</v>
      </c>
      <c r="B11240" t="s">
        <v>15673</v>
      </c>
      <c r="C11240" t="s">
        <v>7</v>
      </c>
      <c r="D11240" t="s">
        <v>14</v>
      </c>
      <c r="E11240" t="s">
        <v>15425</v>
      </c>
    </row>
    <row r="11241" spans="1:6" x14ac:dyDescent="0.25">
      <c r="A11241" t="str">
        <f>"562800145995"</f>
        <v>562800145995</v>
      </c>
      <c r="B11241" t="s">
        <v>15674</v>
      </c>
      <c r="C11241" t="s">
        <v>7</v>
      </c>
      <c r="D11241" t="s">
        <v>14</v>
      </c>
      <c r="E11241" t="s">
        <v>15425</v>
      </c>
    </row>
    <row r="11242" spans="1:6" x14ac:dyDescent="0.25">
      <c r="A11242" t="str">
        <f>"563500875939"</f>
        <v>563500875939</v>
      </c>
      <c r="B11242" t="s">
        <v>15675</v>
      </c>
      <c r="C11242" t="s">
        <v>7</v>
      </c>
      <c r="D11242" t="s">
        <v>14</v>
      </c>
      <c r="E11242" t="s">
        <v>15425</v>
      </c>
    </row>
    <row r="11243" spans="1:6" x14ac:dyDescent="0.25">
      <c r="A11243" t="str">
        <f>"563502554560"</f>
        <v>563502554560</v>
      </c>
      <c r="B11243" t="s">
        <v>15676</v>
      </c>
      <c r="C11243" t="s">
        <v>7</v>
      </c>
      <c r="D11243" t="s">
        <v>12</v>
      </c>
      <c r="E11243" t="s">
        <v>15425</v>
      </c>
    </row>
    <row r="11244" spans="1:6" x14ac:dyDescent="0.25">
      <c r="A11244" t="str">
        <f>"563701618233"</f>
        <v>563701618233</v>
      </c>
      <c r="B11244" t="s">
        <v>15677</v>
      </c>
      <c r="C11244" t="s">
        <v>7</v>
      </c>
      <c r="D11244" t="s">
        <v>14</v>
      </c>
      <c r="E11244" t="s">
        <v>15425</v>
      </c>
    </row>
    <row r="11245" spans="1:6" x14ac:dyDescent="0.25">
      <c r="A11245" t="str">
        <f>"5638078222"</f>
        <v>5638078222</v>
      </c>
      <c r="B11245" t="s">
        <v>15678</v>
      </c>
      <c r="C11245" t="s">
        <v>7</v>
      </c>
      <c r="D11245" t="s">
        <v>33</v>
      </c>
      <c r="E11245" t="s">
        <v>15425</v>
      </c>
      <c r="F11245" t="s">
        <v>15679</v>
      </c>
    </row>
    <row r="11246" spans="1:6" x14ac:dyDescent="0.25">
      <c r="A11246" t="str">
        <f>"564305139912"</f>
        <v>564305139912</v>
      </c>
      <c r="B11246" t="s">
        <v>15680</v>
      </c>
      <c r="C11246" t="s">
        <v>7</v>
      </c>
      <c r="D11246" t="s">
        <v>14</v>
      </c>
      <c r="E11246" t="s">
        <v>15425</v>
      </c>
    </row>
    <row r="11247" spans="1:6" x14ac:dyDescent="0.25">
      <c r="A11247" t="str">
        <f>"564401235506"</f>
        <v>564401235506</v>
      </c>
      <c r="B11247" t="s">
        <v>15681</v>
      </c>
      <c r="C11247" t="s">
        <v>7</v>
      </c>
      <c r="D11247" t="s">
        <v>14</v>
      </c>
      <c r="E11247" t="s">
        <v>15425</v>
      </c>
    </row>
    <row r="11248" spans="1:6" x14ac:dyDescent="0.25">
      <c r="A11248" t="str">
        <f>"564600095275"</f>
        <v>564600095275</v>
      </c>
      <c r="B11248" t="s">
        <v>15682</v>
      </c>
      <c r="C11248" t="s">
        <v>7</v>
      </c>
      <c r="D11248" t="s">
        <v>14</v>
      </c>
      <c r="E11248" t="s">
        <v>15425</v>
      </c>
    </row>
    <row r="11249" spans="1:6" x14ac:dyDescent="0.25">
      <c r="A11249" t="str">
        <f>"564700699665"</f>
        <v>564700699665</v>
      </c>
      <c r="B11249" t="s">
        <v>15683</v>
      </c>
      <c r="C11249" t="s">
        <v>7</v>
      </c>
      <c r="D11249" t="s">
        <v>14</v>
      </c>
      <c r="E11249" t="s">
        <v>15425</v>
      </c>
    </row>
    <row r="11250" spans="1:6" x14ac:dyDescent="0.25">
      <c r="A11250" t="str">
        <f>"564701441877"</f>
        <v>564701441877</v>
      </c>
      <c r="B11250" t="s">
        <v>15684</v>
      </c>
      <c r="C11250" t="s">
        <v>7</v>
      </c>
      <c r="D11250" t="s">
        <v>12</v>
      </c>
      <c r="E11250" t="s">
        <v>15425</v>
      </c>
    </row>
    <row r="11251" spans="1:6" x14ac:dyDescent="0.25">
      <c r="A11251" t="str">
        <f>"564802353480"</f>
        <v>564802353480</v>
      </c>
      <c r="B11251" t="s">
        <v>15685</v>
      </c>
      <c r="C11251" t="s">
        <v>7</v>
      </c>
      <c r="D11251" t="s">
        <v>14</v>
      </c>
      <c r="E11251" t="s">
        <v>15425</v>
      </c>
    </row>
    <row r="11252" spans="1:6" x14ac:dyDescent="0.25">
      <c r="A11252" t="str">
        <f>"565001793346"</f>
        <v>565001793346</v>
      </c>
      <c r="B11252" t="s">
        <v>15686</v>
      </c>
      <c r="C11252" t="s">
        <v>7</v>
      </c>
      <c r="D11252" t="s">
        <v>14</v>
      </c>
      <c r="E11252" t="s">
        <v>15425</v>
      </c>
    </row>
    <row r="11253" spans="1:6" x14ac:dyDescent="0.25">
      <c r="A11253" t="str">
        <f>"565101081568"</f>
        <v>565101081568</v>
      </c>
      <c r="B11253" t="s">
        <v>15687</v>
      </c>
      <c r="C11253" t="s">
        <v>7</v>
      </c>
      <c r="D11253" t="s">
        <v>14</v>
      </c>
      <c r="E11253" t="s">
        <v>15425</v>
      </c>
    </row>
    <row r="11254" spans="1:6" x14ac:dyDescent="0.25">
      <c r="A11254" t="str">
        <f>"565101592241"</f>
        <v>565101592241</v>
      </c>
      <c r="B11254" t="s">
        <v>15688</v>
      </c>
      <c r="C11254" t="s">
        <v>7</v>
      </c>
      <c r="D11254" t="s">
        <v>14</v>
      </c>
      <c r="E11254" t="s">
        <v>15425</v>
      </c>
    </row>
    <row r="11255" spans="1:6" x14ac:dyDescent="0.25">
      <c r="A11255" t="str">
        <f>"5636006712"</f>
        <v>5636006712</v>
      </c>
      <c r="B11255" t="s">
        <v>15689</v>
      </c>
      <c r="C11255" t="s">
        <v>7</v>
      </c>
      <c r="D11255" t="s">
        <v>14</v>
      </c>
      <c r="E11255" t="s">
        <v>15425</v>
      </c>
      <c r="F11255" t="s">
        <v>15690</v>
      </c>
    </row>
    <row r="11256" spans="1:6" x14ac:dyDescent="0.25">
      <c r="A11256" t="str">
        <f>"563602546066"</f>
        <v>563602546066</v>
      </c>
      <c r="B11256" t="s">
        <v>15691</v>
      </c>
      <c r="C11256" t="s">
        <v>7</v>
      </c>
      <c r="D11256" t="s">
        <v>14</v>
      </c>
      <c r="E11256" t="s">
        <v>15425</v>
      </c>
    </row>
    <row r="11257" spans="1:6" x14ac:dyDescent="0.25">
      <c r="A11257" t="str">
        <f>"563700028231"</f>
        <v>563700028231</v>
      </c>
      <c r="B11257" t="s">
        <v>15692</v>
      </c>
      <c r="C11257" t="s">
        <v>7</v>
      </c>
      <c r="D11257" t="s">
        <v>12</v>
      </c>
      <c r="E11257" t="s">
        <v>15425</v>
      </c>
    </row>
    <row r="11258" spans="1:6" x14ac:dyDescent="0.25">
      <c r="A11258" t="str">
        <f>"563801234329"</f>
        <v>563801234329</v>
      </c>
      <c r="B11258" t="s">
        <v>15693</v>
      </c>
      <c r="C11258" t="s">
        <v>7</v>
      </c>
      <c r="D11258" t="s">
        <v>14</v>
      </c>
      <c r="E11258" t="s">
        <v>15425</v>
      </c>
    </row>
    <row r="11259" spans="1:6" x14ac:dyDescent="0.25">
      <c r="A11259" t="str">
        <f>"563804706690"</f>
        <v>563804706690</v>
      </c>
      <c r="B11259" t="s">
        <v>15694</v>
      </c>
      <c r="C11259" t="s">
        <v>7</v>
      </c>
      <c r="D11259" t="s">
        <v>14</v>
      </c>
      <c r="E11259" t="s">
        <v>15425</v>
      </c>
    </row>
    <row r="11260" spans="1:6" x14ac:dyDescent="0.25">
      <c r="A11260" t="str">
        <f>"563805915368"</f>
        <v>563805915368</v>
      </c>
      <c r="B11260" t="s">
        <v>15695</v>
      </c>
      <c r="C11260" t="s">
        <v>7</v>
      </c>
      <c r="D11260" t="s">
        <v>14</v>
      </c>
      <c r="E11260" t="s">
        <v>15425</v>
      </c>
    </row>
    <row r="11261" spans="1:6" x14ac:dyDescent="0.25">
      <c r="A11261" t="str">
        <f>"563806262810"</f>
        <v>563806262810</v>
      </c>
      <c r="B11261" t="s">
        <v>15696</v>
      </c>
      <c r="C11261" t="s">
        <v>7</v>
      </c>
      <c r="D11261" t="s">
        <v>14</v>
      </c>
      <c r="E11261" t="s">
        <v>15425</v>
      </c>
    </row>
    <row r="11262" spans="1:6" x14ac:dyDescent="0.25">
      <c r="A11262" t="str">
        <f>"564200519882"</f>
        <v>564200519882</v>
      </c>
      <c r="B11262" t="s">
        <v>15697</v>
      </c>
      <c r="C11262" t="s">
        <v>7</v>
      </c>
      <c r="D11262" t="s">
        <v>14</v>
      </c>
      <c r="E11262" t="s">
        <v>15425</v>
      </c>
    </row>
    <row r="11263" spans="1:6" x14ac:dyDescent="0.25">
      <c r="A11263" t="str">
        <f>"564401263503"</f>
        <v>564401263503</v>
      </c>
      <c r="B11263" t="s">
        <v>15698</v>
      </c>
      <c r="C11263" t="s">
        <v>7</v>
      </c>
      <c r="D11263" t="s">
        <v>12</v>
      </c>
      <c r="E11263" t="s">
        <v>15425</v>
      </c>
    </row>
    <row r="11264" spans="1:6" x14ac:dyDescent="0.25">
      <c r="A11264" t="str">
        <f>"564600842671"</f>
        <v>564600842671</v>
      </c>
      <c r="B11264" t="s">
        <v>15699</v>
      </c>
      <c r="C11264" t="s">
        <v>7</v>
      </c>
      <c r="D11264" t="s">
        <v>14</v>
      </c>
      <c r="E11264" t="s">
        <v>15425</v>
      </c>
    </row>
    <row r="11265" spans="1:6" x14ac:dyDescent="0.25">
      <c r="A11265" t="str">
        <f>"564800021993"</f>
        <v>564800021993</v>
      </c>
      <c r="B11265" t="s">
        <v>15700</v>
      </c>
      <c r="C11265" t="s">
        <v>7</v>
      </c>
      <c r="D11265" t="s">
        <v>14</v>
      </c>
      <c r="E11265" t="s">
        <v>15425</v>
      </c>
    </row>
    <row r="11266" spans="1:6" x14ac:dyDescent="0.25">
      <c r="A11266" t="str">
        <f>"564802794195"</f>
        <v>564802794195</v>
      </c>
      <c r="B11266" t="s">
        <v>15701</v>
      </c>
      <c r="C11266" t="s">
        <v>7</v>
      </c>
      <c r="D11266" t="s">
        <v>14</v>
      </c>
      <c r="E11266" t="s">
        <v>15425</v>
      </c>
    </row>
    <row r="11267" spans="1:6" x14ac:dyDescent="0.25">
      <c r="A11267" t="str">
        <f>"565100371137"</f>
        <v>565100371137</v>
      </c>
      <c r="B11267" t="s">
        <v>15702</v>
      </c>
      <c r="C11267" t="s">
        <v>7</v>
      </c>
      <c r="D11267" t="s">
        <v>14</v>
      </c>
      <c r="E11267" t="s">
        <v>15425</v>
      </c>
    </row>
    <row r="11268" spans="1:6" x14ac:dyDescent="0.25">
      <c r="A11268" t="str">
        <f>"563702570425"</f>
        <v>563702570425</v>
      </c>
      <c r="B11268" t="s">
        <v>15703</v>
      </c>
      <c r="C11268" t="s">
        <v>7</v>
      </c>
      <c r="D11268" t="s">
        <v>12</v>
      </c>
      <c r="E11268" t="s">
        <v>15425</v>
      </c>
    </row>
    <row r="11269" spans="1:6" x14ac:dyDescent="0.25">
      <c r="A11269" t="str">
        <f>"563801805043"</f>
        <v>563801805043</v>
      </c>
      <c r="B11269" t="s">
        <v>15704</v>
      </c>
      <c r="C11269" t="s">
        <v>7</v>
      </c>
      <c r="D11269" t="s">
        <v>14</v>
      </c>
      <c r="E11269" t="s">
        <v>15425</v>
      </c>
    </row>
    <row r="11270" spans="1:6" x14ac:dyDescent="0.25">
      <c r="A11270" t="str">
        <f>"5638025559"</f>
        <v>5638025559</v>
      </c>
      <c r="B11270" t="s">
        <v>15705</v>
      </c>
      <c r="C11270" t="s">
        <v>7</v>
      </c>
      <c r="D11270" t="s">
        <v>12</v>
      </c>
      <c r="E11270" t="s">
        <v>15425</v>
      </c>
      <c r="F11270" t="s">
        <v>15706</v>
      </c>
    </row>
    <row r="11271" spans="1:6" x14ac:dyDescent="0.25">
      <c r="A11271" t="str">
        <f>"5638027281"</f>
        <v>5638027281</v>
      </c>
      <c r="B11271" t="s">
        <v>15707</v>
      </c>
      <c r="C11271" t="s">
        <v>7</v>
      </c>
      <c r="D11271" t="s">
        <v>33</v>
      </c>
      <c r="E11271" t="s">
        <v>15425</v>
      </c>
      <c r="F11271" t="s">
        <v>15708</v>
      </c>
    </row>
    <row r="11272" spans="1:6" x14ac:dyDescent="0.25">
      <c r="A11272" t="str">
        <f>"5638028246"</f>
        <v>5638028246</v>
      </c>
      <c r="B11272" t="s">
        <v>479</v>
      </c>
      <c r="C11272" t="s">
        <v>7</v>
      </c>
      <c r="D11272" t="s">
        <v>14</v>
      </c>
      <c r="E11272" t="s">
        <v>15425</v>
      </c>
      <c r="F11272" t="s">
        <v>15709</v>
      </c>
    </row>
    <row r="11273" spans="1:6" x14ac:dyDescent="0.25">
      <c r="A11273" t="str">
        <f>"5638074027"</f>
        <v>5638074027</v>
      </c>
      <c r="B11273" t="s">
        <v>15710</v>
      </c>
      <c r="C11273" t="s">
        <v>7</v>
      </c>
      <c r="D11273" t="s">
        <v>14</v>
      </c>
      <c r="E11273" t="s">
        <v>15425</v>
      </c>
      <c r="F11273" t="s">
        <v>15711</v>
      </c>
    </row>
    <row r="11274" spans="1:6" x14ac:dyDescent="0.25">
      <c r="A11274" t="str">
        <f>"5641020952"</f>
        <v>5641020952</v>
      </c>
      <c r="B11274" t="s">
        <v>15712</v>
      </c>
      <c r="C11274" t="s">
        <v>7</v>
      </c>
      <c r="D11274" t="s">
        <v>33</v>
      </c>
      <c r="E11274" t="s">
        <v>15425</v>
      </c>
      <c r="F11274" t="s">
        <v>15713</v>
      </c>
    </row>
    <row r="11275" spans="1:6" x14ac:dyDescent="0.25">
      <c r="A11275" t="str">
        <f>"564203040431"</f>
        <v>564203040431</v>
      </c>
      <c r="B11275" t="s">
        <v>15714</v>
      </c>
      <c r="C11275" t="s">
        <v>7</v>
      </c>
      <c r="D11275" t="s">
        <v>12</v>
      </c>
      <c r="E11275" t="s">
        <v>15425</v>
      </c>
    </row>
    <row r="11276" spans="1:6" x14ac:dyDescent="0.25">
      <c r="A11276" t="str">
        <f>"5643023211"</f>
        <v>5643023211</v>
      </c>
      <c r="B11276" t="s">
        <v>15715</v>
      </c>
      <c r="C11276" t="s">
        <v>7</v>
      </c>
      <c r="D11276" t="s">
        <v>14</v>
      </c>
      <c r="E11276" t="s">
        <v>15425</v>
      </c>
      <c r="F11276" t="s">
        <v>15716</v>
      </c>
    </row>
    <row r="11277" spans="1:6" x14ac:dyDescent="0.25">
      <c r="A11277" t="str">
        <f>"564303438138"</f>
        <v>564303438138</v>
      </c>
      <c r="B11277" t="s">
        <v>15717</v>
      </c>
      <c r="C11277" t="s">
        <v>7</v>
      </c>
      <c r="D11277" t="s">
        <v>14</v>
      </c>
      <c r="E11277" t="s">
        <v>15425</v>
      </c>
    </row>
    <row r="11278" spans="1:6" x14ac:dyDescent="0.25">
      <c r="A11278" t="str">
        <f>"564303481380"</f>
        <v>564303481380</v>
      </c>
      <c r="B11278" t="s">
        <v>15718</v>
      </c>
      <c r="C11278" t="s">
        <v>7</v>
      </c>
      <c r="D11278" t="s">
        <v>14</v>
      </c>
      <c r="E11278" t="s">
        <v>15425</v>
      </c>
    </row>
    <row r="11279" spans="1:6" x14ac:dyDescent="0.25">
      <c r="A11279" t="str">
        <f>"564303860205"</f>
        <v>564303860205</v>
      </c>
      <c r="B11279" t="s">
        <v>15719</v>
      </c>
      <c r="C11279" t="s">
        <v>7</v>
      </c>
      <c r="D11279" t="s">
        <v>14</v>
      </c>
      <c r="E11279" t="s">
        <v>15425</v>
      </c>
    </row>
    <row r="11280" spans="1:6" x14ac:dyDescent="0.25">
      <c r="A11280" t="str">
        <f>"564603075238"</f>
        <v>564603075238</v>
      </c>
      <c r="B11280" t="s">
        <v>15720</v>
      </c>
      <c r="C11280" t="s">
        <v>7</v>
      </c>
      <c r="D11280" t="s">
        <v>14</v>
      </c>
      <c r="E11280" t="s">
        <v>15425</v>
      </c>
    </row>
    <row r="11281" spans="1:6" x14ac:dyDescent="0.25">
      <c r="A11281" t="str">
        <f>"565002316191"</f>
        <v>565002316191</v>
      </c>
      <c r="B11281" t="s">
        <v>15721</v>
      </c>
      <c r="C11281" t="s">
        <v>7</v>
      </c>
      <c r="D11281" t="s">
        <v>14</v>
      </c>
      <c r="E11281" t="s">
        <v>15425</v>
      </c>
    </row>
    <row r="11282" spans="1:6" x14ac:dyDescent="0.25">
      <c r="A11282" t="str">
        <f>"165000627320"</f>
        <v>165000627320</v>
      </c>
      <c r="B11282" t="s">
        <v>15722</v>
      </c>
      <c r="C11282" t="s">
        <v>7</v>
      </c>
      <c r="D11282" t="s">
        <v>14</v>
      </c>
      <c r="E11282" t="s">
        <v>15425</v>
      </c>
    </row>
    <row r="11283" spans="1:6" x14ac:dyDescent="0.25">
      <c r="A11283" t="str">
        <f>"672213955271"</f>
        <v>672213955271</v>
      </c>
      <c r="B11283" t="s">
        <v>15723</v>
      </c>
      <c r="C11283" t="s">
        <v>7</v>
      </c>
      <c r="D11283" t="s">
        <v>12</v>
      </c>
      <c r="E11283" t="s">
        <v>15425</v>
      </c>
    </row>
    <row r="11284" spans="1:6" x14ac:dyDescent="0.25">
      <c r="A11284" t="str">
        <f>"570305106200"</f>
        <v>570305106200</v>
      </c>
      <c r="B11284" t="s">
        <v>15724</v>
      </c>
      <c r="C11284" t="s">
        <v>7</v>
      </c>
      <c r="D11284" t="s">
        <v>14</v>
      </c>
      <c r="E11284" t="s">
        <v>15725</v>
      </c>
    </row>
    <row r="11285" spans="1:6" x14ac:dyDescent="0.25">
      <c r="A11285" t="str">
        <f>"571801325378"</f>
        <v>571801325378</v>
      </c>
      <c r="B11285" t="s">
        <v>15726</v>
      </c>
      <c r="C11285" t="s">
        <v>7</v>
      </c>
      <c r="D11285" t="s">
        <v>14</v>
      </c>
      <c r="E11285" t="s">
        <v>15725</v>
      </c>
    </row>
    <row r="11286" spans="1:6" x14ac:dyDescent="0.25">
      <c r="A11286" t="str">
        <f>"572004983177"</f>
        <v>572004983177</v>
      </c>
      <c r="B11286" t="s">
        <v>15727</v>
      </c>
      <c r="C11286" t="s">
        <v>7</v>
      </c>
      <c r="D11286" t="s">
        <v>14</v>
      </c>
      <c r="E11286" t="s">
        <v>15725</v>
      </c>
    </row>
    <row r="11287" spans="1:6" x14ac:dyDescent="0.25">
      <c r="A11287" t="str">
        <f>"572101142317"</f>
        <v>572101142317</v>
      </c>
      <c r="B11287" t="s">
        <v>15728</v>
      </c>
      <c r="C11287" t="s">
        <v>7</v>
      </c>
      <c r="D11287" t="s">
        <v>14</v>
      </c>
      <c r="E11287" t="s">
        <v>15725</v>
      </c>
    </row>
    <row r="11288" spans="1:6" x14ac:dyDescent="0.25">
      <c r="A11288" t="str">
        <f>"575104352364"</f>
        <v>575104352364</v>
      </c>
      <c r="B11288" t="s">
        <v>15729</v>
      </c>
      <c r="C11288" t="s">
        <v>7</v>
      </c>
      <c r="D11288" t="s">
        <v>12</v>
      </c>
      <c r="E11288" t="s">
        <v>15725</v>
      </c>
    </row>
    <row r="11289" spans="1:6" x14ac:dyDescent="0.25">
      <c r="A11289" t="str">
        <f>"575205196150"</f>
        <v>575205196150</v>
      </c>
      <c r="B11289" t="s">
        <v>15730</v>
      </c>
      <c r="C11289" t="s">
        <v>7</v>
      </c>
      <c r="D11289" t="s">
        <v>14</v>
      </c>
      <c r="E11289" t="s">
        <v>15725</v>
      </c>
    </row>
    <row r="11290" spans="1:6" x14ac:dyDescent="0.25">
      <c r="A11290" t="str">
        <f>"575209045900"</f>
        <v>575209045900</v>
      </c>
      <c r="B11290" t="s">
        <v>15731</v>
      </c>
      <c r="C11290" t="s">
        <v>7</v>
      </c>
      <c r="D11290" t="s">
        <v>14</v>
      </c>
      <c r="E11290" t="s">
        <v>15725</v>
      </c>
    </row>
    <row r="11291" spans="1:6" x14ac:dyDescent="0.25">
      <c r="A11291" t="str">
        <f>"5702009437"</f>
        <v>5702009437</v>
      </c>
      <c r="B11291" t="s">
        <v>7680</v>
      </c>
      <c r="C11291" t="s">
        <v>7</v>
      </c>
      <c r="D11291" t="s">
        <v>33</v>
      </c>
      <c r="E11291" t="s">
        <v>15725</v>
      </c>
      <c r="F11291" t="s">
        <v>15732</v>
      </c>
    </row>
    <row r="11292" spans="1:6" x14ac:dyDescent="0.25">
      <c r="A11292" t="str">
        <f>"570201078855"</f>
        <v>570201078855</v>
      </c>
      <c r="B11292" t="s">
        <v>15733</v>
      </c>
      <c r="C11292" t="s">
        <v>7</v>
      </c>
      <c r="D11292" t="s">
        <v>14</v>
      </c>
      <c r="E11292" t="s">
        <v>15725</v>
      </c>
    </row>
    <row r="11293" spans="1:6" x14ac:dyDescent="0.25">
      <c r="A11293" t="str">
        <f>"570201846641"</f>
        <v>570201846641</v>
      </c>
      <c r="B11293" t="s">
        <v>15734</v>
      </c>
      <c r="C11293" t="s">
        <v>7</v>
      </c>
      <c r="D11293" t="s">
        <v>12</v>
      </c>
      <c r="E11293" t="s">
        <v>15725</v>
      </c>
    </row>
    <row r="11294" spans="1:6" x14ac:dyDescent="0.25">
      <c r="A11294" t="str">
        <f>"570203331542"</f>
        <v>570203331542</v>
      </c>
      <c r="B11294" t="s">
        <v>15735</v>
      </c>
      <c r="C11294" t="s">
        <v>7</v>
      </c>
      <c r="D11294" t="s">
        <v>14</v>
      </c>
      <c r="E11294" t="s">
        <v>15725</v>
      </c>
    </row>
    <row r="11295" spans="1:6" x14ac:dyDescent="0.25">
      <c r="A11295" t="str">
        <f>"570203427692"</f>
        <v>570203427692</v>
      </c>
      <c r="B11295" t="s">
        <v>15736</v>
      </c>
      <c r="C11295" t="s">
        <v>7</v>
      </c>
      <c r="D11295" t="s">
        <v>14</v>
      </c>
      <c r="E11295" t="s">
        <v>15725</v>
      </c>
    </row>
    <row r="11296" spans="1:6" x14ac:dyDescent="0.25">
      <c r="A11296" t="str">
        <f>"570204325005"</f>
        <v>570204325005</v>
      </c>
      <c r="B11296" t="s">
        <v>15737</v>
      </c>
      <c r="C11296" t="s">
        <v>7</v>
      </c>
      <c r="D11296" t="s">
        <v>14</v>
      </c>
      <c r="E11296" t="s">
        <v>15725</v>
      </c>
    </row>
    <row r="11297" spans="1:6" x14ac:dyDescent="0.25">
      <c r="A11297" t="str">
        <f>"570301024204"</f>
        <v>570301024204</v>
      </c>
      <c r="B11297" t="s">
        <v>15738</v>
      </c>
      <c r="C11297" t="s">
        <v>7</v>
      </c>
      <c r="D11297" t="s">
        <v>14</v>
      </c>
      <c r="E11297" t="s">
        <v>15725</v>
      </c>
    </row>
    <row r="11298" spans="1:6" x14ac:dyDescent="0.25">
      <c r="A11298" t="str">
        <f>"570601106698"</f>
        <v>570601106698</v>
      </c>
      <c r="B11298" t="s">
        <v>15739</v>
      </c>
      <c r="C11298" t="s">
        <v>7</v>
      </c>
      <c r="D11298" t="s">
        <v>14</v>
      </c>
      <c r="E11298" t="s">
        <v>15725</v>
      </c>
    </row>
    <row r="11299" spans="1:6" x14ac:dyDescent="0.25">
      <c r="A11299" t="str">
        <f>"570601135000"</f>
        <v>570601135000</v>
      </c>
      <c r="B11299" t="s">
        <v>15740</v>
      </c>
      <c r="C11299" t="s">
        <v>7</v>
      </c>
      <c r="D11299" t="s">
        <v>14</v>
      </c>
      <c r="E11299" t="s">
        <v>15725</v>
      </c>
    </row>
    <row r="11300" spans="1:6" x14ac:dyDescent="0.25">
      <c r="A11300" t="str">
        <f>"570902546822"</f>
        <v>570902546822</v>
      </c>
      <c r="B11300" t="s">
        <v>15741</v>
      </c>
      <c r="C11300" t="s">
        <v>7</v>
      </c>
      <c r="D11300" t="s">
        <v>14</v>
      </c>
      <c r="E11300" t="s">
        <v>15725</v>
      </c>
    </row>
    <row r="11301" spans="1:6" x14ac:dyDescent="0.25">
      <c r="A11301" t="str">
        <f>"571406901260"</f>
        <v>571406901260</v>
      </c>
      <c r="B11301" t="s">
        <v>15742</v>
      </c>
      <c r="C11301" t="s">
        <v>7</v>
      </c>
      <c r="D11301" t="s">
        <v>14</v>
      </c>
      <c r="E11301" t="s">
        <v>15725</v>
      </c>
    </row>
    <row r="11302" spans="1:6" x14ac:dyDescent="0.25">
      <c r="A11302" t="str">
        <f>"571502178647"</f>
        <v>571502178647</v>
      </c>
      <c r="B11302" t="s">
        <v>15743</v>
      </c>
      <c r="C11302" t="s">
        <v>7</v>
      </c>
      <c r="D11302" t="s">
        <v>14</v>
      </c>
      <c r="E11302" t="s">
        <v>15725</v>
      </c>
    </row>
    <row r="11303" spans="1:6" x14ac:dyDescent="0.25">
      <c r="A11303" t="str">
        <f>"571600002507"</f>
        <v>571600002507</v>
      </c>
      <c r="B11303" t="s">
        <v>15744</v>
      </c>
      <c r="C11303" t="s">
        <v>7</v>
      </c>
      <c r="D11303" t="s">
        <v>14</v>
      </c>
      <c r="E11303" t="s">
        <v>15725</v>
      </c>
    </row>
    <row r="11304" spans="1:6" x14ac:dyDescent="0.25">
      <c r="A11304" t="str">
        <f>"572001291587"</f>
        <v>572001291587</v>
      </c>
      <c r="B11304" t="s">
        <v>15745</v>
      </c>
      <c r="C11304" t="s">
        <v>7</v>
      </c>
      <c r="D11304" t="s">
        <v>14</v>
      </c>
      <c r="E11304" t="s">
        <v>15725</v>
      </c>
    </row>
    <row r="11305" spans="1:6" x14ac:dyDescent="0.25">
      <c r="A11305" t="str">
        <f>"572001452700"</f>
        <v>572001452700</v>
      </c>
      <c r="B11305" t="s">
        <v>15746</v>
      </c>
      <c r="C11305" t="s">
        <v>7</v>
      </c>
      <c r="D11305" t="s">
        <v>12</v>
      </c>
      <c r="E11305" t="s">
        <v>15725</v>
      </c>
    </row>
    <row r="11306" spans="1:6" x14ac:dyDescent="0.25">
      <c r="A11306" t="str">
        <f>"575101826418"</f>
        <v>575101826418</v>
      </c>
      <c r="B11306" t="s">
        <v>15747</v>
      </c>
      <c r="C11306" t="s">
        <v>7</v>
      </c>
      <c r="D11306" t="s">
        <v>14</v>
      </c>
      <c r="E11306" t="s">
        <v>15725</v>
      </c>
    </row>
    <row r="11307" spans="1:6" x14ac:dyDescent="0.25">
      <c r="A11307" t="str">
        <f>"5751059254"</f>
        <v>5751059254</v>
      </c>
      <c r="B11307" t="s">
        <v>15748</v>
      </c>
      <c r="C11307" t="s">
        <v>7</v>
      </c>
      <c r="D11307" t="s">
        <v>33</v>
      </c>
      <c r="E11307" t="s">
        <v>15725</v>
      </c>
      <c r="F11307" t="s">
        <v>15749</v>
      </c>
    </row>
    <row r="11308" spans="1:6" x14ac:dyDescent="0.25">
      <c r="A11308" t="str">
        <f>"575200041587"</f>
        <v>575200041587</v>
      </c>
      <c r="B11308" t="s">
        <v>15750</v>
      </c>
      <c r="C11308" t="s">
        <v>7</v>
      </c>
      <c r="D11308" t="s">
        <v>12</v>
      </c>
      <c r="E11308" t="s">
        <v>15725</v>
      </c>
    </row>
    <row r="11309" spans="1:6" x14ac:dyDescent="0.25">
      <c r="A11309" t="str">
        <f>"575200112118"</f>
        <v>575200112118</v>
      </c>
      <c r="B11309" t="s">
        <v>15751</v>
      </c>
      <c r="C11309" t="s">
        <v>7</v>
      </c>
      <c r="D11309" t="s">
        <v>14</v>
      </c>
      <c r="E11309" t="s">
        <v>15725</v>
      </c>
    </row>
    <row r="11310" spans="1:6" x14ac:dyDescent="0.25">
      <c r="A11310" t="str">
        <f>"575200210404"</f>
        <v>575200210404</v>
      </c>
      <c r="B11310" t="s">
        <v>15752</v>
      </c>
      <c r="C11310" t="s">
        <v>7</v>
      </c>
      <c r="D11310" t="s">
        <v>14</v>
      </c>
      <c r="E11310" t="s">
        <v>15725</v>
      </c>
    </row>
    <row r="11311" spans="1:6" x14ac:dyDescent="0.25">
      <c r="A11311" t="str">
        <f>"575200405724"</f>
        <v>575200405724</v>
      </c>
      <c r="B11311" t="s">
        <v>15753</v>
      </c>
      <c r="C11311" t="s">
        <v>7</v>
      </c>
      <c r="D11311" t="s">
        <v>14</v>
      </c>
      <c r="E11311" t="s">
        <v>15725</v>
      </c>
    </row>
    <row r="11312" spans="1:6" x14ac:dyDescent="0.25">
      <c r="A11312" t="str">
        <f>"5752006632"</f>
        <v>5752006632</v>
      </c>
      <c r="B11312" t="s">
        <v>15754</v>
      </c>
      <c r="C11312" t="s">
        <v>7</v>
      </c>
      <c r="D11312" t="s">
        <v>12</v>
      </c>
      <c r="E11312" t="s">
        <v>15725</v>
      </c>
      <c r="F11312" t="s">
        <v>15755</v>
      </c>
    </row>
    <row r="11313" spans="1:6" x14ac:dyDescent="0.25">
      <c r="A11313" t="str">
        <f>"5752007636"</f>
        <v>5752007636</v>
      </c>
      <c r="B11313" t="s">
        <v>15756</v>
      </c>
      <c r="C11313" t="s">
        <v>7</v>
      </c>
      <c r="D11313" t="s">
        <v>98</v>
      </c>
      <c r="E11313" t="s">
        <v>15725</v>
      </c>
      <c r="F11313" t="s">
        <v>15757</v>
      </c>
    </row>
    <row r="11314" spans="1:6" x14ac:dyDescent="0.25">
      <c r="A11314" t="str">
        <f>"575202398800"</f>
        <v>575202398800</v>
      </c>
      <c r="B11314" t="s">
        <v>15758</v>
      </c>
      <c r="C11314" t="s">
        <v>7</v>
      </c>
      <c r="D11314" t="s">
        <v>14</v>
      </c>
      <c r="E11314" t="s">
        <v>15725</v>
      </c>
    </row>
    <row r="11315" spans="1:6" x14ac:dyDescent="0.25">
      <c r="A11315" t="str">
        <f>"5752031950"</f>
        <v>5752031950</v>
      </c>
      <c r="B11315" t="s">
        <v>2022</v>
      </c>
      <c r="C11315" t="s">
        <v>7</v>
      </c>
      <c r="D11315" t="s">
        <v>33</v>
      </c>
      <c r="E11315" t="s">
        <v>15725</v>
      </c>
      <c r="F11315" t="s">
        <v>15759</v>
      </c>
    </row>
    <row r="11316" spans="1:6" x14ac:dyDescent="0.25">
      <c r="A11316" t="str">
        <f>"575204774507"</f>
        <v>575204774507</v>
      </c>
      <c r="B11316" t="s">
        <v>15760</v>
      </c>
      <c r="C11316" t="s">
        <v>7</v>
      </c>
      <c r="D11316" t="s">
        <v>12</v>
      </c>
      <c r="E11316" t="s">
        <v>15725</v>
      </c>
    </row>
    <row r="11317" spans="1:6" x14ac:dyDescent="0.25">
      <c r="A11317" t="str">
        <f>"5752050455"</f>
        <v>5752050455</v>
      </c>
      <c r="B11317" t="s">
        <v>15761</v>
      </c>
      <c r="C11317" t="s">
        <v>7</v>
      </c>
      <c r="D11317" t="s">
        <v>12</v>
      </c>
      <c r="E11317" t="s">
        <v>15725</v>
      </c>
      <c r="F11317" t="s">
        <v>15762</v>
      </c>
    </row>
    <row r="11318" spans="1:6" x14ac:dyDescent="0.25">
      <c r="A11318" t="str">
        <f>"5752055975"</f>
        <v>5752055975</v>
      </c>
      <c r="B11318" t="s">
        <v>15763</v>
      </c>
      <c r="C11318" t="s">
        <v>7</v>
      </c>
      <c r="D11318" t="s">
        <v>33</v>
      </c>
      <c r="E11318" t="s">
        <v>15725</v>
      </c>
      <c r="F11318" t="s">
        <v>15764</v>
      </c>
    </row>
    <row r="11319" spans="1:6" x14ac:dyDescent="0.25">
      <c r="A11319" t="str">
        <f>"575206170028"</f>
        <v>575206170028</v>
      </c>
      <c r="B11319" t="s">
        <v>15765</v>
      </c>
      <c r="C11319" t="s">
        <v>7</v>
      </c>
      <c r="D11319" t="s">
        <v>33</v>
      </c>
      <c r="E11319" t="s">
        <v>15725</v>
      </c>
    </row>
    <row r="11320" spans="1:6" x14ac:dyDescent="0.25">
      <c r="A11320" t="str">
        <f>"5752071511"</f>
        <v>5752071511</v>
      </c>
      <c r="B11320" t="s">
        <v>15766</v>
      </c>
      <c r="C11320" t="s">
        <v>7</v>
      </c>
      <c r="D11320" t="s">
        <v>33</v>
      </c>
      <c r="E11320" t="s">
        <v>15725</v>
      </c>
      <c r="F11320" t="s">
        <v>15767</v>
      </c>
    </row>
    <row r="11321" spans="1:6" x14ac:dyDescent="0.25">
      <c r="A11321" t="str">
        <f>"5752083450"</f>
        <v>5752083450</v>
      </c>
      <c r="B11321" t="s">
        <v>15768</v>
      </c>
      <c r="C11321" t="s">
        <v>7</v>
      </c>
      <c r="D11321" t="s">
        <v>14</v>
      </c>
      <c r="E11321" t="s">
        <v>15725</v>
      </c>
      <c r="F11321" t="s">
        <v>15769</v>
      </c>
    </row>
    <row r="11322" spans="1:6" x14ac:dyDescent="0.25">
      <c r="A11322" t="str">
        <f>"5752085585"</f>
        <v>5752085585</v>
      </c>
      <c r="B11322" t="s">
        <v>15770</v>
      </c>
      <c r="C11322" t="s">
        <v>7</v>
      </c>
      <c r="D11322" t="s">
        <v>33</v>
      </c>
      <c r="E11322" t="s">
        <v>15725</v>
      </c>
      <c r="F11322" t="s">
        <v>15771</v>
      </c>
    </row>
    <row r="11323" spans="1:6" x14ac:dyDescent="0.25">
      <c r="A11323" t="str">
        <f>"575209061179"</f>
        <v>575209061179</v>
      </c>
      <c r="B11323" t="s">
        <v>15772</v>
      </c>
      <c r="C11323" t="s">
        <v>7</v>
      </c>
      <c r="D11323" t="s">
        <v>14</v>
      </c>
      <c r="E11323" t="s">
        <v>15725</v>
      </c>
    </row>
    <row r="11324" spans="1:6" x14ac:dyDescent="0.25">
      <c r="A11324" t="str">
        <f>"575211508288"</f>
        <v>575211508288</v>
      </c>
      <c r="B11324" t="s">
        <v>15773</v>
      </c>
      <c r="C11324" t="s">
        <v>7</v>
      </c>
      <c r="D11324" t="s">
        <v>14</v>
      </c>
      <c r="E11324" t="s">
        <v>15725</v>
      </c>
    </row>
    <row r="11325" spans="1:6" x14ac:dyDescent="0.25">
      <c r="A11325" t="str">
        <f>"575301651081"</f>
        <v>575301651081</v>
      </c>
      <c r="B11325" t="s">
        <v>15774</v>
      </c>
      <c r="C11325" t="s">
        <v>7</v>
      </c>
      <c r="D11325" t="s">
        <v>14</v>
      </c>
      <c r="E11325" t="s">
        <v>15725</v>
      </c>
    </row>
    <row r="11326" spans="1:6" x14ac:dyDescent="0.25">
      <c r="A11326" t="str">
        <f>"5753201185"</f>
        <v>5753201185</v>
      </c>
      <c r="B11326" t="s">
        <v>15775</v>
      </c>
      <c r="C11326" t="s">
        <v>7</v>
      </c>
      <c r="D11326" t="s">
        <v>33</v>
      </c>
      <c r="E11326" t="s">
        <v>15725</v>
      </c>
      <c r="F11326" t="s">
        <v>15776</v>
      </c>
    </row>
    <row r="11327" spans="1:6" x14ac:dyDescent="0.25">
      <c r="A11327" t="str">
        <f>"575402420556"</f>
        <v>575402420556</v>
      </c>
      <c r="B11327" t="s">
        <v>15777</v>
      </c>
      <c r="C11327" t="s">
        <v>7</v>
      </c>
      <c r="D11327" t="s">
        <v>14</v>
      </c>
      <c r="E11327" t="s">
        <v>15725</v>
      </c>
    </row>
    <row r="11328" spans="1:6" x14ac:dyDescent="0.25">
      <c r="A11328" t="str">
        <f>"5754027275"</f>
        <v>5754027275</v>
      </c>
      <c r="B11328" t="s">
        <v>15778</v>
      </c>
      <c r="C11328" t="s">
        <v>7</v>
      </c>
      <c r="D11328" t="s">
        <v>33</v>
      </c>
      <c r="E11328" t="s">
        <v>15725</v>
      </c>
      <c r="F11328" t="s">
        <v>15779</v>
      </c>
    </row>
    <row r="11329" spans="1:6" x14ac:dyDescent="0.25">
      <c r="A11329" t="str">
        <f>"5700005807"</f>
        <v>5700005807</v>
      </c>
      <c r="B11329" t="s">
        <v>15780</v>
      </c>
      <c r="C11329" t="s">
        <v>7</v>
      </c>
      <c r="D11329" t="s">
        <v>33</v>
      </c>
      <c r="E11329" t="s">
        <v>15725</v>
      </c>
      <c r="F11329" t="s">
        <v>15781</v>
      </c>
    </row>
    <row r="11330" spans="1:6" x14ac:dyDescent="0.25">
      <c r="A11330" t="str">
        <f>"5700006825"</f>
        <v>5700006825</v>
      </c>
      <c r="B11330" t="s">
        <v>15782</v>
      </c>
      <c r="C11330" t="s">
        <v>7</v>
      </c>
      <c r="D11330" t="s">
        <v>33</v>
      </c>
      <c r="E11330" t="s">
        <v>15725</v>
      </c>
      <c r="F11330" t="s">
        <v>15783</v>
      </c>
    </row>
    <row r="11331" spans="1:6" x14ac:dyDescent="0.25">
      <c r="A11331" t="str">
        <f>"5700008477"</f>
        <v>5700008477</v>
      </c>
      <c r="B11331" t="s">
        <v>15784</v>
      </c>
      <c r="C11331" t="s">
        <v>7</v>
      </c>
      <c r="D11331" t="s">
        <v>12</v>
      </c>
      <c r="E11331" t="s">
        <v>15725</v>
      </c>
      <c r="F11331" t="s">
        <v>15785</v>
      </c>
    </row>
    <row r="11332" spans="1:6" x14ac:dyDescent="0.25">
      <c r="A11332" t="str">
        <f>"5700012160"</f>
        <v>5700012160</v>
      </c>
      <c r="B11332" t="s">
        <v>15786</v>
      </c>
      <c r="C11332" t="s">
        <v>7</v>
      </c>
      <c r="D11332" t="s">
        <v>14</v>
      </c>
      <c r="E11332" t="s">
        <v>15725</v>
      </c>
      <c r="F11332" t="s">
        <v>15787</v>
      </c>
    </row>
    <row r="11333" spans="1:6" x14ac:dyDescent="0.25">
      <c r="A11333" t="str">
        <f>"5703007619"</f>
        <v>5703007619</v>
      </c>
      <c r="B11333" t="s">
        <v>15788</v>
      </c>
      <c r="C11333" t="s">
        <v>7</v>
      </c>
      <c r="D11333" t="s">
        <v>33</v>
      </c>
      <c r="E11333" t="s">
        <v>15725</v>
      </c>
      <c r="F11333" t="s">
        <v>15789</v>
      </c>
    </row>
    <row r="11334" spans="1:6" x14ac:dyDescent="0.25">
      <c r="A11334" t="str">
        <f>"570400030738"</f>
        <v>570400030738</v>
      </c>
      <c r="B11334" t="s">
        <v>15790</v>
      </c>
      <c r="C11334" t="s">
        <v>7</v>
      </c>
      <c r="D11334" t="s">
        <v>14</v>
      </c>
      <c r="E11334" t="s">
        <v>15725</v>
      </c>
    </row>
    <row r="11335" spans="1:6" x14ac:dyDescent="0.25">
      <c r="A11335" t="str">
        <f>"570500015807"</f>
        <v>570500015807</v>
      </c>
      <c r="B11335" t="s">
        <v>15791</v>
      </c>
      <c r="C11335" t="s">
        <v>7</v>
      </c>
      <c r="D11335" t="s">
        <v>14</v>
      </c>
      <c r="E11335" t="s">
        <v>15725</v>
      </c>
    </row>
    <row r="11336" spans="1:6" x14ac:dyDescent="0.25">
      <c r="A11336" t="str">
        <f>"571100012803"</f>
        <v>571100012803</v>
      </c>
      <c r="B11336" t="s">
        <v>15792</v>
      </c>
      <c r="C11336" t="s">
        <v>7</v>
      </c>
      <c r="D11336" t="s">
        <v>14</v>
      </c>
      <c r="E11336" t="s">
        <v>15725</v>
      </c>
    </row>
    <row r="11337" spans="1:6" x14ac:dyDescent="0.25">
      <c r="A11337" t="str">
        <f>"571500019070"</f>
        <v>571500019070</v>
      </c>
      <c r="B11337" t="s">
        <v>15793</v>
      </c>
      <c r="C11337" t="s">
        <v>7</v>
      </c>
      <c r="D11337" t="s">
        <v>14</v>
      </c>
      <c r="E11337" t="s">
        <v>15725</v>
      </c>
    </row>
    <row r="11338" spans="1:6" x14ac:dyDescent="0.25">
      <c r="A11338" t="str">
        <f>"571500117504"</f>
        <v>571500117504</v>
      </c>
      <c r="B11338" t="s">
        <v>15794</v>
      </c>
      <c r="C11338" t="s">
        <v>7</v>
      </c>
      <c r="D11338" t="s">
        <v>14</v>
      </c>
      <c r="E11338" t="s">
        <v>15725</v>
      </c>
    </row>
    <row r="11339" spans="1:6" x14ac:dyDescent="0.25">
      <c r="A11339" t="str">
        <f>"5715005655"</f>
        <v>5715005655</v>
      </c>
      <c r="B11339" t="s">
        <v>15795</v>
      </c>
      <c r="C11339" t="s">
        <v>7</v>
      </c>
      <c r="D11339" t="s">
        <v>14</v>
      </c>
      <c r="E11339" t="s">
        <v>15725</v>
      </c>
      <c r="F11339" t="s">
        <v>15796</v>
      </c>
    </row>
    <row r="11340" spans="1:6" x14ac:dyDescent="0.25">
      <c r="A11340" t="str">
        <f>"571502094228"</f>
        <v>571502094228</v>
      </c>
      <c r="B11340" t="s">
        <v>15797</v>
      </c>
      <c r="C11340" t="s">
        <v>7</v>
      </c>
      <c r="D11340" t="s">
        <v>14</v>
      </c>
      <c r="E11340" t="s">
        <v>15725</v>
      </c>
    </row>
    <row r="11341" spans="1:6" x14ac:dyDescent="0.25">
      <c r="A11341" t="str">
        <f>"571600046007"</f>
        <v>571600046007</v>
      </c>
      <c r="B11341" t="s">
        <v>15798</v>
      </c>
      <c r="C11341" t="s">
        <v>7</v>
      </c>
      <c r="D11341" t="s">
        <v>14</v>
      </c>
      <c r="E11341" t="s">
        <v>15725</v>
      </c>
    </row>
    <row r="11342" spans="1:6" x14ac:dyDescent="0.25">
      <c r="A11342" t="str">
        <f>"571601213821"</f>
        <v>571601213821</v>
      </c>
      <c r="B11342" t="s">
        <v>15799</v>
      </c>
      <c r="C11342" t="s">
        <v>7</v>
      </c>
      <c r="D11342" t="s">
        <v>14</v>
      </c>
      <c r="E11342" t="s">
        <v>15725</v>
      </c>
    </row>
    <row r="11343" spans="1:6" x14ac:dyDescent="0.25">
      <c r="A11343" t="str">
        <f>"571702061879"</f>
        <v>571702061879</v>
      </c>
      <c r="B11343" t="s">
        <v>15800</v>
      </c>
      <c r="C11343" t="s">
        <v>7</v>
      </c>
      <c r="D11343" t="s">
        <v>14</v>
      </c>
      <c r="E11343" t="s">
        <v>15725</v>
      </c>
    </row>
    <row r="11344" spans="1:6" x14ac:dyDescent="0.25">
      <c r="A11344" t="str">
        <f>"5720025199"</f>
        <v>5720025199</v>
      </c>
      <c r="B11344" t="s">
        <v>15801</v>
      </c>
      <c r="C11344" t="s">
        <v>7</v>
      </c>
      <c r="D11344" t="s">
        <v>14</v>
      </c>
      <c r="E11344" t="s">
        <v>15725</v>
      </c>
      <c r="F11344" t="s">
        <v>15802</v>
      </c>
    </row>
    <row r="11345" spans="1:6" x14ac:dyDescent="0.25">
      <c r="A11345" t="str">
        <f>"572006453922"</f>
        <v>572006453922</v>
      </c>
      <c r="B11345" t="s">
        <v>15803</v>
      </c>
      <c r="C11345" t="s">
        <v>7</v>
      </c>
      <c r="D11345" t="s">
        <v>12</v>
      </c>
      <c r="E11345" t="s">
        <v>15725</v>
      </c>
    </row>
    <row r="11346" spans="1:6" x14ac:dyDescent="0.25">
      <c r="A11346" t="str">
        <f>"572101897808"</f>
        <v>572101897808</v>
      </c>
      <c r="B11346" t="s">
        <v>15804</v>
      </c>
      <c r="C11346" t="s">
        <v>7</v>
      </c>
      <c r="D11346" t="s">
        <v>14</v>
      </c>
      <c r="E11346" t="s">
        <v>15725</v>
      </c>
    </row>
    <row r="11347" spans="1:6" x14ac:dyDescent="0.25">
      <c r="A11347" t="str">
        <f>"575100750798"</f>
        <v>575100750798</v>
      </c>
      <c r="B11347" t="s">
        <v>15805</v>
      </c>
      <c r="C11347" t="s">
        <v>7</v>
      </c>
      <c r="D11347" t="s">
        <v>12</v>
      </c>
      <c r="E11347" t="s">
        <v>15725</v>
      </c>
    </row>
    <row r="11348" spans="1:6" x14ac:dyDescent="0.25">
      <c r="A11348" t="str">
        <f>"575105029332"</f>
        <v>575105029332</v>
      </c>
      <c r="B11348" t="s">
        <v>15806</v>
      </c>
      <c r="C11348" t="s">
        <v>7</v>
      </c>
      <c r="D11348" t="s">
        <v>14</v>
      </c>
      <c r="E11348" t="s">
        <v>15725</v>
      </c>
    </row>
    <row r="11349" spans="1:6" x14ac:dyDescent="0.25">
      <c r="A11349" t="str">
        <f>"5751066854"</f>
        <v>5751066854</v>
      </c>
      <c r="B11349" t="s">
        <v>15807</v>
      </c>
      <c r="C11349" t="s">
        <v>7</v>
      </c>
      <c r="D11349" t="s">
        <v>33</v>
      </c>
      <c r="E11349" t="s">
        <v>15725</v>
      </c>
      <c r="F11349" t="s">
        <v>15808</v>
      </c>
    </row>
    <row r="11350" spans="1:6" x14ac:dyDescent="0.25">
      <c r="A11350" t="str">
        <f>"575200193702"</f>
        <v>575200193702</v>
      </c>
      <c r="B11350" t="s">
        <v>15809</v>
      </c>
      <c r="C11350" t="s">
        <v>7</v>
      </c>
      <c r="D11350" t="s">
        <v>12</v>
      </c>
      <c r="E11350" t="s">
        <v>15725</v>
      </c>
    </row>
    <row r="11351" spans="1:6" x14ac:dyDescent="0.25">
      <c r="A11351" t="str">
        <f>"5752035190"</f>
        <v>5752035190</v>
      </c>
      <c r="B11351" t="s">
        <v>15810</v>
      </c>
      <c r="C11351" t="s">
        <v>7</v>
      </c>
      <c r="D11351" t="s">
        <v>12</v>
      </c>
      <c r="E11351" t="s">
        <v>15725</v>
      </c>
      <c r="F11351" t="s">
        <v>15811</v>
      </c>
    </row>
    <row r="11352" spans="1:6" x14ac:dyDescent="0.25">
      <c r="A11352" t="str">
        <f>"5752202997"</f>
        <v>5752202997</v>
      </c>
      <c r="B11352" t="s">
        <v>5558</v>
      </c>
      <c r="C11352" t="s">
        <v>7</v>
      </c>
      <c r="D11352" t="s">
        <v>12</v>
      </c>
      <c r="E11352" t="s">
        <v>15725</v>
      </c>
      <c r="F11352" t="s">
        <v>15812</v>
      </c>
    </row>
    <row r="11353" spans="1:6" x14ac:dyDescent="0.25">
      <c r="A11353" t="str">
        <f>"575300072469"</f>
        <v>575300072469</v>
      </c>
      <c r="B11353" t="s">
        <v>15813</v>
      </c>
      <c r="C11353" t="s">
        <v>7</v>
      </c>
      <c r="D11353" t="s">
        <v>14</v>
      </c>
      <c r="E11353" t="s">
        <v>15725</v>
      </c>
    </row>
    <row r="11354" spans="1:6" x14ac:dyDescent="0.25">
      <c r="A11354" t="str">
        <f>"5753048956"</f>
        <v>5753048956</v>
      </c>
      <c r="B11354" t="s">
        <v>15814</v>
      </c>
      <c r="C11354" t="s">
        <v>7</v>
      </c>
      <c r="D11354" t="s">
        <v>12</v>
      </c>
      <c r="E11354" t="s">
        <v>15725</v>
      </c>
      <c r="F11354" t="s">
        <v>15815</v>
      </c>
    </row>
    <row r="11355" spans="1:6" x14ac:dyDescent="0.25">
      <c r="A11355" t="str">
        <f>"575306226500"</f>
        <v>575306226500</v>
      </c>
      <c r="B11355" t="s">
        <v>15816</v>
      </c>
      <c r="C11355" t="s">
        <v>7</v>
      </c>
      <c r="D11355" t="s">
        <v>12</v>
      </c>
      <c r="E11355" t="s">
        <v>15725</v>
      </c>
    </row>
    <row r="11356" spans="1:6" x14ac:dyDescent="0.25">
      <c r="A11356" t="str">
        <f>"5753074667"</f>
        <v>5753074667</v>
      </c>
      <c r="B11356" t="s">
        <v>15817</v>
      </c>
      <c r="C11356" t="s">
        <v>7</v>
      </c>
      <c r="D11356" t="s">
        <v>28</v>
      </c>
      <c r="E11356" t="s">
        <v>15725</v>
      </c>
      <c r="F11356" t="s">
        <v>15818</v>
      </c>
    </row>
    <row r="11357" spans="1:6" x14ac:dyDescent="0.25">
      <c r="A11357" t="str">
        <f>"5753075607"</f>
        <v>5753075607</v>
      </c>
      <c r="B11357" t="s">
        <v>15819</v>
      </c>
      <c r="C11357" t="s">
        <v>7</v>
      </c>
      <c r="D11357" t="s">
        <v>12</v>
      </c>
      <c r="E11357" t="s">
        <v>15725</v>
      </c>
      <c r="F11357" t="s">
        <v>15820</v>
      </c>
    </row>
    <row r="11358" spans="1:6" x14ac:dyDescent="0.25">
      <c r="A11358" t="str">
        <f>"575309659300"</f>
        <v>575309659300</v>
      </c>
      <c r="B11358" t="s">
        <v>15821</v>
      </c>
      <c r="C11358" t="s">
        <v>7</v>
      </c>
      <c r="D11358" t="s">
        <v>12</v>
      </c>
      <c r="E11358" t="s">
        <v>15725</v>
      </c>
    </row>
    <row r="11359" spans="1:6" x14ac:dyDescent="0.25">
      <c r="A11359" t="str">
        <f>"575401716938"</f>
        <v>575401716938</v>
      </c>
      <c r="B11359" t="s">
        <v>15822</v>
      </c>
      <c r="C11359" t="s">
        <v>7</v>
      </c>
      <c r="D11359" t="s">
        <v>14</v>
      </c>
      <c r="E11359" t="s">
        <v>15725</v>
      </c>
    </row>
    <row r="11360" spans="1:6" x14ac:dyDescent="0.25">
      <c r="A11360" t="str">
        <f>"5754026867"</f>
        <v>5754026867</v>
      </c>
      <c r="B11360" t="s">
        <v>15823</v>
      </c>
      <c r="C11360" t="s">
        <v>7</v>
      </c>
      <c r="D11360" t="s">
        <v>33</v>
      </c>
      <c r="E11360" t="s">
        <v>15725</v>
      </c>
      <c r="F11360" t="s">
        <v>15824</v>
      </c>
    </row>
    <row r="11361" spans="1:6" x14ac:dyDescent="0.25">
      <c r="A11361" t="str">
        <f>"575405170456"</f>
        <v>575405170456</v>
      </c>
      <c r="B11361" t="s">
        <v>15825</v>
      </c>
      <c r="C11361" t="s">
        <v>7</v>
      </c>
      <c r="D11361" t="s">
        <v>12</v>
      </c>
      <c r="E11361" t="s">
        <v>15725</v>
      </c>
    </row>
    <row r="11362" spans="1:6" x14ac:dyDescent="0.25">
      <c r="A11362" t="str">
        <f>"5754201195"</f>
        <v>5754201195</v>
      </c>
      <c r="B11362" t="s">
        <v>15826</v>
      </c>
      <c r="C11362" t="s">
        <v>7</v>
      </c>
      <c r="D11362" t="s">
        <v>33</v>
      </c>
      <c r="E11362" t="s">
        <v>15725</v>
      </c>
      <c r="F11362" t="s">
        <v>15827</v>
      </c>
    </row>
    <row r="11363" spans="1:6" x14ac:dyDescent="0.25">
      <c r="A11363" t="str">
        <f>"570202143585"</f>
        <v>570202143585</v>
      </c>
      <c r="B11363" t="s">
        <v>15828</v>
      </c>
      <c r="C11363" t="s">
        <v>7</v>
      </c>
      <c r="D11363" t="s">
        <v>14</v>
      </c>
      <c r="E11363" t="s">
        <v>15725</v>
      </c>
    </row>
    <row r="11364" spans="1:6" x14ac:dyDescent="0.25">
      <c r="A11364" t="str">
        <f>"570205956187"</f>
        <v>570205956187</v>
      </c>
      <c r="B11364" t="s">
        <v>15829</v>
      </c>
      <c r="C11364" t="s">
        <v>7</v>
      </c>
      <c r="D11364" t="s">
        <v>14</v>
      </c>
      <c r="E11364" t="s">
        <v>15725</v>
      </c>
    </row>
    <row r="11365" spans="1:6" x14ac:dyDescent="0.25">
      <c r="A11365" t="str">
        <f>"570300061637"</f>
        <v>570300061637</v>
      </c>
      <c r="B11365" t="s">
        <v>15830</v>
      </c>
      <c r="C11365" t="s">
        <v>7</v>
      </c>
      <c r="D11365" t="s">
        <v>14</v>
      </c>
      <c r="E11365" t="s">
        <v>15725</v>
      </c>
    </row>
    <row r="11366" spans="1:6" x14ac:dyDescent="0.25">
      <c r="A11366" t="str">
        <f>"570302152304"</f>
        <v>570302152304</v>
      </c>
      <c r="B11366" t="s">
        <v>15831</v>
      </c>
      <c r="C11366" t="s">
        <v>7</v>
      </c>
      <c r="D11366" t="s">
        <v>14</v>
      </c>
      <c r="E11366" t="s">
        <v>15725</v>
      </c>
    </row>
    <row r="11367" spans="1:6" x14ac:dyDescent="0.25">
      <c r="A11367" t="str">
        <f>"570304296414"</f>
        <v>570304296414</v>
      </c>
      <c r="B11367" t="s">
        <v>15832</v>
      </c>
      <c r="C11367" t="s">
        <v>7</v>
      </c>
      <c r="D11367" t="s">
        <v>14</v>
      </c>
      <c r="E11367" t="s">
        <v>15725</v>
      </c>
    </row>
    <row r="11368" spans="1:6" x14ac:dyDescent="0.25">
      <c r="A11368" t="str">
        <f>"570304687217"</f>
        <v>570304687217</v>
      </c>
      <c r="B11368" t="s">
        <v>15833</v>
      </c>
      <c r="C11368" t="s">
        <v>7</v>
      </c>
      <c r="D11368" t="s">
        <v>14</v>
      </c>
      <c r="E11368" t="s">
        <v>15725</v>
      </c>
    </row>
    <row r="11369" spans="1:6" x14ac:dyDescent="0.25">
      <c r="A11369" t="str">
        <f>"570502012431"</f>
        <v>570502012431</v>
      </c>
      <c r="B11369" t="s">
        <v>15834</v>
      </c>
      <c r="C11369" t="s">
        <v>7</v>
      </c>
      <c r="D11369" t="s">
        <v>8</v>
      </c>
      <c r="E11369" t="s">
        <v>15725</v>
      </c>
    </row>
    <row r="11370" spans="1:6" x14ac:dyDescent="0.25">
      <c r="A11370" t="str">
        <f>"5709004759"</f>
        <v>5709004759</v>
      </c>
      <c r="B11370" t="s">
        <v>2567</v>
      </c>
      <c r="C11370" t="s">
        <v>7</v>
      </c>
      <c r="D11370" t="s">
        <v>14</v>
      </c>
      <c r="E11370" t="s">
        <v>15725</v>
      </c>
      <c r="F11370" t="s">
        <v>15835</v>
      </c>
    </row>
    <row r="11371" spans="1:6" x14ac:dyDescent="0.25">
      <c r="A11371" t="str">
        <f>"571400013519"</f>
        <v>571400013519</v>
      </c>
      <c r="B11371" t="s">
        <v>15836</v>
      </c>
      <c r="C11371" t="s">
        <v>7</v>
      </c>
      <c r="D11371" t="s">
        <v>14</v>
      </c>
      <c r="E11371" t="s">
        <v>15725</v>
      </c>
    </row>
    <row r="11372" spans="1:6" x14ac:dyDescent="0.25">
      <c r="A11372" t="str">
        <f>"571500002694"</f>
        <v>571500002694</v>
      </c>
      <c r="B11372" t="s">
        <v>15837</v>
      </c>
      <c r="C11372" t="s">
        <v>7</v>
      </c>
      <c r="D11372" t="s">
        <v>14</v>
      </c>
      <c r="E11372" t="s">
        <v>15725</v>
      </c>
    </row>
    <row r="11373" spans="1:6" x14ac:dyDescent="0.25">
      <c r="A11373" t="str">
        <f>"571500027635"</f>
        <v>571500027635</v>
      </c>
      <c r="B11373" t="s">
        <v>15838</v>
      </c>
      <c r="C11373" t="s">
        <v>7</v>
      </c>
      <c r="D11373" t="s">
        <v>14</v>
      </c>
      <c r="E11373" t="s">
        <v>15725</v>
      </c>
    </row>
    <row r="11374" spans="1:6" x14ac:dyDescent="0.25">
      <c r="A11374" t="str">
        <f>"571502079798"</f>
        <v>571502079798</v>
      </c>
      <c r="B11374" t="s">
        <v>15839</v>
      </c>
      <c r="C11374" t="s">
        <v>7</v>
      </c>
      <c r="D11374" t="s">
        <v>14</v>
      </c>
      <c r="E11374" t="s">
        <v>15725</v>
      </c>
    </row>
    <row r="11375" spans="1:6" x14ac:dyDescent="0.25">
      <c r="A11375" t="str">
        <f>"571503121700"</f>
        <v>571503121700</v>
      </c>
      <c r="B11375" t="s">
        <v>15840</v>
      </c>
      <c r="C11375" t="s">
        <v>7</v>
      </c>
      <c r="D11375" t="s">
        <v>14</v>
      </c>
      <c r="E11375" t="s">
        <v>15725</v>
      </c>
    </row>
    <row r="11376" spans="1:6" x14ac:dyDescent="0.25">
      <c r="A11376" t="str">
        <f>"5717000275"</f>
        <v>5717000275</v>
      </c>
      <c r="B11376" t="s">
        <v>15841</v>
      </c>
      <c r="C11376" t="s">
        <v>7</v>
      </c>
      <c r="D11376" t="s">
        <v>14</v>
      </c>
      <c r="E11376" t="s">
        <v>15725</v>
      </c>
      <c r="F11376" t="s">
        <v>15842</v>
      </c>
    </row>
    <row r="11377" spans="1:6" x14ac:dyDescent="0.25">
      <c r="A11377" t="str">
        <f>"571800780617"</f>
        <v>571800780617</v>
      </c>
      <c r="B11377" t="s">
        <v>15843</v>
      </c>
      <c r="C11377" t="s">
        <v>7</v>
      </c>
      <c r="D11377" t="s">
        <v>14</v>
      </c>
      <c r="E11377" t="s">
        <v>15725</v>
      </c>
    </row>
    <row r="11378" spans="1:6" x14ac:dyDescent="0.25">
      <c r="A11378" t="str">
        <f>"571800799329"</f>
        <v>571800799329</v>
      </c>
      <c r="B11378" t="s">
        <v>15844</v>
      </c>
      <c r="C11378" t="s">
        <v>7</v>
      </c>
      <c r="D11378" t="s">
        <v>14</v>
      </c>
      <c r="E11378" t="s">
        <v>15725</v>
      </c>
    </row>
    <row r="11379" spans="1:6" x14ac:dyDescent="0.25">
      <c r="A11379" t="str">
        <f>"572005750577"</f>
        <v>572005750577</v>
      </c>
      <c r="B11379" t="s">
        <v>15845</v>
      </c>
      <c r="C11379" t="s">
        <v>7</v>
      </c>
      <c r="D11379" t="s">
        <v>14</v>
      </c>
      <c r="E11379" t="s">
        <v>15725</v>
      </c>
    </row>
    <row r="11380" spans="1:6" x14ac:dyDescent="0.25">
      <c r="A11380" t="str">
        <f>"572005937790"</f>
        <v>572005937790</v>
      </c>
      <c r="B11380" t="s">
        <v>15846</v>
      </c>
      <c r="C11380" t="s">
        <v>7</v>
      </c>
      <c r="D11380" t="s">
        <v>14</v>
      </c>
      <c r="E11380" t="s">
        <v>15725</v>
      </c>
    </row>
    <row r="11381" spans="1:6" x14ac:dyDescent="0.25">
      <c r="A11381" t="str">
        <f>"572006664271"</f>
        <v>572006664271</v>
      </c>
      <c r="B11381" t="s">
        <v>15847</v>
      </c>
      <c r="C11381" t="s">
        <v>7</v>
      </c>
      <c r="D11381" t="s">
        <v>14</v>
      </c>
      <c r="E11381" t="s">
        <v>15725</v>
      </c>
    </row>
    <row r="11382" spans="1:6" x14ac:dyDescent="0.25">
      <c r="A11382" t="str">
        <f>"572201052755"</f>
        <v>572201052755</v>
      </c>
      <c r="B11382" t="s">
        <v>15848</v>
      </c>
      <c r="C11382" t="s">
        <v>7</v>
      </c>
      <c r="D11382" t="s">
        <v>14</v>
      </c>
      <c r="E11382" t="s">
        <v>15725</v>
      </c>
    </row>
    <row r="11383" spans="1:6" x14ac:dyDescent="0.25">
      <c r="A11383" t="str">
        <f>"572501567995"</f>
        <v>572501567995</v>
      </c>
      <c r="B11383" t="s">
        <v>15849</v>
      </c>
      <c r="C11383" t="s">
        <v>7</v>
      </c>
      <c r="D11383" t="s">
        <v>14</v>
      </c>
      <c r="E11383" t="s">
        <v>15725</v>
      </c>
    </row>
    <row r="11384" spans="1:6" x14ac:dyDescent="0.25">
      <c r="A11384" t="str">
        <f>"572600496696"</f>
        <v>572600496696</v>
      </c>
      <c r="B11384" t="s">
        <v>15850</v>
      </c>
      <c r="C11384" t="s">
        <v>7</v>
      </c>
      <c r="D11384" t="s">
        <v>14</v>
      </c>
      <c r="E11384" t="s">
        <v>15725</v>
      </c>
    </row>
    <row r="11385" spans="1:6" x14ac:dyDescent="0.25">
      <c r="A11385" t="str">
        <f>"575100746537"</f>
        <v>575100746537</v>
      </c>
      <c r="B11385" t="s">
        <v>15851</v>
      </c>
      <c r="C11385" t="s">
        <v>7</v>
      </c>
      <c r="D11385" t="s">
        <v>12</v>
      </c>
      <c r="E11385" t="s">
        <v>15725</v>
      </c>
    </row>
    <row r="11386" spans="1:6" x14ac:dyDescent="0.25">
      <c r="A11386" t="str">
        <f>"575102064836"</f>
        <v>575102064836</v>
      </c>
      <c r="B11386" t="s">
        <v>15852</v>
      </c>
      <c r="C11386" t="s">
        <v>7</v>
      </c>
      <c r="D11386" t="s">
        <v>14</v>
      </c>
      <c r="E11386" t="s">
        <v>15725</v>
      </c>
    </row>
    <row r="11387" spans="1:6" x14ac:dyDescent="0.25">
      <c r="A11387" t="str">
        <f>"575102677430"</f>
        <v>575102677430</v>
      </c>
      <c r="B11387" t="s">
        <v>15853</v>
      </c>
      <c r="C11387" t="s">
        <v>7</v>
      </c>
      <c r="D11387" t="s">
        <v>14</v>
      </c>
      <c r="E11387" t="s">
        <v>15725</v>
      </c>
    </row>
    <row r="11388" spans="1:6" x14ac:dyDescent="0.25">
      <c r="A11388" t="str">
        <f>"5751035616"</f>
        <v>5751035616</v>
      </c>
      <c r="B11388" t="s">
        <v>15854</v>
      </c>
      <c r="C11388" t="s">
        <v>7</v>
      </c>
      <c r="D11388" t="s">
        <v>14</v>
      </c>
      <c r="E11388" t="s">
        <v>15725</v>
      </c>
      <c r="F11388" t="s">
        <v>15855</v>
      </c>
    </row>
    <row r="11389" spans="1:6" x14ac:dyDescent="0.25">
      <c r="A11389" t="str">
        <f>"5751064247"</f>
        <v>5751064247</v>
      </c>
      <c r="B11389" t="s">
        <v>15856</v>
      </c>
      <c r="C11389" t="s">
        <v>7</v>
      </c>
      <c r="D11389" t="s">
        <v>12</v>
      </c>
      <c r="E11389" t="s">
        <v>15725</v>
      </c>
      <c r="F11389" t="s">
        <v>15857</v>
      </c>
    </row>
    <row r="11390" spans="1:6" x14ac:dyDescent="0.25">
      <c r="A11390" t="str">
        <f>"575200400821"</f>
        <v>575200400821</v>
      </c>
      <c r="B11390" t="s">
        <v>15858</v>
      </c>
      <c r="C11390" t="s">
        <v>7</v>
      </c>
      <c r="D11390" t="s">
        <v>12</v>
      </c>
      <c r="E11390" t="s">
        <v>15725</v>
      </c>
    </row>
    <row r="11391" spans="1:6" x14ac:dyDescent="0.25">
      <c r="A11391" t="str">
        <f>"575202564448"</f>
        <v>575202564448</v>
      </c>
      <c r="B11391" t="s">
        <v>15859</v>
      </c>
      <c r="C11391" t="s">
        <v>7</v>
      </c>
      <c r="D11391" t="s">
        <v>12</v>
      </c>
      <c r="E11391" t="s">
        <v>15725</v>
      </c>
    </row>
    <row r="11392" spans="1:6" x14ac:dyDescent="0.25">
      <c r="A11392" t="str">
        <f>"5752028731"</f>
        <v>5752028731</v>
      </c>
      <c r="B11392" t="s">
        <v>15860</v>
      </c>
      <c r="C11392" t="s">
        <v>7</v>
      </c>
      <c r="D11392" t="s">
        <v>14</v>
      </c>
      <c r="E11392" t="s">
        <v>15725</v>
      </c>
      <c r="F11392" t="s">
        <v>15861</v>
      </c>
    </row>
    <row r="11393" spans="1:6" x14ac:dyDescent="0.25">
      <c r="A11393" t="str">
        <f>"5752073678"</f>
        <v>5752073678</v>
      </c>
      <c r="B11393" t="s">
        <v>15862</v>
      </c>
      <c r="C11393" t="s">
        <v>7</v>
      </c>
      <c r="D11393" t="s">
        <v>14</v>
      </c>
      <c r="E11393" t="s">
        <v>15725</v>
      </c>
      <c r="F11393" t="s">
        <v>15863</v>
      </c>
    </row>
    <row r="11394" spans="1:6" x14ac:dyDescent="0.25">
      <c r="A11394" t="str">
        <f>"575207704667"</f>
        <v>575207704667</v>
      </c>
      <c r="B11394" t="s">
        <v>15864</v>
      </c>
      <c r="C11394" t="s">
        <v>7</v>
      </c>
      <c r="D11394" t="s">
        <v>14</v>
      </c>
      <c r="E11394" t="s">
        <v>15725</v>
      </c>
    </row>
    <row r="11395" spans="1:6" x14ac:dyDescent="0.25">
      <c r="A11395" t="str">
        <f>"575208643939"</f>
        <v>575208643939</v>
      </c>
      <c r="B11395" t="s">
        <v>15865</v>
      </c>
      <c r="C11395" t="s">
        <v>7</v>
      </c>
      <c r="D11395" t="s">
        <v>14</v>
      </c>
      <c r="E11395" t="s">
        <v>15725</v>
      </c>
    </row>
    <row r="11396" spans="1:6" x14ac:dyDescent="0.25">
      <c r="A11396" t="str">
        <f>"575300208180"</f>
        <v>575300208180</v>
      </c>
      <c r="B11396" t="s">
        <v>15866</v>
      </c>
      <c r="C11396" t="s">
        <v>7</v>
      </c>
      <c r="D11396" t="s">
        <v>14</v>
      </c>
      <c r="E11396" t="s">
        <v>15725</v>
      </c>
    </row>
    <row r="11397" spans="1:6" x14ac:dyDescent="0.25">
      <c r="A11397" t="str">
        <f>"575300514460"</f>
        <v>575300514460</v>
      </c>
      <c r="B11397" t="s">
        <v>15867</v>
      </c>
      <c r="C11397" t="s">
        <v>7</v>
      </c>
      <c r="D11397" t="s">
        <v>12</v>
      </c>
      <c r="E11397" t="s">
        <v>15725</v>
      </c>
    </row>
    <row r="11398" spans="1:6" x14ac:dyDescent="0.25">
      <c r="A11398" t="str">
        <f>"575303422200"</f>
        <v>575303422200</v>
      </c>
      <c r="B11398" t="s">
        <v>15868</v>
      </c>
      <c r="C11398" t="s">
        <v>7</v>
      </c>
      <c r="D11398" t="s">
        <v>14</v>
      </c>
      <c r="E11398" t="s">
        <v>15725</v>
      </c>
    </row>
    <row r="11399" spans="1:6" x14ac:dyDescent="0.25">
      <c r="A11399" t="str">
        <f>"5753064154"</f>
        <v>5753064154</v>
      </c>
      <c r="B11399" t="s">
        <v>15869</v>
      </c>
      <c r="C11399" t="s">
        <v>7</v>
      </c>
      <c r="D11399" t="s">
        <v>14</v>
      </c>
      <c r="E11399" t="s">
        <v>15725</v>
      </c>
      <c r="F11399" t="s">
        <v>15870</v>
      </c>
    </row>
    <row r="11400" spans="1:6" x14ac:dyDescent="0.25">
      <c r="A11400" t="str">
        <f>"5753067684"</f>
        <v>5753067684</v>
      </c>
      <c r="B11400" t="s">
        <v>15871</v>
      </c>
      <c r="C11400" t="s">
        <v>7</v>
      </c>
      <c r="D11400" t="s">
        <v>33</v>
      </c>
      <c r="E11400" t="s">
        <v>15725</v>
      </c>
      <c r="F11400" t="s">
        <v>15872</v>
      </c>
    </row>
    <row r="11401" spans="1:6" x14ac:dyDescent="0.25">
      <c r="A11401" t="str">
        <f>"575307790349"</f>
        <v>575307790349</v>
      </c>
      <c r="B11401" t="s">
        <v>15873</v>
      </c>
      <c r="C11401" t="s">
        <v>7</v>
      </c>
      <c r="D11401" t="s">
        <v>33</v>
      </c>
      <c r="E11401" t="s">
        <v>15725</v>
      </c>
    </row>
    <row r="11402" spans="1:6" x14ac:dyDescent="0.25">
      <c r="A11402" t="str">
        <f>"575308005111"</f>
        <v>575308005111</v>
      </c>
      <c r="B11402" t="s">
        <v>15874</v>
      </c>
      <c r="C11402" t="s">
        <v>7</v>
      </c>
      <c r="D11402" t="s">
        <v>14</v>
      </c>
      <c r="E11402" t="s">
        <v>15725</v>
      </c>
    </row>
    <row r="11403" spans="1:6" x14ac:dyDescent="0.25">
      <c r="A11403" t="str">
        <f>"575402375529"</f>
        <v>575402375529</v>
      </c>
      <c r="B11403" t="s">
        <v>15875</v>
      </c>
      <c r="C11403" t="s">
        <v>7</v>
      </c>
      <c r="D11403" t="s">
        <v>14</v>
      </c>
      <c r="E11403" t="s">
        <v>15725</v>
      </c>
    </row>
    <row r="11404" spans="1:6" x14ac:dyDescent="0.25">
      <c r="A11404" t="str">
        <f>"141403741442"</f>
        <v>141403741442</v>
      </c>
      <c r="B11404" t="s">
        <v>15876</v>
      </c>
      <c r="C11404" t="s">
        <v>7</v>
      </c>
      <c r="D11404" t="s">
        <v>33</v>
      </c>
      <c r="E11404" t="s">
        <v>15725</v>
      </c>
    </row>
    <row r="11405" spans="1:6" x14ac:dyDescent="0.25">
      <c r="A11405" t="str">
        <f>"5800010078"</f>
        <v>5800010078</v>
      </c>
      <c r="B11405" t="s">
        <v>15877</v>
      </c>
      <c r="C11405" t="s">
        <v>7</v>
      </c>
      <c r="D11405" t="s">
        <v>14</v>
      </c>
      <c r="E11405" t="s">
        <v>15878</v>
      </c>
      <c r="F11405" t="s">
        <v>15879</v>
      </c>
    </row>
    <row r="11406" spans="1:6" x14ac:dyDescent="0.25">
      <c r="A11406" t="str">
        <f>"580502509195"</f>
        <v>580502509195</v>
      </c>
      <c r="B11406" t="s">
        <v>15880</v>
      </c>
      <c r="C11406" t="s">
        <v>7</v>
      </c>
      <c r="D11406" t="s">
        <v>14</v>
      </c>
      <c r="E11406" t="s">
        <v>15878</v>
      </c>
    </row>
    <row r="11407" spans="1:6" x14ac:dyDescent="0.25">
      <c r="A11407" t="str">
        <f>"581301795244"</f>
        <v>581301795244</v>
      </c>
      <c r="B11407" t="s">
        <v>15881</v>
      </c>
      <c r="C11407" t="s">
        <v>7</v>
      </c>
      <c r="D11407" t="s">
        <v>12</v>
      </c>
      <c r="E11407" t="s">
        <v>15878</v>
      </c>
    </row>
    <row r="11408" spans="1:6" x14ac:dyDescent="0.25">
      <c r="A11408" t="str">
        <f>"582101343034"</f>
        <v>582101343034</v>
      </c>
      <c r="B11408" t="s">
        <v>15882</v>
      </c>
      <c r="C11408" t="s">
        <v>7</v>
      </c>
      <c r="D11408" t="s">
        <v>14</v>
      </c>
      <c r="E11408" t="s">
        <v>15878</v>
      </c>
    </row>
    <row r="11409" spans="1:6" x14ac:dyDescent="0.25">
      <c r="A11409" t="str">
        <f>"5835071949"</f>
        <v>5835071949</v>
      </c>
      <c r="B11409" t="s">
        <v>15883</v>
      </c>
      <c r="C11409" t="s">
        <v>7</v>
      </c>
      <c r="D11409" t="s">
        <v>12</v>
      </c>
      <c r="E11409" t="s">
        <v>15878</v>
      </c>
      <c r="F11409" t="s">
        <v>15884</v>
      </c>
    </row>
    <row r="11410" spans="1:6" x14ac:dyDescent="0.25">
      <c r="A11410" t="str">
        <f>"583510447727"</f>
        <v>583510447727</v>
      </c>
      <c r="B11410" t="s">
        <v>15885</v>
      </c>
      <c r="C11410" t="s">
        <v>7</v>
      </c>
      <c r="D11410" t="s">
        <v>12</v>
      </c>
      <c r="E11410" t="s">
        <v>15878</v>
      </c>
    </row>
    <row r="11411" spans="1:6" x14ac:dyDescent="0.25">
      <c r="A11411" t="str">
        <f>"5835112338"</f>
        <v>5835112338</v>
      </c>
      <c r="B11411" t="s">
        <v>15886</v>
      </c>
      <c r="C11411" t="s">
        <v>7</v>
      </c>
      <c r="D11411" t="s">
        <v>14</v>
      </c>
      <c r="E11411" t="s">
        <v>15878</v>
      </c>
      <c r="F11411" t="s">
        <v>15887</v>
      </c>
    </row>
    <row r="11412" spans="1:6" x14ac:dyDescent="0.25">
      <c r="A11412" t="str">
        <f>"583513963261"</f>
        <v>583513963261</v>
      </c>
      <c r="B11412" t="s">
        <v>15888</v>
      </c>
      <c r="C11412" t="s">
        <v>7</v>
      </c>
      <c r="D11412" t="s">
        <v>12</v>
      </c>
      <c r="E11412" t="s">
        <v>15878</v>
      </c>
    </row>
    <row r="11413" spans="1:6" x14ac:dyDescent="0.25">
      <c r="A11413" t="str">
        <f>"5835142942"</f>
        <v>5835142942</v>
      </c>
      <c r="B11413" t="s">
        <v>265</v>
      </c>
      <c r="C11413" t="s">
        <v>7</v>
      </c>
      <c r="D11413" t="s">
        <v>33</v>
      </c>
      <c r="E11413" t="s">
        <v>15878</v>
      </c>
      <c r="F11413" t="s">
        <v>15889</v>
      </c>
    </row>
    <row r="11414" spans="1:6" x14ac:dyDescent="0.25">
      <c r="A11414" t="str">
        <f>"583600686286"</f>
        <v>583600686286</v>
      </c>
      <c r="B11414" t="s">
        <v>15890</v>
      </c>
      <c r="C11414" t="s">
        <v>7</v>
      </c>
      <c r="D11414" t="s">
        <v>14</v>
      </c>
      <c r="E11414" t="s">
        <v>15878</v>
      </c>
    </row>
    <row r="11415" spans="1:6" x14ac:dyDescent="0.25">
      <c r="A11415" t="str">
        <f>"583605766464"</f>
        <v>583605766464</v>
      </c>
      <c r="B11415" t="s">
        <v>15891</v>
      </c>
      <c r="C11415" t="s">
        <v>7</v>
      </c>
      <c r="D11415" t="s">
        <v>14</v>
      </c>
      <c r="E11415" t="s">
        <v>15878</v>
      </c>
    </row>
    <row r="11416" spans="1:6" x14ac:dyDescent="0.25">
      <c r="A11416" t="str">
        <f>"5837054152"</f>
        <v>5837054152</v>
      </c>
      <c r="B11416" t="s">
        <v>15892</v>
      </c>
      <c r="C11416" t="s">
        <v>7</v>
      </c>
      <c r="D11416" t="s">
        <v>14</v>
      </c>
      <c r="E11416" t="s">
        <v>15878</v>
      </c>
      <c r="F11416" t="s">
        <v>15893</v>
      </c>
    </row>
    <row r="11417" spans="1:6" x14ac:dyDescent="0.25">
      <c r="A11417" t="str">
        <f>"5837072507"</f>
        <v>5837072507</v>
      </c>
      <c r="B11417" t="s">
        <v>15894</v>
      </c>
      <c r="C11417" t="s">
        <v>7</v>
      </c>
      <c r="D11417" t="s">
        <v>14</v>
      </c>
      <c r="E11417" t="s">
        <v>15878</v>
      </c>
      <c r="F11417" t="s">
        <v>15895</v>
      </c>
    </row>
    <row r="11418" spans="1:6" x14ac:dyDescent="0.25">
      <c r="A11418" t="str">
        <f>"5800000016"</f>
        <v>5800000016</v>
      </c>
      <c r="B11418" t="s">
        <v>15896</v>
      </c>
      <c r="C11418" t="s">
        <v>7</v>
      </c>
      <c r="D11418" t="s">
        <v>14</v>
      </c>
      <c r="E11418" t="s">
        <v>15878</v>
      </c>
      <c r="F11418" t="s">
        <v>15897</v>
      </c>
    </row>
    <row r="11419" spans="1:6" x14ac:dyDescent="0.25">
      <c r="A11419" t="str">
        <f>"580200226803"</f>
        <v>580200226803</v>
      </c>
      <c r="B11419" t="s">
        <v>15898</v>
      </c>
      <c r="C11419" t="s">
        <v>7</v>
      </c>
      <c r="D11419" t="s">
        <v>14</v>
      </c>
      <c r="E11419" t="s">
        <v>15878</v>
      </c>
    </row>
    <row r="11420" spans="1:6" x14ac:dyDescent="0.25">
      <c r="A11420" t="str">
        <f>"580301980975"</f>
        <v>580301980975</v>
      </c>
      <c r="B11420" t="s">
        <v>15899</v>
      </c>
      <c r="C11420" t="s">
        <v>7</v>
      </c>
      <c r="D11420" t="s">
        <v>14</v>
      </c>
      <c r="E11420" t="s">
        <v>15878</v>
      </c>
    </row>
    <row r="11421" spans="1:6" x14ac:dyDescent="0.25">
      <c r="A11421" t="str">
        <f>"5803030467"</f>
        <v>5803030467</v>
      </c>
      <c r="B11421" t="s">
        <v>10463</v>
      </c>
      <c r="C11421" t="s">
        <v>7</v>
      </c>
      <c r="D11421" t="s">
        <v>14</v>
      </c>
      <c r="E11421" t="s">
        <v>15878</v>
      </c>
      <c r="F11421" t="s">
        <v>15900</v>
      </c>
    </row>
    <row r="11422" spans="1:6" x14ac:dyDescent="0.25">
      <c r="A11422" t="str">
        <f>"580304382211"</f>
        <v>580304382211</v>
      </c>
      <c r="B11422" t="s">
        <v>15901</v>
      </c>
      <c r="C11422" t="s">
        <v>7</v>
      </c>
      <c r="D11422" t="s">
        <v>14</v>
      </c>
      <c r="E11422" t="s">
        <v>15878</v>
      </c>
    </row>
    <row r="11423" spans="1:6" x14ac:dyDescent="0.25">
      <c r="A11423" t="str">
        <f>"580304414181"</f>
        <v>580304414181</v>
      </c>
      <c r="B11423" t="s">
        <v>15902</v>
      </c>
      <c r="C11423" t="s">
        <v>7</v>
      </c>
      <c r="D11423" t="s">
        <v>14</v>
      </c>
      <c r="E11423" t="s">
        <v>15878</v>
      </c>
    </row>
    <row r="11424" spans="1:6" x14ac:dyDescent="0.25">
      <c r="A11424" t="str">
        <f>"5809004061"</f>
        <v>5809004061</v>
      </c>
      <c r="B11424" t="s">
        <v>15903</v>
      </c>
      <c r="C11424" t="s">
        <v>7</v>
      </c>
      <c r="D11424" t="s">
        <v>14</v>
      </c>
      <c r="E11424" t="s">
        <v>15878</v>
      </c>
      <c r="F11424" t="s">
        <v>15904</v>
      </c>
    </row>
    <row r="11425" spans="1:6" x14ac:dyDescent="0.25">
      <c r="A11425" t="str">
        <f>"5800003708"</f>
        <v>5800003708</v>
      </c>
      <c r="B11425" t="s">
        <v>15905</v>
      </c>
      <c r="C11425" t="s">
        <v>7</v>
      </c>
      <c r="D11425" t="s">
        <v>12</v>
      </c>
      <c r="E11425" t="s">
        <v>15878</v>
      </c>
      <c r="F11425" t="s">
        <v>15906</v>
      </c>
    </row>
    <row r="11426" spans="1:6" x14ac:dyDescent="0.25">
      <c r="A11426" t="str">
        <f>"5800007879"</f>
        <v>5800007879</v>
      </c>
      <c r="B11426" t="s">
        <v>15907</v>
      </c>
      <c r="C11426" t="s">
        <v>7</v>
      </c>
      <c r="D11426" t="s">
        <v>33</v>
      </c>
      <c r="E11426" t="s">
        <v>15878</v>
      </c>
      <c r="F11426" t="s">
        <v>15908</v>
      </c>
    </row>
    <row r="11427" spans="1:6" x14ac:dyDescent="0.25">
      <c r="A11427" t="str">
        <f>"5800008576"</f>
        <v>5800008576</v>
      </c>
      <c r="B11427" t="s">
        <v>1904</v>
      </c>
      <c r="C11427" t="s">
        <v>7</v>
      </c>
      <c r="D11427" t="s">
        <v>14</v>
      </c>
      <c r="E11427" t="s">
        <v>15878</v>
      </c>
      <c r="F11427" t="s">
        <v>15909</v>
      </c>
    </row>
    <row r="11428" spans="1:6" x14ac:dyDescent="0.25">
      <c r="A11428" t="str">
        <f>"5802010080"</f>
        <v>5802010080</v>
      </c>
      <c r="B11428" t="s">
        <v>15910</v>
      </c>
      <c r="C11428" t="s">
        <v>7</v>
      </c>
      <c r="D11428" t="s">
        <v>12</v>
      </c>
      <c r="E11428" t="s">
        <v>15878</v>
      </c>
      <c r="F11428" t="s">
        <v>15911</v>
      </c>
    </row>
    <row r="11429" spans="1:6" x14ac:dyDescent="0.25">
      <c r="A11429" t="str">
        <f>"580202635400"</f>
        <v>580202635400</v>
      </c>
      <c r="B11429" t="s">
        <v>15912</v>
      </c>
      <c r="C11429" t="s">
        <v>7</v>
      </c>
      <c r="D11429" t="s">
        <v>14</v>
      </c>
      <c r="E11429" t="s">
        <v>15878</v>
      </c>
    </row>
    <row r="11430" spans="1:6" x14ac:dyDescent="0.25">
      <c r="A11430" t="str">
        <f>"580300469479"</f>
        <v>580300469479</v>
      </c>
      <c r="B11430" t="s">
        <v>15913</v>
      </c>
      <c r="C11430" t="s">
        <v>7</v>
      </c>
      <c r="D11430" t="s">
        <v>12</v>
      </c>
      <c r="E11430" t="s">
        <v>15878</v>
      </c>
    </row>
    <row r="11431" spans="1:6" x14ac:dyDescent="0.25">
      <c r="A11431" t="str">
        <f>"580300486308"</f>
        <v>580300486308</v>
      </c>
      <c r="B11431" t="s">
        <v>15914</v>
      </c>
      <c r="C11431" t="s">
        <v>7</v>
      </c>
      <c r="D11431" t="s">
        <v>14</v>
      </c>
      <c r="E11431" t="s">
        <v>15878</v>
      </c>
    </row>
    <row r="11432" spans="1:6" x14ac:dyDescent="0.25">
      <c r="A11432" t="str">
        <f>"580316344443"</f>
        <v>580316344443</v>
      </c>
      <c r="B11432" t="s">
        <v>15915</v>
      </c>
      <c r="C11432" t="s">
        <v>7</v>
      </c>
      <c r="D11432" t="s">
        <v>14</v>
      </c>
      <c r="E11432" t="s">
        <v>15878</v>
      </c>
    </row>
    <row r="11433" spans="1:6" x14ac:dyDescent="0.25">
      <c r="A11433" t="str">
        <f>"580500188740"</f>
        <v>580500188740</v>
      </c>
      <c r="B11433" t="s">
        <v>15916</v>
      </c>
      <c r="C11433" t="s">
        <v>7</v>
      </c>
      <c r="D11433" t="s">
        <v>12</v>
      </c>
      <c r="E11433" t="s">
        <v>15878</v>
      </c>
    </row>
    <row r="11434" spans="1:6" x14ac:dyDescent="0.25">
      <c r="A11434" t="str">
        <f>"580507264439"</f>
        <v>580507264439</v>
      </c>
      <c r="B11434" t="s">
        <v>15917</v>
      </c>
      <c r="C11434" t="s">
        <v>7</v>
      </c>
      <c r="D11434" t="s">
        <v>14</v>
      </c>
      <c r="E11434" t="s">
        <v>15878</v>
      </c>
    </row>
    <row r="11435" spans="1:6" x14ac:dyDescent="0.25">
      <c r="A11435" t="str">
        <f>"5800001468"</f>
        <v>5800001468</v>
      </c>
      <c r="B11435" t="s">
        <v>15918</v>
      </c>
      <c r="C11435" t="s">
        <v>7</v>
      </c>
      <c r="D11435" t="s">
        <v>14</v>
      </c>
      <c r="E11435" t="s">
        <v>15878</v>
      </c>
      <c r="F11435" t="s">
        <v>15919</v>
      </c>
    </row>
    <row r="11436" spans="1:6" x14ac:dyDescent="0.25">
      <c r="A11436" t="str">
        <f>"5800002990"</f>
        <v>5800002990</v>
      </c>
      <c r="B11436" t="s">
        <v>15920</v>
      </c>
      <c r="C11436" t="s">
        <v>7</v>
      </c>
      <c r="D11436" t="s">
        <v>33</v>
      </c>
      <c r="E11436" t="s">
        <v>15878</v>
      </c>
      <c r="F11436" t="s">
        <v>15921</v>
      </c>
    </row>
    <row r="11437" spans="1:6" x14ac:dyDescent="0.25">
      <c r="A11437" t="str">
        <f>"5800014594"</f>
        <v>5800014594</v>
      </c>
      <c r="B11437" t="s">
        <v>15922</v>
      </c>
      <c r="C11437" t="s">
        <v>7</v>
      </c>
      <c r="D11437" t="s">
        <v>33</v>
      </c>
      <c r="E11437" t="s">
        <v>15878</v>
      </c>
      <c r="F11437" t="s">
        <v>15923</v>
      </c>
    </row>
    <row r="11438" spans="1:6" x14ac:dyDescent="0.25">
      <c r="A11438" t="str">
        <f>"580200268391"</f>
        <v>580200268391</v>
      </c>
      <c r="B11438" t="s">
        <v>15924</v>
      </c>
      <c r="C11438" t="s">
        <v>7</v>
      </c>
      <c r="D11438" t="s">
        <v>14</v>
      </c>
      <c r="E11438" t="s">
        <v>15878</v>
      </c>
    </row>
    <row r="11439" spans="1:6" x14ac:dyDescent="0.25">
      <c r="A11439" t="str">
        <f>"580203497664"</f>
        <v>580203497664</v>
      </c>
      <c r="B11439" t="s">
        <v>15925</v>
      </c>
      <c r="C11439" t="s">
        <v>7</v>
      </c>
      <c r="D11439" t="s">
        <v>12</v>
      </c>
      <c r="E11439" t="s">
        <v>15878</v>
      </c>
    </row>
    <row r="11440" spans="1:6" x14ac:dyDescent="0.25">
      <c r="A11440" t="str">
        <f>"580204646887"</f>
        <v>580204646887</v>
      </c>
      <c r="B11440" t="s">
        <v>15926</v>
      </c>
      <c r="C11440" t="s">
        <v>7</v>
      </c>
      <c r="D11440" t="s">
        <v>14</v>
      </c>
      <c r="E11440" t="s">
        <v>15878</v>
      </c>
    </row>
    <row r="11441" spans="1:6" x14ac:dyDescent="0.25">
      <c r="A11441" t="str">
        <f>"580300976060"</f>
        <v>580300976060</v>
      </c>
      <c r="B11441" t="s">
        <v>15927</v>
      </c>
      <c r="C11441" t="s">
        <v>7</v>
      </c>
      <c r="D11441" t="s">
        <v>14</v>
      </c>
      <c r="E11441" t="s">
        <v>15878</v>
      </c>
    </row>
    <row r="11442" spans="1:6" x14ac:dyDescent="0.25">
      <c r="A11442" t="str">
        <f>"580305411480"</f>
        <v>580305411480</v>
      </c>
      <c r="B11442" t="s">
        <v>15928</v>
      </c>
      <c r="C11442" t="s">
        <v>7</v>
      </c>
      <c r="D11442" t="s">
        <v>14</v>
      </c>
      <c r="E11442" t="s">
        <v>15878</v>
      </c>
    </row>
    <row r="11443" spans="1:6" x14ac:dyDescent="0.25">
      <c r="A11443" t="str">
        <f>"580504138281"</f>
        <v>580504138281</v>
      </c>
      <c r="B11443" t="s">
        <v>15929</v>
      </c>
      <c r="C11443" t="s">
        <v>7</v>
      </c>
      <c r="D11443" t="s">
        <v>14</v>
      </c>
      <c r="E11443" t="s">
        <v>15878</v>
      </c>
    </row>
    <row r="11444" spans="1:6" x14ac:dyDescent="0.25">
      <c r="A11444" t="str">
        <f>"580504213605"</f>
        <v>580504213605</v>
      </c>
      <c r="B11444" t="s">
        <v>15930</v>
      </c>
      <c r="C11444" t="s">
        <v>7</v>
      </c>
      <c r="D11444" t="s">
        <v>12</v>
      </c>
      <c r="E11444" t="s">
        <v>15878</v>
      </c>
    </row>
    <row r="11445" spans="1:6" x14ac:dyDescent="0.25">
      <c r="A11445" t="str">
        <f>"582668971200"</f>
        <v>582668971200</v>
      </c>
      <c r="B11445" t="s">
        <v>15931</v>
      </c>
      <c r="C11445" t="s">
        <v>7</v>
      </c>
      <c r="D11445" t="s">
        <v>14</v>
      </c>
      <c r="E11445" t="s">
        <v>15878</v>
      </c>
    </row>
    <row r="11446" spans="1:6" x14ac:dyDescent="0.25">
      <c r="A11446" t="str">
        <f>"582701356540"</f>
        <v>582701356540</v>
      </c>
      <c r="B11446" t="s">
        <v>15932</v>
      </c>
      <c r="C11446" t="s">
        <v>7</v>
      </c>
      <c r="D11446" t="s">
        <v>14</v>
      </c>
      <c r="E11446" t="s">
        <v>15878</v>
      </c>
    </row>
    <row r="11447" spans="1:6" x14ac:dyDescent="0.25">
      <c r="A11447" t="str">
        <f>"583200009699"</f>
        <v>583200009699</v>
      </c>
      <c r="B11447" t="s">
        <v>15933</v>
      </c>
      <c r="C11447" t="s">
        <v>7</v>
      </c>
      <c r="D11447" t="s">
        <v>14</v>
      </c>
      <c r="E11447" t="s">
        <v>15878</v>
      </c>
    </row>
    <row r="11448" spans="1:6" x14ac:dyDescent="0.25">
      <c r="A11448" t="str">
        <f>"583300520748"</f>
        <v>583300520748</v>
      </c>
      <c r="B11448" t="s">
        <v>15934</v>
      </c>
      <c r="C11448" t="s">
        <v>7</v>
      </c>
      <c r="D11448" t="s">
        <v>14</v>
      </c>
      <c r="E11448" t="s">
        <v>15878</v>
      </c>
    </row>
    <row r="11449" spans="1:6" x14ac:dyDescent="0.25">
      <c r="A11449" t="str">
        <f>"583301138595"</f>
        <v>583301138595</v>
      </c>
      <c r="B11449" t="s">
        <v>15935</v>
      </c>
      <c r="C11449" t="s">
        <v>7</v>
      </c>
      <c r="D11449" t="s">
        <v>14</v>
      </c>
      <c r="E11449" t="s">
        <v>15878</v>
      </c>
    </row>
    <row r="11450" spans="1:6" x14ac:dyDescent="0.25">
      <c r="A11450" t="str">
        <f>"583400928876"</f>
        <v>583400928876</v>
      </c>
      <c r="B11450" t="s">
        <v>15936</v>
      </c>
      <c r="C11450" t="s">
        <v>7</v>
      </c>
      <c r="D11450" t="s">
        <v>12</v>
      </c>
      <c r="E11450" t="s">
        <v>15878</v>
      </c>
    </row>
    <row r="11451" spans="1:6" x14ac:dyDescent="0.25">
      <c r="A11451" t="str">
        <f>"5834115960"</f>
        <v>5834115960</v>
      </c>
      <c r="B11451" t="s">
        <v>5649</v>
      </c>
      <c r="C11451" t="s">
        <v>7</v>
      </c>
      <c r="D11451" t="s">
        <v>14</v>
      </c>
      <c r="E11451" t="s">
        <v>15878</v>
      </c>
      <c r="F11451" t="s">
        <v>15937</v>
      </c>
    </row>
    <row r="11452" spans="1:6" x14ac:dyDescent="0.25">
      <c r="A11452" t="str">
        <f>"5834127589"</f>
        <v>5834127589</v>
      </c>
      <c r="B11452" t="s">
        <v>15938</v>
      </c>
      <c r="C11452" t="s">
        <v>7</v>
      </c>
      <c r="D11452" t="s">
        <v>12</v>
      </c>
      <c r="E11452" t="s">
        <v>15878</v>
      </c>
      <c r="F11452" t="s">
        <v>15939</v>
      </c>
    </row>
    <row r="11453" spans="1:6" x14ac:dyDescent="0.25">
      <c r="A11453" t="str">
        <f>"583500197980"</f>
        <v>583500197980</v>
      </c>
      <c r="B11453" t="s">
        <v>15940</v>
      </c>
      <c r="C11453" t="s">
        <v>7</v>
      </c>
      <c r="D11453" t="s">
        <v>12</v>
      </c>
      <c r="E11453" t="s">
        <v>15878</v>
      </c>
    </row>
    <row r="11454" spans="1:6" x14ac:dyDescent="0.25">
      <c r="A11454" t="str">
        <f>"583500282000"</f>
        <v>583500282000</v>
      </c>
      <c r="B11454" t="s">
        <v>15941</v>
      </c>
      <c r="C11454" t="s">
        <v>7</v>
      </c>
      <c r="D11454" t="s">
        <v>12</v>
      </c>
      <c r="E11454" t="s">
        <v>15878</v>
      </c>
    </row>
    <row r="11455" spans="1:6" x14ac:dyDescent="0.25">
      <c r="A11455" t="str">
        <f>"5835085003"</f>
        <v>5835085003</v>
      </c>
      <c r="B11455" t="s">
        <v>15942</v>
      </c>
      <c r="C11455" t="s">
        <v>7</v>
      </c>
      <c r="D11455" t="s">
        <v>14</v>
      </c>
      <c r="E11455" t="s">
        <v>15878</v>
      </c>
      <c r="F11455" t="s">
        <v>15943</v>
      </c>
    </row>
    <row r="11456" spans="1:6" x14ac:dyDescent="0.25">
      <c r="A11456" t="str">
        <f>"583508659065"</f>
        <v>583508659065</v>
      </c>
      <c r="B11456" t="s">
        <v>15944</v>
      </c>
      <c r="C11456" t="s">
        <v>7</v>
      </c>
      <c r="D11456" t="s">
        <v>14</v>
      </c>
      <c r="E11456" t="s">
        <v>15878</v>
      </c>
    </row>
    <row r="11457" spans="1:6" x14ac:dyDescent="0.25">
      <c r="A11457" t="str">
        <f>"5835088220"</f>
        <v>5835088220</v>
      </c>
      <c r="B11457" t="s">
        <v>15945</v>
      </c>
      <c r="C11457" t="s">
        <v>7</v>
      </c>
      <c r="D11457" t="s">
        <v>14</v>
      </c>
      <c r="E11457" t="s">
        <v>15878</v>
      </c>
      <c r="F11457" t="s">
        <v>15946</v>
      </c>
    </row>
    <row r="11458" spans="1:6" x14ac:dyDescent="0.25">
      <c r="A11458" t="str">
        <f>"5835112627"</f>
        <v>5835112627</v>
      </c>
      <c r="B11458" t="s">
        <v>15947</v>
      </c>
      <c r="C11458" t="s">
        <v>7</v>
      </c>
      <c r="D11458" t="s">
        <v>14</v>
      </c>
      <c r="E11458" t="s">
        <v>15878</v>
      </c>
      <c r="F11458" t="s">
        <v>15948</v>
      </c>
    </row>
    <row r="11459" spans="1:6" x14ac:dyDescent="0.25">
      <c r="A11459" t="str">
        <f>"5835114864"</f>
        <v>5835114864</v>
      </c>
      <c r="B11459" t="s">
        <v>15949</v>
      </c>
      <c r="C11459" t="s">
        <v>7</v>
      </c>
      <c r="D11459" t="s">
        <v>12</v>
      </c>
      <c r="E11459" t="s">
        <v>15878</v>
      </c>
      <c r="F11459" t="s">
        <v>15950</v>
      </c>
    </row>
    <row r="11460" spans="1:6" x14ac:dyDescent="0.25">
      <c r="A11460" t="str">
        <f>"5835121685"</f>
        <v>5835121685</v>
      </c>
      <c r="B11460" t="s">
        <v>15951</v>
      </c>
      <c r="C11460" t="s">
        <v>7</v>
      </c>
      <c r="D11460" t="s">
        <v>14</v>
      </c>
      <c r="E11460" t="s">
        <v>15878</v>
      </c>
      <c r="F11460" t="s">
        <v>15946</v>
      </c>
    </row>
    <row r="11461" spans="1:6" x14ac:dyDescent="0.25">
      <c r="A11461" t="str">
        <f>"583512208121"</f>
        <v>583512208121</v>
      </c>
      <c r="B11461" t="s">
        <v>15952</v>
      </c>
      <c r="C11461" t="s">
        <v>7</v>
      </c>
      <c r="D11461" t="s">
        <v>14</v>
      </c>
      <c r="E11461" t="s">
        <v>15878</v>
      </c>
    </row>
    <row r="11462" spans="1:6" x14ac:dyDescent="0.25">
      <c r="A11462" t="str">
        <f>"5835136890"</f>
        <v>5835136890</v>
      </c>
      <c r="B11462" t="s">
        <v>15953</v>
      </c>
      <c r="C11462" t="s">
        <v>7</v>
      </c>
      <c r="D11462" t="s">
        <v>12</v>
      </c>
      <c r="E11462" t="s">
        <v>15878</v>
      </c>
      <c r="F11462" t="s">
        <v>15954</v>
      </c>
    </row>
    <row r="11463" spans="1:6" x14ac:dyDescent="0.25">
      <c r="A11463" t="str">
        <f>"583520134882"</f>
        <v>583520134882</v>
      </c>
      <c r="B11463" t="s">
        <v>15955</v>
      </c>
      <c r="C11463" t="s">
        <v>7</v>
      </c>
      <c r="D11463" t="s">
        <v>14</v>
      </c>
      <c r="E11463" t="s">
        <v>15878</v>
      </c>
    </row>
    <row r="11464" spans="1:6" x14ac:dyDescent="0.25">
      <c r="A11464" t="str">
        <f>"583600004906"</f>
        <v>583600004906</v>
      </c>
      <c r="B11464" t="s">
        <v>15956</v>
      </c>
      <c r="C11464" t="s">
        <v>7</v>
      </c>
      <c r="D11464" t="s">
        <v>12</v>
      </c>
      <c r="E11464" t="s">
        <v>15878</v>
      </c>
    </row>
    <row r="11465" spans="1:6" x14ac:dyDescent="0.25">
      <c r="A11465" t="str">
        <f>"583600090126"</f>
        <v>583600090126</v>
      </c>
      <c r="B11465" t="s">
        <v>15957</v>
      </c>
      <c r="C11465" t="s">
        <v>7</v>
      </c>
      <c r="D11465" t="s">
        <v>14</v>
      </c>
      <c r="E11465" t="s">
        <v>15878</v>
      </c>
    </row>
    <row r="11466" spans="1:6" x14ac:dyDescent="0.25">
      <c r="A11466" t="str">
        <f>"583602966634"</f>
        <v>583602966634</v>
      </c>
      <c r="B11466" t="s">
        <v>15958</v>
      </c>
      <c r="C11466" t="s">
        <v>7</v>
      </c>
      <c r="D11466" t="s">
        <v>14</v>
      </c>
      <c r="E11466" t="s">
        <v>15878</v>
      </c>
    </row>
    <row r="11467" spans="1:6" x14ac:dyDescent="0.25">
      <c r="A11467" t="str">
        <f>"5836658426"</f>
        <v>5836658426</v>
      </c>
      <c r="B11467" t="s">
        <v>15959</v>
      </c>
      <c r="C11467" t="s">
        <v>7</v>
      </c>
      <c r="D11467" t="s">
        <v>12</v>
      </c>
      <c r="E11467" t="s">
        <v>15878</v>
      </c>
      <c r="F11467" t="s">
        <v>15960</v>
      </c>
    </row>
    <row r="11468" spans="1:6" x14ac:dyDescent="0.25">
      <c r="A11468" t="str">
        <f>"583680597529"</f>
        <v>583680597529</v>
      </c>
      <c r="B11468" t="s">
        <v>15961</v>
      </c>
      <c r="C11468" t="s">
        <v>7</v>
      </c>
      <c r="D11468" t="s">
        <v>98</v>
      </c>
      <c r="E11468" t="s">
        <v>15878</v>
      </c>
    </row>
    <row r="11469" spans="1:6" x14ac:dyDescent="0.25">
      <c r="A11469" t="str">
        <f>"583700150548"</f>
        <v>583700150548</v>
      </c>
      <c r="B11469" t="s">
        <v>15962</v>
      </c>
      <c r="C11469" t="s">
        <v>7</v>
      </c>
      <c r="D11469" t="s">
        <v>12</v>
      </c>
      <c r="E11469" t="s">
        <v>15878</v>
      </c>
    </row>
    <row r="11470" spans="1:6" x14ac:dyDescent="0.25">
      <c r="A11470" t="str">
        <f>"583702594066"</f>
        <v>583702594066</v>
      </c>
      <c r="B11470" t="s">
        <v>15963</v>
      </c>
      <c r="C11470" t="s">
        <v>7</v>
      </c>
      <c r="D11470" t="s">
        <v>14</v>
      </c>
      <c r="E11470" t="s">
        <v>15878</v>
      </c>
    </row>
    <row r="11471" spans="1:6" x14ac:dyDescent="0.25">
      <c r="A11471" t="str">
        <f>"583705366036"</f>
        <v>583705366036</v>
      </c>
      <c r="B11471" t="s">
        <v>15964</v>
      </c>
      <c r="C11471" t="s">
        <v>7</v>
      </c>
      <c r="D11471" t="s">
        <v>14</v>
      </c>
      <c r="E11471" t="s">
        <v>15878</v>
      </c>
    </row>
    <row r="11472" spans="1:6" x14ac:dyDescent="0.25">
      <c r="A11472" t="str">
        <f>"5837056791"</f>
        <v>5837056791</v>
      </c>
      <c r="B11472" t="s">
        <v>15965</v>
      </c>
      <c r="C11472" t="s">
        <v>7</v>
      </c>
      <c r="D11472" t="s">
        <v>33</v>
      </c>
      <c r="E11472" t="s">
        <v>15878</v>
      </c>
      <c r="F11472" t="s">
        <v>15966</v>
      </c>
    </row>
    <row r="11473" spans="1:6" x14ac:dyDescent="0.25">
      <c r="A11473" t="str">
        <f>"5837064471"</f>
        <v>5837064471</v>
      </c>
      <c r="B11473" t="s">
        <v>15967</v>
      </c>
      <c r="C11473" t="s">
        <v>7</v>
      </c>
      <c r="D11473" t="s">
        <v>33</v>
      </c>
      <c r="E11473" t="s">
        <v>15878</v>
      </c>
      <c r="F11473" t="s">
        <v>15966</v>
      </c>
    </row>
    <row r="11474" spans="1:6" x14ac:dyDescent="0.25">
      <c r="A11474" t="str">
        <f>"5837077103"</f>
        <v>5837077103</v>
      </c>
      <c r="B11474" t="s">
        <v>4131</v>
      </c>
      <c r="C11474" t="s">
        <v>7</v>
      </c>
      <c r="D11474" t="s">
        <v>14</v>
      </c>
      <c r="E11474" t="s">
        <v>15878</v>
      </c>
      <c r="F11474" t="s">
        <v>15968</v>
      </c>
    </row>
    <row r="11475" spans="1:6" x14ac:dyDescent="0.25">
      <c r="A11475" t="str">
        <f>"5837079870"</f>
        <v>5837079870</v>
      </c>
      <c r="B11475" t="s">
        <v>15969</v>
      </c>
      <c r="C11475" t="s">
        <v>7</v>
      </c>
      <c r="D11475" t="s">
        <v>14</v>
      </c>
      <c r="E11475" t="s">
        <v>15878</v>
      </c>
      <c r="F11475" t="s">
        <v>15970</v>
      </c>
    </row>
    <row r="11476" spans="1:6" x14ac:dyDescent="0.25">
      <c r="A11476" t="str">
        <f>"5837083749"</f>
        <v>5837083749</v>
      </c>
      <c r="B11476" t="s">
        <v>15971</v>
      </c>
      <c r="C11476" t="s">
        <v>7</v>
      </c>
      <c r="D11476" t="s">
        <v>12</v>
      </c>
      <c r="E11476" t="s">
        <v>15878</v>
      </c>
      <c r="F11476" t="s">
        <v>15972</v>
      </c>
    </row>
    <row r="11477" spans="1:6" x14ac:dyDescent="0.25">
      <c r="A11477" t="str">
        <f>"583711752375"</f>
        <v>583711752375</v>
      </c>
      <c r="B11477" t="s">
        <v>15973</v>
      </c>
      <c r="C11477" t="s">
        <v>7</v>
      </c>
      <c r="D11477" t="s">
        <v>14</v>
      </c>
      <c r="E11477" t="s">
        <v>15878</v>
      </c>
    </row>
    <row r="11478" spans="1:6" x14ac:dyDescent="0.25">
      <c r="A11478" t="str">
        <f>"583712947560"</f>
        <v>583712947560</v>
      </c>
      <c r="B11478" t="s">
        <v>15974</v>
      </c>
      <c r="C11478" t="s">
        <v>7</v>
      </c>
      <c r="D11478" t="s">
        <v>14</v>
      </c>
      <c r="E11478" t="s">
        <v>15878</v>
      </c>
    </row>
    <row r="11479" spans="1:6" x14ac:dyDescent="0.25">
      <c r="A11479" t="str">
        <f>"5838010775"</f>
        <v>5838010775</v>
      </c>
      <c r="B11479" t="s">
        <v>15975</v>
      </c>
      <c r="C11479" t="s">
        <v>7</v>
      </c>
      <c r="D11479" t="s">
        <v>33</v>
      </c>
      <c r="E11479" t="s">
        <v>15878</v>
      </c>
      <c r="F11479" t="s">
        <v>15976</v>
      </c>
    </row>
    <row r="11480" spans="1:6" x14ac:dyDescent="0.25">
      <c r="A11480" t="str">
        <f>"583804167218"</f>
        <v>583804167218</v>
      </c>
      <c r="B11480" t="s">
        <v>15977</v>
      </c>
      <c r="C11480" t="s">
        <v>7</v>
      </c>
      <c r="D11480" t="s">
        <v>12</v>
      </c>
      <c r="E11480" t="s">
        <v>15878</v>
      </c>
    </row>
    <row r="11481" spans="1:6" x14ac:dyDescent="0.25">
      <c r="A11481" t="str">
        <f>"583806420089"</f>
        <v>583806420089</v>
      </c>
      <c r="B11481" t="s">
        <v>15978</v>
      </c>
      <c r="C11481" t="s">
        <v>7</v>
      </c>
      <c r="D11481" t="s">
        <v>12</v>
      </c>
      <c r="E11481" t="s">
        <v>15878</v>
      </c>
    </row>
    <row r="11482" spans="1:6" x14ac:dyDescent="0.25">
      <c r="A11482" t="str">
        <f>"581004465187"</f>
        <v>581004465187</v>
      </c>
      <c r="B11482" t="s">
        <v>15979</v>
      </c>
      <c r="C11482" t="s">
        <v>7</v>
      </c>
      <c r="D11482" t="s">
        <v>14</v>
      </c>
      <c r="E11482" t="s">
        <v>15878</v>
      </c>
    </row>
    <row r="11483" spans="1:6" x14ac:dyDescent="0.25">
      <c r="A11483" t="str">
        <f>"581201597129"</f>
        <v>581201597129</v>
      </c>
      <c r="B11483" t="s">
        <v>15980</v>
      </c>
      <c r="C11483" t="s">
        <v>7</v>
      </c>
      <c r="D11483" t="s">
        <v>14</v>
      </c>
      <c r="E11483" t="s">
        <v>15878</v>
      </c>
    </row>
    <row r="11484" spans="1:6" x14ac:dyDescent="0.25">
      <c r="A11484" t="str">
        <f>"582000022732"</f>
        <v>582000022732</v>
      </c>
      <c r="B11484" t="s">
        <v>15981</v>
      </c>
      <c r="C11484" t="s">
        <v>7</v>
      </c>
      <c r="D11484" t="s">
        <v>14</v>
      </c>
      <c r="E11484" t="s">
        <v>15878</v>
      </c>
    </row>
    <row r="11485" spans="1:6" x14ac:dyDescent="0.25">
      <c r="A11485" t="str">
        <f>"582600008024"</f>
        <v>582600008024</v>
      </c>
      <c r="B11485" t="s">
        <v>15982</v>
      </c>
      <c r="C11485" t="s">
        <v>7</v>
      </c>
      <c r="D11485" t="s">
        <v>14</v>
      </c>
      <c r="E11485" t="s">
        <v>15878</v>
      </c>
    </row>
    <row r="11486" spans="1:6" x14ac:dyDescent="0.25">
      <c r="A11486" t="str">
        <f>"582808870821"</f>
        <v>582808870821</v>
      </c>
      <c r="B11486" t="s">
        <v>15983</v>
      </c>
      <c r="C11486" t="s">
        <v>7</v>
      </c>
      <c r="D11486" t="s">
        <v>14</v>
      </c>
      <c r="E11486" t="s">
        <v>15878</v>
      </c>
    </row>
    <row r="11487" spans="1:6" x14ac:dyDescent="0.25">
      <c r="A11487" t="str">
        <f>"583401858607"</f>
        <v>583401858607</v>
      </c>
      <c r="B11487" t="s">
        <v>15984</v>
      </c>
      <c r="C11487" t="s">
        <v>7</v>
      </c>
      <c r="D11487" t="s">
        <v>14</v>
      </c>
      <c r="E11487" t="s">
        <v>15878</v>
      </c>
    </row>
    <row r="11488" spans="1:6" x14ac:dyDescent="0.25">
      <c r="A11488" t="str">
        <f>"583403437178"</f>
        <v>583403437178</v>
      </c>
      <c r="B11488" t="s">
        <v>15985</v>
      </c>
      <c r="C11488" t="s">
        <v>7</v>
      </c>
      <c r="D11488" t="s">
        <v>14</v>
      </c>
      <c r="E11488" t="s">
        <v>15878</v>
      </c>
    </row>
    <row r="11489" spans="1:6" x14ac:dyDescent="0.25">
      <c r="A11489" t="str">
        <f>"583407464983"</f>
        <v>583407464983</v>
      </c>
      <c r="B11489" t="s">
        <v>15986</v>
      </c>
      <c r="C11489" t="s">
        <v>7</v>
      </c>
      <c r="D11489" t="s">
        <v>14</v>
      </c>
      <c r="E11489" t="s">
        <v>15878</v>
      </c>
    </row>
    <row r="11490" spans="1:6" x14ac:dyDescent="0.25">
      <c r="A11490" t="str">
        <f>"583409798621"</f>
        <v>583409798621</v>
      </c>
      <c r="B11490" t="s">
        <v>15987</v>
      </c>
      <c r="C11490" t="s">
        <v>7</v>
      </c>
      <c r="D11490" t="s">
        <v>14</v>
      </c>
      <c r="E11490" t="s">
        <v>15878</v>
      </c>
    </row>
    <row r="11491" spans="1:6" x14ac:dyDescent="0.25">
      <c r="A11491" t="str">
        <f>"583411223652"</f>
        <v>583411223652</v>
      </c>
      <c r="B11491" t="s">
        <v>15988</v>
      </c>
      <c r="C11491" t="s">
        <v>7</v>
      </c>
      <c r="D11491" t="s">
        <v>14</v>
      </c>
      <c r="E11491" t="s">
        <v>15878</v>
      </c>
    </row>
    <row r="11492" spans="1:6" x14ac:dyDescent="0.25">
      <c r="A11492" t="str">
        <f>"5834112374"</f>
        <v>5834112374</v>
      </c>
      <c r="B11492" t="s">
        <v>15989</v>
      </c>
      <c r="C11492" t="s">
        <v>7</v>
      </c>
      <c r="D11492" t="s">
        <v>12</v>
      </c>
      <c r="E11492" t="s">
        <v>15878</v>
      </c>
      <c r="F11492" t="s">
        <v>15990</v>
      </c>
    </row>
    <row r="11493" spans="1:6" x14ac:dyDescent="0.25">
      <c r="A11493" t="str">
        <f>"5834117238"</f>
        <v>5834117238</v>
      </c>
      <c r="B11493" t="s">
        <v>15991</v>
      </c>
      <c r="C11493" t="s">
        <v>7</v>
      </c>
      <c r="D11493" t="s">
        <v>14</v>
      </c>
      <c r="E11493" t="s">
        <v>15878</v>
      </c>
      <c r="F11493" t="s">
        <v>15992</v>
      </c>
    </row>
    <row r="11494" spans="1:6" x14ac:dyDescent="0.25">
      <c r="A11494" t="str">
        <f>"5834124059"</f>
        <v>5834124059</v>
      </c>
      <c r="B11494" t="s">
        <v>6323</v>
      </c>
      <c r="C11494" t="s">
        <v>7</v>
      </c>
      <c r="D11494" t="s">
        <v>33</v>
      </c>
      <c r="E11494" t="s">
        <v>15878</v>
      </c>
      <c r="F11494" t="s">
        <v>15993</v>
      </c>
    </row>
    <row r="11495" spans="1:6" x14ac:dyDescent="0.25">
      <c r="A11495" t="str">
        <f>"5834127525"</f>
        <v>5834127525</v>
      </c>
      <c r="B11495" t="s">
        <v>15994</v>
      </c>
      <c r="C11495" t="s">
        <v>7</v>
      </c>
      <c r="D11495" t="s">
        <v>14</v>
      </c>
      <c r="E11495" t="s">
        <v>15878</v>
      </c>
      <c r="F11495" t="s">
        <v>15995</v>
      </c>
    </row>
    <row r="11496" spans="1:6" x14ac:dyDescent="0.25">
      <c r="A11496" t="str">
        <f>"5835083567"</f>
        <v>5835083567</v>
      </c>
      <c r="B11496" t="s">
        <v>15996</v>
      </c>
      <c r="C11496" t="s">
        <v>7</v>
      </c>
      <c r="D11496" t="s">
        <v>33</v>
      </c>
      <c r="E11496" t="s">
        <v>15878</v>
      </c>
      <c r="F11496" t="s">
        <v>15997</v>
      </c>
    </row>
    <row r="11497" spans="1:6" x14ac:dyDescent="0.25">
      <c r="A11497" t="str">
        <f>"583508751575"</f>
        <v>583508751575</v>
      </c>
      <c r="B11497" t="s">
        <v>15998</v>
      </c>
      <c r="C11497" t="s">
        <v>7</v>
      </c>
      <c r="D11497" t="s">
        <v>33</v>
      </c>
      <c r="E11497" t="s">
        <v>15878</v>
      </c>
    </row>
    <row r="11498" spans="1:6" x14ac:dyDescent="0.25">
      <c r="A11498" t="str">
        <f>"5835122738"</f>
        <v>5835122738</v>
      </c>
      <c r="B11498" t="s">
        <v>15999</v>
      </c>
      <c r="C11498" t="s">
        <v>7</v>
      </c>
      <c r="D11498" t="s">
        <v>12</v>
      </c>
      <c r="E11498" t="s">
        <v>15878</v>
      </c>
      <c r="F11498" t="s">
        <v>16000</v>
      </c>
    </row>
    <row r="11499" spans="1:6" x14ac:dyDescent="0.25">
      <c r="A11499" t="str">
        <f>"583516391132"</f>
        <v>583516391132</v>
      </c>
      <c r="B11499" t="s">
        <v>16001</v>
      </c>
      <c r="C11499" t="s">
        <v>7</v>
      </c>
      <c r="D11499" t="s">
        <v>14</v>
      </c>
      <c r="E11499" t="s">
        <v>15878</v>
      </c>
    </row>
    <row r="11500" spans="1:6" x14ac:dyDescent="0.25">
      <c r="A11500" t="str">
        <f>"583602362706"</f>
        <v>583602362706</v>
      </c>
      <c r="B11500" t="s">
        <v>16002</v>
      </c>
      <c r="C11500" t="s">
        <v>7</v>
      </c>
      <c r="D11500" t="s">
        <v>14</v>
      </c>
      <c r="E11500" t="s">
        <v>15878</v>
      </c>
    </row>
    <row r="11501" spans="1:6" x14ac:dyDescent="0.25">
      <c r="A11501" t="str">
        <f>"5836307643"</f>
        <v>5836307643</v>
      </c>
      <c r="B11501" t="s">
        <v>16003</v>
      </c>
      <c r="C11501" t="s">
        <v>7</v>
      </c>
      <c r="D11501" t="s">
        <v>14</v>
      </c>
      <c r="E11501" t="s">
        <v>15878</v>
      </c>
      <c r="F11501" t="s">
        <v>16004</v>
      </c>
    </row>
    <row r="11502" spans="1:6" x14ac:dyDescent="0.25">
      <c r="A11502" t="str">
        <f>"5836611971"</f>
        <v>5836611971</v>
      </c>
      <c r="B11502" t="s">
        <v>16005</v>
      </c>
      <c r="C11502" t="s">
        <v>7</v>
      </c>
      <c r="D11502" t="s">
        <v>14</v>
      </c>
      <c r="E11502" t="s">
        <v>15878</v>
      </c>
      <c r="F11502" t="s">
        <v>16006</v>
      </c>
    </row>
    <row r="11503" spans="1:6" x14ac:dyDescent="0.25">
      <c r="A11503" t="str">
        <f>"5836636119"</f>
        <v>5836636119</v>
      </c>
      <c r="B11503" t="s">
        <v>16007</v>
      </c>
      <c r="C11503" t="s">
        <v>7</v>
      </c>
      <c r="D11503" t="s">
        <v>33</v>
      </c>
      <c r="E11503" t="s">
        <v>15878</v>
      </c>
      <c r="F11503" t="s">
        <v>16008</v>
      </c>
    </row>
    <row r="11504" spans="1:6" x14ac:dyDescent="0.25">
      <c r="A11504" t="str">
        <f>"5836646195"</f>
        <v>5836646195</v>
      </c>
      <c r="B11504" t="s">
        <v>16009</v>
      </c>
      <c r="C11504" t="s">
        <v>7</v>
      </c>
      <c r="D11504" t="s">
        <v>33</v>
      </c>
      <c r="E11504" t="s">
        <v>15878</v>
      </c>
      <c r="F11504" t="s">
        <v>16008</v>
      </c>
    </row>
    <row r="11505" spans="1:6" x14ac:dyDescent="0.25">
      <c r="A11505" t="str">
        <f>"5836646597"</f>
        <v>5836646597</v>
      </c>
      <c r="B11505" t="s">
        <v>16010</v>
      </c>
      <c r="C11505" t="s">
        <v>7</v>
      </c>
      <c r="D11505" t="s">
        <v>14</v>
      </c>
      <c r="E11505" t="s">
        <v>15878</v>
      </c>
      <c r="F11505" t="s">
        <v>16011</v>
      </c>
    </row>
    <row r="11506" spans="1:6" x14ac:dyDescent="0.25">
      <c r="A11506" t="str">
        <f>"5836680213"</f>
        <v>5836680213</v>
      </c>
      <c r="B11506" t="s">
        <v>16012</v>
      </c>
      <c r="C11506" t="s">
        <v>7</v>
      </c>
      <c r="D11506" t="s">
        <v>33</v>
      </c>
      <c r="E11506" t="s">
        <v>15878</v>
      </c>
      <c r="F11506" t="s">
        <v>16013</v>
      </c>
    </row>
    <row r="11507" spans="1:6" x14ac:dyDescent="0.25">
      <c r="A11507" t="str">
        <f>"5836896815"</f>
        <v>5836896815</v>
      </c>
      <c r="B11507" t="s">
        <v>16014</v>
      </c>
      <c r="C11507" t="s">
        <v>7</v>
      </c>
      <c r="D11507" t="s">
        <v>33</v>
      </c>
      <c r="E11507" t="s">
        <v>15878</v>
      </c>
      <c r="F11507" t="s">
        <v>16015</v>
      </c>
    </row>
    <row r="11508" spans="1:6" x14ac:dyDescent="0.25">
      <c r="A11508" t="str">
        <f>"5837031444"</f>
        <v>5837031444</v>
      </c>
      <c r="B11508" t="s">
        <v>16016</v>
      </c>
      <c r="C11508" t="s">
        <v>7</v>
      </c>
      <c r="D11508" t="s">
        <v>12</v>
      </c>
      <c r="E11508" t="s">
        <v>15878</v>
      </c>
      <c r="F11508" t="s">
        <v>16017</v>
      </c>
    </row>
    <row r="11509" spans="1:6" x14ac:dyDescent="0.25">
      <c r="A11509" t="str">
        <f>"583708189508"</f>
        <v>583708189508</v>
      </c>
      <c r="B11509" t="s">
        <v>16018</v>
      </c>
      <c r="C11509" t="s">
        <v>7</v>
      </c>
      <c r="D11509" t="s">
        <v>14</v>
      </c>
      <c r="E11509" t="s">
        <v>15878</v>
      </c>
    </row>
    <row r="11510" spans="1:6" x14ac:dyDescent="0.25">
      <c r="A11510" t="str">
        <f>"583716761207"</f>
        <v>583716761207</v>
      </c>
      <c r="B11510" t="s">
        <v>16019</v>
      </c>
      <c r="C11510" t="s">
        <v>7</v>
      </c>
      <c r="D11510" t="s">
        <v>14</v>
      </c>
      <c r="E11510" t="s">
        <v>15878</v>
      </c>
    </row>
    <row r="11511" spans="1:6" x14ac:dyDescent="0.25">
      <c r="A11511" t="str">
        <f>"583800505480"</f>
        <v>583800505480</v>
      </c>
      <c r="B11511" t="s">
        <v>16020</v>
      </c>
      <c r="C11511" t="s">
        <v>7</v>
      </c>
      <c r="D11511" t="s">
        <v>12</v>
      </c>
      <c r="E11511" t="s">
        <v>15878</v>
      </c>
    </row>
    <row r="11512" spans="1:6" x14ac:dyDescent="0.25">
      <c r="A11512" t="str">
        <f>"583801108140"</f>
        <v>583801108140</v>
      </c>
      <c r="B11512" t="s">
        <v>16021</v>
      </c>
      <c r="C11512" t="s">
        <v>7</v>
      </c>
      <c r="D11512" t="s">
        <v>12</v>
      </c>
      <c r="E11512" t="s">
        <v>15878</v>
      </c>
    </row>
    <row r="11513" spans="1:6" x14ac:dyDescent="0.25">
      <c r="A11513" t="str">
        <f>"583805143594"</f>
        <v>583805143594</v>
      </c>
      <c r="B11513" t="s">
        <v>16022</v>
      </c>
      <c r="C11513" t="s">
        <v>7</v>
      </c>
      <c r="D11513" t="s">
        <v>14</v>
      </c>
      <c r="E11513" t="s">
        <v>15878</v>
      </c>
    </row>
    <row r="11514" spans="1:6" x14ac:dyDescent="0.25">
      <c r="A11514" t="str">
        <f>"583805701200"</f>
        <v>583805701200</v>
      </c>
      <c r="B11514" t="s">
        <v>16023</v>
      </c>
      <c r="C11514" t="s">
        <v>7</v>
      </c>
      <c r="D11514" t="s">
        <v>33</v>
      </c>
      <c r="E11514" t="s">
        <v>15878</v>
      </c>
    </row>
    <row r="11515" spans="1:6" x14ac:dyDescent="0.25">
      <c r="A11515" t="str">
        <f>"580901367305"</f>
        <v>580901367305</v>
      </c>
      <c r="B11515" t="s">
        <v>16024</v>
      </c>
      <c r="C11515" t="s">
        <v>7</v>
      </c>
      <c r="D11515" t="s">
        <v>14</v>
      </c>
      <c r="E11515" t="s">
        <v>15878</v>
      </c>
    </row>
    <row r="11516" spans="1:6" x14ac:dyDescent="0.25">
      <c r="A11516" t="str">
        <f>"580903610763"</f>
        <v>580903610763</v>
      </c>
      <c r="B11516" t="s">
        <v>16025</v>
      </c>
      <c r="C11516" t="s">
        <v>7</v>
      </c>
      <c r="D11516" t="s">
        <v>14</v>
      </c>
      <c r="E11516" t="s">
        <v>15878</v>
      </c>
    </row>
    <row r="11517" spans="1:6" x14ac:dyDescent="0.25">
      <c r="A11517" t="str">
        <f>"581300098508"</f>
        <v>581300098508</v>
      </c>
      <c r="B11517" t="s">
        <v>16026</v>
      </c>
      <c r="C11517" t="s">
        <v>7</v>
      </c>
      <c r="D11517" t="s">
        <v>14</v>
      </c>
      <c r="E11517" t="s">
        <v>15878</v>
      </c>
    </row>
    <row r="11518" spans="1:6" x14ac:dyDescent="0.25">
      <c r="A11518" t="str">
        <f>"582400385650"</f>
        <v>582400385650</v>
      </c>
      <c r="B11518" t="s">
        <v>16027</v>
      </c>
      <c r="C11518" t="s">
        <v>7</v>
      </c>
      <c r="D11518" t="s">
        <v>14</v>
      </c>
      <c r="E11518" t="s">
        <v>15878</v>
      </c>
    </row>
    <row r="11519" spans="1:6" x14ac:dyDescent="0.25">
      <c r="A11519" t="str">
        <f>"582601348062"</f>
        <v>582601348062</v>
      </c>
      <c r="B11519" t="s">
        <v>16028</v>
      </c>
      <c r="C11519" t="s">
        <v>7</v>
      </c>
      <c r="D11519" t="s">
        <v>14</v>
      </c>
      <c r="E11519" t="s">
        <v>15878</v>
      </c>
    </row>
    <row r="11520" spans="1:6" x14ac:dyDescent="0.25">
      <c r="A11520" t="str">
        <f>"582601658297"</f>
        <v>582601658297</v>
      </c>
      <c r="B11520" t="s">
        <v>16029</v>
      </c>
      <c r="C11520" t="s">
        <v>7</v>
      </c>
      <c r="D11520" t="s">
        <v>14</v>
      </c>
      <c r="E11520" t="s">
        <v>15878</v>
      </c>
    </row>
    <row r="11521" spans="1:6" x14ac:dyDescent="0.25">
      <c r="A11521" t="str">
        <f>"582611076682"</f>
        <v>582611076682</v>
      </c>
      <c r="B11521" t="s">
        <v>16030</v>
      </c>
      <c r="C11521" t="s">
        <v>7</v>
      </c>
      <c r="D11521" t="s">
        <v>14</v>
      </c>
      <c r="E11521" t="s">
        <v>15878</v>
      </c>
    </row>
    <row r="11522" spans="1:6" x14ac:dyDescent="0.25">
      <c r="A11522" t="str">
        <f>"5829003309"</f>
        <v>5829003309</v>
      </c>
      <c r="B11522" t="s">
        <v>16031</v>
      </c>
      <c r="C11522" t="s">
        <v>7</v>
      </c>
      <c r="D11522" t="s">
        <v>14</v>
      </c>
      <c r="E11522" t="s">
        <v>15878</v>
      </c>
      <c r="F11522" t="s">
        <v>16032</v>
      </c>
    </row>
    <row r="11523" spans="1:6" x14ac:dyDescent="0.25">
      <c r="A11523" t="str">
        <f>"582901255108"</f>
        <v>582901255108</v>
      </c>
      <c r="B11523" t="s">
        <v>16033</v>
      </c>
      <c r="C11523" t="s">
        <v>7</v>
      </c>
      <c r="D11523" t="s">
        <v>14</v>
      </c>
      <c r="E11523" t="s">
        <v>15878</v>
      </c>
    </row>
    <row r="11524" spans="1:6" x14ac:dyDescent="0.25">
      <c r="A11524" t="str">
        <f>"5829901486"</f>
        <v>5829901486</v>
      </c>
      <c r="B11524" t="s">
        <v>16034</v>
      </c>
      <c r="C11524" t="s">
        <v>7</v>
      </c>
      <c r="D11524" t="s">
        <v>33</v>
      </c>
      <c r="E11524" t="s">
        <v>15878</v>
      </c>
      <c r="F11524" t="s">
        <v>16035</v>
      </c>
    </row>
    <row r="11525" spans="1:6" x14ac:dyDescent="0.25">
      <c r="A11525" t="str">
        <f>"583300362805"</f>
        <v>583300362805</v>
      </c>
      <c r="B11525" t="s">
        <v>16036</v>
      </c>
      <c r="C11525" t="s">
        <v>7</v>
      </c>
      <c r="D11525" t="s">
        <v>14</v>
      </c>
      <c r="E11525" t="s">
        <v>15878</v>
      </c>
    </row>
    <row r="11526" spans="1:6" x14ac:dyDescent="0.25">
      <c r="A11526" t="str">
        <f>"5834053390"</f>
        <v>5834053390</v>
      </c>
      <c r="B11526" t="s">
        <v>16037</v>
      </c>
      <c r="C11526" t="s">
        <v>7</v>
      </c>
      <c r="D11526" t="s">
        <v>14</v>
      </c>
      <c r="E11526" t="s">
        <v>15878</v>
      </c>
      <c r="F11526" t="s">
        <v>16038</v>
      </c>
    </row>
    <row r="11527" spans="1:6" x14ac:dyDescent="0.25">
      <c r="A11527" t="str">
        <f>"583413973139"</f>
        <v>583413973139</v>
      </c>
      <c r="B11527" t="s">
        <v>16039</v>
      </c>
      <c r="C11527" t="s">
        <v>7</v>
      </c>
      <c r="D11527" t="s">
        <v>14</v>
      </c>
      <c r="E11527" t="s">
        <v>15878</v>
      </c>
    </row>
    <row r="11528" spans="1:6" x14ac:dyDescent="0.25">
      <c r="A11528" t="str">
        <f>"583500019779"</f>
        <v>583500019779</v>
      </c>
      <c r="B11528" t="s">
        <v>16040</v>
      </c>
      <c r="C11528" t="s">
        <v>7</v>
      </c>
      <c r="D11528" t="s">
        <v>12</v>
      </c>
      <c r="E11528" t="s">
        <v>15878</v>
      </c>
    </row>
    <row r="11529" spans="1:6" x14ac:dyDescent="0.25">
      <c r="A11529" t="str">
        <f>"583500022267"</f>
        <v>583500022267</v>
      </c>
      <c r="B11529" t="s">
        <v>16041</v>
      </c>
      <c r="C11529" t="s">
        <v>7</v>
      </c>
      <c r="D11529" t="s">
        <v>12</v>
      </c>
      <c r="E11529" t="s">
        <v>15878</v>
      </c>
    </row>
    <row r="11530" spans="1:6" x14ac:dyDescent="0.25">
      <c r="A11530" t="str">
        <f>"583500483194"</f>
        <v>583500483194</v>
      </c>
      <c r="B11530" t="s">
        <v>16042</v>
      </c>
      <c r="C11530" t="s">
        <v>7</v>
      </c>
      <c r="D11530" t="s">
        <v>12</v>
      </c>
      <c r="E11530" t="s">
        <v>15878</v>
      </c>
    </row>
    <row r="11531" spans="1:6" x14ac:dyDescent="0.25">
      <c r="A11531" t="str">
        <f>"583503093386"</f>
        <v>583503093386</v>
      </c>
      <c r="B11531" t="s">
        <v>16043</v>
      </c>
      <c r="C11531" t="s">
        <v>7</v>
      </c>
      <c r="D11531" t="s">
        <v>14</v>
      </c>
      <c r="E11531" t="s">
        <v>15878</v>
      </c>
    </row>
    <row r="11532" spans="1:6" x14ac:dyDescent="0.25">
      <c r="A11532" t="str">
        <f>"5835071226"</f>
        <v>5835071226</v>
      </c>
      <c r="B11532" t="s">
        <v>16044</v>
      </c>
      <c r="C11532" t="s">
        <v>7</v>
      </c>
      <c r="D11532" t="s">
        <v>14</v>
      </c>
      <c r="E11532" t="s">
        <v>15878</v>
      </c>
      <c r="F11532" t="s">
        <v>16045</v>
      </c>
    </row>
    <row r="11533" spans="1:6" x14ac:dyDescent="0.25">
      <c r="A11533" t="str">
        <f>"5835071931"</f>
        <v>5835071931</v>
      </c>
      <c r="B11533" t="s">
        <v>16046</v>
      </c>
      <c r="C11533" t="s">
        <v>7</v>
      </c>
      <c r="D11533" t="s">
        <v>12</v>
      </c>
      <c r="E11533" t="s">
        <v>15878</v>
      </c>
      <c r="F11533" t="s">
        <v>15884</v>
      </c>
    </row>
    <row r="11534" spans="1:6" x14ac:dyDescent="0.25">
      <c r="A11534" t="str">
        <f>"5835074668"</f>
        <v>5835074668</v>
      </c>
      <c r="B11534" t="s">
        <v>16047</v>
      </c>
      <c r="C11534" t="s">
        <v>7</v>
      </c>
      <c r="D11534" t="s">
        <v>14</v>
      </c>
      <c r="E11534" t="s">
        <v>15878</v>
      </c>
      <c r="F11534" t="s">
        <v>16048</v>
      </c>
    </row>
    <row r="11535" spans="1:6" x14ac:dyDescent="0.25">
      <c r="A11535" t="str">
        <f>"5835075069"</f>
        <v>5835075069</v>
      </c>
      <c r="B11535" t="s">
        <v>16049</v>
      </c>
      <c r="C11535" t="s">
        <v>7</v>
      </c>
      <c r="D11535" t="s">
        <v>14</v>
      </c>
      <c r="E11535" t="s">
        <v>15878</v>
      </c>
      <c r="F11535" t="s">
        <v>16048</v>
      </c>
    </row>
    <row r="11536" spans="1:6" x14ac:dyDescent="0.25">
      <c r="A11536" t="str">
        <f>"5835077429"</f>
        <v>5835077429</v>
      </c>
      <c r="B11536" t="s">
        <v>16050</v>
      </c>
      <c r="C11536" t="s">
        <v>7</v>
      </c>
      <c r="D11536" t="s">
        <v>14</v>
      </c>
      <c r="E11536" t="s">
        <v>15878</v>
      </c>
      <c r="F11536" t="s">
        <v>16048</v>
      </c>
    </row>
    <row r="11537" spans="1:6" x14ac:dyDescent="0.25">
      <c r="A11537" t="str">
        <f>"5835104930"</f>
        <v>5835104930</v>
      </c>
      <c r="B11537" t="s">
        <v>16051</v>
      </c>
      <c r="C11537" t="s">
        <v>7</v>
      </c>
      <c r="D11537" t="s">
        <v>14</v>
      </c>
      <c r="E11537" t="s">
        <v>15878</v>
      </c>
      <c r="F11537" t="s">
        <v>15887</v>
      </c>
    </row>
    <row r="11538" spans="1:6" x14ac:dyDescent="0.25">
      <c r="A11538" t="str">
        <f>"5835105490"</f>
        <v>5835105490</v>
      </c>
      <c r="B11538" t="s">
        <v>16052</v>
      </c>
      <c r="C11538" t="s">
        <v>7</v>
      </c>
      <c r="D11538" t="s">
        <v>33</v>
      </c>
      <c r="E11538" t="s">
        <v>15878</v>
      </c>
      <c r="F11538" t="s">
        <v>16053</v>
      </c>
    </row>
    <row r="11539" spans="1:6" x14ac:dyDescent="0.25">
      <c r="A11539" t="str">
        <f>"583511037635"</f>
        <v>583511037635</v>
      </c>
      <c r="B11539" t="s">
        <v>16054</v>
      </c>
      <c r="C11539" t="s">
        <v>7</v>
      </c>
      <c r="D11539" t="s">
        <v>14</v>
      </c>
      <c r="E11539" t="s">
        <v>15878</v>
      </c>
    </row>
    <row r="11540" spans="1:6" x14ac:dyDescent="0.25">
      <c r="A11540" t="str">
        <f>"5835112169"</f>
        <v>5835112169</v>
      </c>
      <c r="B11540" t="s">
        <v>16055</v>
      </c>
      <c r="C11540" t="s">
        <v>7</v>
      </c>
      <c r="D11540" t="s">
        <v>14</v>
      </c>
      <c r="E11540" t="s">
        <v>15878</v>
      </c>
      <c r="F11540" t="s">
        <v>16056</v>
      </c>
    </row>
    <row r="11541" spans="1:6" x14ac:dyDescent="0.25">
      <c r="A11541" t="str">
        <f>"583511507954"</f>
        <v>583511507954</v>
      </c>
      <c r="B11541" t="s">
        <v>16057</v>
      </c>
      <c r="C11541" t="s">
        <v>7</v>
      </c>
      <c r="D11541" t="s">
        <v>14</v>
      </c>
      <c r="E11541" t="s">
        <v>15878</v>
      </c>
    </row>
    <row r="11542" spans="1:6" x14ac:dyDescent="0.25">
      <c r="A11542" t="str">
        <f>"583512052509"</f>
        <v>583512052509</v>
      </c>
      <c r="B11542" t="s">
        <v>16058</v>
      </c>
      <c r="C11542" t="s">
        <v>7</v>
      </c>
      <c r="D11542" t="s">
        <v>14</v>
      </c>
      <c r="E11542" t="s">
        <v>15878</v>
      </c>
    </row>
    <row r="11543" spans="1:6" x14ac:dyDescent="0.25">
      <c r="A11543" t="str">
        <f>"583513046466"</f>
        <v>583513046466</v>
      </c>
      <c r="B11543" t="s">
        <v>16059</v>
      </c>
      <c r="C11543" t="s">
        <v>7</v>
      </c>
      <c r="D11543" t="s">
        <v>12</v>
      </c>
      <c r="E11543" t="s">
        <v>15878</v>
      </c>
    </row>
    <row r="11544" spans="1:6" x14ac:dyDescent="0.25">
      <c r="A11544" t="str">
        <f>"5835142710"</f>
        <v>5835142710</v>
      </c>
      <c r="B11544" t="s">
        <v>16060</v>
      </c>
      <c r="C11544" t="s">
        <v>7</v>
      </c>
      <c r="D11544" t="s">
        <v>12</v>
      </c>
      <c r="E11544" t="s">
        <v>15878</v>
      </c>
      <c r="F11544" t="s">
        <v>16061</v>
      </c>
    </row>
    <row r="11545" spans="1:6" x14ac:dyDescent="0.25">
      <c r="A11545" t="str">
        <f>"583515973508"</f>
        <v>583515973508</v>
      </c>
      <c r="B11545" t="s">
        <v>16062</v>
      </c>
      <c r="C11545" t="s">
        <v>7</v>
      </c>
      <c r="D11545" t="s">
        <v>14</v>
      </c>
      <c r="E11545" t="s">
        <v>15878</v>
      </c>
    </row>
    <row r="11546" spans="1:6" x14ac:dyDescent="0.25">
      <c r="A11546" t="str">
        <f>"583516884314"</f>
        <v>583516884314</v>
      </c>
      <c r="B11546" t="s">
        <v>16063</v>
      </c>
      <c r="C11546" t="s">
        <v>7</v>
      </c>
      <c r="D11546" t="s">
        <v>14</v>
      </c>
      <c r="E11546" t="s">
        <v>15878</v>
      </c>
    </row>
    <row r="11547" spans="1:6" x14ac:dyDescent="0.25">
      <c r="A11547" t="str">
        <f>"583601641915"</f>
        <v>583601641915</v>
      </c>
      <c r="B11547" t="s">
        <v>16064</v>
      </c>
      <c r="C11547" t="s">
        <v>7</v>
      </c>
      <c r="D11547" t="s">
        <v>14</v>
      </c>
      <c r="E11547" t="s">
        <v>15878</v>
      </c>
    </row>
    <row r="11548" spans="1:6" x14ac:dyDescent="0.25">
      <c r="A11548" t="str">
        <f>"583605717114"</f>
        <v>583605717114</v>
      </c>
      <c r="B11548" t="s">
        <v>16065</v>
      </c>
      <c r="C11548" t="s">
        <v>7</v>
      </c>
      <c r="D11548" t="s">
        <v>12</v>
      </c>
      <c r="E11548" t="s">
        <v>15878</v>
      </c>
    </row>
    <row r="11549" spans="1:6" x14ac:dyDescent="0.25">
      <c r="A11549" t="str">
        <f>"5836694054"</f>
        <v>5836694054</v>
      </c>
      <c r="B11549" t="s">
        <v>16066</v>
      </c>
      <c r="C11549" t="s">
        <v>7</v>
      </c>
      <c r="D11549" t="s">
        <v>33</v>
      </c>
      <c r="E11549" t="s">
        <v>15878</v>
      </c>
      <c r="F11549" t="s">
        <v>16067</v>
      </c>
    </row>
    <row r="11550" spans="1:6" x14ac:dyDescent="0.25">
      <c r="A11550" t="str">
        <f>"583700183374"</f>
        <v>583700183374</v>
      </c>
      <c r="B11550" t="s">
        <v>16068</v>
      </c>
      <c r="C11550" t="s">
        <v>7</v>
      </c>
      <c r="D11550" t="s">
        <v>12</v>
      </c>
      <c r="E11550" t="s">
        <v>15878</v>
      </c>
    </row>
    <row r="11551" spans="1:6" x14ac:dyDescent="0.25">
      <c r="A11551" t="str">
        <f>"583703576824"</f>
        <v>583703576824</v>
      </c>
      <c r="B11551" t="s">
        <v>16069</v>
      </c>
      <c r="C11551" t="s">
        <v>7</v>
      </c>
      <c r="D11551" t="s">
        <v>460</v>
      </c>
      <c r="E11551" t="s">
        <v>15878</v>
      </c>
    </row>
    <row r="11552" spans="1:6" x14ac:dyDescent="0.25">
      <c r="A11552" t="str">
        <f>"5837083682"</f>
        <v>5837083682</v>
      </c>
      <c r="B11552" t="s">
        <v>16070</v>
      </c>
      <c r="C11552" t="s">
        <v>7</v>
      </c>
      <c r="D11552" t="s">
        <v>33</v>
      </c>
      <c r="E11552" t="s">
        <v>15878</v>
      </c>
      <c r="F11552" t="s">
        <v>16071</v>
      </c>
    </row>
    <row r="11553" spans="1:6" x14ac:dyDescent="0.25">
      <c r="A11553" t="str">
        <f>"583708380261"</f>
        <v>583708380261</v>
      </c>
      <c r="B11553" t="s">
        <v>16072</v>
      </c>
      <c r="C11553" t="s">
        <v>7</v>
      </c>
      <c r="D11553" t="s">
        <v>14</v>
      </c>
      <c r="E11553" t="s">
        <v>15878</v>
      </c>
    </row>
    <row r="11554" spans="1:6" x14ac:dyDescent="0.25">
      <c r="A11554" t="str">
        <f>"583714941846"</f>
        <v>583714941846</v>
      </c>
      <c r="B11554" t="s">
        <v>16073</v>
      </c>
      <c r="C11554" t="s">
        <v>7</v>
      </c>
      <c r="D11554" t="s">
        <v>12</v>
      </c>
      <c r="E11554" t="s">
        <v>15878</v>
      </c>
    </row>
    <row r="11555" spans="1:6" x14ac:dyDescent="0.25">
      <c r="A11555" t="str">
        <f>"583800422403"</f>
        <v>583800422403</v>
      </c>
      <c r="B11555" t="s">
        <v>16074</v>
      </c>
      <c r="C11555" t="s">
        <v>7</v>
      </c>
      <c r="D11555" t="s">
        <v>12</v>
      </c>
      <c r="E11555" t="s">
        <v>15878</v>
      </c>
    </row>
    <row r="11556" spans="1:6" x14ac:dyDescent="0.25">
      <c r="A11556" t="str">
        <f>"5838011232"</f>
        <v>5838011232</v>
      </c>
      <c r="B11556" t="s">
        <v>16075</v>
      </c>
      <c r="C11556" t="s">
        <v>7</v>
      </c>
      <c r="D11556" t="s">
        <v>12</v>
      </c>
      <c r="E11556" t="s">
        <v>15878</v>
      </c>
      <c r="F11556" t="s">
        <v>16076</v>
      </c>
    </row>
    <row r="11557" spans="1:6" x14ac:dyDescent="0.25">
      <c r="A11557" t="str">
        <f>"583801546994"</f>
        <v>583801546994</v>
      </c>
      <c r="B11557" t="s">
        <v>16077</v>
      </c>
      <c r="C11557" t="s">
        <v>7</v>
      </c>
      <c r="D11557" t="s">
        <v>12</v>
      </c>
      <c r="E11557" t="s">
        <v>15878</v>
      </c>
    </row>
    <row r="11558" spans="1:6" x14ac:dyDescent="0.25">
      <c r="A11558" t="str">
        <f>"583804652398"</f>
        <v>583804652398</v>
      </c>
      <c r="B11558" t="s">
        <v>16078</v>
      </c>
      <c r="C11558" t="s">
        <v>7</v>
      </c>
      <c r="D11558" t="s">
        <v>14</v>
      </c>
      <c r="E11558" t="s">
        <v>15878</v>
      </c>
    </row>
    <row r="11559" spans="1:6" x14ac:dyDescent="0.25">
      <c r="A11559" t="str">
        <f>"583805143410"</f>
        <v>583805143410</v>
      </c>
      <c r="B11559" t="s">
        <v>16079</v>
      </c>
      <c r="C11559" t="s">
        <v>7</v>
      </c>
      <c r="D11559" t="s">
        <v>12</v>
      </c>
      <c r="E11559" t="s">
        <v>15878</v>
      </c>
    </row>
    <row r="11560" spans="1:6" x14ac:dyDescent="0.25">
      <c r="A11560" t="str">
        <f>"510103661997"</f>
        <v>510103661997</v>
      </c>
      <c r="B11560" t="s">
        <v>16080</v>
      </c>
      <c r="C11560" t="s">
        <v>7</v>
      </c>
      <c r="D11560" t="s">
        <v>14</v>
      </c>
      <c r="E11560" t="s">
        <v>15878</v>
      </c>
    </row>
    <row r="11561" spans="1:6" x14ac:dyDescent="0.25">
      <c r="A11561" t="str">
        <f>"180402121224"</f>
        <v>180402121224</v>
      </c>
      <c r="B11561" t="s">
        <v>16081</v>
      </c>
      <c r="C11561" t="s">
        <v>7</v>
      </c>
      <c r="D11561" t="s">
        <v>14</v>
      </c>
      <c r="E11561" t="s">
        <v>16082</v>
      </c>
    </row>
    <row r="11562" spans="1:6" x14ac:dyDescent="0.25">
      <c r="A11562" t="str">
        <f>"181101277237"</f>
        <v>181101277237</v>
      </c>
      <c r="B11562" t="s">
        <v>16083</v>
      </c>
      <c r="C11562" t="s">
        <v>7</v>
      </c>
      <c r="D11562" t="s">
        <v>14</v>
      </c>
      <c r="E11562" t="s">
        <v>16082</v>
      </c>
    </row>
    <row r="11563" spans="1:6" x14ac:dyDescent="0.25">
      <c r="A11563" t="str">
        <f>"182702524972"</f>
        <v>182702524972</v>
      </c>
      <c r="B11563" t="s">
        <v>16084</v>
      </c>
      <c r="C11563" t="s">
        <v>7</v>
      </c>
      <c r="D11563" t="s">
        <v>12</v>
      </c>
      <c r="E11563" t="s">
        <v>16082</v>
      </c>
    </row>
    <row r="11564" spans="1:6" x14ac:dyDescent="0.25">
      <c r="A11564" t="str">
        <f>"4345335189"</f>
        <v>4345335189</v>
      </c>
      <c r="B11564" t="s">
        <v>6496</v>
      </c>
      <c r="C11564" t="s">
        <v>7</v>
      </c>
      <c r="D11564" t="s">
        <v>33</v>
      </c>
      <c r="E11564" t="s">
        <v>16082</v>
      </c>
      <c r="F11564" t="s">
        <v>16085</v>
      </c>
    </row>
    <row r="11565" spans="1:6" x14ac:dyDescent="0.25">
      <c r="A11565" t="str">
        <f>"525604372303"</f>
        <v>525604372303</v>
      </c>
      <c r="B11565" t="s">
        <v>16086</v>
      </c>
      <c r="C11565" t="s">
        <v>7</v>
      </c>
      <c r="D11565" t="s">
        <v>14</v>
      </c>
      <c r="E11565" t="s">
        <v>16082</v>
      </c>
    </row>
    <row r="11566" spans="1:6" x14ac:dyDescent="0.25">
      <c r="A11566" t="str">
        <f>"4501110065"</f>
        <v>4501110065</v>
      </c>
      <c r="B11566" t="s">
        <v>16087</v>
      </c>
      <c r="C11566" t="s">
        <v>7</v>
      </c>
      <c r="D11566" t="s">
        <v>12</v>
      </c>
      <c r="E11566" t="s">
        <v>16082</v>
      </c>
      <c r="F11566" t="s">
        <v>16088</v>
      </c>
    </row>
    <row r="11567" spans="1:6" x14ac:dyDescent="0.25">
      <c r="A11567" t="str">
        <f>"4501191184"</f>
        <v>4501191184</v>
      </c>
      <c r="B11567" t="s">
        <v>16089</v>
      </c>
      <c r="C11567" t="s">
        <v>7</v>
      </c>
      <c r="D11567" t="s">
        <v>12</v>
      </c>
      <c r="E11567" t="s">
        <v>16082</v>
      </c>
      <c r="F11567" t="s">
        <v>16090</v>
      </c>
    </row>
    <row r="11568" spans="1:6" x14ac:dyDescent="0.25">
      <c r="A11568" t="str">
        <f>"0275902317"</f>
        <v>0275902317</v>
      </c>
      <c r="B11568" t="s">
        <v>16091</v>
      </c>
      <c r="C11568" t="s">
        <v>7</v>
      </c>
      <c r="D11568" t="s">
        <v>12</v>
      </c>
      <c r="E11568" t="s">
        <v>16082</v>
      </c>
      <c r="F11568" t="s">
        <v>16092</v>
      </c>
    </row>
    <row r="11569" spans="1:6" x14ac:dyDescent="0.25">
      <c r="A11569" t="str">
        <f>"352301111124"</f>
        <v>352301111124</v>
      </c>
      <c r="B11569" t="s">
        <v>16093</v>
      </c>
      <c r="C11569" t="s">
        <v>7</v>
      </c>
      <c r="D11569" t="s">
        <v>14</v>
      </c>
      <c r="E11569" t="s">
        <v>16082</v>
      </c>
    </row>
    <row r="11570" spans="1:6" x14ac:dyDescent="0.25">
      <c r="A11570" t="str">
        <f>"7203331794"</f>
        <v>7203331794</v>
      </c>
      <c r="B11570" t="s">
        <v>16094</v>
      </c>
      <c r="C11570" t="s">
        <v>7</v>
      </c>
      <c r="D11570" t="s">
        <v>14</v>
      </c>
      <c r="E11570" t="s">
        <v>16082</v>
      </c>
      <c r="F11570" t="s">
        <v>16095</v>
      </c>
    </row>
    <row r="11571" spans="1:6" x14ac:dyDescent="0.25">
      <c r="A11571" t="str">
        <f>"5902823957"</f>
        <v>5902823957</v>
      </c>
      <c r="B11571" t="s">
        <v>16096</v>
      </c>
      <c r="C11571" t="s">
        <v>7</v>
      </c>
      <c r="D11571" t="s">
        <v>12</v>
      </c>
      <c r="E11571" t="s">
        <v>16082</v>
      </c>
      <c r="F11571" t="s">
        <v>16097</v>
      </c>
    </row>
    <row r="11572" spans="1:6" x14ac:dyDescent="0.25">
      <c r="A11572" t="str">
        <f>"5902879460"</f>
        <v>5902879460</v>
      </c>
      <c r="B11572" t="s">
        <v>16098</v>
      </c>
      <c r="C11572" t="s">
        <v>7</v>
      </c>
      <c r="D11572" t="s">
        <v>12</v>
      </c>
      <c r="E11572" t="s">
        <v>16082</v>
      </c>
      <c r="F11572" t="s">
        <v>16099</v>
      </c>
    </row>
    <row r="11573" spans="1:6" x14ac:dyDescent="0.25">
      <c r="A11573" t="str">
        <f>"5903099102"</f>
        <v>5903099102</v>
      </c>
      <c r="B11573" t="s">
        <v>16100</v>
      </c>
      <c r="C11573" t="s">
        <v>7</v>
      </c>
      <c r="D11573" t="s">
        <v>14</v>
      </c>
      <c r="E11573" t="s">
        <v>16082</v>
      </c>
      <c r="F11573" t="s">
        <v>16101</v>
      </c>
    </row>
    <row r="11574" spans="1:6" x14ac:dyDescent="0.25">
      <c r="A11574" t="str">
        <f>"590312650510"</f>
        <v>590312650510</v>
      </c>
      <c r="B11574" t="s">
        <v>16102</v>
      </c>
      <c r="C11574" t="s">
        <v>7</v>
      </c>
      <c r="D11574" t="s">
        <v>14</v>
      </c>
      <c r="E11574" t="s">
        <v>16082</v>
      </c>
    </row>
    <row r="11575" spans="1:6" x14ac:dyDescent="0.25">
      <c r="A11575" t="str">
        <f>"590313014080"</f>
        <v>590313014080</v>
      </c>
      <c r="B11575" t="s">
        <v>16103</v>
      </c>
      <c r="C11575" t="s">
        <v>7</v>
      </c>
      <c r="D11575" t="s">
        <v>12</v>
      </c>
      <c r="E11575" t="s">
        <v>16082</v>
      </c>
    </row>
    <row r="11576" spans="1:6" x14ac:dyDescent="0.25">
      <c r="A11576" t="str">
        <f>"5904292613"</f>
        <v>5904292613</v>
      </c>
      <c r="B11576" t="s">
        <v>16104</v>
      </c>
      <c r="C11576" t="s">
        <v>7</v>
      </c>
      <c r="D11576" t="s">
        <v>14</v>
      </c>
      <c r="E11576" t="s">
        <v>16082</v>
      </c>
      <c r="F11576" t="s">
        <v>16105</v>
      </c>
    </row>
    <row r="11577" spans="1:6" x14ac:dyDescent="0.25">
      <c r="A11577" t="str">
        <f>"5904299880"</f>
        <v>5904299880</v>
      </c>
      <c r="B11577" t="s">
        <v>16106</v>
      </c>
      <c r="C11577" t="s">
        <v>7</v>
      </c>
      <c r="D11577" t="s">
        <v>12</v>
      </c>
      <c r="E11577" t="s">
        <v>16082</v>
      </c>
      <c r="F11577" t="s">
        <v>16107</v>
      </c>
    </row>
    <row r="11578" spans="1:6" x14ac:dyDescent="0.25">
      <c r="A11578" t="str">
        <f>"5904651615"</f>
        <v>5904651615</v>
      </c>
      <c r="B11578" t="s">
        <v>16108</v>
      </c>
      <c r="C11578" t="s">
        <v>7</v>
      </c>
      <c r="D11578" t="s">
        <v>12</v>
      </c>
      <c r="E11578" t="s">
        <v>16082</v>
      </c>
      <c r="F11578" t="s">
        <v>16109</v>
      </c>
    </row>
    <row r="11579" spans="1:6" x14ac:dyDescent="0.25">
      <c r="A11579" t="str">
        <f>"590522250677"</f>
        <v>590522250677</v>
      </c>
      <c r="B11579" t="s">
        <v>16110</v>
      </c>
      <c r="C11579" t="s">
        <v>7</v>
      </c>
      <c r="D11579" t="s">
        <v>14</v>
      </c>
      <c r="E11579" t="s">
        <v>16082</v>
      </c>
    </row>
    <row r="11580" spans="1:6" x14ac:dyDescent="0.25">
      <c r="A11580" t="str">
        <f>"5905281340"</f>
        <v>5905281340</v>
      </c>
      <c r="B11580" t="s">
        <v>6323</v>
      </c>
      <c r="C11580" t="s">
        <v>7</v>
      </c>
      <c r="D11580" t="s">
        <v>28</v>
      </c>
      <c r="E11580" t="s">
        <v>16082</v>
      </c>
      <c r="F11580" t="s">
        <v>16111</v>
      </c>
    </row>
    <row r="11581" spans="1:6" x14ac:dyDescent="0.25">
      <c r="A11581" t="str">
        <f>"5905302430"</f>
        <v>5905302430</v>
      </c>
      <c r="B11581" t="s">
        <v>16112</v>
      </c>
      <c r="C11581" t="s">
        <v>7</v>
      </c>
      <c r="D11581" t="s">
        <v>12</v>
      </c>
      <c r="E11581" t="s">
        <v>16082</v>
      </c>
      <c r="F11581" t="s">
        <v>16113</v>
      </c>
    </row>
    <row r="11582" spans="1:6" x14ac:dyDescent="0.25">
      <c r="A11582" t="str">
        <f>"590610665293"</f>
        <v>590610665293</v>
      </c>
      <c r="B11582" t="s">
        <v>16114</v>
      </c>
      <c r="C11582" t="s">
        <v>7</v>
      </c>
      <c r="D11582" t="s">
        <v>14</v>
      </c>
      <c r="E11582" t="s">
        <v>16082</v>
      </c>
    </row>
    <row r="11583" spans="1:6" x14ac:dyDescent="0.25">
      <c r="A11583" t="str">
        <f>"5906182581"</f>
        <v>5906182581</v>
      </c>
      <c r="B11583" t="s">
        <v>16115</v>
      </c>
      <c r="C11583" t="s">
        <v>7</v>
      </c>
      <c r="D11583" t="s">
        <v>12</v>
      </c>
      <c r="E11583" t="s">
        <v>16082</v>
      </c>
      <c r="F11583" t="s">
        <v>16116</v>
      </c>
    </row>
    <row r="11584" spans="1:6" x14ac:dyDescent="0.25">
      <c r="A11584" t="str">
        <f>"590705855454"</f>
        <v>590705855454</v>
      </c>
      <c r="B11584" t="s">
        <v>16117</v>
      </c>
      <c r="C11584" t="s">
        <v>7</v>
      </c>
      <c r="D11584" t="s">
        <v>14</v>
      </c>
      <c r="E11584" t="s">
        <v>16082</v>
      </c>
    </row>
    <row r="11585" spans="1:6" x14ac:dyDescent="0.25">
      <c r="A11585" t="str">
        <f>"590708805194"</f>
        <v>590708805194</v>
      </c>
      <c r="B11585" t="s">
        <v>16118</v>
      </c>
      <c r="C11585" t="s">
        <v>7</v>
      </c>
      <c r="D11585" t="s">
        <v>14</v>
      </c>
      <c r="E11585" t="s">
        <v>16082</v>
      </c>
    </row>
    <row r="11586" spans="1:6" x14ac:dyDescent="0.25">
      <c r="A11586" t="str">
        <f>"590775117757"</f>
        <v>590775117757</v>
      </c>
      <c r="B11586" t="s">
        <v>16119</v>
      </c>
      <c r="C11586" t="s">
        <v>7</v>
      </c>
      <c r="D11586" t="s">
        <v>14</v>
      </c>
      <c r="E11586" t="s">
        <v>16082</v>
      </c>
    </row>
    <row r="11587" spans="1:6" x14ac:dyDescent="0.25">
      <c r="A11587" t="str">
        <f>"590847463050"</f>
        <v>590847463050</v>
      </c>
      <c r="B11587" t="s">
        <v>16120</v>
      </c>
      <c r="C11587" t="s">
        <v>7</v>
      </c>
      <c r="D11587" t="s">
        <v>14</v>
      </c>
      <c r="E11587" t="s">
        <v>16082</v>
      </c>
    </row>
    <row r="11588" spans="1:6" x14ac:dyDescent="0.25">
      <c r="A11588" t="str">
        <f>"591112164440"</f>
        <v>591112164440</v>
      </c>
      <c r="B11588" t="s">
        <v>16121</v>
      </c>
      <c r="C11588" t="s">
        <v>7</v>
      </c>
      <c r="D11588" t="s">
        <v>14</v>
      </c>
      <c r="E11588" t="s">
        <v>16082</v>
      </c>
    </row>
    <row r="11589" spans="1:6" x14ac:dyDescent="0.25">
      <c r="A11589" t="str">
        <f>"591703543194"</f>
        <v>591703543194</v>
      </c>
      <c r="B11589" t="s">
        <v>16122</v>
      </c>
      <c r="C11589" t="s">
        <v>7</v>
      </c>
      <c r="D11589" t="s">
        <v>14</v>
      </c>
      <c r="E11589" t="s">
        <v>16082</v>
      </c>
    </row>
    <row r="11590" spans="1:6" x14ac:dyDescent="0.25">
      <c r="A11590" t="str">
        <f>"591705272013"</f>
        <v>591705272013</v>
      </c>
      <c r="B11590" t="s">
        <v>16123</v>
      </c>
      <c r="C11590" t="s">
        <v>7</v>
      </c>
      <c r="D11590" t="s">
        <v>14</v>
      </c>
      <c r="E11590" t="s">
        <v>16082</v>
      </c>
    </row>
    <row r="11591" spans="1:6" x14ac:dyDescent="0.25">
      <c r="A11591" t="str">
        <f>"591708630274"</f>
        <v>591708630274</v>
      </c>
      <c r="B11591" t="s">
        <v>16124</v>
      </c>
      <c r="C11591" t="s">
        <v>7</v>
      </c>
      <c r="D11591" t="s">
        <v>14</v>
      </c>
      <c r="E11591" t="s">
        <v>16082</v>
      </c>
    </row>
    <row r="11592" spans="1:6" x14ac:dyDescent="0.25">
      <c r="A11592" t="str">
        <f>"591878179997"</f>
        <v>591878179997</v>
      </c>
      <c r="B11592" t="s">
        <v>16125</v>
      </c>
      <c r="C11592" t="s">
        <v>7</v>
      </c>
      <c r="D11592" t="s">
        <v>14</v>
      </c>
      <c r="E11592" t="s">
        <v>16082</v>
      </c>
    </row>
    <row r="11593" spans="1:6" x14ac:dyDescent="0.25">
      <c r="A11593" t="str">
        <f>"591904739704"</f>
        <v>591904739704</v>
      </c>
      <c r="B11593" t="s">
        <v>16126</v>
      </c>
      <c r="C11593" t="s">
        <v>7</v>
      </c>
      <c r="D11593" t="s">
        <v>14</v>
      </c>
      <c r="E11593" t="s">
        <v>16082</v>
      </c>
    </row>
    <row r="11594" spans="1:6" x14ac:dyDescent="0.25">
      <c r="A11594" t="str">
        <f>"592005416864"</f>
        <v>592005416864</v>
      </c>
      <c r="B11594" t="s">
        <v>16127</v>
      </c>
      <c r="C11594" t="s">
        <v>7</v>
      </c>
      <c r="D11594" t="s">
        <v>14</v>
      </c>
      <c r="E11594" t="s">
        <v>16082</v>
      </c>
    </row>
    <row r="11595" spans="1:6" x14ac:dyDescent="0.25">
      <c r="A11595" t="str">
        <f>"6319167333"</f>
        <v>6319167333</v>
      </c>
      <c r="B11595" t="s">
        <v>16128</v>
      </c>
      <c r="C11595" t="s">
        <v>7</v>
      </c>
      <c r="D11595" t="s">
        <v>12</v>
      </c>
      <c r="E11595" t="s">
        <v>16082</v>
      </c>
      <c r="F11595" t="s">
        <v>16129</v>
      </c>
    </row>
    <row r="11596" spans="1:6" x14ac:dyDescent="0.25">
      <c r="A11596" t="str">
        <f>"7203528046"</f>
        <v>7203528046</v>
      </c>
      <c r="B11596" t="s">
        <v>16130</v>
      </c>
      <c r="C11596" t="s">
        <v>7</v>
      </c>
      <c r="D11596" t="s">
        <v>14</v>
      </c>
      <c r="E11596" t="s">
        <v>16082</v>
      </c>
      <c r="F11596" t="s">
        <v>16131</v>
      </c>
    </row>
    <row r="11597" spans="1:6" x14ac:dyDescent="0.25">
      <c r="A11597" t="str">
        <f>"380900109289"</f>
        <v>380900109289</v>
      </c>
      <c r="B11597" t="s">
        <v>16132</v>
      </c>
      <c r="C11597" t="s">
        <v>7</v>
      </c>
      <c r="D11597" t="s">
        <v>14</v>
      </c>
      <c r="E11597" t="s">
        <v>16082</v>
      </c>
    </row>
    <row r="11598" spans="1:6" x14ac:dyDescent="0.25">
      <c r="A11598" t="str">
        <f>"810700020900"</f>
        <v>810700020900</v>
      </c>
      <c r="B11598" t="s">
        <v>16133</v>
      </c>
      <c r="C11598" t="s">
        <v>7</v>
      </c>
      <c r="D11598" t="s">
        <v>14</v>
      </c>
      <c r="E11598" t="s">
        <v>16082</v>
      </c>
    </row>
    <row r="11599" spans="1:6" x14ac:dyDescent="0.25">
      <c r="A11599" t="str">
        <f>"810700069616"</f>
        <v>810700069616</v>
      </c>
      <c r="B11599" t="s">
        <v>16134</v>
      </c>
      <c r="C11599" t="s">
        <v>7</v>
      </c>
      <c r="D11599" t="s">
        <v>14</v>
      </c>
      <c r="E11599" t="s">
        <v>16082</v>
      </c>
    </row>
    <row r="11600" spans="1:6" x14ac:dyDescent="0.25">
      <c r="A11600" t="str">
        <f>"810704737977"</f>
        <v>810704737977</v>
      </c>
      <c r="B11600" t="s">
        <v>16135</v>
      </c>
      <c r="C11600" t="s">
        <v>7</v>
      </c>
      <c r="D11600" t="s">
        <v>189</v>
      </c>
      <c r="E11600" t="s">
        <v>16082</v>
      </c>
    </row>
    <row r="11601" spans="1:6" x14ac:dyDescent="0.25">
      <c r="A11601" t="str">
        <f>"5902011070"</f>
        <v>5902011070</v>
      </c>
      <c r="B11601" t="s">
        <v>16136</v>
      </c>
      <c r="C11601" t="s">
        <v>7</v>
      </c>
      <c r="D11601" t="s">
        <v>14</v>
      </c>
      <c r="E11601" t="s">
        <v>16082</v>
      </c>
      <c r="F11601" t="s">
        <v>16137</v>
      </c>
    </row>
    <row r="11602" spans="1:6" x14ac:dyDescent="0.25">
      <c r="A11602" t="str">
        <f>"590202729566"</f>
        <v>590202729566</v>
      </c>
      <c r="B11602" t="s">
        <v>16138</v>
      </c>
      <c r="C11602" t="s">
        <v>7</v>
      </c>
      <c r="D11602" t="s">
        <v>14</v>
      </c>
      <c r="E11602" t="s">
        <v>16082</v>
      </c>
    </row>
    <row r="11603" spans="1:6" x14ac:dyDescent="0.25">
      <c r="A11603" t="str">
        <f>"5902052990"</f>
        <v>5902052990</v>
      </c>
      <c r="B11603" t="s">
        <v>16139</v>
      </c>
      <c r="C11603" t="s">
        <v>7</v>
      </c>
      <c r="D11603" t="s">
        <v>14</v>
      </c>
      <c r="E11603" t="s">
        <v>16082</v>
      </c>
      <c r="F11603" t="s">
        <v>16140</v>
      </c>
    </row>
    <row r="11604" spans="1:6" x14ac:dyDescent="0.25">
      <c r="A11604" t="str">
        <f>"5902066827"</f>
        <v>5902066827</v>
      </c>
      <c r="B11604" t="s">
        <v>14709</v>
      </c>
      <c r="C11604" t="s">
        <v>7</v>
      </c>
      <c r="D11604" t="s">
        <v>12</v>
      </c>
      <c r="E11604" t="s">
        <v>16082</v>
      </c>
      <c r="F11604" t="s">
        <v>16141</v>
      </c>
    </row>
    <row r="11605" spans="1:6" x14ac:dyDescent="0.25">
      <c r="A11605" t="str">
        <f>"5902070848"</f>
        <v>5902070848</v>
      </c>
      <c r="B11605" t="s">
        <v>16142</v>
      </c>
      <c r="C11605" t="s">
        <v>7</v>
      </c>
      <c r="D11605" t="s">
        <v>14</v>
      </c>
      <c r="E11605" t="s">
        <v>16082</v>
      </c>
      <c r="F11605" t="s">
        <v>16143</v>
      </c>
    </row>
    <row r="11606" spans="1:6" x14ac:dyDescent="0.25">
      <c r="A11606" t="str">
        <f>"5902127406"</f>
        <v>5902127406</v>
      </c>
      <c r="B11606" t="s">
        <v>16144</v>
      </c>
      <c r="C11606" t="s">
        <v>7</v>
      </c>
      <c r="D11606" t="s">
        <v>33</v>
      </c>
      <c r="E11606" t="s">
        <v>16082</v>
      </c>
      <c r="F11606" t="s">
        <v>16145</v>
      </c>
    </row>
    <row r="11607" spans="1:6" x14ac:dyDescent="0.25">
      <c r="A11607" t="str">
        <f>"5902242840"</f>
        <v>5902242840</v>
      </c>
      <c r="B11607" t="s">
        <v>16146</v>
      </c>
      <c r="C11607" t="s">
        <v>7</v>
      </c>
      <c r="D11607" t="s">
        <v>14</v>
      </c>
      <c r="E11607" t="s">
        <v>16082</v>
      </c>
      <c r="F11607" t="s">
        <v>16147</v>
      </c>
    </row>
    <row r="11608" spans="1:6" x14ac:dyDescent="0.25">
      <c r="A11608" t="str">
        <f>"5902806084"</f>
        <v>5902806084</v>
      </c>
      <c r="B11608" t="s">
        <v>16148</v>
      </c>
      <c r="C11608" t="s">
        <v>7</v>
      </c>
      <c r="D11608" t="s">
        <v>33</v>
      </c>
      <c r="E11608" t="s">
        <v>16082</v>
      </c>
      <c r="F11608" t="s">
        <v>16149</v>
      </c>
    </row>
    <row r="11609" spans="1:6" x14ac:dyDescent="0.25">
      <c r="A11609" t="str">
        <f>"5902823940"</f>
        <v>5902823940</v>
      </c>
      <c r="B11609" t="s">
        <v>16150</v>
      </c>
      <c r="C11609" t="s">
        <v>7</v>
      </c>
      <c r="D11609" t="s">
        <v>12</v>
      </c>
      <c r="E11609" t="s">
        <v>16082</v>
      </c>
      <c r="F11609" t="s">
        <v>16151</v>
      </c>
    </row>
    <row r="11610" spans="1:6" x14ac:dyDescent="0.25">
      <c r="A11610" t="str">
        <f>"5902832461"</f>
        <v>5902832461</v>
      </c>
      <c r="B11610" t="s">
        <v>16152</v>
      </c>
      <c r="C11610" t="s">
        <v>7</v>
      </c>
      <c r="D11610" t="s">
        <v>14</v>
      </c>
      <c r="E11610" t="s">
        <v>16082</v>
      </c>
      <c r="F11610" t="s">
        <v>16153</v>
      </c>
    </row>
    <row r="11611" spans="1:6" x14ac:dyDescent="0.25">
      <c r="A11611" t="str">
        <f>"5902886192"</f>
        <v>5902886192</v>
      </c>
      <c r="B11611" t="s">
        <v>16154</v>
      </c>
      <c r="C11611" t="s">
        <v>7</v>
      </c>
      <c r="D11611" t="s">
        <v>14</v>
      </c>
      <c r="E11611" t="s">
        <v>16082</v>
      </c>
      <c r="F11611" t="s">
        <v>16155</v>
      </c>
    </row>
    <row r="11612" spans="1:6" x14ac:dyDescent="0.25">
      <c r="A11612" t="str">
        <f>"590301863040"</f>
        <v>590301863040</v>
      </c>
      <c r="B11612" t="s">
        <v>16156</v>
      </c>
      <c r="C11612" t="s">
        <v>7</v>
      </c>
      <c r="D11612" t="s">
        <v>14</v>
      </c>
      <c r="E11612" t="s">
        <v>16082</v>
      </c>
    </row>
    <row r="11613" spans="1:6" x14ac:dyDescent="0.25">
      <c r="A11613" t="str">
        <f>"590302580207"</f>
        <v>590302580207</v>
      </c>
      <c r="B11613" t="s">
        <v>16157</v>
      </c>
      <c r="C11613" t="s">
        <v>7</v>
      </c>
      <c r="D11613" t="s">
        <v>33</v>
      </c>
      <c r="E11613" t="s">
        <v>16082</v>
      </c>
    </row>
    <row r="11614" spans="1:6" x14ac:dyDescent="0.25">
      <c r="A11614" t="str">
        <f>"5903049461"</f>
        <v>5903049461</v>
      </c>
      <c r="B11614" t="s">
        <v>16158</v>
      </c>
      <c r="C11614" t="s">
        <v>7</v>
      </c>
      <c r="D11614" t="s">
        <v>12</v>
      </c>
      <c r="E11614" t="s">
        <v>16082</v>
      </c>
      <c r="F11614" t="s">
        <v>16159</v>
      </c>
    </row>
    <row r="11615" spans="1:6" x14ac:dyDescent="0.25">
      <c r="A11615" t="str">
        <f>"5903065329"</f>
        <v>5903065329</v>
      </c>
      <c r="B11615" t="s">
        <v>16160</v>
      </c>
      <c r="C11615" t="s">
        <v>7</v>
      </c>
      <c r="D11615" t="s">
        <v>33</v>
      </c>
      <c r="E11615" t="s">
        <v>16082</v>
      </c>
      <c r="F11615" t="s">
        <v>16161</v>
      </c>
    </row>
    <row r="11616" spans="1:6" x14ac:dyDescent="0.25">
      <c r="A11616" t="str">
        <f>"590309330100"</f>
        <v>590309330100</v>
      </c>
      <c r="B11616" t="s">
        <v>16162</v>
      </c>
      <c r="C11616" t="s">
        <v>7</v>
      </c>
      <c r="D11616" t="s">
        <v>14</v>
      </c>
      <c r="E11616" t="s">
        <v>16082</v>
      </c>
    </row>
    <row r="11617" spans="1:6" x14ac:dyDescent="0.25">
      <c r="A11617" t="str">
        <f>"5903109720"</f>
        <v>5903109720</v>
      </c>
      <c r="B11617" t="s">
        <v>16163</v>
      </c>
      <c r="C11617" t="s">
        <v>7</v>
      </c>
      <c r="D11617" t="s">
        <v>12</v>
      </c>
      <c r="E11617" t="s">
        <v>16082</v>
      </c>
      <c r="F11617" t="s">
        <v>16164</v>
      </c>
    </row>
    <row r="11618" spans="1:6" x14ac:dyDescent="0.25">
      <c r="A11618" t="str">
        <f>"5903130419"</f>
        <v>5903130419</v>
      </c>
      <c r="B11618" t="s">
        <v>16165</v>
      </c>
      <c r="C11618" t="s">
        <v>7</v>
      </c>
      <c r="D11618" t="s">
        <v>14</v>
      </c>
      <c r="E11618" t="s">
        <v>16082</v>
      </c>
      <c r="F11618" t="s">
        <v>16166</v>
      </c>
    </row>
    <row r="11619" spans="1:6" x14ac:dyDescent="0.25">
      <c r="A11619" t="str">
        <f>"5903131941"</f>
        <v>5903131941</v>
      </c>
      <c r="B11619" t="s">
        <v>16167</v>
      </c>
      <c r="C11619" t="s">
        <v>7</v>
      </c>
      <c r="D11619" t="s">
        <v>33</v>
      </c>
      <c r="E11619" t="s">
        <v>16082</v>
      </c>
      <c r="F11619" t="s">
        <v>16168</v>
      </c>
    </row>
    <row r="11620" spans="1:6" x14ac:dyDescent="0.25">
      <c r="A11620" t="str">
        <f>"590313336715"</f>
        <v>590313336715</v>
      </c>
      <c r="B11620" t="s">
        <v>16169</v>
      </c>
      <c r="C11620" t="s">
        <v>7</v>
      </c>
      <c r="D11620" t="s">
        <v>14</v>
      </c>
      <c r="E11620" t="s">
        <v>16082</v>
      </c>
    </row>
    <row r="11621" spans="1:6" x14ac:dyDescent="0.25">
      <c r="A11621" t="str">
        <f>"5903154970"</f>
        <v>5903154970</v>
      </c>
      <c r="B11621" t="s">
        <v>16170</v>
      </c>
      <c r="C11621" t="s">
        <v>7</v>
      </c>
      <c r="D11621" t="s">
        <v>189</v>
      </c>
      <c r="E11621" t="s">
        <v>16082</v>
      </c>
      <c r="F11621" t="s">
        <v>16171</v>
      </c>
    </row>
    <row r="11622" spans="1:6" x14ac:dyDescent="0.25">
      <c r="A11622" t="str">
        <f>"5904018314"</f>
        <v>5904018314</v>
      </c>
      <c r="B11622" t="s">
        <v>16172</v>
      </c>
      <c r="C11622" t="s">
        <v>7</v>
      </c>
      <c r="D11622" t="s">
        <v>12</v>
      </c>
      <c r="E11622" t="s">
        <v>16082</v>
      </c>
      <c r="F11622" t="s">
        <v>16173</v>
      </c>
    </row>
    <row r="11623" spans="1:6" x14ac:dyDescent="0.25">
      <c r="A11623" t="str">
        <f>"590413522320"</f>
        <v>590413522320</v>
      </c>
      <c r="B11623" t="s">
        <v>16174</v>
      </c>
      <c r="C11623" t="s">
        <v>7</v>
      </c>
      <c r="D11623" t="s">
        <v>14</v>
      </c>
      <c r="E11623" t="s">
        <v>16082</v>
      </c>
    </row>
    <row r="11624" spans="1:6" x14ac:dyDescent="0.25">
      <c r="A11624" t="str">
        <f>"590413685075"</f>
        <v>590413685075</v>
      </c>
      <c r="B11624" t="s">
        <v>16175</v>
      </c>
      <c r="C11624" t="s">
        <v>7</v>
      </c>
      <c r="D11624" t="s">
        <v>14</v>
      </c>
      <c r="E11624" t="s">
        <v>16082</v>
      </c>
    </row>
    <row r="11625" spans="1:6" x14ac:dyDescent="0.25">
      <c r="A11625" t="str">
        <f>"590416271594"</f>
        <v>590416271594</v>
      </c>
      <c r="B11625" t="s">
        <v>16176</v>
      </c>
      <c r="C11625" t="s">
        <v>7</v>
      </c>
      <c r="D11625" t="s">
        <v>14</v>
      </c>
      <c r="E11625" t="s">
        <v>16082</v>
      </c>
    </row>
    <row r="11626" spans="1:6" x14ac:dyDescent="0.25">
      <c r="A11626" t="str">
        <f>"590417694426"</f>
        <v>590417694426</v>
      </c>
      <c r="B11626" t="s">
        <v>16177</v>
      </c>
      <c r="C11626" t="s">
        <v>7</v>
      </c>
      <c r="D11626" t="s">
        <v>14</v>
      </c>
      <c r="E11626" t="s">
        <v>16082</v>
      </c>
    </row>
    <row r="11627" spans="1:6" x14ac:dyDescent="0.25">
      <c r="A11627" t="str">
        <f>"5904190604"</f>
        <v>5904190604</v>
      </c>
      <c r="B11627" t="s">
        <v>16178</v>
      </c>
      <c r="C11627" t="s">
        <v>7</v>
      </c>
      <c r="D11627" t="s">
        <v>12</v>
      </c>
      <c r="E11627" t="s">
        <v>16082</v>
      </c>
      <c r="F11627" t="s">
        <v>16179</v>
      </c>
    </row>
    <row r="11628" spans="1:6" x14ac:dyDescent="0.25">
      <c r="A11628" t="str">
        <f>"590419240001"</f>
        <v>590419240001</v>
      </c>
      <c r="B11628" t="s">
        <v>16180</v>
      </c>
      <c r="C11628" t="s">
        <v>7</v>
      </c>
      <c r="D11628" t="s">
        <v>14</v>
      </c>
      <c r="E11628" t="s">
        <v>16082</v>
      </c>
    </row>
    <row r="11629" spans="1:6" x14ac:dyDescent="0.25">
      <c r="A11629" t="str">
        <f>"590421671206"</f>
        <v>590421671206</v>
      </c>
      <c r="B11629" t="s">
        <v>16181</v>
      </c>
      <c r="C11629" t="s">
        <v>7</v>
      </c>
      <c r="D11629" t="s">
        <v>14</v>
      </c>
      <c r="E11629" t="s">
        <v>16082</v>
      </c>
    </row>
    <row r="11630" spans="1:6" x14ac:dyDescent="0.25">
      <c r="A11630" t="str">
        <f>"5904264711"</f>
        <v>5904264711</v>
      </c>
      <c r="B11630" t="s">
        <v>16182</v>
      </c>
      <c r="C11630" t="s">
        <v>7</v>
      </c>
      <c r="D11630" t="s">
        <v>98</v>
      </c>
      <c r="E11630" t="s">
        <v>16082</v>
      </c>
      <c r="F11630" t="s">
        <v>16183</v>
      </c>
    </row>
    <row r="11631" spans="1:6" x14ac:dyDescent="0.25">
      <c r="A11631" t="str">
        <f>"5904301280"</f>
        <v>5904301280</v>
      </c>
      <c r="B11631" t="s">
        <v>16184</v>
      </c>
      <c r="C11631" t="s">
        <v>7</v>
      </c>
      <c r="D11631" t="s">
        <v>12</v>
      </c>
      <c r="E11631" t="s">
        <v>16082</v>
      </c>
      <c r="F11631" t="s">
        <v>16185</v>
      </c>
    </row>
    <row r="11632" spans="1:6" x14ac:dyDescent="0.25">
      <c r="A11632" t="str">
        <f>"5904311545"</f>
        <v>5904311545</v>
      </c>
      <c r="B11632" t="s">
        <v>16186</v>
      </c>
      <c r="C11632" t="s">
        <v>7</v>
      </c>
      <c r="D11632" t="s">
        <v>33</v>
      </c>
      <c r="E11632" t="s">
        <v>16082</v>
      </c>
      <c r="F11632" t="s">
        <v>16187</v>
      </c>
    </row>
    <row r="11633" spans="1:6" x14ac:dyDescent="0.25">
      <c r="A11633" t="str">
        <f>"5904351033"</f>
        <v>5904351033</v>
      </c>
      <c r="B11633" t="s">
        <v>16188</v>
      </c>
      <c r="C11633" t="s">
        <v>7</v>
      </c>
      <c r="D11633" t="s">
        <v>463</v>
      </c>
      <c r="E11633" t="s">
        <v>16082</v>
      </c>
      <c r="F11633" t="s">
        <v>16189</v>
      </c>
    </row>
    <row r="11634" spans="1:6" x14ac:dyDescent="0.25">
      <c r="A11634" t="str">
        <f>"5904374930"</f>
        <v>5904374930</v>
      </c>
      <c r="B11634" t="s">
        <v>1008</v>
      </c>
      <c r="C11634" t="s">
        <v>7</v>
      </c>
      <c r="D11634" t="s">
        <v>189</v>
      </c>
      <c r="E11634" t="s">
        <v>16082</v>
      </c>
      <c r="F11634" t="s">
        <v>16190</v>
      </c>
    </row>
    <row r="11635" spans="1:6" x14ac:dyDescent="0.25">
      <c r="A11635" t="str">
        <f>"5902069970"</f>
        <v>5902069970</v>
      </c>
      <c r="B11635" t="s">
        <v>16191</v>
      </c>
      <c r="C11635" t="s">
        <v>7</v>
      </c>
      <c r="D11635" t="s">
        <v>14</v>
      </c>
      <c r="E11635" t="s">
        <v>16082</v>
      </c>
      <c r="F11635" t="s">
        <v>16192</v>
      </c>
    </row>
    <row r="11636" spans="1:6" x14ac:dyDescent="0.25">
      <c r="A11636" t="str">
        <f>"5902070220"</f>
        <v>5902070220</v>
      </c>
      <c r="B11636" t="s">
        <v>16193</v>
      </c>
      <c r="C11636" t="s">
        <v>7</v>
      </c>
      <c r="D11636" t="s">
        <v>14</v>
      </c>
      <c r="E11636" t="s">
        <v>16082</v>
      </c>
      <c r="F11636" t="s">
        <v>16194</v>
      </c>
    </row>
    <row r="11637" spans="1:6" x14ac:dyDescent="0.25">
      <c r="A11637" t="str">
        <f>"5902119010"</f>
        <v>5902119010</v>
      </c>
      <c r="B11637" t="s">
        <v>16195</v>
      </c>
      <c r="C11637" t="s">
        <v>7</v>
      </c>
      <c r="D11637" t="s">
        <v>33</v>
      </c>
      <c r="E11637" t="s">
        <v>16082</v>
      </c>
      <c r="F11637" t="s">
        <v>16196</v>
      </c>
    </row>
    <row r="11638" spans="1:6" x14ac:dyDescent="0.25">
      <c r="A11638" t="str">
        <f>"5902835511"</f>
        <v>5902835511</v>
      </c>
      <c r="B11638" t="s">
        <v>16197</v>
      </c>
      <c r="C11638" t="s">
        <v>7</v>
      </c>
      <c r="D11638" t="s">
        <v>14</v>
      </c>
      <c r="E11638" t="s">
        <v>16082</v>
      </c>
      <c r="F11638" t="s">
        <v>16198</v>
      </c>
    </row>
    <row r="11639" spans="1:6" x14ac:dyDescent="0.25">
      <c r="A11639" t="str">
        <f>"5902851545"</f>
        <v>5902851545</v>
      </c>
      <c r="B11639" t="s">
        <v>16199</v>
      </c>
      <c r="C11639" t="s">
        <v>7</v>
      </c>
      <c r="D11639" t="s">
        <v>12</v>
      </c>
      <c r="E11639" t="s">
        <v>16082</v>
      </c>
      <c r="F11639" t="s">
        <v>16200</v>
      </c>
    </row>
    <row r="11640" spans="1:6" x14ac:dyDescent="0.25">
      <c r="A11640" t="str">
        <f>"5902863653"</f>
        <v>5902863653</v>
      </c>
      <c r="B11640" t="s">
        <v>3750</v>
      </c>
      <c r="C11640" t="s">
        <v>7</v>
      </c>
      <c r="D11640" t="s">
        <v>14</v>
      </c>
      <c r="E11640" t="s">
        <v>16082</v>
      </c>
      <c r="F11640" t="s">
        <v>16201</v>
      </c>
    </row>
    <row r="11641" spans="1:6" x14ac:dyDescent="0.25">
      <c r="A11641" t="str">
        <f>"5902886210"</f>
        <v>5902886210</v>
      </c>
      <c r="B11641" t="s">
        <v>16202</v>
      </c>
      <c r="C11641" t="s">
        <v>7</v>
      </c>
      <c r="D11641" t="s">
        <v>14</v>
      </c>
      <c r="E11641" t="s">
        <v>16082</v>
      </c>
      <c r="F11641" t="s">
        <v>16203</v>
      </c>
    </row>
    <row r="11642" spans="1:6" x14ac:dyDescent="0.25">
      <c r="A11642" t="str">
        <f>"5902997640"</f>
        <v>5902997640</v>
      </c>
      <c r="B11642" t="s">
        <v>16204</v>
      </c>
      <c r="C11642" t="s">
        <v>7</v>
      </c>
      <c r="D11642" t="s">
        <v>14</v>
      </c>
      <c r="E11642" t="s">
        <v>16082</v>
      </c>
      <c r="F11642" t="s">
        <v>16205</v>
      </c>
    </row>
    <row r="11643" spans="1:6" x14ac:dyDescent="0.25">
      <c r="A11643" t="str">
        <f>"590300214300"</f>
        <v>590300214300</v>
      </c>
      <c r="B11643" t="s">
        <v>16206</v>
      </c>
      <c r="C11643" t="s">
        <v>7</v>
      </c>
      <c r="D11643" t="s">
        <v>33</v>
      </c>
      <c r="E11643" t="s">
        <v>16082</v>
      </c>
    </row>
    <row r="11644" spans="1:6" x14ac:dyDescent="0.25">
      <c r="A11644" t="str">
        <f>"590300352244"</f>
        <v>590300352244</v>
      </c>
      <c r="B11644" t="s">
        <v>16207</v>
      </c>
      <c r="C11644" t="s">
        <v>7</v>
      </c>
      <c r="D11644" t="s">
        <v>14</v>
      </c>
      <c r="E11644" t="s">
        <v>16082</v>
      </c>
    </row>
    <row r="11645" spans="1:6" x14ac:dyDescent="0.25">
      <c r="A11645" t="str">
        <f>"5903043082"</f>
        <v>5903043082</v>
      </c>
      <c r="B11645" t="s">
        <v>16208</v>
      </c>
      <c r="C11645" t="s">
        <v>7</v>
      </c>
      <c r="D11645" t="s">
        <v>33</v>
      </c>
      <c r="E11645" t="s">
        <v>16082</v>
      </c>
      <c r="F11645" t="s">
        <v>16209</v>
      </c>
    </row>
    <row r="11646" spans="1:6" x14ac:dyDescent="0.25">
      <c r="A11646" t="str">
        <f>"590305426725"</f>
        <v>590305426725</v>
      </c>
      <c r="B11646" t="s">
        <v>16210</v>
      </c>
      <c r="C11646" t="s">
        <v>7</v>
      </c>
      <c r="D11646" t="s">
        <v>12</v>
      </c>
      <c r="E11646" t="s">
        <v>16082</v>
      </c>
    </row>
    <row r="11647" spans="1:6" x14ac:dyDescent="0.25">
      <c r="A11647" t="str">
        <f>"5903060923"</f>
        <v>5903060923</v>
      </c>
      <c r="B11647" t="s">
        <v>1389</v>
      </c>
      <c r="C11647" t="s">
        <v>7</v>
      </c>
      <c r="D11647" t="s">
        <v>33</v>
      </c>
      <c r="E11647" t="s">
        <v>16082</v>
      </c>
      <c r="F11647" t="s">
        <v>16211</v>
      </c>
    </row>
    <row r="11648" spans="1:6" x14ac:dyDescent="0.25">
      <c r="A11648" t="str">
        <f>"5903066234"</f>
        <v>5903066234</v>
      </c>
      <c r="B11648" t="s">
        <v>16212</v>
      </c>
      <c r="C11648" t="s">
        <v>7</v>
      </c>
      <c r="D11648" t="s">
        <v>14</v>
      </c>
      <c r="E11648" t="s">
        <v>16082</v>
      </c>
      <c r="F11648" t="s">
        <v>16213</v>
      </c>
    </row>
    <row r="11649" spans="1:6" x14ac:dyDescent="0.25">
      <c r="A11649" t="str">
        <f>"5903066259"</f>
        <v>5903066259</v>
      </c>
      <c r="B11649" t="s">
        <v>16214</v>
      </c>
      <c r="C11649" t="s">
        <v>7</v>
      </c>
      <c r="D11649" t="s">
        <v>14</v>
      </c>
      <c r="E11649" t="s">
        <v>16082</v>
      </c>
      <c r="F11649" t="s">
        <v>16215</v>
      </c>
    </row>
    <row r="11650" spans="1:6" x14ac:dyDescent="0.25">
      <c r="A11650" t="str">
        <f>"590310377858"</f>
        <v>590310377858</v>
      </c>
      <c r="B11650" t="s">
        <v>16216</v>
      </c>
      <c r="C11650" t="s">
        <v>7</v>
      </c>
      <c r="D11650" t="s">
        <v>28</v>
      </c>
      <c r="E11650" t="s">
        <v>16082</v>
      </c>
    </row>
    <row r="11651" spans="1:6" x14ac:dyDescent="0.25">
      <c r="A11651" t="str">
        <f>"5903109456"</f>
        <v>5903109456</v>
      </c>
      <c r="B11651" t="s">
        <v>16217</v>
      </c>
      <c r="C11651" t="s">
        <v>7</v>
      </c>
      <c r="D11651" t="s">
        <v>463</v>
      </c>
      <c r="E11651" t="s">
        <v>16082</v>
      </c>
      <c r="F11651" t="s">
        <v>16218</v>
      </c>
    </row>
    <row r="11652" spans="1:6" x14ac:dyDescent="0.25">
      <c r="A11652" t="str">
        <f>"5903126941"</f>
        <v>5903126941</v>
      </c>
      <c r="B11652" t="s">
        <v>16219</v>
      </c>
      <c r="C11652" t="s">
        <v>7</v>
      </c>
      <c r="D11652" t="s">
        <v>12</v>
      </c>
      <c r="E11652" t="s">
        <v>16082</v>
      </c>
      <c r="F11652" t="s">
        <v>16220</v>
      </c>
    </row>
    <row r="11653" spans="1:6" x14ac:dyDescent="0.25">
      <c r="A11653" t="str">
        <f>"590312898951"</f>
        <v>590312898951</v>
      </c>
      <c r="B11653" t="s">
        <v>16221</v>
      </c>
      <c r="C11653" t="s">
        <v>7</v>
      </c>
      <c r="D11653" t="s">
        <v>14</v>
      </c>
      <c r="E11653" t="s">
        <v>16082</v>
      </c>
    </row>
    <row r="11654" spans="1:6" x14ac:dyDescent="0.25">
      <c r="A11654" t="str">
        <f>"590314148351"</f>
        <v>590314148351</v>
      </c>
      <c r="B11654" t="s">
        <v>16222</v>
      </c>
      <c r="C11654" t="s">
        <v>7</v>
      </c>
      <c r="D11654" t="s">
        <v>14</v>
      </c>
      <c r="E11654" t="s">
        <v>16082</v>
      </c>
    </row>
    <row r="11655" spans="1:6" x14ac:dyDescent="0.25">
      <c r="A11655" t="str">
        <f>"590316437542"</f>
        <v>590316437542</v>
      </c>
      <c r="B11655" t="s">
        <v>16223</v>
      </c>
      <c r="C11655" t="s">
        <v>7</v>
      </c>
      <c r="D11655" t="s">
        <v>14</v>
      </c>
      <c r="E11655" t="s">
        <v>16082</v>
      </c>
    </row>
    <row r="11656" spans="1:6" x14ac:dyDescent="0.25">
      <c r="A11656" t="str">
        <f>"590401975848"</f>
        <v>590401975848</v>
      </c>
      <c r="B11656" t="s">
        <v>16224</v>
      </c>
      <c r="C11656" t="s">
        <v>7</v>
      </c>
      <c r="D11656" t="s">
        <v>12</v>
      </c>
      <c r="E11656" t="s">
        <v>16082</v>
      </c>
    </row>
    <row r="11657" spans="1:6" x14ac:dyDescent="0.25">
      <c r="A11657" t="str">
        <f>"5904140434"</f>
        <v>5904140434</v>
      </c>
      <c r="B11657" t="s">
        <v>16225</v>
      </c>
      <c r="C11657" t="s">
        <v>7</v>
      </c>
      <c r="D11657" t="s">
        <v>12</v>
      </c>
      <c r="E11657" t="s">
        <v>16082</v>
      </c>
      <c r="F11657" t="s">
        <v>16226</v>
      </c>
    </row>
    <row r="11658" spans="1:6" x14ac:dyDescent="0.25">
      <c r="A11658" t="str">
        <f>"590416131318"</f>
        <v>590416131318</v>
      </c>
      <c r="B11658" t="s">
        <v>16227</v>
      </c>
      <c r="C11658" t="s">
        <v>7</v>
      </c>
      <c r="D11658" t="s">
        <v>14</v>
      </c>
      <c r="E11658" t="s">
        <v>16082</v>
      </c>
    </row>
    <row r="11659" spans="1:6" x14ac:dyDescent="0.25">
      <c r="A11659" t="str">
        <f>"590417441986"</f>
        <v>590417441986</v>
      </c>
      <c r="B11659" t="s">
        <v>16228</v>
      </c>
      <c r="C11659" t="s">
        <v>7</v>
      </c>
      <c r="D11659" t="s">
        <v>14</v>
      </c>
      <c r="E11659" t="s">
        <v>16082</v>
      </c>
    </row>
    <row r="11660" spans="1:6" x14ac:dyDescent="0.25">
      <c r="A11660" t="str">
        <f>"5904190668"</f>
        <v>5904190668</v>
      </c>
      <c r="B11660" t="s">
        <v>8622</v>
      </c>
      <c r="C11660" t="s">
        <v>7</v>
      </c>
      <c r="D11660" t="s">
        <v>14</v>
      </c>
      <c r="E11660" t="s">
        <v>16082</v>
      </c>
      <c r="F11660" t="s">
        <v>16173</v>
      </c>
    </row>
    <row r="11661" spans="1:6" x14ac:dyDescent="0.25">
      <c r="A11661" t="str">
        <f>"5904205635"</f>
        <v>5904205635</v>
      </c>
      <c r="B11661" t="s">
        <v>16229</v>
      </c>
      <c r="C11661" t="s">
        <v>7</v>
      </c>
      <c r="D11661" t="s">
        <v>12</v>
      </c>
      <c r="E11661" t="s">
        <v>16082</v>
      </c>
      <c r="F11661" t="s">
        <v>16218</v>
      </c>
    </row>
    <row r="11662" spans="1:6" x14ac:dyDescent="0.25">
      <c r="A11662" t="str">
        <f>"810100428133"</f>
        <v>810100428133</v>
      </c>
      <c r="B11662" t="s">
        <v>16230</v>
      </c>
      <c r="C11662" t="s">
        <v>7</v>
      </c>
      <c r="D11662" t="s">
        <v>12</v>
      </c>
      <c r="E11662" t="s">
        <v>16082</v>
      </c>
    </row>
    <row r="11663" spans="1:6" x14ac:dyDescent="0.25">
      <c r="A11663" t="str">
        <f>"810201531289"</f>
        <v>810201531289</v>
      </c>
      <c r="B11663" t="s">
        <v>16231</v>
      </c>
      <c r="C11663" t="s">
        <v>7</v>
      </c>
      <c r="D11663" t="s">
        <v>14</v>
      </c>
      <c r="E11663" t="s">
        <v>16082</v>
      </c>
    </row>
    <row r="11664" spans="1:6" x14ac:dyDescent="0.25">
      <c r="A11664" t="str">
        <f>"810400009870"</f>
        <v>810400009870</v>
      </c>
      <c r="B11664" t="s">
        <v>16232</v>
      </c>
      <c r="C11664" t="s">
        <v>7</v>
      </c>
      <c r="D11664" t="s">
        <v>14</v>
      </c>
      <c r="E11664" t="s">
        <v>16082</v>
      </c>
    </row>
    <row r="11665" spans="1:6" x14ac:dyDescent="0.25">
      <c r="A11665" t="str">
        <f>"810703413352"</f>
        <v>810703413352</v>
      </c>
      <c r="B11665" t="s">
        <v>16233</v>
      </c>
      <c r="C11665" t="s">
        <v>7</v>
      </c>
      <c r="D11665" t="s">
        <v>14</v>
      </c>
      <c r="E11665" t="s">
        <v>16082</v>
      </c>
    </row>
    <row r="11666" spans="1:6" x14ac:dyDescent="0.25">
      <c r="A11666" t="str">
        <f>"8602207173"</f>
        <v>8602207173</v>
      </c>
      <c r="B11666" t="s">
        <v>16234</v>
      </c>
      <c r="C11666" t="s">
        <v>7</v>
      </c>
      <c r="D11666" t="s">
        <v>14</v>
      </c>
      <c r="E11666" t="s">
        <v>16082</v>
      </c>
      <c r="F11666" t="s">
        <v>16235</v>
      </c>
    </row>
    <row r="11667" spans="1:6" x14ac:dyDescent="0.25">
      <c r="A11667" t="str">
        <f>"810300072075"</f>
        <v>810300072075</v>
      </c>
      <c r="B11667" t="s">
        <v>16236</v>
      </c>
      <c r="C11667" t="s">
        <v>7</v>
      </c>
      <c r="D11667" t="s">
        <v>14</v>
      </c>
      <c r="E11667" t="s">
        <v>16082</v>
      </c>
    </row>
    <row r="11668" spans="1:6" x14ac:dyDescent="0.25">
      <c r="A11668" t="str">
        <f>"810700022696"</f>
        <v>810700022696</v>
      </c>
      <c r="B11668" t="s">
        <v>16237</v>
      </c>
      <c r="C11668" t="s">
        <v>7</v>
      </c>
      <c r="D11668" t="s">
        <v>14</v>
      </c>
      <c r="E11668" t="s">
        <v>16082</v>
      </c>
    </row>
    <row r="11669" spans="1:6" x14ac:dyDescent="0.25">
      <c r="A11669" t="str">
        <f>"810700950623"</f>
        <v>810700950623</v>
      </c>
      <c r="B11669" t="s">
        <v>16238</v>
      </c>
      <c r="C11669" t="s">
        <v>7</v>
      </c>
      <c r="D11669" t="s">
        <v>14</v>
      </c>
      <c r="E11669" t="s">
        <v>16082</v>
      </c>
    </row>
    <row r="11670" spans="1:6" x14ac:dyDescent="0.25">
      <c r="A11670" t="str">
        <f>"5902012821"</f>
        <v>5902012821</v>
      </c>
      <c r="B11670" t="s">
        <v>16239</v>
      </c>
      <c r="C11670" t="s">
        <v>7</v>
      </c>
      <c r="D11670" t="s">
        <v>14</v>
      </c>
      <c r="E11670" t="s">
        <v>16082</v>
      </c>
      <c r="F11670" t="s">
        <v>16240</v>
      </c>
    </row>
    <row r="11671" spans="1:6" x14ac:dyDescent="0.25">
      <c r="A11671" t="str">
        <f>"590201990221"</f>
        <v>590201990221</v>
      </c>
      <c r="B11671" t="s">
        <v>16241</v>
      </c>
      <c r="C11671" t="s">
        <v>7</v>
      </c>
      <c r="D11671" t="s">
        <v>14</v>
      </c>
      <c r="E11671" t="s">
        <v>16082</v>
      </c>
    </row>
    <row r="11672" spans="1:6" x14ac:dyDescent="0.25">
      <c r="A11672" t="str">
        <f>"5902036043"</f>
        <v>5902036043</v>
      </c>
      <c r="B11672" t="s">
        <v>16242</v>
      </c>
      <c r="C11672" t="s">
        <v>7</v>
      </c>
      <c r="D11672" t="s">
        <v>14</v>
      </c>
      <c r="E11672" t="s">
        <v>16082</v>
      </c>
      <c r="F11672" t="s">
        <v>16243</v>
      </c>
    </row>
    <row r="11673" spans="1:6" x14ac:dyDescent="0.25">
      <c r="A11673" t="str">
        <f>"5902049317"</f>
        <v>5902049317</v>
      </c>
      <c r="B11673" t="s">
        <v>16244</v>
      </c>
      <c r="C11673" t="s">
        <v>7</v>
      </c>
      <c r="D11673" t="s">
        <v>33</v>
      </c>
      <c r="E11673" t="s">
        <v>16082</v>
      </c>
      <c r="F11673" t="s">
        <v>16245</v>
      </c>
    </row>
    <row r="11674" spans="1:6" x14ac:dyDescent="0.25">
      <c r="A11674" t="str">
        <f>"5902050023"</f>
        <v>5902050023</v>
      </c>
      <c r="B11674" t="s">
        <v>556</v>
      </c>
      <c r="C11674" t="s">
        <v>7</v>
      </c>
      <c r="D11674" t="s">
        <v>8</v>
      </c>
      <c r="E11674" t="s">
        <v>16082</v>
      </c>
      <c r="F11674" t="s">
        <v>16246</v>
      </c>
    </row>
    <row r="11675" spans="1:6" x14ac:dyDescent="0.25">
      <c r="A11675" t="str">
        <f>"5902055511"</f>
        <v>5902055511</v>
      </c>
      <c r="B11675" t="s">
        <v>16247</v>
      </c>
      <c r="C11675" t="s">
        <v>7</v>
      </c>
      <c r="D11675" t="s">
        <v>14</v>
      </c>
      <c r="E11675" t="s">
        <v>16082</v>
      </c>
      <c r="F11675" t="s">
        <v>16248</v>
      </c>
    </row>
    <row r="11676" spans="1:6" x14ac:dyDescent="0.25">
      <c r="A11676" t="str">
        <f>"5902134202"</f>
        <v>5902134202</v>
      </c>
      <c r="B11676" t="s">
        <v>16249</v>
      </c>
      <c r="C11676" t="s">
        <v>7</v>
      </c>
      <c r="D11676" t="s">
        <v>12</v>
      </c>
      <c r="E11676" t="s">
        <v>16082</v>
      </c>
      <c r="F11676" t="s">
        <v>16250</v>
      </c>
    </row>
    <row r="11677" spans="1:6" x14ac:dyDescent="0.25">
      <c r="A11677" t="str">
        <f>"5902824005"</f>
        <v>5902824005</v>
      </c>
      <c r="B11677" t="s">
        <v>16251</v>
      </c>
      <c r="C11677" t="s">
        <v>7</v>
      </c>
      <c r="D11677" t="s">
        <v>12</v>
      </c>
      <c r="E11677" t="s">
        <v>16082</v>
      </c>
      <c r="F11677" t="s">
        <v>16252</v>
      </c>
    </row>
    <row r="11678" spans="1:6" x14ac:dyDescent="0.25">
      <c r="A11678" t="str">
        <f>"590300831159"</f>
        <v>590300831159</v>
      </c>
      <c r="B11678" t="s">
        <v>16253</v>
      </c>
      <c r="C11678" t="s">
        <v>7</v>
      </c>
      <c r="D11678" t="s">
        <v>14</v>
      </c>
      <c r="E11678" t="s">
        <v>16082</v>
      </c>
    </row>
    <row r="11679" spans="1:6" x14ac:dyDescent="0.25">
      <c r="A11679" t="str">
        <f>"5903094231"</f>
        <v>5903094231</v>
      </c>
      <c r="B11679" t="s">
        <v>16254</v>
      </c>
      <c r="C11679" t="s">
        <v>7</v>
      </c>
      <c r="D11679" t="s">
        <v>14</v>
      </c>
      <c r="E11679" t="s">
        <v>16082</v>
      </c>
      <c r="F11679" t="s">
        <v>16255</v>
      </c>
    </row>
    <row r="11680" spans="1:6" x14ac:dyDescent="0.25">
      <c r="A11680" t="str">
        <f>"5903101739"</f>
        <v>5903101739</v>
      </c>
      <c r="B11680" t="s">
        <v>16256</v>
      </c>
      <c r="C11680" t="s">
        <v>7</v>
      </c>
      <c r="D11680" t="s">
        <v>14</v>
      </c>
      <c r="E11680" t="s">
        <v>16082</v>
      </c>
      <c r="F11680" t="s">
        <v>16105</v>
      </c>
    </row>
    <row r="11681" spans="1:6" x14ac:dyDescent="0.25">
      <c r="A11681" t="str">
        <f>"5903102010"</f>
        <v>5903102010</v>
      </c>
      <c r="B11681" t="s">
        <v>16257</v>
      </c>
      <c r="C11681" t="s">
        <v>7</v>
      </c>
      <c r="D11681" t="s">
        <v>146</v>
      </c>
      <c r="E11681" t="s">
        <v>16082</v>
      </c>
      <c r="F11681" t="s">
        <v>16258</v>
      </c>
    </row>
    <row r="11682" spans="1:6" x14ac:dyDescent="0.25">
      <c r="A11682" t="str">
        <f>"590310941418"</f>
        <v>590310941418</v>
      </c>
      <c r="B11682" t="s">
        <v>16259</v>
      </c>
      <c r="C11682" t="s">
        <v>7</v>
      </c>
      <c r="D11682" t="s">
        <v>14</v>
      </c>
      <c r="E11682" t="s">
        <v>16082</v>
      </c>
    </row>
    <row r="11683" spans="1:6" x14ac:dyDescent="0.25">
      <c r="A11683" t="str">
        <f>"5903133240"</f>
        <v>5903133240</v>
      </c>
      <c r="B11683" t="s">
        <v>16260</v>
      </c>
      <c r="C11683" t="s">
        <v>7</v>
      </c>
      <c r="D11683" t="s">
        <v>12</v>
      </c>
      <c r="E11683" t="s">
        <v>16082</v>
      </c>
      <c r="F11683" t="s">
        <v>16261</v>
      </c>
    </row>
    <row r="11684" spans="1:6" x14ac:dyDescent="0.25">
      <c r="A11684" t="str">
        <f>"5903149956"</f>
        <v>5903149956</v>
      </c>
      <c r="B11684" t="s">
        <v>16262</v>
      </c>
      <c r="C11684" t="s">
        <v>7</v>
      </c>
      <c r="D11684" t="s">
        <v>1430</v>
      </c>
      <c r="E11684" t="s">
        <v>16082</v>
      </c>
      <c r="F11684" t="s">
        <v>16263</v>
      </c>
    </row>
    <row r="11685" spans="1:6" x14ac:dyDescent="0.25">
      <c r="A11685" t="str">
        <f>"5903155798"</f>
        <v>5903155798</v>
      </c>
      <c r="B11685" t="s">
        <v>16264</v>
      </c>
      <c r="C11685" t="s">
        <v>7</v>
      </c>
      <c r="D11685" t="s">
        <v>12</v>
      </c>
      <c r="E11685" t="s">
        <v>16082</v>
      </c>
      <c r="F11685" t="s">
        <v>16265</v>
      </c>
    </row>
    <row r="11686" spans="1:6" x14ac:dyDescent="0.25">
      <c r="A11686" t="str">
        <f>"5903161248"</f>
        <v>5903161248</v>
      </c>
      <c r="B11686" t="s">
        <v>16266</v>
      </c>
      <c r="C11686" t="s">
        <v>7</v>
      </c>
      <c r="D11686" t="s">
        <v>12</v>
      </c>
      <c r="E11686" t="s">
        <v>16082</v>
      </c>
      <c r="F11686" t="s">
        <v>16267</v>
      </c>
    </row>
    <row r="11687" spans="1:6" x14ac:dyDescent="0.25">
      <c r="A11687" t="str">
        <f>"590318772874"</f>
        <v>590318772874</v>
      </c>
      <c r="B11687" t="s">
        <v>16268</v>
      </c>
      <c r="C11687" t="s">
        <v>7</v>
      </c>
      <c r="D11687" t="s">
        <v>146</v>
      </c>
      <c r="E11687" t="s">
        <v>16082</v>
      </c>
    </row>
    <row r="11688" spans="1:6" x14ac:dyDescent="0.25">
      <c r="A11688" t="str">
        <f>"590400743280"</f>
        <v>590400743280</v>
      </c>
      <c r="B11688" t="s">
        <v>16269</v>
      </c>
      <c r="C11688" t="s">
        <v>7</v>
      </c>
      <c r="D11688" t="s">
        <v>14</v>
      </c>
      <c r="E11688" t="s">
        <v>16082</v>
      </c>
    </row>
    <row r="11689" spans="1:6" x14ac:dyDescent="0.25">
      <c r="A11689" t="str">
        <f>"590400992801"</f>
        <v>590400992801</v>
      </c>
      <c r="B11689" t="s">
        <v>16270</v>
      </c>
      <c r="C11689" t="s">
        <v>7</v>
      </c>
      <c r="D11689" t="s">
        <v>14</v>
      </c>
      <c r="E11689" t="s">
        <v>16082</v>
      </c>
    </row>
    <row r="11690" spans="1:6" x14ac:dyDescent="0.25">
      <c r="A11690" t="str">
        <f>"590401215149"</f>
        <v>590401215149</v>
      </c>
      <c r="B11690" t="s">
        <v>16271</v>
      </c>
      <c r="C11690" t="s">
        <v>7</v>
      </c>
      <c r="D11690" t="s">
        <v>12</v>
      </c>
      <c r="E11690" t="s">
        <v>16082</v>
      </c>
    </row>
    <row r="11691" spans="1:6" x14ac:dyDescent="0.25">
      <c r="A11691" t="str">
        <f>"5904038127"</f>
        <v>5904038127</v>
      </c>
      <c r="B11691" t="s">
        <v>16272</v>
      </c>
      <c r="C11691" t="s">
        <v>7</v>
      </c>
      <c r="D11691" t="s">
        <v>33</v>
      </c>
      <c r="E11691" t="s">
        <v>16082</v>
      </c>
      <c r="F11691" t="s">
        <v>16273</v>
      </c>
    </row>
    <row r="11692" spans="1:6" x14ac:dyDescent="0.25">
      <c r="A11692" t="str">
        <f>"5904072880"</f>
        <v>5904072880</v>
      </c>
      <c r="B11692" t="s">
        <v>16274</v>
      </c>
      <c r="C11692" t="s">
        <v>7</v>
      </c>
      <c r="D11692" t="s">
        <v>33</v>
      </c>
      <c r="E11692" t="s">
        <v>16082</v>
      </c>
      <c r="F11692" t="s">
        <v>16275</v>
      </c>
    </row>
    <row r="11693" spans="1:6" x14ac:dyDescent="0.25">
      <c r="A11693" t="str">
        <f>"590408575373"</f>
        <v>590408575373</v>
      </c>
      <c r="B11693" t="s">
        <v>16276</v>
      </c>
      <c r="C11693" t="s">
        <v>7</v>
      </c>
      <c r="D11693" t="s">
        <v>14</v>
      </c>
      <c r="E11693" t="s">
        <v>16082</v>
      </c>
    </row>
    <row r="11694" spans="1:6" x14ac:dyDescent="0.25">
      <c r="A11694" t="str">
        <f>"590409270085"</f>
        <v>590409270085</v>
      </c>
      <c r="B11694" t="s">
        <v>16277</v>
      </c>
      <c r="C11694" t="s">
        <v>7</v>
      </c>
      <c r="D11694" t="s">
        <v>14</v>
      </c>
      <c r="E11694" t="s">
        <v>16082</v>
      </c>
    </row>
    <row r="11695" spans="1:6" x14ac:dyDescent="0.25">
      <c r="A11695" t="str">
        <f>"590410382731"</f>
        <v>590410382731</v>
      </c>
      <c r="B11695" t="s">
        <v>16278</v>
      </c>
      <c r="C11695" t="s">
        <v>7</v>
      </c>
      <c r="D11695" t="s">
        <v>12</v>
      </c>
      <c r="E11695" t="s">
        <v>16082</v>
      </c>
    </row>
    <row r="11696" spans="1:6" x14ac:dyDescent="0.25">
      <c r="A11696" t="str">
        <f>"5904113159"</f>
        <v>5904113159</v>
      </c>
      <c r="B11696" t="s">
        <v>16279</v>
      </c>
      <c r="C11696" t="s">
        <v>7</v>
      </c>
      <c r="D11696" t="s">
        <v>14</v>
      </c>
      <c r="E11696" t="s">
        <v>16082</v>
      </c>
      <c r="F11696" t="s">
        <v>16215</v>
      </c>
    </row>
    <row r="11697" spans="1:6" x14ac:dyDescent="0.25">
      <c r="A11697" t="str">
        <f>"590411371228"</f>
        <v>590411371228</v>
      </c>
      <c r="B11697" t="s">
        <v>16280</v>
      </c>
      <c r="C11697" t="s">
        <v>7</v>
      </c>
      <c r="D11697" t="s">
        <v>12</v>
      </c>
      <c r="E11697" t="s">
        <v>16082</v>
      </c>
    </row>
    <row r="11698" spans="1:6" x14ac:dyDescent="0.25">
      <c r="A11698" t="str">
        <f>"590415799247"</f>
        <v>590415799247</v>
      </c>
      <c r="B11698" t="s">
        <v>16281</v>
      </c>
      <c r="C11698" t="s">
        <v>7</v>
      </c>
      <c r="D11698" t="s">
        <v>12</v>
      </c>
      <c r="E11698" t="s">
        <v>16082</v>
      </c>
    </row>
    <row r="11699" spans="1:6" x14ac:dyDescent="0.25">
      <c r="A11699" t="str">
        <f>"590417628247"</f>
        <v>590417628247</v>
      </c>
      <c r="B11699" t="s">
        <v>16282</v>
      </c>
      <c r="C11699" t="s">
        <v>7</v>
      </c>
      <c r="D11699" t="s">
        <v>12</v>
      </c>
      <c r="E11699" t="s">
        <v>16082</v>
      </c>
    </row>
    <row r="11700" spans="1:6" x14ac:dyDescent="0.25">
      <c r="A11700" t="str">
        <f>"5904198508"</f>
        <v>5904198508</v>
      </c>
      <c r="B11700" t="s">
        <v>16283</v>
      </c>
      <c r="C11700" t="s">
        <v>7</v>
      </c>
      <c r="D11700" t="s">
        <v>12</v>
      </c>
      <c r="E11700" t="s">
        <v>16082</v>
      </c>
      <c r="F11700" t="s">
        <v>16284</v>
      </c>
    </row>
    <row r="11701" spans="1:6" x14ac:dyDescent="0.25">
      <c r="A11701" t="str">
        <f>"5904201006"</f>
        <v>5904201006</v>
      </c>
      <c r="B11701" t="s">
        <v>16285</v>
      </c>
      <c r="C11701" t="s">
        <v>7</v>
      </c>
      <c r="D11701" t="s">
        <v>12</v>
      </c>
      <c r="E11701" t="s">
        <v>16082</v>
      </c>
      <c r="F11701" t="s">
        <v>16286</v>
      </c>
    </row>
    <row r="11702" spans="1:6" x14ac:dyDescent="0.25">
      <c r="A11702" t="str">
        <f>"5904201013"</f>
        <v>5904201013</v>
      </c>
      <c r="B11702" t="s">
        <v>16287</v>
      </c>
      <c r="C11702" t="s">
        <v>7</v>
      </c>
      <c r="D11702" t="s">
        <v>12</v>
      </c>
      <c r="E11702" t="s">
        <v>16082</v>
      </c>
      <c r="F11702" t="s">
        <v>16288</v>
      </c>
    </row>
    <row r="11703" spans="1:6" x14ac:dyDescent="0.25">
      <c r="A11703" t="str">
        <f>"5904210667"</f>
        <v>5904210667</v>
      </c>
      <c r="B11703" t="s">
        <v>16289</v>
      </c>
      <c r="C11703" t="s">
        <v>7</v>
      </c>
      <c r="D11703" t="s">
        <v>14</v>
      </c>
      <c r="E11703" t="s">
        <v>16082</v>
      </c>
      <c r="F11703" t="s">
        <v>16290</v>
      </c>
    </row>
    <row r="11704" spans="1:6" x14ac:dyDescent="0.25">
      <c r="A11704" t="str">
        <f>"590421227784"</f>
        <v>590421227784</v>
      </c>
      <c r="B11704" t="s">
        <v>16291</v>
      </c>
      <c r="C11704" t="s">
        <v>7</v>
      </c>
      <c r="D11704" t="s">
        <v>14</v>
      </c>
      <c r="E11704" t="s">
        <v>16082</v>
      </c>
    </row>
    <row r="11705" spans="1:6" x14ac:dyDescent="0.25">
      <c r="A11705" t="str">
        <f>"590422174831"</f>
        <v>590422174831</v>
      </c>
      <c r="B11705" t="s">
        <v>16292</v>
      </c>
      <c r="C11705" t="s">
        <v>7</v>
      </c>
      <c r="D11705" t="s">
        <v>14</v>
      </c>
      <c r="E11705" t="s">
        <v>16082</v>
      </c>
    </row>
    <row r="11706" spans="1:6" x14ac:dyDescent="0.25">
      <c r="A11706" t="str">
        <f>"5904400065"</f>
        <v>5904400065</v>
      </c>
      <c r="B11706" t="s">
        <v>16293</v>
      </c>
      <c r="C11706" t="s">
        <v>7</v>
      </c>
      <c r="D11706" t="s">
        <v>33</v>
      </c>
      <c r="E11706" t="s">
        <v>16082</v>
      </c>
      <c r="F11706" t="s">
        <v>16294</v>
      </c>
    </row>
    <row r="11707" spans="1:6" x14ac:dyDescent="0.25">
      <c r="A11707" t="str">
        <f>"5904408628"</f>
        <v>5904408628</v>
      </c>
      <c r="B11707" t="s">
        <v>16295</v>
      </c>
      <c r="C11707" t="s">
        <v>7</v>
      </c>
      <c r="D11707" t="s">
        <v>33</v>
      </c>
      <c r="E11707" t="s">
        <v>16082</v>
      </c>
      <c r="F11707" t="s">
        <v>16296</v>
      </c>
    </row>
    <row r="11708" spans="1:6" x14ac:dyDescent="0.25">
      <c r="A11708" t="str">
        <f>"5904643082"</f>
        <v>5904643082</v>
      </c>
      <c r="B11708" t="s">
        <v>16297</v>
      </c>
      <c r="C11708" t="s">
        <v>7</v>
      </c>
      <c r="D11708" t="s">
        <v>33</v>
      </c>
      <c r="E11708" t="s">
        <v>16082</v>
      </c>
      <c r="F11708" t="s">
        <v>16298</v>
      </c>
    </row>
    <row r="11709" spans="1:6" x14ac:dyDescent="0.25">
      <c r="A11709" t="str">
        <f>"590501803899"</f>
        <v>590501803899</v>
      </c>
      <c r="B11709" t="s">
        <v>16299</v>
      </c>
      <c r="C11709" t="s">
        <v>7</v>
      </c>
      <c r="D11709" t="s">
        <v>14</v>
      </c>
      <c r="E11709" t="s">
        <v>16082</v>
      </c>
    </row>
    <row r="11710" spans="1:6" x14ac:dyDescent="0.25">
      <c r="A11710" t="str">
        <f>"5905055799"</f>
        <v>5905055799</v>
      </c>
      <c r="B11710" t="s">
        <v>4700</v>
      </c>
      <c r="C11710" t="s">
        <v>7</v>
      </c>
      <c r="D11710" t="s">
        <v>33</v>
      </c>
      <c r="E11710" t="s">
        <v>16082</v>
      </c>
      <c r="F11710" t="s">
        <v>16300</v>
      </c>
    </row>
    <row r="11711" spans="1:6" x14ac:dyDescent="0.25">
      <c r="A11711" t="str">
        <f>"5905058800"</f>
        <v>5905058800</v>
      </c>
      <c r="B11711" t="s">
        <v>16301</v>
      </c>
      <c r="C11711" t="s">
        <v>7</v>
      </c>
      <c r="D11711" t="s">
        <v>33</v>
      </c>
      <c r="E11711" t="s">
        <v>16082</v>
      </c>
      <c r="F11711" t="s">
        <v>16302</v>
      </c>
    </row>
    <row r="11712" spans="1:6" x14ac:dyDescent="0.25">
      <c r="A11712" t="str">
        <f>"5905070606"</f>
        <v>5905070606</v>
      </c>
      <c r="B11712" t="s">
        <v>16303</v>
      </c>
      <c r="C11712" t="s">
        <v>7</v>
      </c>
      <c r="D11712" t="s">
        <v>33</v>
      </c>
      <c r="E11712" t="s">
        <v>16082</v>
      </c>
      <c r="F11712" t="s">
        <v>16304</v>
      </c>
    </row>
    <row r="11713" spans="1:6" x14ac:dyDescent="0.25">
      <c r="A11713" t="str">
        <f>"590522025671"</f>
        <v>590522025671</v>
      </c>
      <c r="B11713" t="s">
        <v>16305</v>
      </c>
      <c r="C11713" t="s">
        <v>7</v>
      </c>
      <c r="D11713" t="s">
        <v>14</v>
      </c>
      <c r="E11713" t="s">
        <v>16082</v>
      </c>
    </row>
    <row r="11714" spans="1:6" x14ac:dyDescent="0.25">
      <c r="A11714" t="str">
        <f>"590522415738"</f>
        <v>590522415738</v>
      </c>
      <c r="B11714" t="s">
        <v>16306</v>
      </c>
      <c r="C11714" t="s">
        <v>7</v>
      </c>
      <c r="D11714" t="s">
        <v>12</v>
      </c>
      <c r="E11714" t="s">
        <v>16082</v>
      </c>
    </row>
    <row r="11715" spans="1:6" x14ac:dyDescent="0.25">
      <c r="A11715" t="str">
        <f>"5905273155"</f>
        <v>5905273155</v>
      </c>
      <c r="B11715" t="s">
        <v>16307</v>
      </c>
      <c r="C11715" t="s">
        <v>7</v>
      </c>
      <c r="D11715" t="s">
        <v>12</v>
      </c>
      <c r="E11715" t="s">
        <v>16082</v>
      </c>
      <c r="F11715" t="s">
        <v>16308</v>
      </c>
    </row>
    <row r="11716" spans="1:6" x14ac:dyDescent="0.25">
      <c r="A11716" t="str">
        <f>"590585040993"</f>
        <v>590585040993</v>
      </c>
      <c r="B11716" t="s">
        <v>16309</v>
      </c>
      <c r="C11716" t="s">
        <v>7</v>
      </c>
      <c r="D11716" t="s">
        <v>12</v>
      </c>
      <c r="E11716" t="s">
        <v>16082</v>
      </c>
    </row>
    <row r="11717" spans="1:6" x14ac:dyDescent="0.25">
      <c r="A11717" t="str">
        <f>"590587001742"</f>
        <v>590587001742</v>
      </c>
      <c r="B11717" t="s">
        <v>16310</v>
      </c>
      <c r="C11717" t="s">
        <v>7</v>
      </c>
      <c r="D11717" t="s">
        <v>14</v>
      </c>
      <c r="E11717" t="s">
        <v>16082</v>
      </c>
    </row>
    <row r="11718" spans="1:6" x14ac:dyDescent="0.25">
      <c r="A11718" t="str">
        <f>"590605666703"</f>
        <v>590605666703</v>
      </c>
      <c r="B11718" t="s">
        <v>16311</v>
      </c>
      <c r="C11718" t="s">
        <v>7</v>
      </c>
      <c r="D11718" t="s">
        <v>12</v>
      </c>
      <c r="E11718" t="s">
        <v>16082</v>
      </c>
    </row>
    <row r="11719" spans="1:6" x14ac:dyDescent="0.25">
      <c r="A11719" t="str">
        <f>"5906099710"</f>
        <v>5906099710</v>
      </c>
      <c r="B11719" t="s">
        <v>16312</v>
      </c>
      <c r="C11719" t="s">
        <v>7</v>
      </c>
      <c r="D11719" t="s">
        <v>14</v>
      </c>
      <c r="E11719" t="s">
        <v>16082</v>
      </c>
      <c r="F11719" t="s">
        <v>16313</v>
      </c>
    </row>
    <row r="11720" spans="1:6" x14ac:dyDescent="0.25">
      <c r="A11720" t="str">
        <f>"590610296222"</f>
        <v>590610296222</v>
      </c>
      <c r="B11720" t="s">
        <v>16314</v>
      </c>
      <c r="C11720" t="s">
        <v>7</v>
      </c>
      <c r="D11720" t="s">
        <v>14</v>
      </c>
      <c r="E11720" t="s">
        <v>16082</v>
      </c>
    </row>
    <row r="11721" spans="1:6" x14ac:dyDescent="0.25">
      <c r="A11721" t="str">
        <f>"5906104576"</f>
        <v>5906104576</v>
      </c>
      <c r="B11721" t="s">
        <v>16315</v>
      </c>
      <c r="C11721" t="s">
        <v>7</v>
      </c>
      <c r="D11721" t="s">
        <v>33</v>
      </c>
      <c r="E11721" t="s">
        <v>16082</v>
      </c>
      <c r="F11721" t="s">
        <v>16316</v>
      </c>
    </row>
    <row r="11722" spans="1:6" x14ac:dyDescent="0.25">
      <c r="A11722" t="str">
        <f>"5906167008"</f>
        <v>5906167008</v>
      </c>
      <c r="B11722" t="s">
        <v>6097</v>
      </c>
      <c r="C11722" t="s">
        <v>7</v>
      </c>
      <c r="D11722" t="s">
        <v>12</v>
      </c>
      <c r="E11722" t="s">
        <v>16082</v>
      </c>
      <c r="F11722" t="s">
        <v>16317</v>
      </c>
    </row>
    <row r="11723" spans="1:6" x14ac:dyDescent="0.25">
      <c r="A11723" t="str">
        <f>"5906174012"</f>
        <v>5906174012</v>
      </c>
      <c r="B11723" t="s">
        <v>16318</v>
      </c>
      <c r="C11723" t="s">
        <v>7</v>
      </c>
      <c r="D11723" t="s">
        <v>14</v>
      </c>
      <c r="E11723" t="s">
        <v>16082</v>
      </c>
      <c r="F11723" t="s">
        <v>16319</v>
      </c>
    </row>
    <row r="11724" spans="1:6" x14ac:dyDescent="0.25">
      <c r="A11724" t="str">
        <f>"5906174252"</f>
        <v>5906174252</v>
      </c>
      <c r="B11724" t="s">
        <v>16320</v>
      </c>
      <c r="C11724" t="s">
        <v>7</v>
      </c>
      <c r="D11724" t="s">
        <v>463</v>
      </c>
      <c r="E11724" t="s">
        <v>16082</v>
      </c>
      <c r="F11724" t="s">
        <v>16321</v>
      </c>
    </row>
    <row r="11725" spans="1:6" x14ac:dyDescent="0.25">
      <c r="A11725" t="str">
        <f>"5907000280"</f>
        <v>5907000280</v>
      </c>
      <c r="B11725" t="s">
        <v>16322</v>
      </c>
      <c r="C11725" t="s">
        <v>7</v>
      </c>
      <c r="D11725" t="s">
        <v>14</v>
      </c>
      <c r="E11725" t="s">
        <v>16082</v>
      </c>
      <c r="F11725" t="s">
        <v>16323</v>
      </c>
    </row>
    <row r="11726" spans="1:6" x14ac:dyDescent="0.25">
      <c r="A11726" t="str">
        <f>"5907040220"</f>
        <v>5907040220</v>
      </c>
      <c r="B11726" t="s">
        <v>16324</v>
      </c>
      <c r="C11726" t="s">
        <v>7</v>
      </c>
      <c r="D11726" t="s">
        <v>14</v>
      </c>
      <c r="E11726" t="s">
        <v>16082</v>
      </c>
      <c r="F11726" t="s">
        <v>16325</v>
      </c>
    </row>
    <row r="11727" spans="1:6" x14ac:dyDescent="0.25">
      <c r="A11727" t="str">
        <f>"590704805676"</f>
        <v>590704805676</v>
      </c>
      <c r="B11727" t="s">
        <v>16326</v>
      </c>
      <c r="C11727" t="s">
        <v>7</v>
      </c>
      <c r="D11727" t="s">
        <v>14</v>
      </c>
      <c r="E11727" t="s">
        <v>16082</v>
      </c>
    </row>
    <row r="11728" spans="1:6" x14ac:dyDescent="0.25">
      <c r="A11728" t="str">
        <f>"590706361659"</f>
        <v>590706361659</v>
      </c>
      <c r="B11728" t="s">
        <v>16327</v>
      </c>
      <c r="C11728" t="s">
        <v>7</v>
      </c>
      <c r="D11728" t="s">
        <v>33</v>
      </c>
      <c r="E11728" t="s">
        <v>16082</v>
      </c>
    </row>
    <row r="11729" spans="1:6" x14ac:dyDescent="0.25">
      <c r="A11729" t="str">
        <f>"590709416345"</f>
        <v>590709416345</v>
      </c>
      <c r="B11729" t="s">
        <v>16328</v>
      </c>
      <c r="C11729" t="s">
        <v>7</v>
      </c>
      <c r="D11729" t="s">
        <v>14</v>
      </c>
      <c r="E11729" t="s">
        <v>16082</v>
      </c>
    </row>
    <row r="11730" spans="1:6" x14ac:dyDescent="0.25">
      <c r="A11730" t="str">
        <f>"590801130838"</f>
        <v>590801130838</v>
      </c>
      <c r="B11730" t="s">
        <v>16329</v>
      </c>
      <c r="C11730" t="s">
        <v>7</v>
      </c>
      <c r="D11730" t="s">
        <v>12</v>
      </c>
      <c r="E11730" t="s">
        <v>16082</v>
      </c>
    </row>
    <row r="11731" spans="1:6" x14ac:dyDescent="0.25">
      <c r="A11731" t="str">
        <f>"590801682839"</f>
        <v>590801682839</v>
      </c>
      <c r="B11731" t="s">
        <v>16330</v>
      </c>
      <c r="C11731" t="s">
        <v>7</v>
      </c>
      <c r="D11731" t="s">
        <v>14</v>
      </c>
      <c r="E11731" t="s">
        <v>16082</v>
      </c>
    </row>
    <row r="11732" spans="1:6" x14ac:dyDescent="0.25">
      <c r="A11732" t="str">
        <f>"5908022897"</f>
        <v>5908022897</v>
      </c>
      <c r="B11732" t="s">
        <v>16331</v>
      </c>
      <c r="C11732" t="s">
        <v>7</v>
      </c>
      <c r="D11732" t="s">
        <v>14</v>
      </c>
      <c r="E11732" t="s">
        <v>16082</v>
      </c>
      <c r="F11732" t="s">
        <v>16332</v>
      </c>
    </row>
    <row r="11733" spans="1:6" x14ac:dyDescent="0.25">
      <c r="A11733" t="str">
        <f>"5908029130"</f>
        <v>5908029130</v>
      </c>
      <c r="B11733" t="s">
        <v>16333</v>
      </c>
      <c r="C11733" t="s">
        <v>7</v>
      </c>
      <c r="D11733" t="s">
        <v>14</v>
      </c>
      <c r="E11733" t="s">
        <v>16082</v>
      </c>
      <c r="F11733" t="s">
        <v>16334</v>
      </c>
    </row>
    <row r="11734" spans="1:6" x14ac:dyDescent="0.25">
      <c r="A11734" t="str">
        <f>"590811552557"</f>
        <v>590811552557</v>
      </c>
      <c r="B11734" t="s">
        <v>16335</v>
      </c>
      <c r="C11734" t="s">
        <v>7</v>
      </c>
      <c r="D11734" t="s">
        <v>12</v>
      </c>
      <c r="E11734" t="s">
        <v>16082</v>
      </c>
    </row>
    <row r="11735" spans="1:6" x14ac:dyDescent="0.25">
      <c r="A11735" t="str">
        <f>"590849298772"</f>
        <v>590849298772</v>
      </c>
      <c r="B11735" t="s">
        <v>16336</v>
      </c>
      <c r="C11735" t="s">
        <v>7</v>
      </c>
      <c r="D11735" t="s">
        <v>12</v>
      </c>
      <c r="E11735" t="s">
        <v>16082</v>
      </c>
    </row>
    <row r="11736" spans="1:6" x14ac:dyDescent="0.25">
      <c r="A11736" t="str">
        <f>"591002389755"</f>
        <v>591002389755</v>
      </c>
      <c r="B11736" t="s">
        <v>16337</v>
      </c>
      <c r="C11736" t="s">
        <v>7</v>
      </c>
      <c r="D11736" t="s">
        <v>14</v>
      </c>
      <c r="E11736" t="s">
        <v>16082</v>
      </c>
    </row>
    <row r="11737" spans="1:6" x14ac:dyDescent="0.25">
      <c r="A11737" t="str">
        <f>"591100036204"</f>
        <v>591100036204</v>
      </c>
      <c r="B11737" t="s">
        <v>16338</v>
      </c>
      <c r="C11737" t="s">
        <v>7</v>
      </c>
      <c r="D11737" t="s">
        <v>14</v>
      </c>
      <c r="E11737" t="s">
        <v>16082</v>
      </c>
    </row>
    <row r="11738" spans="1:6" x14ac:dyDescent="0.25">
      <c r="A11738" t="str">
        <f>"591100155378"</f>
        <v>591100155378</v>
      </c>
      <c r="B11738" t="s">
        <v>16339</v>
      </c>
      <c r="C11738" t="s">
        <v>7</v>
      </c>
      <c r="D11738" t="s">
        <v>14</v>
      </c>
      <c r="E11738" t="s">
        <v>16082</v>
      </c>
    </row>
    <row r="11739" spans="1:6" x14ac:dyDescent="0.25">
      <c r="A11739" t="str">
        <f>"5911038400"</f>
        <v>5911038400</v>
      </c>
      <c r="B11739" t="s">
        <v>1386</v>
      </c>
      <c r="C11739" t="s">
        <v>7</v>
      </c>
      <c r="D11739" t="s">
        <v>33</v>
      </c>
      <c r="E11739" t="s">
        <v>16082</v>
      </c>
      <c r="F11739" t="s">
        <v>16340</v>
      </c>
    </row>
    <row r="11740" spans="1:6" x14ac:dyDescent="0.25">
      <c r="A11740" t="str">
        <f>"5911063854"</f>
        <v>5911063854</v>
      </c>
      <c r="B11740" t="s">
        <v>10717</v>
      </c>
      <c r="C11740" t="s">
        <v>7</v>
      </c>
      <c r="D11740" t="s">
        <v>33</v>
      </c>
      <c r="E11740" t="s">
        <v>16082</v>
      </c>
      <c r="F11740" t="s">
        <v>16341</v>
      </c>
    </row>
    <row r="11741" spans="1:6" x14ac:dyDescent="0.25">
      <c r="A11741" t="str">
        <f>"591110256657"</f>
        <v>591110256657</v>
      </c>
      <c r="B11741" t="s">
        <v>16342</v>
      </c>
      <c r="C11741" t="s">
        <v>7</v>
      </c>
      <c r="D11741" t="s">
        <v>14</v>
      </c>
      <c r="E11741" t="s">
        <v>16082</v>
      </c>
    </row>
    <row r="11742" spans="1:6" x14ac:dyDescent="0.25">
      <c r="A11742" t="str">
        <f>"591110531977"</f>
        <v>591110531977</v>
      </c>
      <c r="B11742" t="s">
        <v>16343</v>
      </c>
      <c r="C11742" t="s">
        <v>7</v>
      </c>
      <c r="D11742" t="s">
        <v>14</v>
      </c>
      <c r="E11742" t="s">
        <v>16082</v>
      </c>
    </row>
    <row r="11743" spans="1:6" x14ac:dyDescent="0.25">
      <c r="A11743" t="str">
        <f>"591304432735"</f>
        <v>591304432735</v>
      </c>
      <c r="B11743" t="s">
        <v>16344</v>
      </c>
      <c r="C11743" t="s">
        <v>7</v>
      </c>
      <c r="D11743" t="s">
        <v>14</v>
      </c>
      <c r="E11743" t="s">
        <v>16082</v>
      </c>
    </row>
    <row r="11744" spans="1:6" x14ac:dyDescent="0.25">
      <c r="A11744" t="str">
        <f>"591400114020"</f>
        <v>591400114020</v>
      </c>
      <c r="B11744" t="s">
        <v>16345</v>
      </c>
      <c r="C11744" t="s">
        <v>7</v>
      </c>
      <c r="D11744" t="s">
        <v>14</v>
      </c>
      <c r="E11744" t="s">
        <v>16082</v>
      </c>
    </row>
    <row r="11745" spans="1:6" x14ac:dyDescent="0.25">
      <c r="A11745" t="str">
        <f>"591501655787"</f>
        <v>591501655787</v>
      </c>
      <c r="B11745" t="s">
        <v>16346</v>
      </c>
      <c r="C11745" t="s">
        <v>7</v>
      </c>
      <c r="D11745" t="s">
        <v>14</v>
      </c>
      <c r="E11745" t="s">
        <v>16082</v>
      </c>
    </row>
    <row r="11746" spans="1:6" x14ac:dyDescent="0.25">
      <c r="A11746" t="str">
        <f>"591603400749"</f>
        <v>591603400749</v>
      </c>
      <c r="B11746" t="s">
        <v>16347</v>
      </c>
      <c r="C11746" t="s">
        <v>7</v>
      </c>
      <c r="D11746" t="s">
        <v>12</v>
      </c>
      <c r="E11746" t="s">
        <v>16082</v>
      </c>
    </row>
    <row r="11747" spans="1:6" x14ac:dyDescent="0.25">
      <c r="A11747" t="str">
        <f>"591604855918"</f>
        <v>591604855918</v>
      </c>
      <c r="B11747" t="s">
        <v>16348</v>
      </c>
      <c r="C11747" t="s">
        <v>7</v>
      </c>
      <c r="D11747" t="s">
        <v>14</v>
      </c>
      <c r="E11747" t="s">
        <v>16082</v>
      </c>
    </row>
    <row r="11748" spans="1:6" x14ac:dyDescent="0.25">
      <c r="A11748" t="str">
        <f>"591704861785"</f>
        <v>591704861785</v>
      </c>
      <c r="B11748" t="s">
        <v>16349</v>
      </c>
      <c r="C11748" t="s">
        <v>7</v>
      </c>
      <c r="D11748" t="s">
        <v>14</v>
      </c>
      <c r="E11748" t="s">
        <v>16082</v>
      </c>
    </row>
    <row r="11749" spans="1:6" x14ac:dyDescent="0.25">
      <c r="A11749" t="str">
        <f>"591704892670"</f>
        <v>591704892670</v>
      </c>
      <c r="B11749" t="s">
        <v>16350</v>
      </c>
      <c r="C11749" t="s">
        <v>7</v>
      </c>
      <c r="D11749" t="s">
        <v>33</v>
      </c>
      <c r="E11749" t="s">
        <v>16082</v>
      </c>
    </row>
    <row r="11750" spans="1:6" x14ac:dyDescent="0.25">
      <c r="A11750" t="str">
        <f>"591705019268"</f>
        <v>591705019268</v>
      </c>
      <c r="B11750" t="s">
        <v>16351</v>
      </c>
      <c r="C11750" t="s">
        <v>7</v>
      </c>
      <c r="D11750" t="s">
        <v>14</v>
      </c>
      <c r="E11750" t="s">
        <v>16082</v>
      </c>
    </row>
    <row r="11751" spans="1:6" x14ac:dyDescent="0.25">
      <c r="A11751" t="str">
        <f>"591708669024"</f>
        <v>591708669024</v>
      </c>
      <c r="B11751" t="s">
        <v>16352</v>
      </c>
      <c r="C11751" t="s">
        <v>7</v>
      </c>
      <c r="D11751" t="s">
        <v>14</v>
      </c>
      <c r="E11751" t="s">
        <v>16082</v>
      </c>
    </row>
    <row r="11752" spans="1:6" x14ac:dyDescent="0.25">
      <c r="A11752" t="str">
        <f>"5917594450"</f>
        <v>5917594450</v>
      </c>
      <c r="B11752" t="s">
        <v>16353</v>
      </c>
      <c r="C11752" t="s">
        <v>7</v>
      </c>
      <c r="D11752" t="s">
        <v>14</v>
      </c>
      <c r="E11752" t="s">
        <v>16082</v>
      </c>
      <c r="F11752" t="s">
        <v>16354</v>
      </c>
    </row>
    <row r="11753" spans="1:6" x14ac:dyDescent="0.25">
      <c r="A11753" t="str">
        <f>"591805515887"</f>
        <v>591805515887</v>
      </c>
      <c r="B11753" t="s">
        <v>16355</v>
      </c>
      <c r="C11753" t="s">
        <v>7</v>
      </c>
      <c r="D11753" t="s">
        <v>14</v>
      </c>
      <c r="E11753" t="s">
        <v>16082</v>
      </c>
    </row>
    <row r="11754" spans="1:6" x14ac:dyDescent="0.25">
      <c r="A11754" t="str">
        <f>"591878947141"</f>
        <v>591878947141</v>
      </c>
      <c r="B11754" t="s">
        <v>16356</v>
      </c>
      <c r="C11754" t="s">
        <v>7</v>
      </c>
      <c r="D11754" t="s">
        <v>14</v>
      </c>
      <c r="E11754" t="s">
        <v>16082</v>
      </c>
    </row>
    <row r="11755" spans="1:6" x14ac:dyDescent="0.25">
      <c r="A11755" t="str">
        <f>"5919002437"</f>
        <v>5919002437</v>
      </c>
      <c r="B11755" t="s">
        <v>16357</v>
      </c>
      <c r="C11755" t="s">
        <v>7</v>
      </c>
      <c r="D11755" t="s">
        <v>33</v>
      </c>
      <c r="E11755" t="s">
        <v>16082</v>
      </c>
      <c r="F11755" t="s">
        <v>16358</v>
      </c>
    </row>
    <row r="11756" spans="1:6" x14ac:dyDescent="0.25">
      <c r="A11756" t="str">
        <f>"5919008439"</f>
        <v>5919008439</v>
      </c>
      <c r="B11756" t="s">
        <v>16359</v>
      </c>
      <c r="C11756" t="s">
        <v>7</v>
      </c>
      <c r="D11756" t="s">
        <v>14</v>
      </c>
      <c r="E11756" t="s">
        <v>16082</v>
      </c>
      <c r="F11756" t="s">
        <v>16360</v>
      </c>
    </row>
    <row r="11757" spans="1:6" x14ac:dyDescent="0.25">
      <c r="A11757" t="str">
        <f>"5919028210"</f>
        <v>5919028210</v>
      </c>
      <c r="B11757" t="s">
        <v>16361</v>
      </c>
      <c r="C11757" t="s">
        <v>7</v>
      </c>
      <c r="D11757" t="s">
        <v>14</v>
      </c>
      <c r="E11757" t="s">
        <v>16082</v>
      </c>
      <c r="F11757" t="s">
        <v>16362</v>
      </c>
    </row>
    <row r="11758" spans="1:6" x14ac:dyDescent="0.25">
      <c r="A11758" t="str">
        <f>"591903398554"</f>
        <v>591903398554</v>
      </c>
      <c r="B11758" t="s">
        <v>16363</v>
      </c>
      <c r="C11758" t="s">
        <v>7</v>
      </c>
      <c r="D11758" t="s">
        <v>14</v>
      </c>
      <c r="E11758" t="s">
        <v>16082</v>
      </c>
    </row>
    <row r="11759" spans="1:6" x14ac:dyDescent="0.25">
      <c r="A11759" t="str">
        <f>"5919035087"</f>
        <v>5919035087</v>
      </c>
      <c r="B11759" t="s">
        <v>14070</v>
      </c>
      <c r="C11759" t="s">
        <v>7</v>
      </c>
      <c r="D11759" t="s">
        <v>12</v>
      </c>
      <c r="E11759" t="s">
        <v>16082</v>
      </c>
      <c r="F11759" t="s">
        <v>16364</v>
      </c>
    </row>
    <row r="11760" spans="1:6" x14ac:dyDescent="0.25">
      <c r="A11760" t="str">
        <f>"591907109108"</f>
        <v>591907109108</v>
      </c>
      <c r="B11760" t="s">
        <v>16365</v>
      </c>
      <c r="C11760" t="s">
        <v>7</v>
      </c>
      <c r="D11760" t="s">
        <v>14</v>
      </c>
      <c r="E11760" t="s">
        <v>16082</v>
      </c>
    </row>
    <row r="11761" spans="1:6" x14ac:dyDescent="0.25">
      <c r="A11761" t="str">
        <f>"5920040300"</f>
        <v>5920040300</v>
      </c>
      <c r="B11761" t="s">
        <v>16366</v>
      </c>
      <c r="C11761" t="s">
        <v>7</v>
      </c>
      <c r="D11761" t="s">
        <v>14</v>
      </c>
      <c r="E11761" t="s">
        <v>16082</v>
      </c>
      <c r="F11761" t="s">
        <v>16367</v>
      </c>
    </row>
    <row r="11762" spans="1:6" x14ac:dyDescent="0.25">
      <c r="A11762" t="str">
        <f>"5920041134"</f>
        <v>5920041134</v>
      </c>
      <c r="B11762" t="s">
        <v>16368</v>
      </c>
      <c r="C11762" t="s">
        <v>7</v>
      </c>
      <c r="D11762" t="s">
        <v>12</v>
      </c>
      <c r="E11762" t="s">
        <v>16082</v>
      </c>
      <c r="F11762" t="s">
        <v>16369</v>
      </c>
    </row>
    <row r="11763" spans="1:6" x14ac:dyDescent="0.25">
      <c r="A11763" t="str">
        <f>"592004194859"</f>
        <v>592004194859</v>
      </c>
      <c r="B11763" t="s">
        <v>16370</v>
      </c>
      <c r="C11763" t="s">
        <v>7</v>
      </c>
      <c r="D11763" t="s">
        <v>14</v>
      </c>
      <c r="E11763" t="s">
        <v>16082</v>
      </c>
    </row>
    <row r="11764" spans="1:6" x14ac:dyDescent="0.25">
      <c r="A11764" t="str">
        <f>"592005656552"</f>
        <v>592005656552</v>
      </c>
      <c r="B11764" t="s">
        <v>16371</v>
      </c>
      <c r="C11764" t="s">
        <v>7</v>
      </c>
      <c r="D11764" t="s">
        <v>14</v>
      </c>
      <c r="E11764" t="s">
        <v>16082</v>
      </c>
    </row>
    <row r="11765" spans="1:6" x14ac:dyDescent="0.25">
      <c r="A11765" t="str">
        <f>"592005809287"</f>
        <v>592005809287</v>
      </c>
      <c r="B11765" t="s">
        <v>16372</v>
      </c>
      <c r="C11765" t="s">
        <v>7</v>
      </c>
      <c r="D11765" t="s">
        <v>12</v>
      </c>
      <c r="E11765" t="s">
        <v>16082</v>
      </c>
    </row>
    <row r="11766" spans="1:6" x14ac:dyDescent="0.25">
      <c r="A11766" t="str">
        <f>"592008657547"</f>
        <v>592008657547</v>
      </c>
      <c r="B11766" t="s">
        <v>16373</v>
      </c>
      <c r="C11766" t="s">
        <v>7</v>
      </c>
      <c r="D11766" t="s">
        <v>14</v>
      </c>
      <c r="E11766" t="s">
        <v>16082</v>
      </c>
    </row>
    <row r="11767" spans="1:6" x14ac:dyDescent="0.25">
      <c r="A11767" t="str">
        <f>"592011558779"</f>
        <v>592011558779</v>
      </c>
      <c r="B11767" t="s">
        <v>16374</v>
      </c>
      <c r="C11767" t="s">
        <v>7</v>
      </c>
      <c r="D11767" t="s">
        <v>14</v>
      </c>
      <c r="E11767" t="s">
        <v>16082</v>
      </c>
    </row>
    <row r="11768" spans="1:6" x14ac:dyDescent="0.25">
      <c r="A11768" t="str">
        <f>"592100108605"</f>
        <v>592100108605</v>
      </c>
      <c r="B11768" t="s">
        <v>16375</v>
      </c>
      <c r="C11768" t="s">
        <v>7</v>
      </c>
      <c r="D11768" t="s">
        <v>14</v>
      </c>
      <c r="E11768" t="s">
        <v>16082</v>
      </c>
    </row>
    <row r="11769" spans="1:6" x14ac:dyDescent="0.25">
      <c r="A11769" t="str">
        <f>"592104257911"</f>
        <v>592104257911</v>
      </c>
      <c r="B11769" t="s">
        <v>16376</v>
      </c>
      <c r="C11769" t="s">
        <v>7</v>
      </c>
      <c r="D11769" t="s">
        <v>14</v>
      </c>
      <c r="E11769" t="s">
        <v>16082</v>
      </c>
    </row>
    <row r="11770" spans="1:6" x14ac:dyDescent="0.25">
      <c r="A11770" t="str">
        <f>"592106123906"</f>
        <v>592106123906</v>
      </c>
      <c r="B11770" t="s">
        <v>16377</v>
      </c>
      <c r="C11770" t="s">
        <v>7</v>
      </c>
      <c r="D11770" t="s">
        <v>14</v>
      </c>
      <c r="E11770" t="s">
        <v>16082</v>
      </c>
    </row>
    <row r="11771" spans="1:6" x14ac:dyDescent="0.25">
      <c r="A11771" t="str">
        <f>"593002012992"</f>
        <v>593002012992</v>
      </c>
      <c r="B11771" t="s">
        <v>16378</v>
      </c>
      <c r="C11771" t="s">
        <v>7</v>
      </c>
      <c r="D11771" t="s">
        <v>14</v>
      </c>
      <c r="E11771" t="s">
        <v>16082</v>
      </c>
    </row>
    <row r="11772" spans="1:6" x14ac:dyDescent="0.25">
      <c r="A11772" t="str">
        <f>"5904247593"</f>
        <v>5904247593</v>
      </c>
      <c r="B11772" t="s">
        <v>16379</v>
      </c>
      <c r="C11772" t="s">
        <v>7</v>
      </c>
      <c r="D11772" t="s">
        <v>33</v>
      </c>
      <c r="E11772" t="s">
        <v>16082</v>
      </c>
      <c r="F11772" t="s">
        <v>16380</v>
      </c>
    </row>
    <row r="11773" spans="1:6" x14ac:dyDescent="0.25">
      <c r="A11773" t="str">
        <f>"5904341998"</f>
        <v>5904341998</v>
      </c>
      <c r="B11773" t="s">
        <v>16381</v>
      </c>
      <c r="C11773" t="s">
        <v>7</v>
      </c>
      <c r="D11773" t="s">
        <v>12</v>
      </c>
      <c r="E11773" t="s">
        <v>16082</v>
      </c>
      <c r="F11773" t="s">
        <v>16382</v>
      </c>
    </row>
    <row r="11774" spans="1:6" x14ac:dyDescent="0.25">
      <c r="A11774" t="str">
        <f>"5904379769"</f>
        <v>5904379769</v>
      </c>
      <c r="B11774" t="s">
        <v>16383</v>
      </c>
      <c r="C11774" t="s">
        <v>7</v>
      </c>
      <c r="D11774" t="s">
        <v>33</v>
      </c>
      <c r="E11774" t="s">
        <v>16082</v>
      </c>
      <c r="F11774" t="s">
        <v>16384</v>
      </c>
    </row>
    <row r="11775" spans="1:6" x14ac:dyDescent="0.25">
      <c r="A11775" t="str">
        <f>"5904379945"</f>
        <v>5904379945</v>
      </c>
      <c r="B11775" t="s">
        <v>5573</v>
      </c>
      <c r="C11775" t="s">
        <v>7</v>
      </c>
      <c r="D11775" t="s">
        <v>12</v>
      </c>
      <c r="E11775" t="s">
        <v>16082</v>
      </c>
      <c r="F11775" t="s">
        <v>16385</v>
      </c>
    </row>
    <row r="11776" spans="1:6" x14ac:dyDescent="0.25">
      <c r="A11776" t="str">
        <f>"5904385610"</f>
        <v>5904385610</v>
      </c>
      <c r="B11776" t="s">
        <v>3723</v>
      </c>
      <c r="C11776" t="s">
        <v>7</v>
      </c>
      <c r="D11776" t="s">
        <v>33</v>
      </c>
      <c r="E11776" t="s">
        <v>16082</v>
      </c>
      <c r="F11776" t="s">
        <v>16386</v>
      </c>
    </row>
    <row r="11777" spans="1:6" x14ac:dyDescent="0.25">
      <c r="A11777" t="str">
        <f>"5904410930"</f>
        <v>5904410930</v>
      </c>
      <c r="B11777" t="s">
        <v>16387</v>
      </c>
      <c r="C11777" t="s">
        <v>7</v>
      </c>
      <c r="D11777" t="s">
        <v>33</v>
      </c>
      <c r="E11777" t="s">
        <v>16082</v>
      </c>
      <c r="F11777" t="s">
        <v>16388</v>
      </c>
    </row>
    <row r="11778" spans="1:6" x14ac:dyDescent="0.25">
      <c r="A11778" t="str">
        <f>"590500245730"</f>
        <v>590500245730</v>
      </c>
      <c r="B11778" t="s">
        <v>16389</v>
      </c>
      <c r="C11778" t="s">
        <v>7</v>
      </c>
      <c r="D11778" t="s">
        <v>12</v>
      </c>
      <c r="E11778" t="s">
        <v>16082</v>
      </c>
    </row>
    <row r="11779" spans="1:6" x14ac:dyDescent="0.25">
      <c r="A11779" t="str">
        <f>"590502099058"</f>
        <v>590502099058</v>
      </c>
      <c r="B11779" t="s">
        <v>16390</v>
      </c>
      <c r="C11779" t="s">
        <v>7</v>
      </c>
      <c r="D11779" t="s">
        <v>12</v>
      </c>
      <c r="E11779" t="s">
        <v>16082</v>
      </c>
    </row>
    <row r="11780" spans="1:6" x14ac:dyDescent="0.25">
      <c r="A11780" t="str">
        <f>"590502232408"</f>
        <v>590502232408</v>
      </c>
      <c r="B11780" t="s">
        <v>16391</v>
      </c>
      <c r="C11780" t="s">
        <v>7</v>
      </c>
      <c r="D11780" t="s">
        <v>14</v>
      </c>
      <c r="E11780" t="s">
        <v>16082</v>
      </c>
    </row>
    <row r="11781" spans="1:6" x14ac:dyDescent="0.25">
      <c r="A11781" t="str">
        <f>"590502500752"</f>
        <v>590502500752</v>
      </c>
      <c r="B11781" t="s">
        <v>16392</v>
      </c>
      <c r="C11781" t="s">
        <v>7</v>
      </c>
      <c r="D11781" t="s">
        <v>33</v>
      </c>
      <c r="E11781" t="s">
        <v>16082</v>
      </c>
    </row>
    <row r="11782" spans="1:6" x14ac:dyDescent="0.25">
      <c r="A11782" t="str">
        <f>"590503150116"</f>
        <v>590503150116</v>
      </c>
      <c r="B11782" t="s">
        <v>16393</v>
      </c>
      <c r="C11782" t="s">
        <v>7</v>
      </c>
      <c r="D11782" t="s">
        <v>12</v>
      </c>
      <c r="E11782" t="s">
        <v>16082</v>
      </c>
    </row>
    <row r="11783" spans="1:6" x14ac:dyDescent="0.25">
      <c r="A11783" t="str">
        <f>"590503805718"</f>
        <v>590503805718</v>
      </c>
      <c r="B11783" t="s">
        <v>16394</v>
      </c>
      <c r="C11783" t="s">
        <v>7</v>
      </c>
      <c r="D11783" t="s">
        <v>12</v>
      </c>
      <c r="E11783" t="s">
        <v>16082</v>
      </c>
    </row>
    <row r="11784" spans="1:6" x14ac:dyDescent="0.25">
      <c r="A11784" t="str">
        <f>"590504365523"</f>
        <v>590504365523</v>
      </c>
      <c r="B11784" t="s">
        <v>16395</v>
      </c>
      <c r="C11784" t="s">
        <v>7</v>
      </c>
      <c r="D11784" t="s">
        <v>33</v>
      </c>
      <c r="E11784" t="s">
        <v>16082</v>
      </c>
    </row>
    <row r="11785" spans="1:6" x14ac:dyDescent="0.25">
      <c r="A11785" t="str">
        <f>"5905043754"</f>
        <v>5905043754</v>
      </c>
      <c r="B11785" t="s">
        <v>16396</v>
      </c>
      <c r="C11785" t="s">
        <v>7</v>
      </c>
      <c r="D11785" t="s">
        <v>12</v>
      </c>
      <c r="E11785" t="s">
        <v>16082</v>
      </c>
      <c r="F11785" t="s">
        <v>16397</v>
      </c>
    </row>
    <row r="11786" spans="1:6" x14ac:dyDescent="0.25">
      <c r="A11786" t="str">
        <f>"5905057531"</f>
        <v>5905057531</v>
      </c>
      <c r="B11786" t="s">
        <v>16398</v>
      </c>
      <c r="C11786" t="s">
        <v>7</v>
      </c>
      <c r="D11786" t="s">
        <v>146</v>
      </c>
      <c r="E11786" t="s">
        <v>16082</v>
      </c>
      <c r="F11786" t="s">
        <v>16399</v>
      </c>
    </row>
    <row r="11787" spans="1:6" x14ac:dyDescent="0.25">
      <c r="A11787" t="str">
        <f>"5905059271"</f>
        <v>5905059271</v>
      </c>
      <c r="B11787" t="s">
        <v>16400</v>
      </c>
      <c r="C11787" t="s">
        <v>7</v>
      </c>
      <c r="D11787" t="s">
        <v>33</v>
      </c>
      <c r="E11787" t="s">
        <v>16082</v>
      </c>
      <c r="F11787" t="s">
        <v>16401</v>
      </c>
    </row>
    <row r="11788" spans="1:6" x14ac:dyDescent="0.25">
      <c r="A11788" t="str">
        <f>"5905063310"</f>
        <v>5905063310</v>
      </c>
      <c r="B11788" t="s">
        <v>16402</v>
      </c>
      <c r="C11788" t="s">
        <v>7</v>
      </c>
      <c r="D11788" t="s">
        <v>12</v>
      </c>
      <c r="E11788" t="s">
        <v>16082</v>
      </c>
      <c r="F11788" t="s">
        <v>16403</v>
      </c>
    </row>
    <row r="11789" spans="1:6" x14ac:dyDescent="0.25">
      <c r="A11789" t="str">
        <f>"5905277625"</f>
        <v>5905277625</v>
      </c>
      <c r="B11789" t="s">
        <v>16404</v>
      </c>
      <c r="C11789" t="s">
        <v>7</v>
      </c>
      <c r="D11789" t="s">
        <v>33</v>
      </c>
      <c r="E11789" t="s">
        <v>16082</v>
      </c>
      <c r="F11789" t="s">
        <v>16405</v>
      </c>
    </row>
    <row r="11790" spans="1:6" x14ac:dyDescent="0.25">
      <c r="A11790" t="str">
        <f>"5905290489"</f>
        <v>5905290489</v>
      </c>
      <c r="B11790" t="s">
        <v>16406</v>
      </c>
      <c r="C11790" t="s">
        <v>7</v>
      </c>
      <c r="D11790" t="s">
        <v>12</v>
      </c>
      <c r="E11790" t="s">
        <v>16082</v>
      </c>
      <c r="F11790" t="s">
        <v>16407</v>
      </c>
    </row>
    <row r="11791" spans="1:6" x14ac:dyDescent="0.25">
      <c r="A11791" t="str">
        <f>"5905297886"</f>
        <v>5905297886</v>
      </c>
      <c r="B11791" t="s">
        <v>430</v>
      </c>
      <c r="C11791" t="s">
        <v>7</v>
      </c>
      <c r="D11791" t="s">
        <v>33</v>
      </c>
      <c r="E11791" t="s">
        <v>16082</v>
      </c>
      <c r="F11791" t="s">
        <v>16408</v>
      </c>
    </row>
    <row r="11792" spans="1:6" x14ac:dyDescent="0.25">
      <c r="A11792" t="str">
        <f>"590604839142"</f>
        <v>590604839142</v>
      </c>
      <c r="B11792" t="s">
        <v>16409</v>
      </c>
      <c r="C11792" t="s">
        <v>7</v>
      </c>
      <c r="D11792" t="s">
        <v>14</v>
      </c>
      <c r="E11792" t="s">
        <v>16082</v>
      </c>
    </row>
    <row r="11793" spans="1:6" x14ac:dyDescent="0.25">
      <c r="A11793" t="str">
        <f>"5906062950"</f>
        <v>5906062950</v>
      </c>
      <c r="B11793" t="s">
        <v>16410</v>
      </c>
      <c r="C11793" t="s">
        <v>7</v>
      </c>
      <c r="D11793" t="s">
        <v>33</v>
      </c>
      <c r="E11793" t="s">
        <v>16082</v>
      </c>
      <c r="F11793" t="s">
        <v>16411</v>
      </c>
    </row>
    <row r="11794" spans="1:6" x14ac:dyDescent="0.25">
      <c r="A11794" t="str">
        <f>"590609945497"</f>
        <v>590609945497</v>
      </c>
      <c r="B11794" t="s">
        <v>16412</v>
      </c>
      <c r="C11794" t="s">
        <v>7</v>
      </c>
      <c r="D11794" t="s">
        <v>14</v>
      </c>
      <c r="E11794" t="s">
        <v>16082</v>
      </c>
    </row>
    <row r="11795" spans="1:6" x14ac:dyDescent="0.25">
      <c r="A11795" t="str">
        <f>"590610202506"</f>
        <v>590610202506</v>
      </c>
      <c r="B11795" t="s">
        <v>16413</v>
      </c>
      <c r="C11795" t="s">
        <v>7</v>
      </c>
      <c r="D11795" t="s">
        <v>12</v>
      </c>
      <c r="E11795" t="s">
        <v>16082</v>
      </c>
    </row>
    <row r="11796" spans="1:6" x14ac:dyDescent="0.25">
      <c r="A11796" t="str">
        <f>"590611797165"</f>
        <v>590611797165</v>
      </c>
      <c r="B11796" t="s">
        <v>16414</v>
      </c>
      <c r="C11796" t="s">
        <v>7</v>
      </c>
      <c r="D11796" t="s">
        <v>14</v>
      </c>
      <c r="E11796" t="s">
        <v>16082</v>
      </c>
    </row>
    <row r="11797" spans="1:6" x14ac:dyDescent="0.25">
      <c r="A11797" t="str">
        <f>"590612970503"</f>
        <v>590612970503</v>
      </c>
      <c r="B11797" t="s">
        <v>16415</v>
      </c>
      <c r="C11797" t="s">
        <v>7</v>
      </c>
      <c r="D11797" t="s">
        <v>14</v>
      </c>
      <c r="E11797" t="s">
        <v>16082</v>
      </c>
    </row>
    <row r="11798" spans="1:6" x14ac:dyDescent="0.25">
      <c r="A11798" t="str">
        <f>"5906143769"</f>
        <v>5906143769</v>
      </c>
      <c r="B11798" t="s">
        <v>16416</v>
      </c>
      <c r="C11798" t="s">
        <v>7</v>
      </c>
      <c r="D11798" t="s">
        <v>14</v>
      </c>
      <c r="E11798" t="s">
        <v>16082</v>
      </c>
      <c r="F11798" t="s">
        <v>16417</v>
      </c>
    </row>
    <row r="11799" spans="1:6" x14ac:dyDescent="0.25">
      <c r="A11799" t="str">
        <f>"5906145075"</f>
        <v>5906145075</v>
      </c>
      <c r="B11799" t="s">
        <v>16418</v>
      </c>
      <c r="C11799" t="s">
        <v>7</v>
      </c>
      <c r="D11799" t="s">
        <v>12</v>
      </c>
      <c r="E11799" t="s">
        <v>16082</v>
      </c>
      <c r="F11799" t="s">
        <v>16419</v>
      </c>
    </row>
    <row r="11800" spans="1:6" x14ac:dyDescent="0.25">
      <c r="A11800" t="str">
        <f>"590614553880"</f>
        <v>590614553880</v>
      </c>
      <c r="B11800" t="s">
        <v>16420</v>
      </c>
      <c r="C11800" t="s">
        <v>7</v>
      </c>
      <c r="D11800" t="s">
        <v>14</v>
      </c>
      <c r="E11800" t="s">
        <v>16082</v>
      </c>
    </row>
    <row r="11801" spans="1:6" x14ac:dyDescent="0.25">
      <c r="A11801" t="str">
        <f>"5906168065"</f>
        <v>5906168065</v>
      </c>
      <c r="B11801" t="s">
        <v>16421</v>
      </c>
      <c r="C11801" t="s">
        <v>7</v>
      </c>
      <c r="D11801" t="s">
        <v>12</v>
      </c>
      <c r="E11801" t="s">
        <v>16082</v>
      </c>
      <c r="F11801" t="s">
        <v>16422</v>
      </c>
    </row>
    <row r="11802" spans="1:6" x14ac:dyDescent="0.25">
      <c r="A11802" t="str">
        <f>"5906181130"</f>
        <v>5906181130</v>
      </c>
      <c r="B11802" t="s">
        <v>16423</v>
      </c>
      <c r="C11802" t="s">
        <v>7</v>
      </c>
      <c r="D11802" t="s">
        <v>12</v>
      </c>
      <c r="E11802" t="s">
        <v>16082</v>
      </c>
      <c r="F11802" t="s">
        <v>16424</v>
      </c>
    </row>
    <row r="11803" spans="1:6" x14ac:dyDescent="0.25">
      <c r="A11803" t="str">
        <f>"5906998740"</f>
        <v>5906998740</v>
      </c>
      <c r="B11803" t="s">
        <v>16425</v>
      </c>
      <c r="C11803" t="s">
        <v>7</v>
      </c>
      <c r="D11803" t="s">
        <v>12</v>
      </c>
      <c r="E11803" t="s">
        <v>16082</v>
      </c>
      <c r="F11803" t="s">
        <v>16426</v>
      </c>
    </row>
    <row r="11804" spans="1:6" x14ac:dyDescent="0.25">
      <c r="A11804" t="str">
        <f>"590700303675"</f>
        <v>590700303675</v>
      </c>
      <c r="B11804" t="s">
        <v>16427</v>
      </c>
      <c r="C11804" t="s">
        <v>7</v>
      </c>
      <c r="D11804" t="s">
        <v>14</v>
      </c>
      <c r="E11804" t="s">
        <v>16082</v>
      </c>
    </row>
    <row r="11805" spans="1:6" x14ac:dyDescent="0.25">
      <c r="A11805" t="str">
        <f>"590700642607"</f>
        <v>590700642607</v>
      </c>
      <c r="B11805" t="s">
        <v>16428</v>
      </c>
      <c r="C11805" t="s">
        <v>7</v>
      </c>
      <c r="D11805" t="s">
        <v>14</v>
      </c>
      <c r="E11805" t="s">
        <v>16082</v>
      </c>
    </row>
    <row r="11806" spans="1:6" x14ac:dyDescent="0.25">
      <c r="A11806" t="str">
        <f>"590700690368"</f>
        <v>590700690368</v>
      </c>
      <c r="B11806" t="s">
        <v>16429</v>
      </c>
      <c r="C11806" t="s">
        <v>7</v>
      </c>
      <c r="D11806" t="s">
        <v>12</v>
      </c>
      <c r="E11806" t="s">
        <v>16082</v>
      </c>
    </row>
    <row r="11807" spans="1:6" x14ac:dyDescent="0.25">
      <c r="A11807" t="str">
        <f>"590707722562"</f>
        <v>590707722562</v>
      </c>
      <c r="B11807" t="s">
        <v>16430</v>
      </c>
      <c r="C11807" t="s">
        <v>7</v>
      </c>
      <c r="D11807" t="s">
        <v>33</v>
      </c>
      <c r="E11807" t="s">
        <v>16082</v>
      </c>
    </row>
    <row r="11808" spans="1:6" x14ac:dyDescent="0.25">
      <c r="A11808" t="str">
        <f>"590709344436"</f>
        <v>590709344436</v>
      </c>
      <c r="B11808" t="s">
        <v>16431</v>
      </c>
      <c r="C11808" t="s">
        <v>7</v>
      </c>
      <c r="D11808" t="s">
        <v>12</v>
      </c>
      <c r="E11808" t="s">
        <v>16082</v>
      </c>
    </row>
    <row r="11809" spans="1:6" x14ac:dyDescent="0.25">
      <c r="A11809" t="str">
        <f>"590709619761"</f>
        <v>590709619761</v>
      </c>
      <c r="B11809" t="s">
        <v>16432</v>
      </c>
      <c r="C11809" t="s">
        <v>7</v>
      </c>
      <c r="D11809" t="s">
        <v>14</v>
      </c>
      <c r="E11809" t="s">
        <v>16082</v>
      </c>
    </row>
    <row r="11810" spans="1:6" x14ac:dyDescent="0.25">
      <c r="A11810" t="str">
        <f>"5908015152"</f>
        <v>5908015152</v>
      </c>
      <c r="B11810" t="s">
        <v>16433</v>
      </c>
      <c r="C11810" t="s">
        <v>7</v>
      </c>
      <c r="D11810" t="s">
        <v>33</v>
      </c>
      <c r="E11810" t="s">
        <v>16082</v>
      </c>
      <c r="F11810" t="s">
        <v>16334</v>
      </c>
    </row>
    <row r="11811" spans="1:6" x14ac:dyDescent="0.25">
      <c r="A11811" t="str">
        <f>"590806617706"</f>
        <v>590806617706</v>
      </c>
      <c r="B11811" t="s">
        <v>16434</v>
      </c>
      <c r="C11811" t="s">
        <v>7</v>
      </c>
      <c r="D11811" t="s">
        <v>14</v>
      </c>
      <c r="E11811" t="s">
        <v>16082</v>
      </c>
    </row>
    <row r="11812" spans="1:6" x14ac:dyDescent="0.25">
      <c r="A11812" t="str">
        <f>"590847943628"</f>
        <v>590847943628</v>
      </c>
      <c r="B11812" t="s">
        <v>16435</v>
      </c>
      <c r="C11812" t="s">
        <v>7</v>
      </c>
      <c r="D11812" t="s">
        <v>12</v>
      </c>
      <c r="E11812" t="s">
        <v>16082</v>
      </c>
    </row>
    <row r="11813" spans="1:6" x14ac:dyDescent="0.25">
      <c r="A11813" t="str">
        <f>"591002577773"</f>
        <v>591002577773</v>
      </c>
      <c r="B11813" t="s">
        <v>16436</v>
      </c>
      <c r="C11813" t="s">
        <v>7</v>
      </c>
      <c r="D11813" t="s">
        <v>12</v>
      </c>
      <c r="E11813" t="s">
        <v>16082</v>
      </c>
    </row>
    <row r="11814" spans="1:6" x14ac:dyDescent="0.25">
      <c r="A11814" t="str">
        <f>"591100114692"</f>
        <v>591100114692</v>
      </c>
      <c r="B11814" t="s">
        <v>16437</v>
      </c>
      <c r="C11814" t="s">
        <v>7</v>
      </c>
      <c r="D11814" t="s">
        <v>14</v>
      </c>
      <c r="E11814" t="s">
        <v>16082</v>
      </c>
    </row>
    <row r="11815" spans="1:6" x14ac:dyDescent="0.25">
      <c r="A11815" t="str">
        <f>"5911078360"</f>
        <v>5911078360</v>
      </c>
      <c r="B11815" t="s">
        <v>16438</v>
      </c>
      <c r="C11815" t="s">
        <v>7</v>
      </c>
      <c r="D11815" t="s">
        <v>12</v>
      </c>
      <c r="E11815" t="s">
        <v>16082</v>
      </c>
      <c r="F11815" t="s">
        <v>16439</v>
      </c>
    </row>
    <row r="11816" spans="1:6" x14ac:dyDescent="0.25">
      <c r="A11816" t="str">
        <f>"5911083473"</f>
        <v>5911083473</v>
      </c>
      <c r="B11816" t="s">
        <v>16440</v>
      </c>
      <c r="C11816" t="s">
        <v>7</v>
      </c>
      <c r="D11816" t="s">
        <v>12</v>
      </c>
      <c r="E11816" t="s">
        <v>16082</v>
      </c>
      <c r="F11816" t="s">
        <v>16441</v>
      </c>
    </row>
    <row r="11817" spans="1:6" x14ac:dyDescent="0.25">
      <c r="A11817" t="str">
        <f>"591114129530"</f>
        <v>591114129530</v>
      </c>
      <c r="B11817" t="s">
        <v>16442</v>
      </c>
      <c r="C11817" t="s">
        <v>7</v>
      </c>
      <c r="D11817" t="s">
        <v>33</v>
      </c>
      <c r="E11817" t="s">
        <v>16082</v>
      </c>
    </row>
    <row r="11818" spans="1:6" x14ac:dyDescent="0.25">
      <c r="A11818" t="str">
        <f>"591601133784"</f>
        <v>591601133784</v>
      </c>
      <c r="B11818" t="s">
        <v>16443</v>
      </c>
      <c r="C11818" t="s">
        <v>7</v>
      </c>
      <c r="D11818" t="s">
        <v>14</v>
      </c>
      <c r="E11818" t="s">
        <v>16082</v>
      </c>
    </row>
    <row r="11819" spans="1:6" x14ac:dyDescent="0.25">
      <c r="A11819" t="str">
        <f>"591604089357"</f>
        <v>591604089357</v>
      </c>
      <c r="B11819" t="s">
        <v>16444</v>
      </c>
      <c r="C11819" t="s">
        <v>7</v>
      </c>
      <c r="D11819" t="s">
        <v>14</v>
      </c>
      <c r="E11819" t="s">
        <v>16082</v>
      </c>
    </row>
    <row r="11820" spans="1:6" x14ac:dyDescent="0.25">
      <c r="A11820" t="str">
        <f>"591608604753"</f>
        <v>591608604753</v>
      </c>
      <c r="B11820" t="s">
        <v>16445</v>
      </c>
      <c r="C11820" t="s">
        <v>7</v>
      </c>
      <c r="D11820" t="s">
        <v>14</v>
      </c>
      <c r="E11820" t="s">
        <v>16082</v>
      </c>
    </row>
    <row r="11821" spans="1:6" x14ac:dyDescent="0.25">
      <c r="A11821" t="str">
        <f>"591700151618"</f>
        <v>591700151618</v>
      </c>
      <c r="B11821" t="s">
        <v>16446</v>
      </c>
      <c r="C11821" t="s">
        <v>7</v>
      </c>
      <c r="D11821" t="s">
        <v>12</v>
      </c>
      <c r="E11821" t="s">
        <v>16082</v>
      </c>
    </row>
    <row r="11822" spans="1:6" x14ac:dyDescent="0.25">
      <c r="A11822" t="str">
        <f>"591705196595"</f>
        <v>591705196595</v>
      </c>
      <c r="B11822" t="s">
        <v>16447</v>
      </c>
      <c r="C11822" t="s">
        <v>7</v>
      </c>
      <c r="D11822" t="s">
        <v>12</v>
      </c>
      <c r="E11822" t="s">
        <v>16082</v>
      </c>
    </row>
    <row r="11823" spans="1:6" x14ac:dyDescent="0.25">
      <c r="A11823" t="str">
        <f>"591795540095"</f>
        <v>591795540095</v>
      </c>
      <c r="B11823" t="s">
        <v>16448</v>
      </c>
      <c r="C11823" t="s">
        <v>7</v>
      </c>
      <c r="D11823" t="s">
        <v>14</v>
      </c>
      <c r="E11823" t="s">
        <v>16082</v>
      </c>
    </row>
    <row r="11824" spans="1:6" x14ac:dyDescent="0.25">
      <c r="A11824" t="str">
        <f>"591808067337"</f>
        <v>591808067337</v>
      </c>
      <c r="B11824" t="s">
        <v>16449</v>
      </c>
      <c r="C11824" t="s">
        <v>7</v>
      </c>
      <c r="D11824" t="s">
        <v>14</v>
      </c>
      <c r="E11824" t="s">
        <v>16082</v>
      </c>
    </row>
    <row r="11825" spans="1:6" x14ac:dyDescent="0.25">
      <c r="A11825" t="str">
        <f>"591880086700"</f>
        <v>591880086700</v>
      </c>
      <c r="B11825" t="s">
        <v>16450</v>
      </c>
      <c r="C11825" t="s">
        <v>7</v>
      </c>
      <c r="D11825" t="s">
        <v>14</v>
      </c>
      <c r="E11825" t="s">
        <v>16082</v>
      </c>
    </row>
    <row r="11826" spans="1:6" x14ac:dyDescent="0.25">
      <c r="A11826" t="str">
        <f>"5919026188"</f>
        <v>5919026188</v>
      </c>
      <c r="B11826" t="s">
        <v>16451</v>
      </c>
      <c r="C11826" t="s">
        <v>7</v>
      </c>
      <c r="D11826" t="s">
        <v>14</v>
      </c>
      <c r="E11826" t="s">
        <v>16082</v>
      </c>
      <c r="F11826" t="s">
        <v>16452</v>
      </c>
    </row>
    <row r="11827" spans="1:6" x14ac:dyDescent="0.25">
      <c r="A11827" t="str">
        <f>"592000091820"</f>
        <v>592000091820</v>
      </c>
      <c r="B11827" t="s">
        <v>16453</v>
      </c>
      <c r="C11827" t="s">
        <v>7</v>
      </c>
      <c r="D11827" t="s">
        <v>14</v>
      </c>
      <c r="E11827" t="s">
        <v>16082</v>
      </c>
    </row>
    <row r="11828" spans="1:6" x14ac:dyDescent="0.25">
      <c r="A11828" t="str">
        <f>"592000528300"</f>
        <v>592000528300</v>
      </c>
      <c r="B11828" t="s">
        <v>16454</v>
      </c>
      <c r="C11828" t="s">
        <v>7</v>
      </c>
      <c r="D11828" t="s">
        <v>14</v>
      </c>
      <c r="E11828" t="s">
        <v>16082</v>
      </c>
    </row>
    <row r="11829" spans="1:6" x14ac:dyDescent="0.25">
      <c r="A11829" t="str">
        <f>"5920041871"</f>
        <v>5920041871</v>
      </c>
      <c r="B11829" t="s">
        <v>5459</v>
      </c>
      <c r="C11829" t="s">
        <v>7</v>
      </c>
      <c r="D11829" t="s">
        <v>33</v>
      </c>
      <c r="E11829" t="s">
        <v>16082</v>
      </c>
      <c r="F11829" t="s">
        <v>16455</v>
      </c>
    </row>
    <row r="11830" spans="1:6" x14ac:dyDescent="0.25">
      <c r="A11830" t="str">
        <f>"592006647374"</f>
        <v>592006647374</v>
      </c>
      <c r="B11830" t="s">
        <v>16456</v>
      </c>
      <c r="C11830" t="s">
        <v>7</v>
      </c>
      <c r="D11830" t="s">
        <v>14</v>
      </c>
      <c r="E11830" t="s">
        <v>16082</v>
      </c>
    </row>
    <row r="11831" spans="1:6" x14ac:dyDescent="0.25">
      <c r="A11831" t="str">
        <f>"592008292279"</f>
        <v>592008292279</v>
      </c>
      <c r="B11831" t="s">
        <v>16457</v>
      </c>
      <c r="C11831" t="s">
        <v>7</v>
      </c>
      <c r="D11831" t="s">
        <v>14</v>
      </c>
      <c r="E11831" t="s">
        <v>16082</v>
      </c>
    </row>
    <row r="11832" spans="1:6" x14ac:dyDescent="0.25">
      <c r="A11832" t="str">
        <f>"592010416154"</f>
        <v>592010416154</v>
      </c>
      <c r="B11832" t="s">
        <v>16458</v>
      </c>
      <c r="C11832" t="s">
        <v>7</v>
      </c>
      <c r="D11832" t="s">
        <v>14</v>
      </c>
      <c r="E11832" t="s">
        <v>16082</v>
      </c>
    </row>
    <row r="11833" spans="1:6" x14ac:dyDescent="0.25">
      <c r="A11833" t="str">
        <f>"592010825703"</f>
        <v>592010825703</v>
      </c>
      <c r="B11833" t="s">
        <v>16459</v>
      </c>
      <c r="C11833" t="s">
        <v>7</v>
      </c>
      <c r="D11833" t="s">
        <v>12</v>
      </c>
      <c r="E11833" t="s">
        <v>16082</v>
      </c>
    </row>
    <row r="11834" spans="1:6" x14ac:dyDescent="0.25">
      <c r="A11834" t="str">
        <f>"5904282622"</f>
        <v>5904282622</v>
      </c>
      <c r="B11834" t="s">
        <v>15971</v>
      </c>
      <c r="C11834" t="s">
        <v>7</v>
      </c>
      <c r="D11834" t="s">
        <v>12</v>
      </c>
      <c r="E11834" t="s">
        <v>16082</v>
      </c>
      <c r="F11834" t="s">
        <v>16460</v>
      </c>
    </row>
    <row r="11835" spans="1:6" x14ac:dyDescent="0.25">
      <c r="A11835" t="str">
        <f>"5904336010"</f>
        <v>5904336010</v>
      </c>
      <c r="B11835" t="s">
        <v>16461</v>
      </c>
      <c r="C11835" t="s">
        <v>7</v>
      </c>
      <c r="D11835" t="s">
        <v>33</v>
      </c>
      <c r="E11835" t="s">
        <v>16082</v>
      </c>
      <c r="F11835" t="s">
        <v>16462</v>
      </c>
    </row>
    <row r="11836" spans="1:6" x14ac:dyDescent="0.25">
      <c r="A11836" t="str">
        <f>"5904351587"</f>
        <v>5904351587</v>
      </c>
      <c r="B11836" t="s">
        <v>16463</v>
      </c>
      <c r="C11836" t="s">
        <v>7</v>
      </c>
      <c r="D11836" t="s">
        <v>12</v>
      </c>
      <c r="E11836" t="s">
        <v>16082</v>
      </c>
      <c r="F11836" t="s">
        <v>16464</v>
      </c>
    </row>
    <row r="11837" spans="1:6" x14ac:dyDescent="0.25">
      <c r="A11837" t="str">
        <f>"5904352291"</f>
        <v>5904352291</v>
      </c>
      <c r="B11837" t="s">
        <v>16465</v>
      </c>
      <c r="C11837" t="s">
        <v>7</v>
      </c>
      <c r="D11837" t="s">
        <v>14</v>
      </c>
      <c r="E11837" t="s">
        <v>16082</v>
      </c>
      <c r="F11837" t="s">
        <v>16466</v>
      </c>
    </row>
    <row r="11838" spans="1:6" x14ac:dyDescent="0.25">
      <c r="A11838" t="str">
        <f>"5904361786"</f>
        <v>5904361786</v>
      </c>
      <c r="B11838" t="s">
        <v>16467</v>
      </c>
      <c r="C11838" t="s">
        <v>7</v>
      </c>
      <c r="D11838" t="s">
        <v>33</v>
      </c>
      <c r="E11838" t="s">
        <v>16082</v>
      </c>
      <c r="F11838" t="s">
        <v>16468</v>
      </c>
    </row>
    <row r="11839" spans="1:6" x14ac:dyDescent="0.25">
      <c r="A11839" t="str">
        <f>"5904382627"</f>
        <v>5904382627</v>
      </c>
      <c r="B11839" t="s">
        <v>2311</v>
      </c>
      <c r="C11839" t="s">
        <v>7</v>
      </c>
      <c r="D11839" t="s">
        <v>12</v>
      </c>
      <c r="E11839" t="s">
        <v>16082</v>
      </c>
      <c r="F11839" t="s">
        <v>16469</v>
      </c>
    </row>
    <row r="11840" spans="1:6" x14ac:dyDescent="0.25">
      <c r="A11840" t="str">
        <f>"5904399740"</f>
        <v>5904399740</v>
      </c>
      <c r="B11840" t="s">
        <v>16470</v>
      </c>
      <c r="C11840" t="s">
        <v>7</v>
      </c>
      <c r="D11840" t="s">
        <v>12</v>
      </c>
      <c r="E11840" t="s">
        <v>16082</v>
      </c>
      <c r="F11840" t="s">
        <v>16471</v>
      </c>
    </row>
    <row r="11841" spans="1:6" x14ac:dyDescent="0.25">
      <c r="A11841" t="str">
        <f>"5904411518"</f>
        <v>5904411518</v>
      </c>
      <c r="B11841" t="s">
        <v>16472</v>
      </c>
      <c r="C11841" t="s">
        <v>7</v>
      </c>
      <c r="D11841" t="s">
        <v>14</v>
      </c>
      <c r="E11841" t="s">
        <v>16082</v>
      </c>
      <c r="F11841" t="s">
        <v>16473</v>
      </c>
    </row>
    <row r="11842" spans="1:6" x14ac:dyDescent="0.25">
      <c r="A11842" t="str">
        <f>"5904412303"</f>
        <v>5904412303</v>
      </c>
      <c r="B11842" t="s">
        <v>16474</v>
      </c>
      <c r="C11842" t="s">
        <v>7</v>
      </c>
      <c r="D11842" t="s">
        <v>12</v>
      </c>
      <c r="E11842" t="s">
        <v>16082</v>
      </c>
      <c r="F11842" t="s">
        <v>16475</v>
      </c>
    </row>
    <row r="11843" spans="1:6" x14ac:dyDescent="0.25">
      <c r="A11843" t="str">
        <f>"590504365450"</f>
        <v>590504365450</v>
      </c>
      <c r="B11843" t="s">
        <v>16476</v>
      </c>
      <c r="C11843" t="s">
        <v>7</v>
      </c>
      <c r="D11843" t="s">
        <v>33</v>
      </c>
      <c r="E11843" t="s">
        <v>16082</v>
      </c>
    </row>
    <row r="11844" spans="1:6" x14ac:dyDescent="0.25">
      <c r="A11844" t="str">
        <f>"590504955650"</f>
        <v>590504955650</v>
      </c>
      <c r="B11844" t="s">
        <v>16477</v>
      </c>
      <c r="C11844" t="s">
        <v>7</v>
      </c>
      <c r="D11844" t="s">
        <v>14</v>
      </c>
      <c r="E11844" t="s">
        <v>16082</v>
      </c>
    </row>
    <row r="11845" spans="1:6" x14ac:dyDescent="0.25">
      <c r="A11845" t="str">
        <f>"5905057404"</f>
        <v>5905057404</v>
      </c>
      <c r="B11845" t="s">
        <v>16478</v>
      </c>
      <c r="C11845" t="s">
        <v>7</v>
      </c>
      <c r="D11845" t="s">
        <v>146</v>
      </c>
      <c r="E11845" t="s">
        <v>16082</v>
      </c>
      <c r="F11845" t="s">
        <v>16479</v>
      </c>
    </row>
    <row r="11846" spans="1:6" x14ac:dyDescent="0.25">
      <c r="A11846" t="str">
        <f>"590522877933"</f>
        <v>590522877933</v>
      </c>
      <c r="B11846" t="s">
        <v>16480</v>
      </c>
      <c r="C11846" t="s">
        <v>7</v>
      </c>
      <c r="D11846" t="s">
        <v>12</v>
      </c>
      <c r="E11846" t="s">
        <v>16082</v>
      </c>
    </row>
    <row r="11847" spans="1:6" x14ac:dyDescent="0.25">
      <c r="A11847" t="str">
        <f>"5905240569"</f>
        <v>5905240569</v>
      </c>
      <c r="B11847" t="s">
        <v>6782</v>
      </c>
      <c r="C11847" t="s">
        <v>7</v>
      </c>
      <c r="D11847" t="s">
        <v>8</v>
      </c>
      <c r="E11847" t="s">
        <v>16082</v>
      </c>
      <c r="F11847" t="s">
        <v>16481</v>
      </c>
    </row>
    <row r="11848" spans="1:6" x14ac:dyDescent="0.25">
      <c r="A11848" t="str">
        <f>"5905289613"</f>
        <v>5905289613</v>
      </c>
      <c r="B11848" t="s">
        <v>16482</v>
      </c>
      <c r="C11848" t="s">
        <v>7</v>
      </c>
      <c r="D11848" t="s">
        <v>33</v>
      </c>
      <c r="E11848" t="s">
        <v>16082</v>
      </c>
      <c r="F11848" t="s">
        <v>16483</v>
      </c>
    </row>
    <row r="11849" spans="1:6" x14ac:dyDescent="0.25">
      <c r="A11849" t="str">
        <f>"590580791192"</f>
        <v>590580791192</v>
      </c>
      <c r="B11849" t="s">
        <v>16484</v>
      </c>
      <c r="C11849" t="s">
        <v>7</v>
      </c>
      <c r="D11849" t="s">
        <v>14</v>
      </c>
      <c r="E11849" t="s">
        <v>16082</v>
      </c>
    </row>
    <row r="11850" spans="1:6" x14ac:dyDescent="0.25">
      <c r="A11850" t="str">
        <f>"5906043468"</f>
        <v>5906043468</v>
      </c>
      <c r="B11850" t="s">
        <v>16485</v>
      </c>
      <c r="C11850" t="s">
        <v>7</v>
      </c>
      <c r="D11850" t="s">
        <v>12</v>
      </c>
      <c r="E11850" t="s">
        <v>16082</v>
      </c>
      <c r="F11850" t="s">
        <v>16486</v>
      </c>
    </row>
    <row r="11851" spans="1:6" x14ac:dyDescent="0.25">
      <c r="A11851" t="str">
        <f>"590610894600"</f>
        <v>590610894600</v>
      </c>
      <c r="B11851" t="s">
        <v>16487</v>
      </c>
      <c r="C11851" t="s">
        <v>7</v>
      </c>
      <c r="D11851" t="s">
        <v>12</v>
      </c>
      <c r="E11851" t="s">
        <v>16082</v>
      </c>
    </row>
    <row r="11852" spans="1:6" x14ac:dyDescent="0.25">
      <c r="A11852" t="str">
        <f>"590613466070"</f>
        <v>590613466070</v>
      </c>
      <c r="B11852" t="s">
        <v>7267</v>
      </c>
      <c r="C11852" t="s">
        <v>7</v>
      </c>
      <c r="D11852" t="s">
        <v>14</v>
      </c>
      <c r="E11852" t="s">
        <v>16082</v>
      </c>
    </row>
    <row r="11853" spans="1:6" x14ac:dyDescent="0.25">
      <c r="A11853" t="str">
        <f>"590614662529"</f>
        <v>590614662529</v>
      </c>
      <c r="B11853" t="s">
        <v>16488</v>
      </c>
      <c r="C11853" t="s">
        <v>7</v>
      </c>
      <c r="D11853" t="s">
        <v>14</v>
      </c>
      <c r="E11853" t="s">
        <v>16082</v>
      </c>
    </row>
    <row r="11854" spans="1:6" x14ac:dyDescent="0.25">
      <c r="A11854" t="str">
        <f>"5906167819"</f>
        <v>5906167819</v>
      </c>
      <c r="B11854" t="s">
        <v>16489</v>
      </c>
      <c r="C11854" t="s">
        <v>7</v>
      </c>
      <c r="D11854" t="s">
        <v>12</v>
      </c>
      <c r="E11854" t="s">
        <v>16082</v>
      </c>
      <c r="F11854" t="s">
        <v>16490</v>
      </c>
    </row>
    <row r="11855" spans="1:6" x14ac:dyDescent="0.25">
      <c r="A11855" t="str">
        <f>"590622903087"</f>
        <v>590622903087</v>
      </c>
      <c r="B11855" t="s">
        <v>16491</v>
      </c>
      <c r="C11855" t="s">
        <v>7</v>
      </c>
      <c r="D11855" t="s">
        <v>12</v>
      </c>
      <c r="E11855" t="s">
        <v>16082</v>
      </c>
    </row>
    <row r="11856" spans="1:6" x14ac:dyDescent="0.25">
      <c r="A11856" t="str">
        <f>"5906856576"</f>
        <v>5906856576</v>
      </c>
      <c r="B11856" t="s">
        <v>16492</v>
      </c>
      <c r="C11856" t="s">
        <v>7</v>
      </c>
      <c r="D11856" t="s">
        <v>14</v>
      </c>
      <c r="E11856" t="s">
        <v>16082</v>
      </c>
      <c r="F11856" t="s">
        <v>16493</v>
      </c>
    </row>
    <row r="11857" spans="1:6" x14ac:dyDescent="0.25">
      <c r="A11857" t="str">
        <f>"590700588847"</f>
        <v>590700588847</v>
      </c>
      <c r="B11857" t="s">
        <v>16494</v>
      </c>
      <c r="C11857" t="s">
        <v>7</v>
      </c>
      <c r="D11857" t="s">
        <v>14</v>
      </c>
      <c r="E11857" t="s">
        <v>16082</v>
      </c>
    </row>
    <row r="11858" spans="1:6" x14ac:dyDescent="0.25">
      <c r="A11858" t="str">
        <f>"590708497599"</f>
        <v>590708497599</v>
      </c>
      <c r="B11858" t="s">
        <v>16495</v>
      </c>
      <c r="C11858" t="s">
        <v>7</v>
      </c>
      <c r="D11858" t="s">
        <v>14</v>
      </c>
      <c r="E11858" t="s">
        <v>16082</v>
      </c>
    </row>
    <row r="11859" spans="1:6" x14ac:dyDescent="0.25">
      <c r="A11859" t="str">
        <f>"591000071420"</f>
        <v>591000071420</v>
      </c>
      <c r="B11859" t="s">
        <v>16496</v>
      </c>
      <c r="C11859" t="s">
        <v>7</v>
      </c>
      <c r="D11859" t="s">
        <v>14</v>
      </c>
      <c r="E11859" t="s">
        <v>16082</v>
      </c>
    </row>
    <row r="11860" spans="1:6" x14ac:dyDescent="0.25">
      <c r="A11860" t="str">
        <f>"591002771499"</f>
        <v>591002771499</v>
      </c>
      <c r="B11860" t="s">
        <v>16497</v>
      </c>
      <c r="C11860" t="s">
        <v>7</v>
      </c>
      <c r="D11860" t="s">
        <v>14</v>
      </c>
      <c r="E11860" t="s">
        <v>16082</v>
      </c>
    </row>
    <row r="11861" spans="1:6" x14ac:dyDescent="0.25">
      <c r="A11861" t="str">
        <f>"591100123672"</f>
        <v>591100123672</v>
      </c>
      <c r="B11861" t="s">
        <v>16498</v>
      </c>
      <c r="C11861" t="s">
        <v>7</v>
      </c>
      <c r="D11861" t="s">
        <v>14</v>
      </c>
      <c r="E11861" t="s">
        <v>16082</v>
      </c>
    </row>
    <row r="11862" spans="1:6" x14ac:dyDescent="0.25">
      <c r="A11862" t="str">
        <f>"591109057093"</f>
        <v>591109057093</v>
      </c>
      <c r="B11862" t="s">
        <v>16499</v>
      </c>
      <c r="C11862" t="s">
        <v>7</v>
      </c>
      <c r="D11862" t="s">
        <v>14</v>
      </c>
      <c r="E11862" t="s">
        <v>16082</v>
      </c>
    </row>
    <row r="11863" spans="1:6" x14ac:dyDescent="0.25">
      <c r="A11863" t="str">
        <f>"591110699761"</f>
        <v>591110699761</v>
      </c>
      <c r="B11863" t="s">
        <v>16500</v>
      </c>
      <c r="C11863" t="s">
        <v>7</v>
      </c>
      <c r="D11863" t="s">
        <v>14</v>
      </c>
      <c r="E11863" t="s">
        <v>16082</v>
      </c>
    </row>
    <row r="11864" spans="1:6" x14ac:dyDescent="0.25">
      <c r="A11864" t="str">
        <f>"591111621574"</f>
        <v>591111621574</v>
      </c>
      <c r="B11864" t="s">
        <v>16501</v>
      </c>
      <c r="C11864" t="s">
        <v>7</v>
      </c>
      <c r="D11864" t="s">
        <v>14</v>
      </c>
      <c r="E11864" t="s">
        <v>16082</v>
      </c>
    </row>
    <row r="11865" spans="1:6" x14ac:dyDescent="0.25">
      <c r="A11865" t="str">
        <f>"591152044968"</f>
        <v>591152044968</v>
      </c>
      <c r="B11865" t="s">
        <v>16502</v>
      </c>
      <c r="C11865" t="s">
        <v>7</v>
      </c>
      <c r="D11865" t="s">
        <v>14</v>
      </c>
      <c r="E11865" t="s">
        <v>16082</v>
      </c>
    </row>
    <row r="11866" spans="1:6" x14ac:dyDescent="0.25">
      <c r="A11866" t="str">
        <f>"591156083301"</f>
        <v>591156083301</v>
      </c>
      <c r="B11866" t="s">
        <v>16503</v>
      </c>
      <c r="C11866" t="s">
        <v>7</v>
      </c>
      <c r="D11866" t="s">
        <v>14</v>
      </c>
      <c r="E11866" t="s">
        <v>16082</v>
      </c>
    </row>
    <row r="11867" spans="1:6" x14ac:dyDescent="0.25">
      <c r="A11867" t="str">
        <f>"5911996378"</f>
        <v>5911996378</v>
      </c>
      <c r="B11867" t="s">
        <v>16504</v>
      </c>
      <c r="C11867" t="s">
        <v>7</v>
      </c>
      <c r="D11867" t="s">
        <v>14</v>
      </c>
      <c r="E11867" t="s">
        <v>16082</v>
      </c>
      <c r="F11867" t="s">
        <v>16505</v>
      </c>
    </row>
    <row r="11868" spans="1:6" x14ac:dyDescent="0.25">
      <c r="A11868" t="str">
        <f>"5911996554"</f>
        <v>5911996554</v>
      </c>
      <c r="B11868" t="s">
        <v>16506</v>
      </c>
      <c r="C11868" t="s">
        <v>7</v>
      </c>
      <c r="D11868" t="s">
        <v>12</v>
      </c>
      <c r="E11868" t="s">
        <v>16082</v>
      </c>
      <c r="F11868" t="s">
        <v>16507</v>
      </c>
    </row>
    <row r="11869" spans="1:6" x14ac:dyDescent="0.25">
      <c r="A11869" t="str">
        <f>"591303721815"</f>
        <v>591303721815</v>
      </c>
      <c r="B11869" t="s">
        <v>16508</v>
      </c>
      <c r="C11869" t="s">
        <v>7</v>
      </c>
      <c r="D11869" t="s">
        <v>14</v>
      </c>
      <c r="E11869" t="s">
        <v>16082</v>
      </c>
    </row>
    <row r="11870" spans="1:6" x14ac:dyDescent="0.25">
      <c r="A11870" t="str">
        <f>"591402294709"</f>
        <v>591402294709</v>
      </c>
      <c r="B11870" t="s">
        <v>16509</v>
      </c>
      <c r="C11870" t="s">
        <v>7</v>
      </c>
      <c r="D11870" t="s">
        <v>14</v>
      </c>
      <c r="E11870" t="s">
        <v>16082</v>
      </c>
    </row>
    <row r="11871" spans="1:6" x14ac:dyDescent="0.25">
      <c r="A11871" t="str">
        <f>"591700020284"</f>
        <v>591700020284</v>
      </c>
      <c r="B11871" t="s">
        <v>16510</v>
      </c>
      <c r="C11871" t="s">
        <v>7</v>
      </c>
      <c r="D11871" t="s">
        <v>12</v>
      </c>
      <c r="E11871" t="s">
        <v>16082</v>
      </c>
    </row>
    <row r="11872" spans="1:6" x14ac:dyDescent="0.25">
      <c r="A11872" t="str">
        <f>"591705209290"</f>
        <v>591705209290</v>
      </c>
      <c r="B11872" t="s">
        <v>16511</v>
      </c>
      <c r="C11872" t="s">
        <v>7</v>
      </c>
      <c r="D11872" t="s">
        <v>14</v>
      </c>
      <c r="E11872" t="s">
        <v>16082</v>
      </c>
    </row>
    <row r="11873" spans="1:6" x14ac:dyDescent="0.25">
      <c r="A11873" t="str">
        <f>"5917230477"</f>
        <v>5917230477</v>
      </c>
      <c r="B11873" t="s">
        <v>16512</v>
      </c>
      <c r="C11873" t="s">
        <v>7</v>
      </c>
      <c r="D11873" t="s">
        <v>14</v>
      </c>
      <c r="E11873" t="s">
        <v>16082</v>
      </c>
      <c r="F11873" t="s">
        <v>16513</v>
      </c>
    </row>
    <row r="11874" spans="1:6" x14ac:dyDescent="0.25">
      <c r="A11874" t="str">
        <f>"5917509687"</f>
        <v>5917509687</v>
      </c>
      <c r="B11874" t="s">
        <v>16514</v>
      </c>
      <c r="C11874" t="s">
        <v>7</v>
      </c>
      <c r="D11874" t="s">
        <v>14</v>
      </c>
      <c r="E11874" t="s">
        <v>16082</v>
      </c>
      <c r="F11874" t="s">
        <v>16515</v>
      </c>
    </row>
    <row r="11875" spans="1:6" x14ac:dyDescent="0.25">
      <c r="A11875" t="str">
        <f>"591807377449"</f>
        <v>591807377449</v>
      </c>
      <c r="B11875" t="s">
        <v>16516</v>
      </c>
      <c r="C11875" t="s">
        <v>7</v>
      </c>
      <c r="D11875" t="s">
        <v>14</v>
      </c>
      <c r="E11875" t="s">
        <v>16082</v>
      </c>
    </row>
    <row r="11876" spans="1:6" x14ac:dyDescent="0.25">
      <c r="A11876" t="str">
        <f>"591900026903"</f>
        <v>591900026903</v>
      </c>
      <c r="B11876" t="s">
        <v>16517</v>
      </c>
      <c r="C11876" t="s">
        <v>7</v>
      </c>
      <c r="D11876" t="s">
        <v>14</v>
      </c>
      <c r="E11876" t="s">
        <v>16082</v>
      </c>
    </row>
    <row r="11877" spans="1:6" x14ac:dyDescent="0.25">
      <c r="A11877" t="str">
        <f>"591901587147"</f>
        <v>591901587147</v>
      </c>
      <c r="B11877" t="s">
        <v>16518</v>
      </c>
      <c r="C11877" t="s">
        <v>7</v>
      </c>
      <c r="D11877" t="s">
        <v>14</v>
      </c>
      <c r="E11877" t="s">
        <v>16082</v>
      </c>
    </row>
    <row r="11878" spans="1:6" x14ac:dyDescent="0.25">
      <c r="A11878" t="str">
        <f>"5919029686"</f>
        <v>5919029686</v>
      </c>
      <c r="B11878" t="s">
        <v>16519</v>
      </c>
      <c r="C11878" t="s">
        <v>7</v>
      </c>
      <c r="D11878" t="s">
        <v>12</v>
      </c>
      <c r="E11878" t="s">
        <v>16082</v>
      </c>
      <c r="F11878" t="s">
        <v>16520</v>
      </c>
    </row>
    <row r="11879" spans="1:6" x14ac:dyDescent="0.25">
      <c r="A11879" t="str">
        <f>"591904074249"</f>
        <v>591904074249</v>
      </c>
      <c r="B11879" t="s">
        <v>16521</v>
      </c>
      <c r="C11879" t="s">
        <v>7</v>
      </c>
      <c r="D11879" t="s">
        <v>14</v>
      </c>
      <c r="E11879" t="s">
        <v>16082</v>
      </c>
    </row>
    <row r="11880" spans="1:6" x14ac:dyDescent="0.25">
      <c r="A11880" t="str">
        <f>"592000319031"</f>
        <v>592000319031</v>
      </c>
      <c r="B11880" t="s">
        <v>16522</v>
      </c>
      <c r="C11880" t="s">
        <v>7</v>
      </c>
      <c r="D11880" t="s">
        <v>12</v>
      </c>
      <c r="E11880" t="s">
        <v>16082</v>
      </c>
    </row>
    <row r="11881" spans="1:6" x14ac:dyDescent="0.25">
      <c r="A11881" t="str">
        <f>"592002032605"</f>
        <v>592002032605</v>
      </c>
      <c r="B11881" t="s">
        <v>16523</v>
      </c>
      <c r="C11881" t="s">
        <v>7</v>
      </c>
      <c r="D11881" t="s">
        <v>14</v>
      </c>
      <c r="E11881" t="s">
        <v>16082</v>
      </c>
    </row>
    <row r="11882" spans="1:6" x14ac:dyDescent="0.25">
      <c r="A11882" t="str">
        <f>"592010641150"</f>
        <v>592010641150</v>
      </c>
      <c r="B11882" t="s">
        <v>16524</v>
      </c>
      <c r="C11882" t="s">
        <v>7</v>
      </c>
      <c r="D11882" t="s">
        <v>14</v>
      </c>
      <c r="E11882" t="s">
        <v>16082</v>
      </c>
    </row>
    <row r="11883" spans="1:6" x14ac:dyDescent="0.25">
      <c r="A11883" t="str">
        <f>"592012392526"</f>
        <v>592012392526</v>
      </c>
      <c r="B11883" t="s">
        <v>16525</v>
      </c>
      <c r="C11883" t="s">
        <v>7</v>
      </c>
      <c r="D11883" t="s">
        <v>14</v>
      </c>
      <c r="E11883" t="s">
        <v>16082</v>
      </c>
    </row>
    <row r="11884" spans="1:6" x14ac:dyDescent="0.25">
      <c r="A11884" t="str">
        <f>"5921006326"</f>
        <v>5921006326</v>
      </c>
      <c r="B11884" t="s">
        <v>16526</v>
      </c>
      <c r="C11884" t="s">
        <v>7</v>
      </c>
      <c r="D11884" t="s">
        <v>14</v>
      </c>
      <c r="E11884" t="s">
        <v>16082</v>
      </c>
      <c r="F11884" t="s">
        <v>16527</v>
      </c>
    </row>
    <row r="11885" spans="1:6" x14ac:dyDescent="0.25">
      <c r="A11885" t="str">
        <f>"592100887937"</f>
        <v>592100887937</v>
      </c>
      <c r="B11885" t="s">
        <v>16528</v>
      </c>
      <c r="C11885" t="s">
        <v>7</v>
      </c>
      <c r="D11885" t="s">
        <v>14</v>
      </c>
      <c r="E11885" t="s">
        <v>16082</v>
      </c>
    </row>
    <row r="11886" spans="1:6" x14ac:dyDescent="0.25">
      <c r="A11886" t="str">
        <f>"5921035077"</f>
        <v>5921035077</v>
      </c>
      <c r="B11886" t="s">
        <v>111</v>
      </c>
      <c r="C11886" t="s">
        <v>7</v>
      </c>
      <c r="D11886" t="s">
        <v>14</v>
      </c>
      <c r="E11886" t="s">
        <v>16082</v>
      </c>
      <c r="F11886" t="s">
        <v>16529</v>
      </c>
    </row>
    <row r="11887" spans="1:6" x14ac:dyDescent="0.25">
      <c r="A11887" t="str">
        <f>"5933010214"</f>
        <v>5933010214</v>
      </c>
      <c r="B11887" t="s">
        <v>16530</v>
      </c>
      <c r="C11887" t="s">
        <v>7</v>
      </c>
      <c r="D11887" t="s">
        <v>14</v>
      </c>
      <c r="E11887" t="s">
        <v>16082</v>
      </c>
      <c r="F11887" t="s">
        <v>16531</v>
      </c>
    </row>
    <row r="11888" spans="1:6" x14ac:dyDescent="0.25">
      <c r="A11888" t="str">
        <f>"593301488927"</f>
        <v>593301488927</v>
      </c>
      <c r="B11888" t="s">
        <v>16532</v>
      </c>
      <c r="C11888" t="s">
        <v>7</v>
      </c>
      <c r="D11888" t="s">
        <v>14</v>
      </c>
      <c r="E11888" t="s">
        <v>16082</v>
      </c>
    </row>
    <row r="11889" spans="1:6" x14ac:dyDescent="0.25">
      <c r="A11889" t="str">
        <f>"593305196675"</f>
        <v>593305196675</v>
      </c>
      <c r="B11889" t="s">
        <v>16533</v>
      </c>
      <c r="C11889" t="s">
        <v>7</v>
      </c>
      <c r="D11889" t="s">
        <v>14</v>
      </c>
      <c r="E11889" t="s">
        <v>16082</v>
      </c>
    </row>
    <row r="11890" spans="1:6" x14ac:dyDescent="0.25">
      <c r="A11890" t="str">
        <f>"593306535673"</f>
        <v>593306535673</v>
      </c>
      <c r="B11890" t="s">
        <v>16534</v>
      </c>
      <c r="C11890" t="s">
        <v>7</v>
      </c>
      <c r="D11890" t="s">
        <v>14</v>
      </c>
      <c r="E11890" t="s">
        <v>16082</v>
      </c>
    </row>
    <row r="11891" spans="1:6" x14ac:dyDescent="0.25">
      <c r="A11891" t="str">
        <f>"5933271671"</f>
        <v>5933271671</v>
      </c>
      <c r="B11891" t="s">
        <v>12688</v>
      </c>
      <c r="C11891" t="s">
        <v>7</v>
      </c>
      <c r="D11891" t="s">
        <v>12</v>
      </c>
      <c r="E11891" t="s">
        <v>16082</v>
      </c>
      <c r="F11891" t="s">
        <v>16535</v>
      </c>
    </row>
    <row r="11892" spans="1:6" x14ac:dyDescent="0.25">
      <c r="A11892" t="str">
        <f>"593400117602"</f>
        <v>593400117602</v>
      </c>
      <c r="B11892" t="s">
        <v>16536</v>
      </c>
      <c r="C11892" t="s">
        <v>7</v>
      </c>
      <c r="D11892" t="s">
        <v>14</v>
      </c>
      <c r="E11892" t="s">
        <v>16082</v>
      </c>
    </row>
    <row r="11893" spans="1:6" x14ac:dyDescent="0.25">
      <c r="A11893" t="str">
        <f>"593500015604"</f>
        <v>593500015604</v>
      </c>
      <c r="B11893" t="s">
        <v>16537</v>
      </c>
      <c r="C11893" t="s">
        <v>7</v>
      </c>
      <c r="D11893" t="s">
        <v>14</v>
      </c>
      <c r="E11893" t="s">
        <v>16082</v>
      </c>
    </row>
    <row r="11894" spans="1:6" x14ac:dyDescent="0.25">
      <c r="A11894" t="str">
        <f>"593900002021"</f>
        <v>593900002021</v>
      </c>
      <c r="B11894" t="s">
        <v>16538</v>
      </c>
      <c r="C11894" t="s">
        <v>7</v>
      </c>
      <c r="D11894" t="s">
        <v>14</v>
      </c>
      <c r="E11894" t="s">
        <v>16082</v>
      </c>
    </row>
    <row r="11895" spans="1:6" x14ac:dyDescent="0.25">
      <c r="A11895" t="str">
        <f>"593901181870"</f>
        <v>593901181870</v>
      </c>
      <c r="B11895" t="s">
        <v>16539</v>
      </c>
      <c r="C11895" t="s">
        <v>7</v>
      </c>
      <c r="D11895" t="s">
        <v>14</v>
      </c>
      <c r="E11895" t="s">
        <v>16082</v>
      </c>
    </row>
    <row r="11896" spans="1:6" x14ac:dyDescent="0.25">
      <c r="A11896" t="str">
        <f>"593902870721"</f>
        <v>593902870721</v>
      </c>
      <c r="B11896" t="s">
        <v>16540</v>
      </c>
      <c r="C11896" t="s">
        <v>7</v>
      </c>
      <c r="D11896" t="s">
        <v>14</v>
      </c>
      <c r="E11896" t="s">
        <v>16082</v>
      </c>
    </row>
    <row r="11897" spans="1:6" x14ac:dyDescent="0.25">
      <c r="A11897" t="str">
        <f>"593902889296"</f>
        <v>593902889296</v>
      </c>
      <c r="B11897" t="s">
        <v>16541</v>
      </c>
      <c r="C11897" t="s">
        <v>7</v>
      </c>
      <c r="D11897" t="s">
        <v>14</v>
      </c>
      <c r="E11897" t="s">
        <v>16082</v>
      </c>
    </row>
    <row r="11898" spans="1:6" x14ac:dyDescent="0.25">
      <c r="A11898" t="str">
        <f>"594000282240"</f>
        <v>594000282240</v>
      </c>
      <c r="B11898" t="s">
        <v>16542</v>
      </c>
      <c r="C11898" t="s">
        <v>7</v>
      </c>
      <c r="D11898" t="s">
        <v>14</v>
      </c>
      <c r="E11898" t="s">
        <v>16082</v>
      </c>
    </row>
    <row r="11899" spans="1:6" x14ac:dyDescent="0.25">
      <c r="A11899" t="str">
        <f>"594101951113"</f>
        <v>594101951113</v>
      </c>
      <c r="B11899" t="s">
        <v>16543</v>
      </c>
      <c r="C11899" t="s">
        <v>7</v>
      </c>
      <c r="D11899" t="s">
        <v>14</v>
      </c>
      <c r="E11899" t="s">
        <v>16082</v>
      </c>
    </row>
    <row r="11900" spans="1:6" x14ac:dyDescent="0.25">
      <c r="A11900" t="str">
        <f>"594102557624"</f>
        <v>594102557624</v>
      </c>
      <c r="B11900" t="s">
        <v>16544</v>
      </c>
      <c r="C11900" t="s">
        <v>7</v>
      </c>
      <c r="D11900" t="s">
        <v>14</v>
      </c>
      <c r="E11900" t="s">
        <v>16082</v>
      </c>
    </row>
    <row r="11901" spans="1:6" x14ac:dyDescent="0.25">
      <c r="A11901" t="str">
        <f>"594401060453"</f>
        <v>594401060453</v>
      </c>
      <c r="B11901" t="s">
        <v>16545</v>
      </c>
      <c r="C11901" t="s">
        <v>7</v>
      </c>
      <c r="D11901" t="s">
        <v>14</v>
      </c>
      <c r="E11901" t="s">
        <v>16082</v>
      </c>
    </row>
    <row r="11902" spans="1:6" x14ac:dyDescent="0.25">
      <c r="A11902" t="str">
        <f>"594702039060"</f>
        <v>594702039060</v>
      </c>
      <c r="B11902" t="s">
        <v>16546</v>
      </c>
      <c r="C11902" t="s">
        <v>7</v>
      </c>
      <c r="D11902" t="s">
        <v>14</v>
      </c>
      <c r="E11902" t="s">
        <v>16082</v>
      </c>
    </row>
    <row r="11903" spans="1:6" x14ac:dyDescent="0.25">
      <c r="A11903" t="str">
        <f>"594704515928"</f>
        <v>594704515928</v>
      </c>
      <c r="B11903" t="s">
        <v>16547</v>
      </c>
      <c r="C11903" t="s">
        <v>7</v>
      </c>
      <c r="D11903" t="s">
        <v>14</v>
      </c>
      <c r="E11903" t="s">
        <v>16082</v>
      </c>
    </row>
    <row r="11904" spans="1:6" x14ac:dyDescent="0.25">
      <c r="A11904" t="str">
        <f>"594801288950"</f>
        <v>594801288950</v>
      </c>
      <c r="B11904" t="s">
        <v>16548</v>
      </c>
      <c r="C11904" t="s">
        <v>7</v>
      </c>
      <c r="D11904" t="s">
        <v>12</v>
      </c>
      <c r="E11904" t="s">
        <v>16082</v>
      </c>
    </row>
    <row r="11905" spans="1:6" x14ac:dyDescent="0.25">
      <c r="A11905" t="str">
        <f>"5948068263"</f>
        <v>5948068263</v>
      </c>
      <c r="B11905" t="s">
        <v>16549</v>
      </c>
      <c r="C11905" t="s">
        <v>7</v>
      </c>
      <c r="D11905" t="s">
        <v>14</v>
      </c>
      <c r="E11905" t="s">
        <v>16082</v>
      </c>
      <c r="F11905" t="s">
        <v>16550</v>
      </c>
    </row>
    <row r="11906" spans="1:6" x14ac:dyDescent="0.25">
      <c r="A11906" t="str">
        <f>"594810600540"</f>
        <v>594810600540</v>
      </c>
      <c r="B11906" t="s">
        <v>16551</v>
      </c>
      <c r="C11906" t="s">
        <v>7</v>
      </c>
      <c r="D11906" t="s">
        <v>14</v>
      </c>
      <c r="E11906" t="s">
        <v>16082</v>
      </c>
    </row>
    <row r="11907" spans="1:6" x14ac:dyDescent="0.25">
      <c r="A11907" t="str">
        <f>"5948995268"</f>
        <v>5948995268</v>
      </c>
      <c r="B11907" t="s">
        <v>16552</v>
      </c>
      <c r="C11907" t="s">
        <v>7</v>
      </c>
      <c r="D11907" t="s">
        <v>33</v>
      </c>
      <c r="E11907" t="s">
        <v>16082</v>
      </c>
      <c r="F11907" t="s">
        <v>16553</v>
      </c>
    </row>
    <row r="11908" spans="1:6" x14ac:dyDescent="0.25">
      <c r="A11908" t="str">
        <f>"594900053317"</f>
        <v>594900053317</v>
      </c>
      <c r="B11908" t="s">
        <v>16554</v>
      </c>
      <c r="C11908" t="s">
        <v>7</v>
      </c>
      <c r="D11908" t="s">
        <v>14</v>
      </c>
      <c r="E11908" t="s">
        <v>16082</v>
      </c>
    </row>
    <row r="11909" spans="1:6" x14ac:dyDescent="0.25">
      <c r="A11909" t="str">
        <f>"5949400594"</f>
        <v>5949400594</v>
      </c>
      <c r="B11909" t="s">
        <v>16555</v>
      </c>
      <c r="C11909" t="s">
        <v>7</v>
      </c>
      <c r="D11909" t="s">
        <v>14</v>
      </c>
      <c r="E11909" t="s">
        <v>16082</v>
      </c>
      <c r="F11909" t="s">
        <v>16556</v>
      </c>
    </row>
    <row r="11910" spans="1:6" x14ac:dyDescent="0.25">
      <c r="A11910" t="str">
        <f>"595151677852"</f>
        <v>595151677852</v>
      </c>
      <c r="B11910" t="s">
        <v>16557</v>
      </c>
      <c r="C11910" t="s">
        <v>7</v>
      </c>
      <c r="D11910" t="s">
        <v>14</v>
      </c>
      <c r="E11910" t="s">
        <v>16082</v>
      </c>
    </row>
    <row r="11911" spans="1:6" x14ac:dyDescent="0.25">
      <c r="A11911" t="str">
        <f>"595151716798"</f>
        <v>595151716798</v>
      </c>
      <c r="B11911" t="s">
        <v>16558</v>
      </c>
      <c r="C11911" t="s">
        <v>7</v>
      </c>
      <c r="D11911" t="s">
        <v>14</v>
      </c>
      <c r="E11911" t="s">
        <v>16082</v>
      </c>
    </row>
    <row r="11912" spans="1:6" x14ac:dyDescent="0.25">
      <c r="A11912" t="str">
        <f>"595153506531"</f>
        <v>595153506531</v>
      </c>
      <c r="B11912" t="s">
        <v>16559</v>
      </c>
      <c r="C11912" t="s">
        <v>7</v>
      </c>
      <c r="D11912" t="s">
        <v>674</v>
      </c>
      <c r="E11912" t="s">
        <v>16082</v>
      </c>
    </row>
    <row r="11913" spans="1:6" x14ac:dyDescent="0.25">
      <c r="A11913" t="str">
        <f>"595600868590"</f>
        <v>595600868590</v>
      </c>
      <c r="B11913" t="s">
        <v>16560</v>
      </c>
      <c r="C11913" t="s">
        <v>7</v>
      </c>
      <c r="D11913" t="s">
        <v>14</v>
      </c>
      <c r="E11913" t="s">
        <v>16082</v>
      </c>
    </row>
    <row r="11914" spans="1:6" x14ac:dyDescent="0.25">
      <c r="A11914" t="str">
        <f>"595601100507"</f>
        <v>595601100507</v>
      </c>
      <c r="B11914" t="s">
        <v>16561</v>
      </c>
      <c r="C11914" t="s">
        <v>7</v>
      </c>
      <c r="D11914" t="s">
        <v>12</v>
      </c>
      <c r="E11914" t="s">
        <v>16082</v>
      </c>
    </row>
    <row r="11915" spans="1:6" x14ac:dyDescent="0.25">
      <c r="A11915" t="str">
        <f>"595701442286"</f>
        <v>595701442286</v>
      </c>
      <c r="B11915" t="s">
        <v>16562</v>
      </c>
      <c r="C11915" t="s">
        <v>7</v>
      </c>
      <c r="D11915" t="s">
        <v>14</v>
      </c>
      <c r="E11915" t="s">
        <v>16082</v>
      </c>
    </row>
    <row r="11916" spans="1:6" x14ac:dyDescent="0.25">
      <c r="A11916" t="str">
        <f>"595706944473"</f>
        <v>595706944473</v>
      </c>
      <c r="B11916" t="s">
        <v>16563</v>
      </c>
      <c r="C11916" t="s">
        <v>7</v>
      </c>
      <c r="D11916" t="s">
        <v>12</v>
      </c>
      <c r="E11916" t="s">
        <v>16082</v>
      </c>
    </row>
    <row r="11917" spans="1:6" x14ac:dyDescent="0.25">
      <c r="A11917" t="str">
        <f>"595708358354"</f>
        <v>595708358354</v>
      </c>
      <c r="B11917" t="s">
        <v>16564</v>
      </c>
      <c r="C11917" t="s">
        <v>7</v>
      </c>
      <c r="D11917" t="s">
        <v>14</v>
      </c>
      <c r="E11917" t="s">
        <v>16082</v>
      </c>
    </row>
    <row r="11918" spans="1:6" x14ac:dyDescent="0.25">
      <c r="A11918" t="str">
        <f>"5959003839"</f>
        <v>5959003839</v>
      </c>
      <c r="B11918" t="s">
        <v>16565</v>
      </c>
      <c r="C11918" t="s">
        <v>7</v>
      </c>
      <c r="D11918" t="s">
        <v>14</v>
      </c>
      <c r="E11918" t="s">
        <v>16082</v>
      </c>
      <c r="F11918" t="s">
        <v>16566</v>
      </c>
    </row>
    <row r="11919" spans="1:6" x14ac:dyDescent="0.25">
      <c r="A11919" t="str">
        <f>"598100499406"</f>
        <v>598100499406</v>
      </c>
      <c r="B11919" t="s">
        <v>16567</v>
      </c>
      <c r="C11919" t="s">
        <v>7</v>
      </c>
      <c r="D11919" t="s">
        <v>14</v>
      </c>
      <c r="E11919" t="s">
        <v>16082</v>
      </c>
    </row>
    <row r="11920" spans="1:6" x14ac:dyDescent="0.25">
      <c r="A11920" t="str">
        <f>"5981011225"</f>
        <v>5981011225</v>
      </c>
      <c r="B11920" t="s">
        <v>16568</v>
      </c>
      <c r="C11920" t="s">
        <v>7</v>
      </c>
      <c r="D11920" t="s">
        <v>12</v>
      </c>
      <c r="E11920" t="s">
        <v>16082</v>
      </c>
      <c r="F11920" t="s">
        <v>16569</v>
      </c>
    </row>
    <row r="11921" spans="1:6" x14ac:dyDescent="0.25">
      <c r="A11921" t="str">
        <f>"5921036105"</f>
        <v>5921036105</v>
      </c>
      <c r="B11921" t="s">
        <v>16570</v>
      </c>
      <c r="C11921" t="s">
        <v>7</v>
      </c>
      <c r="D11921" t="s">
        <v>14</v>
      </c>
      <c r="E11921" t="s">
        <v>16082</v>
      </c>
      <c r="F11921" t="s">
        <v>16571</v>
      </c>
    </row>
    <row r="11922" spans="1:6" x14ac:dyDescent="0.25">
      <c r="A11922" t="str">
        <f>"593701057509"</f>
        <v>593701057509</v>
      </c>
      <c r="B11922" t="s">
        <v>16572</v>
      </c>
      <c r="C11922" t="s">
        <v>7</v>
      </c>
      <c r="D11922" t="s">
        <v>14</v>
      </c>
      <c r="E11922" t="s">
        <v>16082</v>
      </c>
    </row>
    <row r="11923" spans="1:6" x14ac:dyDescent="0.25">
      <c r="A11923" t="str">
        <f>"593901505363"</f>
        <v>593901505363</v>
      </c>
      <c r="B11923" t="s">
        <v>16573</v>
      </c>
      <c r="C11923" t="s">
        <v>7</v>
      </c>
      <c r="D11923" t="s">
        <v>14</v>
      </c>
      <c r="E11923" t="s">
        <v>16082</v>
      </c>
    </row>
    <row r="11924" spans="1:6" x14ac:dyDescent="0.25">
      <c r="A11924" t="str">
        <f>"594000042552"</f>
        <v>594000042552</v>
      </c>
      <c r="B11924" t="s">
        <v>16574</v>
      </c>
      <c r="C11924" t="s">
        <v>7</v>
      </c>
      <c r="D11924" t="s">
        <v>14</v>
      </c>
      <c r="E11924" t="s">
        <v>16082</v>
      </c>
    </row>
    <row r="11925" spans="1:6" x14ac:dyDescent="0.25">
      <c r="A11925" t="str">
        <f>"594100864330"</f>
        <v>594100864330</v>
      </c>
      <c r="B11925" t="s">
        <v>16575</v>
      </c>
      <c r="C11925" t="s">
        <v>7</v>
      </c>
      <c r="D11925" t="s">
        <v>14</v>
      </c>
      <c r="E11925" t="s">
        <v>16082</v>
      </c>
    </row>
    <row r="11926" spans="1:6" x14ac:dyDescent="0.25">
      <c r="A11926" t="str">
        <f>"594101182203"</f>
        <v>594101182203</v>
      </c>
      <c r="B11926" t="s">
        <v>16576</v>
      </c>
      <c r="C11926" t="s">
        <v>7</v>
      </c>
      <c r="D11926" t="s">
        <v>14</v>
      </c>
      <c r="E11926" t="s">
        <v>16082</v>
      </c>
    </row>
    <row r="11927" spans="1:6" x14ac:dyDescent="0.25">
      <c r="A11927" t="str">
        <f>"594101948946"</f>
        <v>594101948946</v>
      </c>
      <c r="B11927" t="s">
        <v>16577</v>
      </c>
      <c r="C11927" t="s">
        <v>7</v>
      </c>
      <c r="D11927" t="s">
        <v>14</v>
      </c>
      <c r="E11927" t="s">
        <v>16082</v>
      </c>
    </row>
    <row r="11928" spans="1:6" x14ac:dyDescent="0.25">
      <c r="A11928" t="str">
        <f>"594200949098"</f>
        <v>594200949098</v>
      </c>
      <c r="B11928" t="s">
        <v>16578</v>
      </c>
      <c r="C11928" t="s">
        <v>7</v>
      </c>
      <c r="D11928" t="s">
        <v>14</v>
      </c>
      <c r="E11928" t="s">
        <v>16082</v>
      </c>
    </row>
    <row r="11929" spans="1:6" x14ac:dyDescent="0.25">
      <c r="A11929" t="str">
        <f>"594203007673"</f>
        <v>594203007673</v>
      </c>
      <c r="B11929" t="s">
        <v>16579</v>
      </c>
      <c r="C11929" t="s">
        <v>7</v>
      </c>
      <c r="D11929" t="s">
        <v>14</v>
      </c>
      <c r="E11929" t="s">
        <v>16082</v>
      </c>
    </row>
    <row r="11930" spans="1:6" x14ac:dyDescent="0.25">
      <c r="A11930" t="str">
        <f>"594300347153"</f>
        <v>594300347153</v>
      </c>
      <c r="B11930" t="s">
        <v>16580</v>
      </c>
      <c r="C11930" t="s">
        <v>7</v>
      </c>
      <c r="D11930" t="s">
        <v>14</v>
      </c>
      <c r="E11930" t="s">
        <v>16082</v>
      </c>
    </row>
    <row r="11931" spans="1:6" x14ac:dyDescent="0.25">
      <c r="A11931" t="str">
        <f>"5944206709"</f>
        <v>5944206709</v>
      </c>
      <c r="B11931" t="s">
        <v>16581</v>
      </c>
      <c r="C11931" t="s">
        <v>7</v>
      </c>
      <c r="D11931" t="s">
        <v>14</v>
      </c>
      <c r="E11931" t="s">
        <v>16082</v>
      </c>
      <c r="F11931" t="s">
        <v>16582</v>
      </c>
    </row>
    <row r="11932" spans="1:6" x14ac:dyDescent="0.25">
      <c r="A11932" t="str">
        <f>"5944207741"</f>
        <v>5944207741</v>
      </c>
      <c r="B11932" t="s">
        <v>16583</v>
      </c>
      <c r="C11932" t="s">
        <v>7</v>
      </c>
      <c r="D11932" t="s">
        <v>12</v>
      </c>
      <c r="E11932" t="s">
        <v>16082</v>
      </c>
      <c r="F11932" t="s">
        <v>16584</v>
      </c>
    </row>
    <row r="11933" spans="1:6" x14ac:dyDescent="0.25">
      <c r="A11933" t="str">
        <f>"594600026792"</f>
        <v>594600026792</v>
      </c>
      <c r="B11933" t="s">
        <v>16585</v>
      </c>
      <c r="C11933" t="s">
        <v>7</v>
      </c>
      <c r="D11933" t="s">
        <v>14</v>
      </c>
      <c r="E11933" t="s">
        <v>16082</v>
      </c>
    </row>
    <row r="11934" spans="1:6" x14ac:dyDescent="0.25">
      <c r="A11934" t="str">
        <f>"594600697470"</f>
        <v>594600697470</v>
      </c>
      <c r="B11934" t="s">
        <v>16586</v>
      </c>
      <c r="C11934" t="s">
        <v>7</v>
      </c>
      <c r="D11934" t="s">
        <v>14</v>
      </c>
      <c r="E11934" t="s">
        <v>16082</v>
      </c>
    </row>
    <row r="11935" spans="1:6" x14ac:dyDescent="0.25">
      <c r="A11935" t="str">
        <f>"594601394728"</f>
        <v>594601394728</v>
      </c>
      <c r="B11935" t="s">
        <v>16587</v>
      </c>
      <c r="C11935" t="s">
        <v>7</v>
      </c>
      <c r="D11935" t="s">
        <v>14</v>
      </c>
      <c r="E11935" t="s">
        <v>16082</v>
      </c>
    </row>
    <row r="11936" spans="1:6" x14ac:dyDescent="0.25">
      <c r="A11936" t="str">
        <f>"594800094895"</f>
        <v>594800094895</v>
      </c>
      <c r="B11936" t="s">
        <v>16588</v>
      </c>
      <c r="C11936" t="s">
        <v>7</v>
      </c>
      <c r="D11936" t="s">
        <v>12</v>
      </c>
      <c r="E11936" t="s">
        <v>16082</v>
      </c>
    </row>
    <row r="11937" spans="1:6" x14ac:dyDescent="0.25">
      <c r="A11937" t="str">
        <f>"594805056886"</f>
        <v>594805056886</v>
      </c>
      <c r="B11937" t="s">
        <v>16589</v>
      </c>
      <c r="C11937" t="s">
        <v>7</v>
      </c>
      <c r="D11937" t="s">
        <v>12</v>
      </c>
      <c r="E11937" t="s">
        <v>16082</v>
      </c>
    </row>
    <row r="11938" spans="1:6" x14ac:dyDescent="0.25">
      <c r="A11938" t="str">
        <f>"5948057198"</f>
        <v>5948057198</v>
      </c>
      <c r="B11938" t="s">
        <v>16590</v>
      </c>
      <c r="C11938" t="s">
        <v>7</v>
      </c>
      <c r="D11938" t="s">
        <v>12</v>
      </c>
      <c r="E11938" t="s">
        <v>16082</v>
      </c>
      <c r="F11938" t="s">
        <v>16591</v>
      </c>
    </row>
    <row r="11939" spans="1:6" x14ac:dyDescent="0.25">
      <c r="A11939" t="str">
        <f>"594806096095"</f>
        <v>594806096095</v>
      </c>
      <c r="B11939" t="s">
        <v>16592</v>
      </c>
      <c r="C11939" t="s">
        <v>7</v>
      </c>
      <c r="D11939" t="s">
        <v>14</v>
      </c>
      <c r="E11939" t="s">
        <v>16082</v>
      </c>
    </row>
    <row r="11940" spans="1:6" x14ac:dyDescent="0.25">
      <c r="A11940" t="str">
        <f>"594806727520"</f>
        <v>594806727520</v>
      </c>
      <c r="B11940" t="s">
        <v>16593</v>
      </c>
      <c r="C11940" t="s">
        <v>7</v>
      </c>
      <c r="D11940" t="s">
        <v>14</v>
      </c>
      <c r="E11940" t="s">
        <v>16082</v>
      </c>
    </row>
    <row r="11941" spans="1:6" x14ac:dyDescent="0.25">
      <c r="A11941" t="str">
        <f>"5948070142"</f>
        <v>5948070142</v>
      </c>
      <c r="B11941" t="s">
        <v>16594</v>
      </c>
      <c r="C11941" t="s">
        <v>7</v>
      </c>
      <c r="D11941" t="s">
        <v>12</v>
      </c>
      <c r="E11941" t="s">
        <v>16082</v>
      </c>
      <c r="F11941" t="s">
        <v>16595</v>
      </c>
    </row>
    <row r="11942" spans="1:6" x14ac:dyDescent="0.25">
      <c r="A11942" t="str">
        <f>"595151461437"</f>
        <v>595151461437</v>
      </c>
      <c r="B11942" t="s">
        <v>16596</v>
      </c>
      <c r="C11942" t="s">
        <v>7</v>
      </c>
      <c r="D11942" t="s">
        <v>33</v>
      </c>
      <c r="E11942" t="s">
        <v>16082</v>
      </c>
    </row>
    <row r="11943" spans="1:6" x14ac:dyDescent="0.25">
      <c r="A11943" t="str">
        <f>"595701509903"</f>
        <v>595701509903</v>
      </c>
      <c r="B11943" t="s">
        <v>16597</v>
      </c>
      <c r="C11943" t="s">
        <v>7</v>
      </c>
      <c r="D11943" t="s">
        <v>14</v>
      </c>
      <c r="E11943" t="s">
        <v>16082</v>
      </c>
    </row>
    <row r="11944" spans="1:6" x14ac:dyDescent="0.25">
      <c r="A11944" t="str">
        <f>"595701536632"</f>
        <v>595701536632</v>
      </c>
      <c r="B11944" t="s">
        <v>16598</v>
      </c>
      <c r="C11944" t="s">
        <v>7</v>
      </c>
      <c r="D11944" t="s">
        <v>14</v>
      </c>
      <c r="E11944" t="s">
        <v>16082</v>
      </c>
    </row>
    <row r="11945" spans="1:6" x14ac:dyDescent="0.25">
      <c r="A11945" t="str">
        <f>"5957018903"</f>
        <v>5957018903</v>
      </c>
      <c r="B11945" t="s">
        <v>16599</v>
      </c>
      <c r="C11945" t="s">
        <v>7</v>
      </c>
      <c r="D11945" t="s">
        <v>14</v>
      </c>
      <c r="E11945" t="s">
        <v>16082</v>
      </c>
      <c r="F11945" t="s">
        <v>16600</v>
      </c>
    </row>
    <row r="11946" spans="1:6" x14ac:dyDescent="0.25">
      <c r="A11946" t="str">
        <f>"5981002679"</f>
        <v>5981002679</v>
      </c>
      <c r="B11946" t="s">
        <v>16601</v>
      </c>
      <c r="C11946" t="s">
        <v>7</v>
      </c>
      <c r="D11946" t="s">
        <v>14</v>
      </c>
      <c r="E11946" t="s">
        <v>16082</v>
      </c>
      <c r="F11946" t="s">
        <v>16602</v>
      </c>
    </row>
    <row r="11947" spans="1:6" x14ac:dyDescent="0.25">
      <c r="A11947" t="str">
        <f>"5981010736"</f>
        <v>5981010736</v>
      </c>
      <c r="B11947" t="s">
        <v>16603</v>
      </c>
      <c r="C11947" t="s">
        <v>7</v>
      </c>
      <c r="D11947" t="s">
        <v>14</v>
      </c>
      <c r="E11947" t="s">
        <v>16082</v>
      </c>
      <c r="F11947" t="s">
        <v>16604</v>
      </c>
    </row>
    <row r="11948" spans="1:6" x14ac:dyDescent="0.25">
      <c r="A11948" t="str">
        <f>"593201239557"</f>
        <v>593201239557</v>
      </c>
      <c r="B11948" t="s">
        <v>16605</v>
      </c>
      <c r="C11948" t="s">
        <v>7</v>
      </c>
      <c r="D11948" t="s">
        <v>14</v>
      </c>
      <c r="E11948" t="s">
        <v>16082</v>
      </c>
    </row>
    <row r="11949" spans="1:6" x14ac:dyDescent="0.25">
      <c r="A11949" t="str">
        <f>"593300035515"</f>
        <v>593300035515</v>
      </c>
      <c r="B11949" t="s">
        <v>16606</v>
      </c>
      <c r="C11949" t="s">
        <v>7</v>
      </c>
      <c r="D11949" t="s">
        <v>14</v>
      </c>
      <c r="E11949" t="s">
        <v>16082</v>
      </c>
    </row>
    <row r="11950" spans="1:6" x14ac:dyDescent="0.25">
      <c r="A11950" t="str">
        <f>"5933010197"</f>
        <v>5933010197</v>
      </c>
      <c r="B11950" t="s">
        <v>16607</v>
      </c>
      <c r="C11950" t="s">
        <v>7</v>
      </c>
      <c r="D11950" t="s">
        <v>14</v>
      </c>
      <c r="E11950" t="s">
        <v>16082</v>
      </c>
      <c r="F11950" t="s">
        <v>16608</v>
      </c>
    </row>
    <row r="11951" spans="1:6" x14ac:dyDescent="0.25">
      <c r="A11951" t="str">
        <f>"593304372208"</f>
        <v>593304372208</v>
      </c>
      <c r="B11951" t="s">
        <v>16609</v>
      </c>
      <c r="C11951" t="s">
        <v>7</v>
      </c>
      <c r="D11951" t="s">
        <v>14</v>
      </c>
      <c r="E11951" t="s">
        <v>16082</v>
      </c>
    </row>
    <row r="11952" spans="1:6" x14ac:dyDescent="0.25">
      <c r="A11952" t="str">
        <f>"593304868606"</f>
        <v>593304868606</v>
      </c>
      <c r="B11952" t="s">
        <v>16610</v>
      </c>
      <c r="C11952" t="s">
        <v>7</v>
      </c>
      <c r="D11952" t="s">
        <v>12</v>
      </c>
      <c r="E11952" t="s">
        <v>16082</v>
      </c>
    </row>
    <row r="11953" spans="1:6" x14ac:dyDescent="0.25">
      <c r="A11953" t="str">
        <f>"593600927675"</f>
        <v>593600927675</v>
      </c>
      <c r="B11953" t="s">
        <v>16611</v>
      </c>
      <c r="C11953" t="s">
        <v>7</v>
      </c>
      <c r="D11953" t="s">
        <v>14</v>
      </c>
      <c r="E11953" t="s">
        <v>16082</v>
      </c>
    </row>
    <row r="11954" spans="1:6" x14ac:dyDescent="0.25">
      <c r="A11954" t="str">
        <f>"594100022180"</f>
        <v>594100022180</v>
      </c>
      <c r="B11954" t="s">
        <v>16612</v>
      </c>
      <c r="C11954" t="s">
        <v>7</v>
      </c>
      <c r="D11954" t="s">
        <v>14</v>
      </c>
      <c r="E11954" t="s">
        <v>16082</v>
      </c>
    </row>
    <row r="11955" spans="1:6" x14ac:dyDescent="0.25">
      <c r="A11955" t="str">
        <f>"594200105859"</f>
        <v>594200105859</v>
      </c>
      <c r="B11955" t="s">
        <v>16613</v>
      </c>
      <c r="C11955" t="s">
        <v>7</v>
      </c>
      <c r="D11955" t="s">
        <v>12</v>
      </c>
      <c r="E11955" t="s">
        <v>16082</v>
      </c>
    </row>
    <row r="11956" spans="1:6" x14ac:dyDescent="0.25">
      <c r="A11956" t="str">
        <f>"594303487110"</f>
        <v>594303487110</v>
      </c>
      <c r="B11956" t="s">
        <v>16614</v>
      </c>
      <c r="C11956" t="s">
        <v>7</v>
      </c>
      <c r="D11956" t="s">
        <v>14</v>
      </c>
      <c r="E11956" t="s">
        <v>16082</v>
      </c>
    </row>
    <row r="11957" spans="1:6" x14ac:dyDescent="0.25">
      <c r="A11957" t="str">
        <f>"594401327040"</f>
        <v>594401327040</v>
      </c>
      <c r="B11957" t="s">
        <v>16615</v>
      </c>
      <c r="C11957" t="s">
        <v>7</v>
      </c>
      <c r="D11957" t="s">
        <v>14</v>
      </c>
      <c r="E11957" t="s">
        <v>16082</v>
      </c>
    </row>
    <row r="11958" spans="1:6" x14ac:dyDescent="0.25">
      <c r="A11958" t="str">
        <f>"594500022466"</f>
        <v>594500022466</v>
      </c>
      <c r="B11958" t="s">
        <v>16616</v>
      </c>
      <c r="C11958" t="s">
        <v>7</v>
      </c>
      <c r="D11958" t="s">
        <v>14</v>
      </c>
      <c r="E11958" t="s">
        <v>16082</v>
      </c>
    </row>
    <row r="11959" spans="1:6" x14ac:dyDescent="0.25">
      <c r="A11959" t="str">
        <f>"594701014786"</f>
        <v>594701014786</v>
      </c>
      <c r="B11959" t="s">
        <v>16617</v>
      </c>
      <c r="C11959" t="s">
        <v>7</v>
      </c>
      <c r="D11959" t="s">
        <v>14</v>
      </c>
      <c r="E11959" t="s">
        <v>16082</v>
      </c>
    </row>
    <row r="11960" spans="1:6" x14ac:dyDescent="0.25">
      <c r="A11960" t="str">
        <f>"5947015660"</f>
        <v>5947015660</v>
      </c>
      <c r="B11960" t="s">
        <v>16618</v>
      </c>
      <c r="C11960" t="s">
        <v>7</v>
      </c>
      <c r="D11960" t="s">
        <v>14</v>
      </c>
      <c r="E11960" t="s">
        <v>16082</v>
      </c>
      <c r="F11960" t="s">
        <v>16619</v>
      </c>
    </row>
    <row r="11961" spans="1:6" x14ac:dyDescent="0.25">
      <c r="A11961" t="str">
        <f>"5948041511"</f>
        <v>5948041511</v>
      </c>
      <c r="B11961" t="s">
        <v>16620</v>
      </c>
      <c r="C11961" t="s">
        <v>7</v>
      </c>
      <c r="D11961" t="s">
        <v>12</v>
      </c>
      <c r="E11961" t="s">
        <v>16082</v>
      </c>
      <c r="F11961" t="s">
        <v>16621</v>
      </c>
    </row>
    <row r="11962" spans="1:6" x14ac:dyDescent="0.25">
      <c r="A11962" t="str">
        <f>"5948045805"</f>
        <v>5948045805</v>
      </c>
      <c r="B11962" t="s">
        <v>16622</v>
      </c>
      <c r="C11962" t="s">
        <v>7</v>
      </c>
      <c r="D11962" t="s">
        <v>14</v>
      </c>
      <c r="E11962" t="s">
        <v>16082</v>
      </c>
      <c r="F11962" t="s">
        <v>16235</v>
      </c>
    </row>
    <row r="11963" spans="1:6" x14ac:dyDescent="0.25">
      <c r="A11963" t="str">
        <f>"5948058748"</f>
        <v>5948058748</v>
      </c>
      <c r="B11963" t="s">
        <v>16623</v>
      </c>
      <c r="C11963" t="s">
        <v>7</v>
      </c>
      <c r="D11963" t="s">
        <v>33</v>
      </c>
      <c r="E11963" t="s">
        <v>16082</v>
      </c>
      <c r="F11963" t="s">
        <v>16624</v>
      </c>
    </row>
    <row r="11964" spans="1:6" x14ac:dyDescent="0.25">
      <c r="A11964" t="str">
        <f>"594807838159"</f>
        <v>594807838159</v>
      </c>
      <c r="B11964" t="s">
        <v>16625</v>
      </c>
      <c r="C11964" t="s">
        <v>7</v>
      </c>
      <c r="D11964" t="s">
        <v>28</v>
      </c>
      <c r="E11964" t="s">
        <v>16082</v>
      </c>
    </row>
    <row r="11965" spans="1:6" x14ac:dyDescent="0.25">
      <c r="A11965" t="str">
        <f>"594809866602"</f>
        <v>594809866602</v>
      </c>
      <c r="B11965" t="s">
        <v>16626</v>
      </c>
      <c r="C11965" t="s">
        <v>7</v>
      </c>
      <c r="D11965" t="s">
        <v>12</v>
      </c>
      <c r="E11965" t="s">
        <v>16082</v>
      </c>
    </row>
    <row r="11966" spans="1:6" x14ac:dyDescent="0.25">
      <c r="A11966" t="str">
        <f>"5951002400"</f>
        <v>5951002400</v>
      </c>
      <c r="B11966" t="s">
        <v>16627</v>
      </c>
      <c r="C11966" t="s">
        <v>7</v>
      </c>
      <c r="D11966" t="s">
        <v>14</v>
      </c>
      <c r="E11966" t="s">
        <v>16082</v>
      </c>
      <c r="F11966" t="s">
        <v>16628</v>
      </c>
    </row>
    <row r="11967" spans="1:6" x14ac:dyDescent="0.25">
      <c r="A11967" t="str">
        <f>"595100468508"</f>
        <v>595100468508</v>
      </c>
      <c r="B11967" t="s">
        <v>16629</v>
      </c>
      <c r="C11967" t="s">
        <v>7</v>
      </c>
      <c r="D11967" t="s">
        <v>14</v>
      </c>
      <c r="E11967" t="s">
        <v>16082</v>
      </c>
    </row>
    <row r="11968" spans="1:6" x14ac:dyDescent="0.25">
      <c r="A11968" t="str">
        <f>"595600897304"</f>
        <v>595600897304</v>
      </c>
      <c r="B11968" t="s">
        <v>16630</v>
      </c>
      <c r="C11968" t="s">
        <v>7</v>
      </c>
      <c r="D11968" t="s">
        <v>14</v>
      </c>
      <c r="E11968" t="s">
        <v>16082</v>
      </c>
    </row>
    <row r="11969" spans="1:6" x14ac:dyDescent="0.25">
      <c r="A11969" t="str">
        <f>"5957007235"</f>
        <v>5957007235</v>
      </c>
      <c r="B11969" t="s">
        <v>16631</v>
      </c>
      <c r="C11969" t="s">
        <v>7</v>
      </c>
      <c r="D11969" t="s">
        <v>12</v>
      </c>
      <c r="E11969" t="s">
        <v>16082</v>
      </c>
      <c r="F11969" t="s">
        <v>16632</v>
      </c>
    </row>
    <row r="11970" spans="1:6" x14ac:dyDescent="0.25">
      <c r="A11970" t="str">
        <f>"595738033667"</f>
        <v>595738033667</v>
      </c>
      <c r="B11970" t="s">
        <v>16633</v>
      </c>
      <c r="C11970" t="s">
        <v>7</v>
      </c>
      <c r="D11970" t="s">
        <v>14</v>
      </c>
      <c r="E11970" t="s">
        <v>16082</v>
      </c>
    </row>
    <row r="11971" spans="1:6" x14ac:dyDescent="0.25">
      <c r="A11971" t="str">
        <f>"595738081491"</f>
        <v>595738081491</v>
      </c>
      <c r="B11971" t="s">
        <v>16634</v>
      </c>
      <c r="C11971" t="s">
        <v>7</v>
      </c>
      <c r="D11971" t="s">
        <v>12</v>
      </c>
      <c r="E11971" t="s">
        <v>16082</v>
      </c>
    </row>
    <row r="11972" spans="1:6" x14ac:dyDescent="0.25">
      <c r="A11972" t="str">
        <f>"5959006371"</f>
        <v>5959006371</v>
      </c>
      <c r="B11972" t="s">
        <v>16635</v>
      </c>
      <c r="C11972" t="s">
        <v>7</v>
      </c>
      <c r="D11972" t="s">
        <v>14</v>
      </c>
      <c r="E11972" t="s">
        <v>16082</v>
      </c>
      <c r="F11972" t="s">
        <v>16636</v>
      </c>
    </row>
    <row r="11973" spans="1:6" x14ac:dyDescent="0.25">
      <c r="A11973" t="str">
        <f>"5959009943"</f>
        <v>5959009943</v>
      </c>
      <c r="B11973" t="s">
        <v>16637</v>
      </c>
      <c r="C11973" t="s">
        <v>7</v>
      </c>
      <c r="D11973" t="s">
        <v>14</v>
      </c>
      <c r="E11973" t="s">
        <v>16082</v>
      </c>
      <c r="F11973" t="s">
        <v>16638</v>
      </c>
    </row>
    <row r="11974" spans="1:6" x14ac:dyDescent="0.25">
      <c r="A11974" t="str">
        <f>"165099993436"</f>
        <v>165099993436</v>
      </c>
      <c r="B11974" t="s">
        <v>16639</v>
      </c>
      <c r="C11974" t="s">
        <v>7</v>
      </c>
      <c r="D11974" t="s">
        <v>14</v>
      </c>
      <c r="E11974" t="s">
        <v>16082</v>
      </c>
    </row>
    <row r="11975" spans="1:6" x14ac:dyDescent="0.25">
      <c r="A11975" t="str">
        <f>"6000012840"</f>
        <v>6000012840</v>
      </c>
      <c r="B11975" t="s">
        <v>16640</v>
      </c>
      <c r="C11975" t="s">
        <v>7</v>
      </c>
      <c r="D11975" t="s">
        <v>12</v>
      </c>
      <c r="E11975" t="s">
        <v>16641</v>
      </c>
      <c r="F11975" t="s">
        <v>16642</v>
      </c>
    </row>
    <row r="11976" spans="1:6" x14ac:dyDescent="0.25">
      <c r="A11976" t="str">
        <f>"600201748392"</f>
        <v>600201748392</v>
      </c>
      <c r="B11976" t="s">
        <v>16643</v>
      </c>
      <c r="C11976" t="s">
        <v>7</v>
      </c>
      <c r="D11976" t="s">
        <v>14</v>
      </c>
      <c r="E11976" t="s">
        <v>16641</v>
      </c>
    </row>
    <row r="11977" spans="1:6" x14ac:dyDescent="0.25">
      <c r="A11977" t="str">
        <f>"6022007875"</f>
        <v>6022007875</v>
      </c>
      <c r="B11977" t="s">
        <v>16644</v>
      </c>
      <c r="C11977" t="s">
        <v>7</v>
      </c>
      <c r="D11977" t="s">
        <v>14</v>
      </c>
      <c r="E11977" t="s">
        <v>16641</v>
      </c>
      <c r="F11977" t="s">
        <v>16645</v>
      </c>
    </row>
    <row r="11978" spans="1:6" x14ac:dyDescent="0.25">
      <c r="A11978" t="str">
        <f>"602717792208"</f>
        <v>602717792208</v>
      </c>
      <c r="B11978" t="s">
        <v>16646</v>
      </c>
      <c r="C11978" t="s">
        <v>7</v>
      </c>
      <c r="D11978" t="s">
        <v>12</v>
      </c>
      <c r="E11978" t="s">
        <v>16641</v>
      </c>
    </row>
    <row r="11979" spans="1:6" x14ac:dyDescent="0.25">
      <c r="A11979" t="str">
        <f>"781723939958"</f>
        <v>781723939958</v>
      </c>
      <c r="B11979" t="s">
        <v>16647</v>
      </c>
      <c r="C11979" t="s">
        <v>7</v>
      </c>
      <c r="D11979" t="s">
        <v>586</v>
      </c>
      <c r="E11979" t="s">
        <v>16641</v>
      </c>
    </row>
    <row r="11980" spans="1:6" x14ac:dyDescent="0.25">
      <c r="A11980" t="str">
        <f>"6732080767"</f>
        <v>6732080767</v>
      </c>
      <c r="B11980" t="s">
        <v>16648</v>
      </c>
      <c r="C11980" t="s">
        <v>7</v>
      </c>
      <c r="D11980" t="s">
        <v>14</v>
      </c>
      <c r="E11980" t="s">
        <v>16641</v>
      </c>
      <c r="F11980" t="s">
        <v>16649</v>
      </c>
    </row>
    <row r="11981" spans="1:6" x14ac:dyDescent="0.25">
      <c r="A11981" t="str">
        <f>"6000002182"</f>
        <v>6000002182</v>
      </c>
      <c r="B11981" t="s">
        <v>16650</v>
      </c>
      <c r="C11981" t="s">
        <v>7</v>
      </c>
      <c r="D11981" t="s">
        <v>12</v>
      </c>
      <c r="E11981" t="s">
        <v>16641</v>
      </c>
      <c r="F11981" t="s">
        <v>16651</v>
      </c>
    </row>
    <row r="11982" spans="1:6" x14ac:dyDescent="0.25">
      <c r="A11982" t="str">
        <f>"6000005056"</f>
        <v>6000005056</v>
      </c>
      <c r="B11982" t="s">
        <v>16652</v>
      </c>
      <c r="C11982" t="s">
        <v>7</v>
      </c>
      <c r="D11982" t="s">
        <v>12</v>
      </c>
      <c r="E11982" t="s">
        <v>16641</v>
      </c>
      <c r="F11982" t="s">
        <v>16653</v>
      </c>
    </row>
    <row r="11983" spans="1:6" x14ac:dyDescent="0.25">
      <c r="A11983" t="str">
        <f>"601200585549"</f>
        <v>601200585549</v>
      </c>
      <c r="B11983" t="s">
        <v>16654</v>
      </c>
      <c r="C11983" t="s">
        <v>7</v>
      </c>
      <c r="D11983" t="s">
        <v>14</v>
      </c>
      <c r="E11983" t="s">
        <v>16641</v>
      </c>
    </row>
    <row r="11984" spans="1:6" x14ac:dyDescent="0.25">
      <c r="A11984" t="str">
        <f>"602100012881"</f>
        <v>602100012881</v>
      </c>
      <c r="B11984" t="s">
        <v>16655</v>
      </c>
      <c r="C11984" t="s">
        <v>7</v>
      </c>
      <c r="D11984" t="s">
        <v>14</v>
      </c>
      <c r="E11984" t="s">
        <v>16641</v>
      </c>
    </row>
    <row r="11985" spans="1:6" x14ac:dyDescent="0.25">
      <c r="A11985" t="str">
        <f>"602200038876"</f>
        <v>602200038876</v>
      </c>
      <c r="B11985" t="s">
        <v>16656</v>
      </c>
      <c r="C11985" t="s">
        <v>7</v>
      </c>
      <c r="D11985" t="s">
        <v>14</v>
      </c>
      <c r="E11985" t="s">
        <v>16641</v>
      </c>
    </row>
    <row r="11986" spans="1:6" x14ac:dyDescent="0.25">
      <c r="A11986" t="str">
        <f>"602200733622"</f>
        <v>602200733622</v>
      </c>
      <c r="B11986" t="s">
        <v>16657</v>
      </c>
      <c r="C11986" t="s">
        <v>7</v>
      </c>
      <c r="D11986" t="s">
        <v>14</v>
      </c>
      <c r="E11986" t="s">
        <v>16641</v>
      </c>
    </row>
    <row r="11987" spans="1:6" x14ac:dyDescent="0.25">
      <c r="A11987" t="str">
        <f>"6022007498"</f>
        <v>6022007498</v>
      </c>
      <c r="B11987" t="s">
        <v>16658</v>
      </c>
      <c r="C11987" t="s">
        <v>7</v>
      </c>
      <c r="D11987" t="s">
        <v>14</v>
      </c>
      <c r="E11987" t="s">
        <v>16641</v>
      </c>
      <c r="F11987" t="s">
        <v>16659</v>
      </c>
    </row>
    <row r="11988" spans="1:6" x14ac:dyDescent="0.25">
      <c r="A11988" t="str">
        <f>"602202092533"</f>
        <v>602202092533</v>
      </c>
      <c r="B11988" t="s">
        <v>16660</v>
      </c>
      <c r="C11988" t="s">
        <v>7</v>
      </c>
      <c r="D11988" t="s">
        <v>14</v>
      </c>
      <c r="E11988" t="s">
        <v>16641</v>
      </c>
    </row>
    <row r="11989" spans="1:6" x14ac:dyDescent="0.25">
      <c r="A11989" t="str">
        <f>"602500098548"</f>
        <v>602500098548</v>
      </c>
      <c r="B11989" t="s">
        <v>16661</v>
      </c>
      <c r="C11989" t="s">
        <v>7</v>
      </c>
      <c r="D11989" t="s">
        <v>33</v>
      </c>
      <c r="E11989" t="s">
        <v>16641</v>
      </c>
    </row>
    <row r="11990" spans="1:6" x14ac:dyDescent="0.25">
      <c r="A11990" t="str">
        <f>"602504138738"</f>
        <v>602504138738</v>
      </c>
      <c r="B11990" t="s">
        <v>16662</v>
      </c>
      <c r="C11990" t="s">
        <v>7</v>
      </c>
      <c r="D11990" t="s">
        <v>14</v>
      </c>
      <c r="E11990" t="s">
        <v>16641</v>
      </c>
    </row>
    <row r="11991" spans="1:6" x14ac:dyDescent="0.25">
      <c r="A11991" t="str">
        <f>"602506827564"</f>
        <v>602506827564</v>
      </c>
      <c r="B11991" t="s">
        <v>16663</v>
      </c>
      <c r="C11991" t="s">
        <v>7</v>
      </c>
      <c r="D11991" t="s">
        <v>14</v>
      </c>
      <c r="E11991" t="s">
        <v>16641</v>
      </c>
    </row>
    <row r="11992" spans="1:6" x14ac:dyDescent="0.25">
      <c r="A11992" t="str">
        <f>"602507116860"</f>
        <v>602507116860</v>
      </c>
      <c r="B11992" t="s">
        <v>16664</v>
      </c>
      <c r="C11992" t="s">
        <v>7</v>
      </c>
      <c r="D11992" t="s">
        <v>14</v>
      </c>
      <c r="E11992" t="s">
        <v>16641</v>
      </c>
    </row>
    <row r="11993" spans="1:6" x14ac:dyDescent="0.25">
      <c r="A11993" t="str">
        <f>"602701988572"</f>
        <v>602701988572</v>
      </c>
      <c r="B11993" t="s">
        <v>16665</v>
      </c>
      <c r="C11993" t="s">
        <v>7</v>
      </c>
      <c r="D11993" t="s">
        <v>14</v>
      </c>
      <c r="E11993" t="s">
        <v>16641</v>
      </c>
    </row>
    <row r="11994" spans="1:6" x14ac:dyDescent="0.25">
      <c r="A11994" t="str">
        <f>"602702771149"</f>
        <v>602702771149</v>
      </c>
      <c r="B11994" t="s">
        <v>16666</v>
      </c>
      <c r="C11994" t="s">
        <v>7</v>
      </c>
      <c r="D11994" t="s">
        <v>14</v>
      </c>
      <c r="E11994" t="s">
        <v>16641</v>
      </c>
    </row>
    <row r="11995" spans="1:6" x14ac:dyDescent="0.25">
      <c r="A11995" t="str">
        <f>"602706693371"</f>
        <v>602706693371</v>
      </c>
      <c r="B11995" t="s">
        <v>16667</v>
      </c>
      <c r="C11995" t="s">
        <v>7</v>
      </c>
      <c r="D11995" t="s">
        <v>14</v>
      </c>
      <c r="E11995" t="s">
        <v>16641</v>
      </c>
    </row>
    <row r="11996" spans="1:6" x14ac:dyDescent="0.25">
      <c r="A11996" t="str">
        <f>"6027083220"</f>
        <v>6027083220</v>
      </c>
      <c r="B11996" t="s">
        <v>16668</v>
      </c>
      <c r="C11996" t="s">
        <v>7</v>
      </c>
      <c r="D11996" t="s">
        <v>14</v>
      </c>
      <c r="E11996" t="s">
        <v>16641</v>
      </c>
      <c r="F11996" t="s">
        <v>16669</v>
      </c>
    </row>
    <row r="11997" spans="1:6" x14ac:dyDescent="0.25">
      <c r="A11997" t="str">
        <f>"6027105925"</f>
        <v>6027105925</v>
      </c>
      <c r="B11997" t="s">
        <v>16670</v>
      </c>
      <c r="C11997" t="s">
        <v>7</v>
      </c>
      <c r="D11997" t="s">
        <v>14</v>
      </c>
      <c r="E11997" t="s">
        <v>16641</v>
      </c>
      <c r="F11997" t="s">
        <v>16671</v>
      </c>
    </row>
    <row r="11998" spans="1:6" x14ac:dyDescent="0.25">
      <c r="A11998" t="str">
        <f>"602713992502"</f>
        <v>602713992502</v>
      </c>
      <c r="B11998" t="s">
        <v>16672</v>
      </c>
      <c r="C11998" t="s">
        <v>7</v>
      </c>
      <c r="D11998" t="s">
        <v>33</v>
      </c>
      <c r="E11998" t="s">
        <v>16641</v>
      </c>
    </row>
    <row r="11999" spans="1:6" x14ac:dyDescent="0.25">
      <c r="A11999" t="str">
        <f>"6027160612"</f>
        <v>6027160612</v>
      </c>
      <c r="B11999" t="s">
        <v>16673</v>
      </c>
      <c r="C11999" t="s">
        <v>7</v>
      </c>
      <c r="D11999" t="s">
        <v>12</v>
      </c>
      <c r="E11999" t="s">
        <v>16641</v>
      </c>
      <c r="F11999" t="s">
        <v>16674</v>
      </c>
    </row>
    <row r="12000" spans="1:6" x14ac:dyDescent="0.25">
      <c r="A12000" t="str">
        <f>"602716423776"</f>
        <v>602716423776</v>
      </c>
      <c r="B12000" t="s">
        <v>16675</v>
      </c>
      <c r="C12000" t="s">
        <v>7</v>
      </c>
      <c r="D12000" t="s">
        <v>14</v>
      </c>
      <c r="E12000" t="s">
        <v>16641</v>
      </c>
    </row>
    <row r="12001" spans="1:6" x14ac:dyDescent="0.25">
      <c r="A12001" t="str">
        <f>"602717883448"</f>
        <v>602717883448</v>
      </c>
      <c r="B12001" t="s">
        <v>16676</v>
      </c>
      <c r="C12001" t="s">
        <v>7</v>
      </c>
      <c r="D12001" t="s">
        <v>14</v>
      </c>
      <c r="E12001" t="s">
        <v>16641</v>
      </c>
    </row>
    <row r="12002" spans="1:6" x14ac:dyDescent="0.25">
      <c r="A12002" t="str">
        <f>"6027196721"</f>
        <v>6027196721</v>
      </c>
      <c r="B12002" t="s">
        <v>16677</v>
      </c>
      <c r="C12002" t="s">
        <v>7</v>
      </c>
      <c r="D12002" t="s">
        <v>14</v>
      </c>
      <c r="E12002" t="s">
        <v>16641</v>
      </c>
      <c r="F12002" t="s">
        <v>16678</v>
      </c>
    </row>
    <row r="12003" spans="1:6" x14ac:dyDescent="0.25">
      <c r="A12003" t="str">
        <f>"602720737197"</f>
        <v>602720737197</v>
      </c>
      <c r="B12003" t="s">
        <v>16679</v>
      </c>
      <c r="C12003" t="s">
        <v>7</v>
      </c>
      <c r="D12003" t="s">
        <v>14</v>
      </c>
      <c r="E12003" t="s">
        <v>16641</v>
      </c>
    </row>
    <row r="12004" spans="1:6" x14ac:dyDescent="0.25">
      <c r="A12004" t="str">
        <f>"6037007613"</f>
        <v>6037007613</v>
      </c>
      <c r="B12004" t="s">
        <v>16680</v>
      </c>
      <c r="C12004" t="s">
        <v>7</v>
      </c>
      <c r="D12004" t="s">
        <v>14</v>
      </c>
      <c r="E12004" t="s">
        <v>16641</v>
      </c>
      <c r="F12004" t="s">
        <v>16681</v>
      </c>
    </row>
    <row r="12005" spans="1:6" x14ac:dyDescent="0.25">
      <c r="A12005" t="str">
        <f>"6000002633"</f>
        <v>6000002633</v>
      </c>
      <c r="B12005" t="s">
        <v>16682</v>
      </c>
      <c r="C12005" t="s">
        <v>7</v>
      </c>
      <c r="D12005" t="s">
        <v>12</v>
      </c>
      <c r="E12005" t="s">
        <v>16641</v>
      </c>
      <c r="F12005" t="s">
        <v>16683</v>
      </c>
    </row>
    <row r="12006" spans="1:6" x14ac:dyDescent="0.25">
      <c r="A12006" t="str">
        <f>"6000012494"</f>
        <v>6000012494</v>
      </c>
      <c r="B12006" t="s">
        <v>16684</v>
      </c>
      <c r="C12006" t="s">
        <v>7</v>
      </c>
      <c r="D12006" t="s">
        <v>14</v>
      </c>
      <c r="E12006" t="s">
        <v>16641</v>
      </c>
      <c r="F12006" t="s">
        <v>16685</v>
      </c>
    </row>
    <row r="12007" spans="1:6" x14ac:dyDescent="0.25">
      <c r="A12007" t="str">
        <f>"600100047182"</f>
        <v>600100047182</v>
      </c>
      <c r="B12007" t="s">
        <v>16686</v>
      </c>
      <c r="C12007" t="s">
        <v>7</v>
      </c>
      <c r="D12007" t="s">
        <v>14</v>
      </c>
      <c r="E12007" t="s">
        <v>16641</v>
      </c>
    </row>
    <row r="12008" spans="1:6" x14ac:dyDescent="0.25">
      <c r="A12008" t="str">
        <f>"6002012732"</f>
        <v>6002012732</v>
      </c>
      <c r="B12008" t="s">
        <v>16687</v>
      </c>
      <c r="C12008" t="s">
        <v>7</v>
      </c>
      <c r="D12008" t="s">
        <v>33</v>
      </c>
      <c r="E12008" t="s">
        <v>16641</v>
      </c>
      <c r="F12008" t="s">
        <v>16688</v>
      </c>
    </row>
    <row r="12009" spans="1:6" x14ac:dyDescent="0.25">
      <c r="A12009" t="str">
        <f>"600901030060"</f>
        <v>600901030060</v>
      </c>
      <c r="B12009" t="s">
        <v>16689</v>
      </c>
      <c r="C12009" t="s">
        <v>7</v>
      </c>
      <c r="D12009" t="s">
        <v>14</v>
      </c>
      <c r="E12009" t="s">
        <v>16641</v>
      </c>
    </row>
    <row r="12010" spans="1:6" x14ac:dyDescent="0.25">
      <c r="A12010" t="str">
        <f>"601200297935"</f>
        <v>601200297935</v>
      </c>
      <c r="B12010" t="s">
        <v>16690</v>
      </c>
      <c r="C12010" t="s">
        <v>7</v>
      </c>
      <c r="D12010" t="s">
        <v>14</v>
      </c>
      <c r="E12010" t="s">
        <v>16641</v>
      </c>
    </row>
    <row r="12011" spans="1:6" x14ac:dyDescent="0.25">
      <c r="A12011" t="str">
        <f>"601302295126"</f>
        <v>601302295126</v>
      </c>
      <c r="B12011" t="s">
        <v>16691</v>
      </c>
      <c r="C12011" t="s">
        <v>7</v>
      </c>
      <c r="D12011" t="s">
        <v>33</v>
      </c>
      <c r="E12011" t="s">
        <v>16641</v>
      </c>
    </row>
    <row r="12012" spans="1:6" x14ac:dyDescent="0.25">
      <c r="A12012" t="str">
        <f>"601500041540"</f>
        <v>601500041540</v>
      </c>
      <c r="B12012" t="s">
        <v>16692</v>
      </c>
      <c r="C12012" t="s">
        <v>7</v>
      </c>
      <c r="D12012" t="s">
        <v>14</v>
      </c>
      <c r="E12012" t="s">
        <v>16641</v>
      </c>
    </row>
    <row r="12013" spans="1:6" x14ac:dyDescent="0.25">
      <c r="A12013" t="str">
        <f>"601801759119"</f>
        <v>601801759119</v>
      </c>
      <c r="B12013" t="s">
        <v>16693</v>
      </c>
      <c r="C12013" t="s">
        <v>7</v>
      </c>
      <c r="D12013" t="s">
        <v>14</v>
      </c>
      <c r="E12013" t="s">
        <v>16641</v>
      </c>
    </row>
    <row r="12014" spans="1:6" x14ac:dyDescent="0.25">
      <c r="A12014" t="str">
        <f>"6022000679"</f>
        <v>6022000679</v>
      </c>
      <c r="B12014" t="s">
        <v>16694</v>
      </c>
      <c r="C12014" t="s">
        <v>7</v>
      </c>
      <c r="D12014" t="s">
        <v>14</v>
      </c>
      <c r="E12014" t="s">
        <v>16641</v>
      </c>
      <c r="F12014" t="s">
        <v>16645</v>
      </c>
    </row>
    <row r="12015" spans="1:6" x14ac:dyDescent="0.25">
      <c r="A12015" t="str">
        <f>"602300033960"</f>
        <v>602300033960</v>
      </c>
      <c r="B12015" t="s">
        <v>16695</v>
      </c>
      <c r="C12015" t="s">
        <v>7</v>
      </c>
      <c r="D12015" t="s">
        <v>14</v>
      </c>
      <c r="E12015" t="s">
        <v>16641</v>
      </c>
    </row>
    <row r="12016" spans="1:6" x14ac:dyDescent="0.25">
      <c r="A12016" t="str">
        <f>"6025011982"</f>
        <v>6025011982</v>
      </c>
      <c r="B12016" t="s">
        <v>16696</v>
      </c>
      <c r="C12016" t="s">
        <v>7</v>
      </c>
      <c r="D12016" t="s">
        <v>14</v>
      </c>
      <c r="E12016" t="s">
        <v>16641</v>
      </c>
      <c r="F12016" t="s">
        <v>16697</v>
      </c>
    </row>
    <row r="12017" spans="1:6" x14ac:dyDescent="0.25">
      <c r="A12017" t="str">
        <f>"602504202214"</f>
        <v>602504202214</v>
      </c>
      <c r="B12017" t="s">
        <v>16698</v>
      </c>
      <c r="C12017" t="s">
        <v>7</v>
      </c>
      <c r="D12017" t="s">
        <v>14</v>
      </c>
      <c r="E12017" t="s">
        <v>16641</v>
      </c>
    </row>
    <row r="12018" spans="1:6" x14ac:dyDescent="0.25">
      <c r="A12018" t="str">
        <f>"602700532730"</f>
        <v>602700532730</v>
      </c>
      <c r="B12018" t="s">
        <v>16699</v>
      </c>
      <c r="C12018" t="s">
        <v>7</v>
      </c>
      <c r="D12018" t="s">
        <v>14</v>
      </c>
      <c r="E12018" t="s">
        <v>16641</v>
      </c>
    </row>
    <row r="12019" spans="1:6" x14ac:dyDescent="0.25">
      <c r="A12019" t="str">
        <f>"6027008400"</f>
        <v>6027008400</v>
      </c>
      <c r="B12019" t="s">
        <v>16700</v>
      </c>
      <c r="C12019" t="s">
        <v>7</v>
      </c>
      <c r="D12019" t="s">
        <v>14</v>
      </c>
      <c r="E12019" t="s">
        <v>16641</v>
      </c>
      <c r="F12019" t="s">
        <v>16701</v>
      </c>
    </row>
    <row r="12020" spans="1:6" x14ac:dyDescent="0.25">
      <c r="A12020" t="str">
        <f>"6027011441"</f>
        <v>6027011441</v>
      </c>
      <c r="B12020" t="s">
        <v>16702</v>
      </c>
      <c r="C12020" t="s">
        <v>7</v>
      </c>
      <c r="D12020" t="s">
        <v>12</v>
      </c>
      <c r="E12020" t="s">
        <v>16641</v>
      </c>
      <c r="F12020" t="s">
        <v>16703</v>
      </c>
    </row>
    <row r="12021" spans="1:6" x14ac:dyDescent="0.25">
      <c r="A12021" t="str">
        <f>"6027098869"</f>
        <v>6027098869</v>
      </c>
      <c r="B12021" t="s">
        <v>16704</v>
      </c>
      <c r="C12021" t="s">
        <v>7</v>
      </c>
      <c r="D12021" t="s">
        <v>12</v>
      </c>
      <c r="E12021" t="s">
        <v>16641</v>
      </c>
      <c r="F12021" t="s">
        <v>16705</v>
      </c>
    </row>
    <row r="12022" spans="1:6" x14ac:dyDescent="0.25">
      <c r="A12022" t="str">
        <f>"6027103621"</f>
        <v>6027103621</v>
      </c>
      <c r="B12022" t="s">
        <v>16706</v>
      </c>
      <c r="C12022" t="s">
        <v>7</v>
      </c>
      <c r="D12022" t="s">
        <v>12</v>
      </c>
      <c r="E12022" t="s">
        <v>16641</v>
      </c>
      <c r="F12022" t="s">
        <v>16707</v>
      </c>
    </row>
    <row r="12023" spans="1:6" x14ac:dyDescent="0.25">
      <c r="A12023" t="str">
        <f>"602712400506"</f>
        <v>602712400506</v>
      </c>
      <c r="B12023" t="s">
        <v>16708</v>
      </c>
      <c r="C12023" t="s">
        <v>7</v>
      </c>
      <c r="D12023" t="s">
        <v>14</v>
      </c>
      <c r="E12023" t="s">
        <v>16641</v>
      </c>
    </row>
    <row r="12024" spans="1:6" x14ac:dyDescent="0.25">
      <c r="A12024" t="str">
        <f>"6027132742"</f>
        <v>6027132742</v>
      </c>
      <c r="B12024" t="s">
        <v>16709</v>
      </c>
      <c r="C12024" t="s">
        <v>7</v>
      </c>
      <c r="D12024" t="s">
        <v>12</v>
      </c>
      <c r="E12024" t="s">
        <v>16641</v>
      </c>
      <c r="F12024" t="s">
        <v>16710</v>
      </c>
    </row>
    <row r="12025" spans="1:6" x14ac:dyDescent="0.25">
      <c r="A12025" t="str">
        <f>"6027141507"</f>
        <v>6027141507</v>
      </c>
      <c r="B12025" t="s">
        <v>16711</v>
      </c>
      <c r="C12025" t="s">
        <v>7</v>
      </c>
      <c r="D12025" t="s">
        <v>463</v>
      </c>
      <c r="E12025" t="s">
        <v>16641</v>
      </c>
      <c r="F12025" t="s">
        <v>16712</v>
      </c>
    </row>
    <row r="12026" spans="1:6" x14ac:dyDescent="0.25">
      <c r="A12026" t="str">
        <f>"602717679080"</f>
        <v>602717679080</v>
      </c>
      <c r="B12026" t="s">
        <v>16713</v>
      </c>
      <c r="C12026" t="s">
        <v>7</v>
      </c>
      <c r="D12026" t="s">
        <v>12</v>
      </c>
      <c r="E12026" t="s">
        <v>16641</v>
      </c>
    </row>
    <row r="12027" spans="1:6" x14ac:dyDescent="0.25">
      <c r="A12027" t="str">
        <f>"6027195742"</f>
        <v>6027195742</v>
      </c>
      <c r="B12027" t="s">
        <v>16714</v>
      </c>
      <c r="C12027" t="s">
        <v>7</v>
      </c>
      <c r="D12027" t="s">
        <v>14</v>
      </c>
      <c r="E12027" t="s">
        <v>16641</v>
      </c>
      <c r="F12027" t="s">
        <v>16715</v>
      </c>
    </row>
    <row r="12028" spans="1:6" x14ac:dyDescent="0.25">
      <c r="A12028" t="str">
        <f>"6027201940"</f>
        <v>6027201940</v>
      </c>
      <c r="B12028" t="s">
        <v>16716</v>
      </c>
      <c r="C12028" t="s">
        <v>7</v>
      </c>
      <c r="D12028" t="s">
        <v>12</v>
      </c>
      <c r="E12028" t="s">
        <v>16641</v>
      </c>
      <c r="F12028" t="s">
        <v>16717</v>
      </c>
    </row>
    <row r="12029" spans="1:6" x14ac:dyDescent="0.25">
      <c r="A12029" t="str">
        <f>"6027205214"</f>
        <v>6027205214</v>
      </c>
      <c r="B12029" t="s">
        <v>16718</v>
      </c>
      <c r="C12029" t="s">
        <v>7</v>
      </c>
      <c r="D12029" t="s">
        <v>14</v>
      </c>
      <c r="E12029" t="s">
        <v>16641</v>
      </c>
      <c r="F12029" t="s">
        <v>16719</v>
      </c>
    </row>
    <row r="12030" spans="1:6" x14ac:dyDescent="0.25">
      <c r="A12030" t="str">
        <f>"6027206948"</f>
        <v>6027206948</v>
      </c>
      <c r="B12030" t="s">
        <v>16652</v>
      </c>
      <c r="C12030" t="s">
        <v>7</v>
      </c>
      <c r="D12030" t="s">
        <v>12</v>
      </c>
      <c r="E12030" t="s">
        <v>16641</v>
      </c>
      <c r="F12030" t="s">
        <v>16720</v>
      </c>
    </row>
    <row r="12031" spans="1:6" x14ac:dyDescent="0.25">
      <c r="A12031" t="str">
        <f>"6002006513"</f>
        <v>6002006513</v>
      </c>
      <c r="B12031" t="s">
        <v>16721</v>
      </c>
      <c r="C12031" t="s">
        <v>7</v>
      </c>
      <c r="D12031" t="s">
        <v>14</v>
      </c>
      <c r="E12031" t="s">
        <v>16641</v>
      </c>
      <c r="F12031" t="s">
        <v>16722</v>
      </c>
    </row>
    <row r="12032" spans="1:6" x14ac:dyDescent="0.25">
      <c r="A12032" t="str">
        <f>"6002012718"</f>
        <v>6002012718</v>
      </c>
      <c r="B12032" t="s">
        <v>16723</v>
      </c>
      <c r="C12032" t="s">
        <v>7</v>
      </c>
      <c r="D12032" t="s">
        <v>14</v>
      </c>
      <c r="E12032" t="s">
        <v>16641</v>
      </c>
      <c r="F12032" t="s">
        <v>16724</v>
      </c>
    </row>
    <row r="12033" spans="1:6" x14ac:dyDescent="0.25">
      <c r="A12033" t="str">
        <f>"600700403650"</f>
        <v>600700403650</v>
      </c>
      <c r="B12033" t="s">
        <v>16725</v>
      </c>
      <c r="C12033" t="s">
        <v>7</v>
      </c>
      <c r="D12033" t="s">
        <v>14</v>
      </c>
      <c r="E12033" t="s">
        <v>16641</v>
      </c>
    </row>
    <row r="12034" spans="1:6" x14ac:dyDescent="0.25">
      <c r="A12034" t="str">
        <f>"601201882576"</f>
        <v>601201882576</v>
      </c>
      <c r="B12034" t="s">
        <v>16726</v>
      </c>
      <c r="C12034" t="s">
        <v>7</v>
      </c>
      <c r="D12034" t="s">
        <v>14</v>
      </c>
      <c r="E12034" t="s">
        <v>16641</v>
      </c>
    </row>
    <row r="12035" spans="1:6" x14ac:dyDescent="0.25">
      <c r="A12035" t="str">
        <f>"601700049955"</f>
        <v>601700049955</v>
      </c>
      <c r="B12035" t="s">
        <v>16727</v>
      </c>
      <c r="C12035" t="s">
        <v>7</v>
      </c>
      <c r="D12035" t="s">
        <v>14</v>
      </c>
      <c r="E12035" t="s">
        <v>16641</v>
      </c>
    </row>
    <row r="12036" spans="1:6" x14ac:dyDescent="0.25">
      <c r="A12036" t="str">
        <f>"601800132205"</f>
        <v>601800132205</v>
      </c>
      <c r="B12036" t="s">
        <v>16728</v>
      </c>
      <c r="C12036" t="s">
        <v>7</v>
      </c>
      <c r="D12036" t="s">
        <v>12</v>
      </c>
      <c r="E12036" t="s">
        <v>16641</v>
      </c>
    </row>
    <row r="12037" spans="1:6" x14ac:dyDescent="0.25">
      <c r="A12037" t="str">
        <f>"602202108127"</f>
        <v>602202108127</v>
      </c>
      <c r="B12037" t="s">
        <v>16729</v>
      </c>
      <c r="C12037" t="s">
        <v>7</v>
      </c>
      <c r="D12037" t="s">
        <v>14</v>
      </c>
      <c r="E12037" t="s">
        <v>16641</v>
      </c>
    </row>
    <row r="12038" spans="1:6" x14ac:dyDescent="0.25">
      <c r="A12038" t="str">
        <f>"602503037751"</f>
        <v>602503037751</v>
      </c>
      <c r="B12038" t="s">
        <v>16730</v>
      </c>
      <c r="C12038" t="s">
        <v>7</v>
      </c>
      <c r="D12038" t="s">
        <v>14</v>
      </c>
      <c r="E12038" t="s">
        <v>16641</v>
      </c>
    </row>
    <row r="12039" spans="1:6" x14ac:dyDescent="0.25">
      <c r="A12039" t="str">
        <f>"602700441667"</f>
        <v>602700441667</v>
      </c>
      <c r="B12039" t="s">
        <v>16731</v>
      </c>
      <c r="C12039" t="s">
        <v>7</v>
      </c>
      <c r="D12039" t="s">
        <v>12</v>
      </c>
      <c r="E12039" t="s">
        <v>16641</v>
      </c>
    </row>
    <row r="12040" spans="1:6" x14ac:dyDescent="0.25">
      <c r="A12040" t="str">
        <f>"602701101543"</f>
        <v>602701101543</v>
      </c>
      <c r="B12040" t="s">
        <v>16732</v>
      </c>
      <c r="C12040" t="s">
        <v>7</v>
      </c>
      <c r="D12040" t="s">
        <v>14</v>
      </c>
      <c r="E12040" t="s">
        <v>16641</v>
      </c>
    </row>
    <row r="12041" spans="1:6" x14ac:dyDescent="0.25">
      <c r="A12041" t="str">
        <f>"6027042337"</f>
        <v>6027042337</v>
      </c>
      <c r="B12041" t="s">
        <v>16733</v>
      </c>
      <c r="C12041" t="s">
        <v>7</v>
      </c>
      <c r="D12041" t="s">
        <v>12</v>
      </c>
      <c r="E12041" t="s">
        <v>16641</v>
      </c>
      <c r="F12041" t="s">
        <v>16734</v>
      </c>
    </row>
    <row r="12042" spans="1:6" x14ac:dyDescent="0.25">
      <c r="A12042" t="str">
        <f>"602705349400"</f>
        <v>602705349400</v>
      </c>
      <c r="B12042" t="s">
        <v>16735</v>
      </c>
      <c r="C12042" t="s">
        <v>7</v>
      </c>
      <c r="D12042" t="s">
        <v>14</v>
      </c>
      <c r="E12042" t="s">
        <v>16641</v>
      </c>
    </row>
    <row r="12043" spans="1:6" x14ac:dyDescent="0.25">
      <c r="A12043" t="str">
        <f>"6027072596"</f>
        <v>6027072596</v>
      </c>
      <c r="B12043" t="s">
        <v>16736</v>
      </c>
      <c r="C12043" t="s">
        <v>7</v>
      </c>
      <c r="D12043" t="s">
        <v>12</v>
      </c>
      <c r="E12043" t="s">
        <v>16641</v>
      </c>
      <c r="F12043" t="s">
        <v>16737</v>
      </c>
    </row>
    <row r="12044" spans="1:6" x14ac:dyDescent="0.25">
      <c r="A12044" t="str">
        <f>"602710429806"</f>
        <v>602710429806</v>
      </c>
      <c r="B12044" t="s">
        <v>16738</v>
      </c>
      <c r="C12044" t="s">
        <v>7</v>
      </c>
      <c r="D12044" t="s">
        <v>14</v>
      </c>
      <c r="E12044" t="s">
        <v>16641</v>
      </c>
    </row>
    <row r="12045" spans="1:6" x14ac:dyDescent="0.25">
      <c r="A12045" t="str">
        <f>"6027144025"</f>
        <v>6027144025</v>
      </c>
      <c r="B12045" t="s">
        <v>16739</v>
      </c>
      <c r="C12045" t="s">
        <v>7</v>
      </c>
      <c r="D12045" t="s">
        <v>33</v>
      </c>
      <c r="E12045" t="s">
        <v>16641</v>
      </c>
      <c r="F12045" t="s">
        <v>16737</v>
      </c>
    </row>
    <row r="12046" spans="1:6" x14ac:dyDescent="0.25">
      <c r="A12046" t="str">
        <f>"602714426355"</f>
        <v>602714426355</v>
      </c>
      <c r="B12046" t="s">
        <v>16740</v>
      </c>
      <c r="C12046" t="s">
        <v>7</v>
      </c>
      <c r="D12046" t="s">
        <v>14</v>
      </c>
      <c r="E12046" t="s">
        <v>16641</v>
      </c>
    </row>
    <row r="12047" spans="1:6" x14ac:dyDescent="0.25">
      <c r="A12047" t="str">
        <f>"6027163282"</f>
        <v>6027163282</v>
      </c>
      <c r="B12047" t="s">
        <v>16741</v>
      </c>
      <c r="C12047" t="s">
        <v>7</v>
      </c>
      <c r="D12047" t="s">
        <v>12</v>
      </c>
      <c r="E12047" t="s">
        <v>16641</v>
      </c>
      <c r="F12047" t="s">
        <v>16742</v>
      </c>
    </row>
    <row r="12048" spans="1:6" x14ac:dyDescent="0.25">
      <c r="A12048" t="str">
        <f>"6027182630"</f>
        <v>6027182630</v>
      </c>
      <c r="B12048" t="s">
        <v>2798</v>
      </c>
      <c r="C12048" t="s">
        <v>7</v>
      </c>
      <c r="D12048" t="s">
        <v>14</v>
      </c>
      <c r="E12048" t="s">
        <v>16641</v>
      </c>
      <c r="F12048" t="s">
        <v>16743</v>
      </c>
    </row>
    <row r="12049" spans="1:6" x14ac:dyDescent="0.25">
      <c r="A12049" t="str">
        <f>"6027186931"</f>
        <v>6027186931</v>
      </c>
      <c r="B12049" t="s">
        <v>16744</v>
      </c>
      <c r="C12049" t="s">
        <v>7</v>
      </c>
      <c r="D12049" t="s">
        <v>98</v>
      </c>
      <c r="E12049" t="s">
        <v>16641</v>
      </c>
      <c r="F12049" t="s">
        <v>16745</v>
      </c>
    </row>
    <row r="12050" spans="1:6" x14ac:dyDescent="0.25">
      <c r="A12050" t="str">
        <f>"6027198790"</f>
        <v>6027198790</v>
      </c>
      <c r="B12050" t="s">
        <v>16746</v>
      </c>
      <c r="C12050" t="s">
        <v>7</v>
      </c>
      <c r="D12050" t="s">
        <v>14</v>
      </c>
      <c r="E12050" t="s">
        <v>16641</v>
      </c>
      <c r="F12050" t="s">
        <v>16747</v>
      </c>
    </row>
    <row r="12051" spans="1:6" x14ac:dyDescent="0.25">
      <c r="A12051" t="str">
        <f>"6027202284"</f>
        <v>6027202284</v>
      </c>
      <c r="B12051" t="s">
        <v>16748</v>
      </c>
      <c r="C12051" t="s">
        <v>7</v>
      </c>
      <c r="D12051" t="s">
        <v>14</v>
      </c>
      <c r="E12051" t="s">
        <v>16641</v>
      </c>
      <c r="F12051" t="s">
        <v>16749</v>
      </c>
    </row>
    <row r="12052" spans="1:6" x14ac:dyDescent="0.25">
      <c r="A12052" t="str">
        <f>"6027207123"</f>
        <v>6027207123</v>
      </c>
      <c r="B12052" t="s">
        <v>16750</v>
      </c>
      <c r="C12052" t="s">
        <v>7</v>
      </c>
      <c r="D12052" t="s">
        <v>12</v>
      </c>
      <c r="E12052" t="s">
        <v>16641</v>
      </c>
      <c r="F12052" t="s">
        <v>16751</v>
      </c>
    </row>
    <row r="12053" spans="1:6" x14ac:dyDescent="0.25">
      <c r="A12053" t="str">
        <f>"6037009593"</f>
        <v>6037009593</v>
      </c>
      <c r="B12053" t="s">
        <v>16752</v>
      </c>
      <c r="C12053" t="s">
        <v>7</v>
      </c>
      <c r="D12053" t="s">
        <v>12</v>
      </c>
      <c r="E12053" t="s">
        <v>16641</v>
      </c>
      <c r="F12053" t="s">
        <v>16753</v>
      </c>
    </row>
    <row r="12054" spans="1:6" x14ac:dyDescent="0.25">
      <c r="A12054" t="str">
        <f>"614006617287"</f>
        <v>614006617287</v>
      </c>
      <c r="B12054" t="s">
        <v>16754</v>
      </c>
      <c r="C12054" t="s">
        <v>7</v>
      </c>
      <c r="D12054" t="s">
        <v>14</v>
      </c>
      <c r="E12054" t="s">
        <v>16755</v>
      </c>
    </row>
    <row r="12055" spans="1:6" x14ac:dyDescent="0.25">
      <c r="A12055" t="str">
        <f>"6141023153"</f>
        <v>6141023153</v>
      </c>
      <c r="B12055" t="s">
        <v>16756</v>
      </c>
      <c r="C12055" t="s">
        <v>7</v>
      </c>
      <c r="D12055" t="s">
        <v>12</v>
      </c>
      <c r="E12055" t="s">
        <v>16755</v>
      </c>
      <c r="F12055" t="s">
        <v>16757</v>
      </c>
    </row>
    <row r="12056" spans="1:6" x14ac:dyDescent="0.25">
      <c r="A12056" t="str">
        <f>"6141047108"</f>
        <v>6141047108</v>
      </c>
      <c r="B12056" t="s">
        <v>16758</v>
      </c>
      <c r="C12056" t="s">
        <v>7</v>
      </c>
      <c r="D12056" t="s">
        <v>33</v>
      </c>
      <c r="E12056" t="s">
        <v>16755</v>
      </c>
      <c r="F12056" t="s">
        <v>16759</v>
      </c>
    </row>
    <row r="12057" spans="1:6" x14ac:dyDescent="0.25">
      <c r="A12057" t="str">
        <f>"6141055902"</f>
        <v>6141055902</v>
      </c>
      <c r="B12057" t="s">
        <v>16760</v>
      </c>
      <c r="C12057" t="s">
        <v>7</v>
      </c>
      <c r="D12057" t="s">
        <v>33</v>
      </c>
      <c r="E12057" t="s">
        <v>16755</v>
      </c>
      <c r="F12057" t="s">
        <v>16761</v>
      </c>
    </row>
    <row r="12058" spans="1:6" x14ac:dyDescent="0.25">
      <c r="A12058" t="str">
        <f>"6141058942"</f>
        <v>6141058942</v>
      </c>
      <c r="B12058" t="s">
        <v>16762</v>
      </c>
      <c r="C12058" t="s">
        <v>7</v>
      </c>
      <c r="D12058" t="s">
        <v>12</v>
      </c>
      <c r="E12058" t="s">
        <v>16755</v>
      </c>
      <c r="F12058" t="s">
        <v>16763</v>
      </c>
    </row>
    <row r="12059" spans="1:6" x14ac:dyDescent="0.25">
      <c r="A12059" t="str">
        <f>"6142010365"</f>
        <v>6142010365</v>
      </c>
      <c r="B12059" t="s">
        <v>16764</v>
      </c>
      <c r="C12059" t="s">
        <v>7</v>
      </c>
      <c r="D12059" t="s">
        <v>14</v>
      </c>
      <c r="E12059" t="s">
        <v>16755</v>
      </c>
      <c r="F12059" t="s">
        <v>16765</v>
      </c>
    </row>
    <row r="12060" spans="1:6" x14ac:dyDescent="0.25">
      <c r="A12060" t="str">
        <f>"614201183650"</f>
        <v>614201183650</v>
      </c>
      <c r="B12060" t="s">
        <v>16766</v>
      </c>
      <c r="C12060" t="s">
        <v>7</v>
      </c>
      <c r="D12060" t="s">
        <v>14</v>
      </c>
      <c r="E12060" t="s">
        <v>16755</v>
      </c>
    </row>
    <row r="12061" spans="1:6" x14ac:dyDescent="0.25">
      <c r="A12061" t="str">
        <f>"6142028490"</f>
        <v>6142028490</v>
      </c>
      <c r="B12061" t="s">
        <v>4600</v>
      </c>
      <c r="C12061" t="s">
        <v>7</v>
      </c>
      <c r="D12061" t="s">
        <v>14</v>
      </c>
      <c r="E12061" t="s">
        <v>16755</v>
      </c>
      <c r="F12061" t="s">
        <v>16767</v>
      </c>
    </row>
    <row r="12062" spans="1:6" x14ac:dyDescent="0.25">
      <c r="A12062" t="str">
        <f>"614206679509"</f>
        <v>614206679509</v>
      </c>
      <c r="B12062" t="s">
        <v>16768</v>
      </c>
      <c r="C12062" t="s">
        <v>7</v>
      </c>
      <c r="D12062" t="s">
        <v>12</v>
      </c>
      <c r="E12062" t="s">
        <v>16755</v>
      </c>
    </row>
    <row r="12063" spans="1:6" x14ac:dyDescent="0.25">
      <c r="A12063" t="str">
        <f>"614206980674"</f>
        <v>614206980674</v>
      </c>
      <c r="B12063" t="s">
        <v>16769</v>
      </c>
      <c r="C12063" t="s">
        <v>7</v>
      </c>
      <c r="D12063" t="s">
        <v>14</v>
      </c>
      <c r="E12063" t="s">
        <v>16755</v>
      </c>
    </row>
    <row r="12064" spans="1:6" x14ac:dyDescent="0.25">
      <c r="A12064" t="str">
        <f>"614211694118"</f>
        <v>614211694118</v>
      </c>
      <c r="B12064" t="s">
        <v>16770</v>
      </c>
      <c r="C12064" t="s">
        <v>7</v>
      </c>
      <c r="D12064" t="s">
        <v>14</v>
      </c>
      <c r="E12064" t="s">
        <v>16755</v>
      </c>
    </row>
    <row r="12065" spans="1:6" x14ac:dyDescent="0.25">
      <c r="A12065" t="str">
        <f>"614300059245"</f>
        <v>614300059245</v>
      </c>
      <c r="B12065" t="s">
        <v>16771</v>
      </c>
      <c r="C12065" t="s">
        <v>7</v>
      </c>
      <c r="D12065" t="s">
        <v>14</v>
      </c>
      <c r="E12065" t="s">
        <v>16755</v>
      </c>
    </row>
    <row r="12066" spans="1:6" x14ac:dyDescent="0.25">
      <c r="A12066" t="str">
        <f>"614300299254"</f>
        <v>614300299254</v>
      </c>
      <c r="B12066" t="s">
        <v>16772</v>
      </c>
      <c r="C12066" t="s">
        <v>7</v>
      </c>
      <c r="D12066" t="s">
        <v>14</v>
      </c>
      <c r="E12066" t="s">
        <v>16755</v>
      </c>
    </row>
    <row r="12067" spans="1:6" x14ac:dyDescent="0.25">
      <c r="A12067" t="str">
        <f>"614300371790"</f>
        <v>614300371790</v>
      </c>
      <c r="B12067" t="s">
        <v>16773</v>
      </c>
      <c r="C12067" t="s">
        <v>7</v>
      </c>
      <c r="D12067" t="s">
        <v>14</v>
      </c>
      <c r="E12067" t="s">
        <v>16755</v>
      </c>
    </row>
    <row r="12068" spans="1:6" x14ac:dyDescent="0.25">
      <c r="A12068" t="str">
        <f>"614302635871"</f>
        <v>614302635871</v>
      </c>
      <c r="B12068" t="s">
        <v>16774</v>
      </c>
      <c r="C12068" t="s">
        <v>7</v>
      </c>
      <c r="D12068" t="s">
        <v>14</v>
      </c>
      <c r="E12068" t="s">
        <v>16755</v>
      </c>
    </row>
    <row r="12069" spans="1:6" x14ac:dyDescent="0.25">
      <c r="A12069" t="str">
        <f>"6143036711"</f>
        <v>6143036711</v>
      </c>
      <c r="B12069" t="s">
        <v>16775</v>
      </c>
      <c r="C12069" t="s">
        <v>7</v>
      </c>
      <c r="D12069" t="s">
        <v>14</v>
      </c>
      <c r="E12069" t="s">
        <v>16755</v>
      </c>
      <c r="F12069" t="s">
        <v>16776</v>
      </c>
    </row>
    <row r="12070" spans="1:6" x14ac:dyDescent="0.25">
      <c r="A12070" t="str">
        <f>"614306677985"</f>
        <v>614306677985</v>
      </c>
      <c r="B12070" t="s">
        <v>16777</v>
      </c>
      <c r="C12070" t="s">
        <v>7</v>
      </c>
      <c r="D12070" t="s">
        <v>12</v>
      </c>
      <c r="E12070" t="s">
        <v>16755</v>
      </c>
    </row>
    <row r="12071" spans="1:6" x14ac:dyDescent="0.25">
      <c r="A12071" t="str">
        <f>"614307616248"</f>
        <v>614307616248</v>
      </c>
      <c r="B12071" t="s">
        <v>16778</v>
      </c>
      <c r="C12071" t="s">
        <v>7</v>
      </c>
      <c r="D12071" t="s">
        <v>33</v>
      </c>
      <c r="E12071" t="s">
        <v>16755</v>
      </c>
    </row>
    <row r="12072" spans="1:6" x14ac:dyDescent="0.25">
      <c r="A12072" t="str">
        <f>"614310525576"</f>
        <v>614310525576</v>
      </c>
      <c r="B12072" t="s">
        <v>16779</v>
      </c>
      <c r="C12072" t="s">
        <v>7</v>
      </c>
      <c r="D12072" t="s">
        <v>14</v>
      </c>
      <c r="E12072" t="s">
        <v>16755</v>
      </c>
    </row>
    <row r="12073" spans="1:6" x14ac:dyDescent="0.25">
      <c r="A12073" t="str">
        <f>"614315781630"</f>
        <v>614315781630</v>
      </c>
      <c r="B12073" t="s">
        <v>16780</v>
      </c>
      <c r="C12073" t="s">
        <v>7</v>
      </c>
      <c r="D12073" t="s">
        <v>14</v>
      </c>
      <c r="E12073" t="s">
        <v>16755</v>
      </c>
    </row>
    <row r="12074" spans="1:6" x14ac:dyDescent="0.25">
      <c r="A12074" t="str">
        <f>"614317207195"</f>
        <v>614317207195</v>
      </c>
      <c r="B12074" t="s">
        <v>16781</v>
      </c>
      <c r="C12074" t="s">
        <v>7</v>
      </c>
      <c r="D12074" t="s">
        <v>12</v>
      </c>
      <c r="E12074" t="s">
        <v>16755</v>
      </c>
    </row>
    <row r="12075" spans="1:6" x14ac:dyDescent="0.25">
      <c r="A12075" t="str">
        <f>"614405776313"</f>
        <v>614405776313</v>
      </c>
      <c r="B12075" t="s">
        <v>16782</v>
      </c>
      <c r="C12075" t="s">
        <v>7</v>
      </c>
      <c r="D12075" t="s">
        <v>14</v>
      </c>
      <c r="E12075" t="s">
        <v>16755</v>
      </c>
    </row>
    <row r="12076" spans="1:6" x14ac:dyDescent="0.25">
      <c r="A12076" t="str">
        <f>"614408443802"</f>
        <v>614408443802</v>
      </c>
      <c r="B12076" t="s">
        <v>16783</v>
      </c>
      <c r="C12076" t="s">
        <v>7</v>
      </c>
      <c r="D12076" t="s">
        <v>14</v>
      </c>
      <c r="E12076" t="s">
        <v>16755</v>
      </c>
    </row>
    <row r="12077" spans="1:6" x14ac:dyDescent="0.25">
      <c r="A12077" t="str">
        <f>"614500182550"</f>
        <v>614500182550</v>
      </c>
      <c r="B12077" t="s">
        <v>16784</v>
      </c>
      <c r="C12077" t="s">
        <v>7</v>
      </c>
      <c r="D12077" t="s">
        <v>14</v>
      </c>
      <c r="E12077" t="s">
        <v>16755</v>
      </c>
    </row>
    <row r="12078" spans="1:6" x14ac:dyDescent="0.25">
      <c r="A12078" t="str">
        <f>"614500185695"</f>
        <v>614500185695</v>
      </c>
      <c r="B12078" t="s">
        <v>16785</v>
      </c>
      <c r="C12078" t="s">
        <v>7</v>
      </c>
      <c r="D12078" t="s">
        <v>14</v>
      </c>
      <c r="E12078" t="s">
        <v>16755</v>
      </c>
    </row>
    <row r="12079" spans="1:6" x14ac:dyDescent="0.25">
      <c r="A12079" t="str">
        <f>"614501938503"</f>
        <v>614501938503</v>
      </c>
      <c r="B12079" t="s">
        <v>16786</v>
      </c>
      <c r="C12079" t="s">
        <v>7</v>
      </c>
      <c r="D12079" t="s">
        <v>14</v>
      </c>
      <c r="E12079" t="s">
        <v>16755</v>
      </c>
    </row>
    <row r="12080" spans="1:6" x14ac:dyDescent="0.25">
      <c r="A12080" t="str">
        <f>"614531349262"</f>
        <v>614531349262</v>
      </c>
      <c r="B12080" t="s">
        <v>16787</v>
      </c>
      <c r="C12080" t="s">
        <v>7</v>
      </c>
      <c r="D12080" t="s">
        <v>14</v>
      </c>
      <c r="E12080" t="s">
        <v>16755</v>
      </c>
    </row>
    <row r="12081" spans="1:6" x14ac:dyDescent="0.25">
      <c r="A12081" t="str">
        <f>"614550719367"</f>
        <v>614550719367</v>
      </c>
      <c r="B12081" t="s">
        <v>16788</v>
      </c>
      <c r="C12081" t="s">
        <v>7</v>
      </c>
      <c r="D12081" t="s">
        <v>14</v>
      </c>
      <c r="E12081" t="s">
        <v>16755</v>
      </c>
    </row>
    <row r="12082" spans="1:6" x14ac:dyDescent="0.25">
      <c r="A12082" t="str">
        <f>"6146001795"</f>
        <v>6146001795</v>
      </c>
      <c r="B12082" t="s">
        <v>16789</v>
      </c>
      <c r="C12082" t="s">
        <v>7</v>
      </c>
      <c r="D12082" t="s">
        <v>14</v>
      </c>
      <c r="E12082" t="s">
        <v>16755</v>
      </c>
      <c r="F12082" t="s">
        <v>16790</v>
      </c>
    </row>
    <row r="12083" spans="1:6" x14ac:dyDescent="0.25">
      <c r="A12083" t="str">
        <f>"614602907572"</f>
        <v>614602907572</v>
      </c>
      <c r="B12083" t="s">
        <v>16791</v>
      </c>
      <c r="C12083" t="s">
        <v>7</v>
      </c>
      <c r="D12083" t="s">
        <v>14</v>
      </c>
      <c r="E12083" t="s">
        <v>16755</v>
      </c>
    </row>
    <row r="12084" spans="1:6" x14ac:dyDescent="0.25">
      <c r="A12084" t="str">
        <f>"614702710097"</f>
        <v>614702710097</v>
      </c>
      <c r="B12084" t="s">
        <v>16792</v>
      </c>
      <c r="C12084" t="s">
        <v>7</v>
      </c>
      <c r="D12084" t="s">
        <v>14</v>
      </c>
      <c r="E12084" t="s">
        <v>16755</v>
      </c>
    </row>
    <row r="12085" spans="1:6" x14ac:dyDescent="0.25">
      <c r="A12085" t="str">
        <f>"614900111296"</f>
        <v>614900111296</v>
      </c>
      <c r="B12085" t="s">
        <v>16793</v>
      </c>
      <c r="C12085" t="s">
        <v>7</v>
      </c>
      <c r="D12085" t="s">
        <v>14</v>
      </c>
      <c r="E12085" t="s">
        <v>16755</v>
      </c>
    </row>
    <row r="12086" spans="1:6" x14ac:dyDescent="0.25">
      <c r="A12086" t="str">
        <f>"6149019688"</f>
        <v>6149019688</v>
      </c>
      <c r="B12086" t="s">
        <v>16794</v>
      </c>
      <c r="C12086" t="s">
        <v>7</v>
      </c>
      <c r="D12086" t="s">
        <v>12</v>
      </c>
      <c r="E12086" t="s">
        <v>16755</v>
      </c>
      <c r="F12086" t="s">
        <v>16795</v>
      </c>
    </row>
    <row r="12087" spans="1:6" x14ac:dyDescent="0.25">
      <c r="A12087" t="str">
        <f>"614904882571"</f>
        <v>614904882571</v>
      </c>
      <c r="B12087" t="s">
        <v>16796</v>
      </c>
      <c r="C12087" t="s">
        <v>7</v>
      </c>
      <c r="D12087" t="s">
        <v>14</v>
      </c>
      <c r="E12087" t="s">
        <v>16755</v>
      </c>
    </row>
    <row r="12088" spans="1:6" x14ac:dyDescent="0.25">
      <c r="A12088" t="str">
        <f>"614904977801"</f>
        <v>614904977801</v>
      </c>
      <c r="B12088" t="s">
        <v>16797</v>
      </c>
      <c r="C12088" t="s">
        <v>7</v>
      </c>
      <c r="D12088" t="s">
        <v>14</v>
      </c>
      <c r="E12088" t="s">
        <v>16755</v>
      </c>
    </row>
    <row r="12089" spans="1:6" x14ac:dyDescent="0.25">
      <c r="A12089" t="str">
        <f>"615004491619"</f>
        <v>615004491619</v>
      </c>
      <c r="B12089" t="s">
        <v>16798</v>
      </c>
      <c r="C12089" t="s">
        <v>7</v>
      </c>
      <c r="D12089" t="s">
        <v>12</v>
      </c>
      <c r="E12089" t="s">
        <v>16755</v>
      </c>
    </row>
    <row r="12090" spans="1:6" x14ac:dyDescent="0.25">
      <c r="A12090" t="str">
        <f>"6150065858"</f>
        <v>6150065858</v>
      </c>
      <c r="B12090" t="s">
        <v>16799</v>
      </c>
      <c r="C12090" t="s">
        <v>7</v>
      </c>
      <c r="D12090" t="s">
        <v>98</v>
      </c>
      <c r="E12090" t="s">
        <v>16755</v>
      </c>
      <c r="F12090" t="s">
        <v>16800</v>
      </c>
    </row>
    <row r="12091" spans="1:6" x14ac:dyDescent="0.25">
      <c r="A12091" t="str">
        <f>"615006816615"</f>
        <v>615006816615</v>
      </c>
      <c r="B12091" t="s">
        <v>16801</v>
      </c>
      <c r="C12091" t="s">
        <v>7</v>
      </c>
      <c r="D12091" t="s">
        <v>14</v>
      </c>
      <c r="E12091" t="s">
        <v>16755</v>
      </c>
    </row>
    <row r="12092" spans="1:6" x14ac:dyDescent="0.25">
      <c r="A12092" t="str">
        <f>"615010463419"</f>
        <v>615010463419</v>
      </c>
      <c r="B12092" t="s">
        <v>16802</v>
      </c>
      <c r="C12092" t="s">
        <v>7</v>
      </c>
      <c r="D12092" t="s">
        <v>14</v>
      </c>
      <c r="E12092" t="s">
        <v>16755</v>
      </c>
    </row>
    <row r="12093" spans="1:6" x14ac:dyDescent="0.25">
      <c r="A12093" t="str">
        <f>"615016146110"</f>
        <v>615016146110</v>
      </c>
      <c r="B12093" t="s">
        <v>16803</v>
      </c>
      <c r="C12093" t="s">
        <v>7</v>
      </c>
      <c r="D12093" t="s">
        <v>14</v>
      </c>
      <c r="E12093" t="s">
        <v>16755</v>
      </c>
    </row>
    <row r="12094" spans="1:6" x14ac:dyDescent="0.25">
      <c r="A12094" t="str">
        <f>"524830482900"</f>
        <v>524830482900</v>
      </c>
      <c r="B12094" t="s">
        <v>16804</v>
      </c>
      <c r="C12094" t="s">
        <v>7</v>
      </c>
      <c r="D12094" t="s">
        <v>14</v>
      </c>
      <c r="E12094" t="s">
        <v>16755</v>
      </c>
    </row>
    <row r="12095" spans="1:6" x14ac:dyDescent="0.25">
      <c r="A12095" t="str">
        <f>"6137010056"</f>
        <v>6137010056</v>
      </c>
      <c r="B12095" t="s">
        <v>16805</v>
      </c>
      <c r="C12095" t="s">
        <v>7</v>
      </c>
      <c r="D12095" t="s">
        <v>33</v>
      </c>
      <c r="E12095" t="s">
        <v>16755</v>
      </c>
      <c r="F12095" t="s">
        <v>16806</v>
      </c>
    </row>
    <row r="12096" spans="1:6" x14ac:dyDescent="0.25">
      <c r="A12096" t="str">
        <f>"613702502063"</f>
        <v>613702502063</v>
      </c>
      <c r="B12096" t="s">
        <v>16807</v>
      </c>
      <c r="C12096" t="s">
        <v>7</v>
      </c>
      <c r="D12096" t="s">
        <v>14</v>
      </c>
      <c r="E12096" t="s">
        <v>16755</v>
      </c>
    </row>
    <row r="12097" spans="1:6" x14ac:dyDescent="0.25">
      <c r="A12097" t="str">
        <f>"613704062844"</f>
        <v>613704062844</v>
      </c>
      <c r="B12097" t="s">
        <v>16808</v>
      </c>
      <c r="C12097" t="s">
        <v>7</v>
      </c>
      <c r="D12097" t="s">
        <v>12</v>
      </c>
      <c r="E12097" t="s">
        <v>16755</v>
      </c>
    </row>
    <row r="12098" spans="1:6" x14ac:dyDescent="0.25">
      <c r="A12098" t="str">
        <f>"613801073182"</f>
        <v>613801073182</v>
      </c>
      <c r="B12098" t="s">
        <v>16809</v>
      </c>
      <c r="C12098" t="s">
        <v>7</v>
      </c>
      <c r="D12098" t="s">
        <v>14</v>
      </c>
      <c r="E12098" t="s">
        <v>16755</v>
      </c>
    </row>
    <row r="12099" spans="1:6" x14ac:dyDescent="0.25">
      <c r="A12099" t="str">
        <f>"613805210143"</f>
        <v>613805210143</v>
      </c>
      <c r="B12099" t="s">
        <v>16810</v>
      </c>
      <c r="C12099" t="s">
        <v>7</v>
      </c>
      <c r="D12099" t="s">
        <v>14</v>
      </c>
      <c r="E12099" t="s">
        <v>16755</v>
      </c>
    </row>
    <row r="12100" spans="1:6" x14ac:dyDescent="0.25">
      <c r="A12100" t="str">
        <f>"613902590067"</f>
        <v>613902590067</v>
      </c>
      <c r="B12100" t="s">
        <v>16811</v>
      </c>
      <c r="C12100" t="s">
        <v>7</v>
      </c>
      <c r="D12100" t="s">
        <v>14</v>
      </c>
      <c r="E12100" t="s">
        <v>16755</v>
      </c>
    </row>
    <row r="12101" spans="1:6" x14ac:dyDescent="0.25">
      <c r="A12101" t="str">
        <f>"614000097137"</f>
        <v>614000097137</v>
      </c>
      <c r="B12101" t="s">
        <v>16812</v>
      </c>
      <c r="C12101" t="s">
        <v>7</v>
      </c>
      <c r="D12101" t="s">
        <v>14</v>
      </c>
      <c r="E12101" t="s">
        <v>16755</v>
      </c>
    </row>
    <row r="12102" spans="1:6" x14ac:dyDescent="0.25">
      <c r="A12102" t="str">
        <f>"6140011772"</f>
        <v>6140011772</v>
      </c>
      <c r="B12102" t="s">
        <v>16813</v>
      </c>
      <c r="C12102" t="s">
        <v>7</v>
      </c>
      <c r="D12102" t="s">
        <v>14</v>
      </c>
      <c r="E12102" t="s">
        <v>16755</v>
      </c>
      <c r="F12102" t="s">
        <v>16814</v>
      </c>
    </row>
    <row r="12103" spans="1:6" x14ac:dyDescent="0.25">
      <c r="A12103" t="str">
        <f>"6140015262"</f>
        <v>6140015262</v>
      </c>
      <c r="B12103" t="s">
        <v>16815</v>
      </c>
      <c r="C12103" t="s">
        <v>7</v>
      </c>
      <c r="D12103" t="s">
        <v>12</v>
      </c>
      <c r="E12103" t="s">
        <v>16755</v>
      </c>
      <c r="F12103" t="s">
        <v>16816</v>
      </c>
    </row>
    <row r="12104" spans="1:6" x14ac:dyDescent="0.25">
      <c r="A12104" t="str">
        <f>"614089180128"</f>
        <v>614089180128</v>
      </c>
      <c r="B12104" t="s">
        <v>16817</v>
      </c>
      <c r="C12104" t="s">
        <v>7</v>
      </c>
      <c r="D12104" t="s">
        <v>14</v>
      </c>
      <c r="E12104" t="s">
        <v>16755</v>
      </c>
    </row>
    <row r="12105" spans="1:6" x14ac:dyDescent="0.25">
      <c r="A12105" t="str">
        <f>"614089502569"</f>
        <v>614089502569</v>
      </c>
      <c r="B12105" t="s">
        <v>16818</v>
      </c>
      <c r="C12105" t="s">
        <v>7</v>
      </c>
      <c r="D12105" t="s">
        <v>14</v>
      </c>
      <c r="E12105" t="s">
        <v>16755</v>
      </c>
    </row>
    <row r="12106" spans="1:6" x14ac:dyDescent="0.25">
      <c r="A12106" t="str">
        <f>"614101742337"</f>
        <v>614101742337</v>
      </c>
      <c r="B12106" t="s">
        <v>16819</v>
      </c>
      <c r="C12106" t="s">
        <v>7</v>
      </c>
      <c r="D12106" t="s">
        <v>12</v>
      </c>
      <c r="E12106" t="s">
        <v>16755</v>
      </c>
    </row>
    <row r="12107" spans="1:6" x14ac:dyDescent="0.25">
      <c r="A12107" t="str">
        <f>"614107080055"</f>
        <v>614107080055</v>
      </c>
      <c r="B12107" t="s">
        <v>16820</v>
      </c>
      <c r="C12107" t="s">
        <v>7</v>
      </c>
      <c r="D12107" t="s">
        <v>14</v>
      </c>
      <c r="E12107" t="s">
        <v>16755</v>
      </c>
    </row>
    <row r="12108" spans="1:6" x14ac:dyDescent="0.25">
      <c r="A12108" t="str">
        <f>"614107137505"</f>
        <v>614107137505</v>
      </c>
      <c r="B12108" t="s">
        <v>16821</v>
      </c>
      <c r="C12108" t="s">
        <v>7</v>
      </c>
      <c r="D12108" t="s">
        <v>12</v>
      </c>
      <c r="E12108" t="s">
        <v>16755</v>
      </c>
    </row>
    <row r="12109" spans="1:6" x14ac:dyDescent="0.25">
      <c r="A12109" t="str">
        <f>"614108776529"</f>
        <v>614108776529</v>
      </c>
      <c r="B12109" t="s">
        <v>16822</v>
      </c>
      <c r="C12109" t="s">
        <v>7</v>
      </c>
      <c r="D12109" t="s">
        <v>14</v>
      </c>
      <c r="E12109" t="s">
        <v>16755</v>
      </c>
    </row>
    <row r="12110" spans="1:6" x14ac:dyDescent="0.25">
      <c r="A12110" t="str">
        <f>"614210844931"</f>
        <v>614210844931</v>
      </c>
      <c r="B12110" t="s">
        <v>16823</v>
      </c>
      <c r="C12110" t="s">
        <v>7</v>
      </c>
      <c r="D12110" t="s">
        <v>14</v>
      </c>
      <c r="E12110" t="s">
        <v>16755</v>
      </c>
    </row>
    <row r="12111" spans="1:6" x14ac:dyDescent="0.25">
      <c r="A12111" t="str">
        <f>"614300045757"</f>
        <v>614300045757</v>
      </c>
      <c r="B12111" t="s">
        <v>16824</v>
      </c>
      <c r="C12111" t="s">
        <v>7</v>
      </c>
      <c r="D12111" t="s">
        <v>14</v>
      </c>
      <c r="E12111" t="s">
        <v>16755</v>
      </c>
    </row>
    <row r="12112" spans="1:6" x14ac:dyDescent="0.25">
      <c r="A12112" t="str">
        <f>"614300095980"</f>
        <v>614300095980</v>
      </c>
      <c r="B12112" t="s">
        <v>16825</v>
      </c>
      <c r="C12112" t="s">
        <v>7</v>
      </c>
      <c r="D12112" t="s">
        <v>14</v>
      </c>
      <c r="E12112" t="s">
        <v>16755</v>
      </c>
    </row>
    <row r="12113" spans="1:6" x14ac:dyDescent="0.25">
      <c r="A12113" t="str">
        <f>"614300368733"</f>
        <v>614300368733</v>
      </c>
      <c r="B12113" t="s">
        <v>16826</v>
      </c>
      <c r="C12113" t="s">
        <v>7</v>
      </c>
      <c r="D12113" t="s">
        <v>14</v>
      </c>
      <c r="E12113" t="s">
        <v>16755</v>
      </c>
    </row>
    <row r="12114" spans="1:6" x14ac:dyDescent="0.25">
      <c r="A12114" t="str">
        <f>"614301110871"</f>
        <v>614301110871</v>
      </c>
      <c r="B12114" t="s">
        <v>16827</v>
      </c>
      <c r="C12114" t="s">
        <v>7</v>
      </c>
      <c r="D12114" t="s">
        <v>14</v>
      </c>
      <c r="E12114" t="s">
        <v>16755</v>
      </c>
    </row>
    <row r="12115" spans="1:6" x14ac:dyDescent="0.25">
      <c r="A12115" t="str">
        <f>"614301225150"</f>
        <v>614301225150</v>
      </c>
      <c r="B12115" t="s">
        <v>16828</v>
      </c>
      <c r="C12115" t="s">
        <v>7</v>
      </c>
      <c r="D12115" t="s">
        <v>14</v>
      </c>
      <c r="E12115" t="s">
        <v>16755</v>
      </c>
    </row>
    <row r="12116" spans="1:6" x14ac:dyDescent="0.25">
      <c r="A12116" t="str">
        <f>"6143058987"</f>
        <v>6143058987</v>
      </c>
      <c r="B12116" t="s">
        <v>16829</v>
      </c>
      <c r="C12116" t="s">
        <v>7</v>
      </c>
      <c r="D12116" t="s">
        <v>12</v>
      </c>
      <c r="E12116" t="s">
        <v>16755</v>
      </c>
      <c r="F12116" t="s">
        <v>16830</v>
      </c>
    </row>
    <row r="12117" spans="1:6" x14ac:dyDescent="0.25">
      <c r="A12117" t="str">
        <f>"6143060464"</f>
        <v>6143060464</v>
      </c>
      <c r="B12117" t="s">
        <v>16831</v>
      </c>
      <c r="C12117" t="s">
        <v>7</v>
      </c>
      <c r="D12117" t="s">
        <v>189</v>
      </c>
      <c r="E12117" t="s">
        <v>16755</v>
      </c>
      <c r="F12117" t="s">
        <v>16832</v>
      </c>
    </row>
    <row r="12118" spans="1:6" x14ac:dyDescent="0.25">
      <c r="A12118" t="str">
        <f>"6143089583"</f>
        <v>6143089583</v>
      </c>
      <c r="B12118" t="s">
        <v>16833</v>
      </c>
      <c r="C12118" t="s">
        <v>7</v>
      </c>
      <c r="D12118" t="s">
        <v>33</v>
      </c>
      <c r="E12118" t="s">
        <v>16755</v>
      </c>
      <c r="F12118" t="s">
        <v>16834</v>
      </c>
    </row>
    <row r="12119" spans="1:6" x14ac:dyDescent="0.25">
      <c r="A12119" t="str">
        <f>"6143102690"</f>
        <v>6143102690</v>
      </c>
      <c r="B12119" t="s">
        <v>16835</v>
      </c>
      <c r="C12119" t="s">
        <v>7</v>
      </c>
      <c r="D12119" t="s">
        <v>33</v>
      </c>
      <c r="E12119" t="s">
        <v>16755</v>
      </c>
      <c r="F12119" t="s">
        <v>16836</v>
      </c>
    </row>
    <row r="12120" spans="1:6" x14ac:dyDescent="0.25">
      <c r="A12120" t="str">
        <f>"6143102964"</f>
        <v>6143102964</v>
      </c>
      <c r="B12120" t="s">
        <v>16837</v>
      </c>
      <c r="C12120" t="s">
        <v>7</v>
      </c>
      <c r="D12120" t="s">
        <v>14</v>
      </c>
      <c r="E12120" t="s">
        <v>16755</v>
      </c>
      <c r="F12120" t="s">
        <v>16838</v>
      </c>
    </row>
    <row r="12121" spans="1:6" x14ac:dyDescent="0.25">
      <c r="A12121" t="str">
        <f>"614311576559"</f>
        <v>614311576559</v>
      </c>
      <c r="B12121" t="s">
        <v>16839</v>
      </c>
      <c r="C12121" t="s">
        <v>7</v>
      </c>
      <c r="D12121" t="s">
        <v>12</v>
      </c>
      <c r="E12121" t="s">
        <v>16755</v>
      </c>
    </row>
    <row r="12122" spans="1:6" x14ac:dyDescent="0.25">
      <c r="A12122" t="str">
        <f>"614313603906"</f>
        <v>614313603906</v>
      </c>
      <c r="B12122" t="s">
        <v>16840</v>
      </c>
      <c r="C12122" t="s">
        <v>7</v>
      </c>
      <c r="D12122" t="s">
        <v>14</v>
      </c>
      <c r="E12122" t="s">
        <v>16755</v>
      </c>
    </row>
    <row r="12123" spans="1:6" x14ac:dyDescent="0.25">
      <c r="A12123" t="str">
        <f>"614315146998"</f>
        <v>614315146998</v>
      </c>
      <c r="B12123" t="s">
        <v>16841</v>
      </c>
      <c r="C12123" t="s">
        <v>7</v>
      </c>
      <c r="D12123" t="s">
        <v>14</v>
      </c>
      <c r="E12123" t="s">
        <v>16755</v>
      </c>
    </row>
    <row r="12124" spans="1:6" x14ac:dyDescent="0.25">
      <c r="A12124" t="str">
        <f>"614315886760"</f>
        <v>614315886760</v>
      </c>
      <c r="B12124" t="s">
        <v>16842</v>
      </c>
      <c r="C12124" t="s">
        <v>7</v>
      </c>
      <c r="D12124" t="s">
        <v>14</v>
      </c>
      <c r="E12124" t="s">
        <v>16755</v>
      </c>
    </row>
    <row r="12125" spans="1:6" x14ac:dyDescent="0.25">
      <c r="A12125" t="str">
        <f>"614401120584"</f>
        <v>614401120584</v>
      </c>
      <c r="B12125" t="s">
        <v>16843</v>
      </c>
      <c r="C12125" t="s">
        <v>7</v>
      </c>
      <c r="D12125" t="s">
        <v>14</v>
      </c>
      <c r="E12125" t="s">
        <v>16755</v>
      </c>
    </row>
    <row r="12126" spans="1:6" x14ac:dyDescent="0.25">
      <c r="A12126" t="str">
        <f>"614500114750"</f>
        <v>614500114750</v>
      </c>
      <c r="B12126" t="s">
        <v>16844</v>
      </c>
      <c r="C12126" t="s">
        <v>7</v>
      </c>
      <c r="D12126" t="s">
        <v>14</v>
      </c>
      <c r="E12126" t="s">
        <v>16755</v>
      </c>
    </row>
    <row r="12127" spans="1:6" x14ac:dyDescent="0.25">
      <c r="A12127" t="str">
        <f>"614500176852"</f>
        <v>614500176852</v>
      </c>
      <c r="B12127" t="s">
        <v>16845</v>
      </c>
      <c r="C12127" t="s">
        <v>7</v>
      </c>
      <c r="D12127" t="s">
        <v>14</v>
      </c>
      <c r="E12127" t="s">
        <v>16755</v>
      </c>
    </row>
    <row r="12128" spans="1:6" x14ac:dyDescent="0.25">
      <c r="A12128" t="str">
        <f>"614531083703"</f>
        <v>614531083703</v>
      </c>
      <c r="B12128" t="s">
        <v>16846</v>
      </c>
      <c r="C12128" t="s">
        <v>7</v>
      </c>
      <c r="D12128" t="s">
        <v>14</v>
      </c>
      <c r="E12128" t="s">
        <v>16755</v>
      </c>
    </row>
    <row r="12129" spans="1:6" x14ac:dyDescent="0.25">
      <c r="A12129" t="str">
        <f>"614700678923"</f>
        <v>614700678923</v>
      </c>
      <c r="B12129" t="s">
        <v>16847</v>
      </c>
      <c r="C12129" t="s">
        <v>7</v>
      </c>
      <c r="D12129" t="s">
        <v>14</v>
      </c>
      <c r="E12129" t="s">
        <v>16755</v>
      </c>
    </row>
    <row r="12130" spans="1:6" x14ac:dyDescent="0.25">
      <c r="A12130" t="str">
        <f>"614703449230"</f>
        <v>614703449230</v>
      </c>
      <c r="B12130" t="s">
        <v>16848</v>
      </c>
      <c r="C12130" t="s">
        <v>7</v>
      </c>
      <c r="D12130" t="s">
        <v>14</v>
      </c>
      <c r="E12130" t="s">
        <v>16755</v>
      </c>
    </row>
    <row r="12131" spans="1:6" x14ac:dyDescent="0.25">
      <c r="A12131" t="str">
        <f>"614705263520"</f>
        <v>614705263520</v>
      </c>
      <c r="B12131" t="s">
        <v>16849</v>
      </c>
      <c r="C12131" t="s">
        <v>7</v>
      </c>
      <c r="D12131" t="s">
        <v>12</v>
      </c>
      <c r="E12131" t="s">
        <v>16755</v>
      </c>
    </row>
    <row r="12132" spans="1:6" x14ac:dyDescent="0.25">
      <c r="A12132" t="str">
        <f>"614705925887"</f>
        <v>614705925887</v>
      </c>
      <c r="B12132" t="s">
        <v>16850</v>
      </c>
      <c r="C12132" t="s">
        <v>7</v>
      </c>
      <c r="D12132" t="s">
        <v>14</v>
      </c>
      <c r="E12132" t="s">
        <v>16755</v>
      </c>
    </row>
    <row r="12133" spans="1:6" x14ac:dyDescent="0.25">
      <c r="A12133" t="str">
        <f>"614707557300"</f>
        <v>614707557300</v>
      </c>
      <c r="B12133" t="s">
        <v>16851</v>
      </c>
      <c r="C12133" t="s">
        <v>7</v>
      </c>
      <c r="D12133" t="s">
        <v>14</v>
      </c>
      <c r="E12133" t="s">
        <v>16755</v>
      </c>
    </row>
    <row r="12134" spans="1:6" x14ac:dyDescent="0.25">
      <c r="A12134" t="str">
        <f>"614770560185"</f>
        <v>614770560185</v>
      </c>
      <c r="B12134" t="s">
        <v>16852</v>
      </c>
      <c r="C12134" t="s">
        <v>7</v>
      </c>
      <c r="D12134" t="s">
        <v>14</v>
      </c>
      <c r="E12134" t="s">
        <v>16755</v>
      </c>
    </row>
    <row r="12135" spans="1:6" x14ac:dyDescent="0.25">
      <c r="A12135" t="str">
        <f>"614900064409"</f>
        <v>614900064409</v>
      </c>
      <c r="B12135" t="s">
        <v>16853</v>
      </c>
      <c r="C12135" t="s">
        <v>7</v>
      </c>
      <c r="D12135" t="s">
        <v>14</v>
      </c>
      <c r="E12135" t="s">
        <v>16755</v>
      </c>
    </row>
    <row r="12136" spans="1:6" x14ac:dyDescent="0.25">
      <c r="A12136" t="str">
        <f>"614900304749"</f>
        <v>614900304749</v>
      </c>
      <c r="B12136" t="s">
        <v>16854</v>
      </c>
      <c r="C12136" t="s">
        <v>7</v>
      </c>
      <c r="D12136" t="s">
        <v>14</v>
      </c>
      <c r="E12136" t="s">
        <v>16755</v>
      </c>
    </row>
    <row r="12137" spans="1:6" x14ac:dyDescent="0.25">
      <c r="A12137" t="str">
        <f>"614900318702"</f>
        <v>614900318702</v>
      </c>
      <c r="B12137" t="s">
        <v>16855</v>
      </c>
      <c r="C12137" t="s">
        <v>7</v>
      </c>
      <c r="D12137" t="s">
        <v>14</v>
      </c>
      <c r="E12137" t="s">
        <v>16755</v>
      </c>
    </row>
    <row r="12138" spans="1:6" x14ac:dyDescent="0.25">
      <c r="A12138" t="str">
        <f>"6149012724"</f>
        <v>6149012724</v>
      </c>
      <c r="B12138" t="s">
        <v>16856</v>
      </c>
      <c r="C12138" t="s">
        <v>7</v>
      </c>
      <c r="D12138" t="s">
        <v>674</v>
      </c>
      <c r="E12138" t="s">
        <v>16755</v>
      </c>
      <c r="F12138" t="s">
        <v>16857</v>
      </c>
    </row>
    <row r="12139" spans="1:6" x14ac:dyDescent="0.25">
      <c r="A12139" t="str">
        <f>"614902039060"</f>
        <v>614902039060</v>
      </c>
      <c r="B12139" t="s">
        <v>16858</v>
      </c>
      <c r="C12139" t="s">
        <v>7</v>
      </c>
      <c r="D12139" t="s">
        <v>14</v>
      </c>
      <c r="E12139" t="s">
        <v>16755</v>
      </c>
    </row>
    <row r="12140" spans="1:6" x14ac:dyDescent="0.25">
      <c r="A12140" t="str">
        <f>"614906794458"</f>
        <v>614906794458</v>
      </c>
      <c r="B12140" t="s">
        <v>16859</v>
      </c>
      <c r="C12140" t="s">
        <v>7</v>
      </c>
      <c r="D12140" t="s">
        <v>12</v>
      </c>
      <c r="E12140" t="s">
        <v>16755</v>
      </c>
    </row>
    <row r="12141" spans="1:6" x14ac:dyDescent="0.25">
      <c r="A12141" t="str">
        <f>"615000456028"</f>
        <v>615000456028</v>
      </c>
      <c r="B12141" t="s">
        <v>16860</v>
      </c>
      <c r="C12141" t="s">
        <v>7</v>
      </c>
      <c r="D12141" t="s">
        <v>14</v>
      </c>
      <c r="E12141" t="s">
        <v>16755</v>
      </c>
    </row>
    <row r="12142" spans="1:6" x14ac:dyDescent="0.25">
      <c r="A12142" t="str">
        <f>"615002538815"</f>
        <v>615002538815</v>
      </c>
      <c r="B12142" t="s">
        <v>16861</v>
      </c>
      <c r="C12142" t="s">
        <v>7</v>
      </c>
      <c r="D12142" t="s">
        <v>14</v>
      </c>
      <c r="E12142" t="s">
        <v>16755</v>
      </c>
    </row>
    <row r="12143" spans="1:6" x14ac:dyDescent="0.25">
      <c r="A12143" t="str">
        <f>"6150079233"</f>
        <v>6150079233</v>
      </c>
      <c r="B12143" t="s">
        <v>16862</v>
      </c>
      <c r="C12143" t="s">
        <v>7</v>
      </c>
      <c r="D12143" t="s">
        <v>14</v>
      </c>
      <c r="E12143" t="s">
        <v>16755</v>
      </c>
      <c r="F12143" t="s">
        <v>16863</v>
      </c>
    </row>
    <row r="12144" spans="1:6" x14ac:dyDescent="0.25">
      <c r="A12144" t="str">
        <f>"613804606826"</f>
        <v>613804606826</v>
      </c>
      <c r="B12144" t="s">
        <v>16864</v>
      </c>
      <c r="C12144" t="s">
        <v>7</v>
      </c>
      <c r="D12144" t="s">
        <v>14</v>
      </c>
      <c r="E12144" t="s">
        <v>16755</v>
      </c>
    </row>
    <row r="12145" spans="1:6" x14ac:dyDescent="0.25">
      <c r="A12145" t="str">
        <f>"6140040068"</f>
        <v>6140040068</v>
      </c>
      <c r="B12145" t="s">
        <v>16865</v>
      </c>
      <c r="C12145" t="s">
        <v>7</v>
      </c>
      <c r="D12145" t="s">
        <v>12</v>
      </c>
      <c r="E12145" t="s">
        <v>16755</v>
      </c>
      <c r="F12145" t="s">
        <v>16866</v>
      </c>
    </row>
    <row r="12146" spans="1:6" x14ac:dyDescent="0.25">
      <c r="A12146" t="str">
        <f>"614006631309"</f>
        <v>614006631309</v>
      </c>
      <c r="B12146" t="s">
        <v>16867</v>
      </c>
      <c r="C12146" t="s">
        <v>7</v>
      </c>
      <c r="D12146" t="s">
        <v>14</v>
      </c>
      <c r="E12146" t="s">
        <v>16755</v>
      </c>
    </row>
    <row r="12147" spans="1:6" x14ac:dyDescent="0.25">
      <c r="A12147" t="str">
        <f>"614100105705"</f>
        <v>614100105705</v>
      </c>
      <c r="B12147" t="s">
        <v>16868</v>
      </c>
      <c r="C12147" t="s">
        <v>7</v>
      </c>
      <c r="D12147" t="s">
        <v>14</v>
      </c>
      <c r="E12147" t="s">
        <v>16755</v>
      </c>
    </row>
    <row r="12148" spans="1:6" x14ac:dyDescent="0.25">
      <c r="A12148" t="str">
        <f>"614101183343"</f>
        <v>614101183343</v>
      </c>
      <c r="B12148" t="s">
        <v>16869</v>
      </c>
      <c r="C12148" t="s">
        <v>7</v>
      </c>
      <c r="D12148" t="s">
        <v>14</v>
      </c>
      <c r="E12148" t="s">
        <v>16755</v>
      </c>
    </row>
    <row r="12149" spans="1:6" x14ac:dyDescent="0.25">
      <c r="A12149" t="str">
        <f>"614103435557"</f>
        <v>614103435557</v>
      </c>
      <c r="B12149" t="s">
        <v>16870</v>
      </c>
      <c r="C12149" t="s">
        <v>7</v>
      </c>
      <c r="D12149" t="s">
        <v>14</v>
      </c>
      <c r="E12149" t="s">
        <v>16755</v>
      </c>
    </row>
    <row r="12150" spans="1:6" x14ac:dyDescent="0.25">
      <c r="A12150" t="str">
        <f>"614103864210"</f>
        <v>614103864210</v>
      </c>
      <c r="B12150" t="s">
        <v>16871</v>
      </c>
      <c r="C12150" t="s">
        <v>7</v>
      </c>
      <c r="D12150" t="s">
        <v>14</v>
      </c>
      <c r="E12150" t="s">
        <v>16755</v>
      </c>
    </row>
    <row r="12151" spans="1:6" x14ac:dyDescent="0.25">
      <c r="A12151" t="str">
        <f>"614104760013"</f>
        <v>614104760013</v>
      </c>
      <c r="B12151" t="s">
        <v>16872</v>
      </c>
      <c r="C12151" t="s">
        <v>7</v>
      </c>
      <c r="D12151" t="s">
        <v>12</v>
      </c>
      <c r="E12151" t="s">
        <v>16755</v>
      </c>
    </row>
    <row r="12152" spans="1:6" x14ac:dyDescent="0.25">
      <c r="A12152" t="str">
        <f>"6141052690"</f>
        <v>6141052690</v>
      </c>
      <c r="B12152" t="s">
        <v>16873</v>
      </c>
      <c r="C12152" t="s">
        <v>7</v>
      </c>
      <c r="D12152" t="s">
        <v>14</v>
      </c>
      <c r="E12152" t="s">
        <v>16755</v>
      </c>
      <c r="F12152" t="s">
        <v>16874</v>
      </c>
    </row>
    <row r="12153" spans="1:6" x14ac:dyDescent="0.25">
      <c r="A12153" t="str">
        <f>"6141059248"</f>
        <v>6141059248</v>
      </c>
      <c r="B12153" t="s">
        <v>16875</v>
      </c>
      <c r="C12153" t="s">
        <v>7</v>
      </c>
      <c r="D12153" t="s">
        <v>33</v>
      </c>
      <c r="E12153" t="s">
        <v>16755</v>
      </c>
      <c r="F12153" t="s">
        <v>16876</v>
      </c>
    </row>
    <row r="12154" spans="1:6" x14ac:dyDescent="0.25">
      <c r="A12154" t="str">
        <f>"614107407078"</f>
        <v>614107407078</v>
      </c>
      <c r="B12154" t="s">
        <v>16877</v>
      </c>
      <c r="C12154" t="s">
        <v>7</v>
      </c>
      <c r="D12154" t="s">
        <v>14</v>
      </c>
      <c r="E12154" t="s">
        <v>16755</v>
      </c>
    </row>
    <row r="12155" spans="1:6" x14ac:dyDescent="0.25">
      <c r="A12155" t="str">
        <f>"614110522602"</f>
        <v>614110522602</v>
      </c>
      <c r="B12155" t="s">
        <v>16878</v>
      </c>
      <c r="C12155" t="s">
        <v>7</v>
      </c>
      <c r="D12155" t="s">
        <v>14</v>
      </c>
      <c r="E12155" t="s">
        <v>16755</v>
      </c>
    </row>
    <row r="12156" spans="1:6" x14ac:dyDescent="0.25">
      <c r="A12156" t="str">
        <f>"614205106537"</f>
        <v>614205106537</v>
      </c>
      <c r="B12156" t="s">
        <v>16879</v>
      </c>
      <c r="C12156" t="s">
        <v>7</v>
      </c>
      <c r="D12156" t="s">
        <v>14</v>
      </c>
      <c r="E12156" t="s">
        <v>16755</v>
      </c>
    </row>
    <row r="12157" spans="1:6" x14ac:dyDescent="0.25">
      <c r="A12157" t="str">
        <f>"614209519790"</f>
        <v>614209519790</v>
      </c>
      <c r="B12157" t="s">
        <v>16880</v>
      </c>
      <c r="C12157" t="s">
        <v>7</v>
      </c>
      <c r="D12157" t="s">
        <v>14</v>
      </c>
      <c r="E12157" t="s">
        <v>16755</v>
      </c>
    </row>
    <row r="12158" spans="1:6" x14ac:dyDescent="0.25">
      <c r="A12158" t="str">
        <f>"614301210604"</f>
        <v>614301210604</v>
      </c>
      <c r="B12158" t="s">
        <v>16881</v>
      </c>
      <c r="C12158" t="s">
        <v>7</v>
      </c>
      <c r="D12158" t="s">
        <v>33</v>
      </c>
      <c r="E12158" t="s">
        <v>16755</v>
      </c>
    </row>
    <row r="12159" spans="1:6" x14ac:dyDescent="0.25">
      <c r="A12159" t="str">
        <f>"614302719659"</f>
        <v>614302719659</v>
      </c>
      <c r="B12159" t="s">
        <v>16882</v>
      </c>
      <c r="C12159" t="s">
        <v>7</v>
      </c>
      <c r="D12159" t="s">
        <v>12</v>
      </c>
      <c r="E12159" t="s">
        <v>16755</v>
      </c>
    </row>
    <row r="12160" spans="1:6" x14ac:dyDescent="0.25">
      <c r="A12160" t="str">
        <f>"614308798590"</f>
        <v>614308798590</v>
      </c>
      <c r="B12160" t="s">
        <v>16883</v>
      </c>
      <c r="C12160" t="s">
        <v>7</v>
      </c>
      <c r="D12160" t="s">
        <v>14</v>
      </c>
      <c r="E12160" t="s">
        <v>16755</v>
      </c>
    </row>
    <row r="12161" spans="1:6" x14ac:dyDescent="0.25">
      <c r="A12161" t="str">
        <f>"614309711000"</f>
        <v>614309711000</v>
      </c>
      <c r="B12161" t="s">
        <v>16884</v>
      </c>
      <c r="C12161" t="s">
        <v>7</v>
      </c>
      <c r="D12161" t="s">
        <v>14</v>
      </c>
      <c r="E12161" t="s">
        <v>16755</v>
      </c>
    </row>
    <row r="12162" spans="1:6" x14ac:dyDescent="0.25">
      <c r="A12162" t="str">
        <f>"614310406258"</f>
        <v>614310406258</v>
      </c>
      <c r="B12162" t="s">
        <v>16885</v>
      </c>
      <c r="C12162" t="s">
        <v>7</v>
      </c>
      <c r="D12162" t="s">
        <v>12</v>
      </c>
      <c r="E12162" t="s">
        <v>16755</v>
      </c>
    </row>
    <row r="12163" spans="1:6" x14ac:dyDescent="0.25">
      <c r="A12163" t="str">
        <f>"614315030873"</f>
        <v>614315030873</v>
      </c>
      <c r="B12163" t="s">
        <v>16886</v>
      </c>
      <c r="C12163" t="s">
        <v>7</v>
      </c>
      <c r="D12163" t="s">
        <v>14</v>
      </c>
      <c r="E12163" t="s">
        <v>16755</v>
      </c>
    </row>
    <row r="12164" spans="1:6" x14ac:dyDescent="0.25">
      <c r="A12164" t="str">
        <f>"614501533031"</f>
        <v>614501533031</v>
      </c>
      <c r="B12164" t="s">
        <v>16887</v>
      </c>
      <c r="C12164" t="s">
        <v>7</v>
      </c>
      <c r="D12164" t="s">
        <v>12</v>
      </c>
      <c r="E12164" t="s">
        <v>16755</v>
      </c>
    </row>
    <row r="12165" spans="1:6" x14ac:dyDescent="0.25">
      <c r="A12165" t="str">
        <f>"614589137000"</f>
        <v>614589137000</v>
      </c>
      <c r="B12165" t="s">
        <v>16888</v>
      </c>
      <c r="C12165" t="s">
        <v>7</v>
      </c>
      <c r="D12165" t="s">
        <v>14</v>
      </c>
      <c r="E12165" t="s">
        <v>16755</v>
      </c>
    </row>
    <row r="12166" spans="1:6" x14ac:dyDescent="0.25">
      <c r="A12166" t="str">
        <f>"614700474623"</f>
        <v>614700474623</v>
      </c>
      <c r="B12166" t="s">
        <v>16889</v>
      </c>
      <c r="C12166" t="s">
        <v>7</v>
      </c>
      <c r="D12166" t="s">
        <v>14</v>
      </c>
      <c r="E12166" t="s">
        <v>16755</v>
      </c>
    </row>
    <row r="12167" spans="1:6" x14ac:dyDescent="0.25">
      <c r="A12167" t="str">
        <f>"6147038357"</f>
        <v>6147038357</v>
      </c>
      <c r="B12167" t="s">
        <v>16890</v>
      </c>
      <c r="C12167" t="s">
        <v>7</v>
      </c>
      <c r="D12167" t="s">
        <v>33</v>
      </c>
      <c r="E12167" t="s">
        <v>16755</v>
      </c>
      <c r="F12167" t="s">
        <v>16891</v>
      </c>
    </row>
    <row r="12168" spans="1:6" x14ac:dyDescent="0.25">
      <c r="A12168" t="str">
        <f>"614704875129"</f>
        <v>614704875129</v>
      </c>
      <c r="B12168" t="s">
        <v>16892</v>
      </c>
      <c r="C12168" t="s">
        <v>7</v>
      </c>
      <c r="D12168" t="s">
        <v>12</v>
      </c>
      <c r="E12168" t="s">
        <v>16755</v>
      </c>
    </row>
    <row r="12169" spans="1:6" x14ac:dyDescent="0.25">
      <c r="A12169" t="str">
        <f>"614704887702"</f>
        <v>614704887702</v>
      </c>
      <c r="B12169" t="s">
        <v>16893</v>
      </c>
      <c r="C12169" t="s">
        <v>7</v>
      </c>
      <c r="D12169" t="s">
        <v>12</v>
      </c>
      <c r="E12169" t="s">
        <v>16755</v>
      </c>
    </row>
    <row r="12170" spans="1:6" x14ac:dyDescent="0.25">
      <c r="A12170" t="str">
        <f>"614710151815"</f>
        <v>614710151815</v>
      </c>
      <c r="B12170" t="s">
        <v>16894</v>
      </c>
      <c r="C12170" t="s">
        <v>7</v>
      </c>
      <c r="D12170" t="s">
        <v>12</v>
      </c>
      <c r="E12170" t="s">
        <v>16755</v>
      </c>
    </row>
    <row r="12171" spans="1:6" x14ac:dyDescent="0.25">
      <c r="A12171" t="str">
        <f>"614806160377"</f>
        <v>614806160377</v>
      </c>
      <c r="B12171" t="s">
        <v>16895</v>
      </c>
      <c r="C12171" t="s">
        <v>7</v>
      </c>
      <c r="D12171" t="s">
        <v>14</v>
      </c>
      <c r="E12171" t="s">
        <v>16755</v>
      </c>
    </row>
    <row r="12172" spans="1:6" x14ac:dyDescent="0.25">
      <c r="A12172" t="str">
        <f>"6148655578"</f>
        <v>6148655578</v>
      </c>
      <c r="B12172" t="s">
        <v>6706</v>
      </c>
      <c r="C12172" t="s">
        <v>7</v>
      </c>
      <c r="D12172" t="s">
        <v>14</v>
      </c>
      <c r="E12172" t="s">
        <v>16755</v>
      </c>
      <c r="F12172" t="s">
        <v>16896</v>
      </c>
    </row>
    <row r="12173" spans="1:6" x14ac:dyDescent="0.25">
      <c r="A12173" t="str">
        <f>"6149019455"</f>
        <v>6149019455</v>
      </c>
      <c r="B12173" t="s">
        <v>14678</v>
      </c>
      <c r="C12173" t="s">
        <v>7</v>
      </c>
      <c r="D12173" t="s">
        <v>12</v>
      </c>
      <c r="E12173" t="s">
        <v>16755</v>
      </c>
      <c r="F12173" t="s">
        <v>16897</v>
      </c>
    </row>
    <row r="12174" spans="1:6" x14ac:dyDescent="0.25">
      <c r="A12174" t="str">
        <f>"614905047340"</f>
        <v>614905047340</v>
      </c>
      <c r="B12174" t="s">
        <v>16898</v>
      </c>
      <c r="C12174" t="s">
        <v>7</v>
      </c>
      <c r="D12174" t="s">
        <v>14</v>
      </c>
      <c r="E12174" t="s">
        <v>16755</v>
      </c>
    </row>
    <row r="12175" spans="1:6" x14ac:dyDescent="0.25">
      <c r="A12175" t="str">
        <f>"614905378423"</f>
        <v>614905378423</v>
      </c>
      <c r="B12175" t="s">
        <v>16899</v>
      </c>
      <c r="C12175" t="s">
        <v>7</v>
      </c>
      <c r="D12175" t="s">
        <v>14</v>
      </c>
      <c r="E12175" t="s">
        <v>16755</v>
      </c>
    </row>
    <row r="12176" spans="1:6" x14ac:dyDescent="0.25">
      <c r="A12176" t="str">
        <f>"614906789240"</f>
        <v>614906789240</v>
      </c>
      <c r="B12176" t="s">
        <v>16900</v>
      </c>
      <c r="C12176" t="s">
        <v>7</v>
      </c>
      <c r="D12176" t="s">
        <v>14</v>
      </c>
      <c r="E12176" t="s">
        <v>16755</v>
      </c>
    </row>
    <row r="12177" spans="1:6" x14ac:dyDescent="0.25">
      <c r="A12177" t="str">
        <f>"615007346105"</f>
        <v>615007346105</v>
      </c>
      <c r="B12177" t="s">
        <v>16901</v>
      </c>
      <c r="C12177" t="s">
        <v>7</v>
      </c>
      <c r="D12177" t="s">
        <v>14</v>
      </c>
      <c r="E12177" t="s">
        <v>16755</v>
      </c>
    </row>
    <row r="12178" spans="1:6" x14ac:dyDescent="0.25">
      <c r="A12178" t="str">
        <f>"6150104105"</f>
        <v>6150104105</v>
      </c>
      <c r="B12178" t="s">
        <v>16902</v>
      </c>
      <c r="C12178" t="s">
        <v>7</v>
      </c>
      <c r="D12178" t="s">
        <v>12</v>
      </c>
      <c r="E12178" t="s">
        <v>16755</v>
      </c>
      <c r="F12178" t="s">
        <v>16903</v>
      </c>
    </row>
    <row r="12179" spans="1:6" x14ac:dyDescent="0.25">
      <c r="A12179" t="str">
        <f>"615011487910"</f>
        <v>615011487910</v>
      </c>
      <c r="B12179" t="s">
        <v>16904</v>
      </c>
      <c r="C12179" t="s">
        <v>7</v>
      </c>
      <c r="D12179" t="s">
        <v>12</v>
      </c>
      <c r="E12179" t="s">
        <v>16755</v>
      </c>
    </row>
    <row r="12180" spans="1:6" x14ac:dyDescent="0.25">
      <c r="A12180" t="str">
        <f>"615100005371"</f>
        <v>615100005371</v>
      </c>
      <c r="B12180" t="s">
        <v>16905</v>
      </c>
      <c r="C12180" t="s">
        <v>7</v>
      </c>
      <c r="D12180" t="s">
        <v>12</v>
      </c>
      <c r="E12180" t="s">
        <v>16755</v>
      </c>
    </row>
    <row r="12181" spans="1:6" x14ac:dyDescent="0.25">
      <c r="A12181" t="str">
        <f>"615100275145"</f>
        <v>615100275145</v>
      </c>
      <c r="B12181" t="s">
        <v>16906</v>
      </c>
      <c r="C12181" t="s">
        <v>7</v>
      </c>
      <c r="D12181" t="s">
        <v>14</v>
      </c>
      <c r="E12181" t="s">
        <v>16755</v>
      </c>
    </row>
    <row r="12182" spans="1:6" x14ac:dyDescent="0.25">
      <c r="A12182" t="str">
        <f>"615100686554"</f>
        <v>615100686554</v>
      </c>
      <c r="B12182" t="s">
        <v>16907</v>
      </c>
      <c r="C12182" t="s">
        <v>7</v>
      </c>
      <c r="D12182" t="s">
        <v>12</v>
      </c>
      <c r="E12182" t="s">
        <v>16755</v>
      </c>
    </row>
    <row r="12183" spans="1:6" x14ac:dyDescent="0.25">
      <c r="A12183" t="str">
        <f>"6151345343"</f>
        <v>6151345343</v>
      </c>
      <c r="B12183" t="s">
        <v>16908</v>
      </c>
      <c r="C12183" t="s">
        <v>7</v>
      </c>
      <c r="D12183" t="s">
        <v>14</v>
      </c>
      <c r="E12183" t="s">
        <v>16755</v>
      </c>
      <c r="F12183" t="s">
        <v>16909</v>
      </c>
    </row>
    <row r="12184" spans="1:6" x14ac:dyDescent="0.25">
      <c r="A12184" t="str">
        <f>"615304059400"</f>
        <v>615304059400</v>
      </c>
      <c r="B12184" t="s">
        <v>16910</v>
      </c>
      <c r="C12184" t="s">
        <v>7</v>
      </c>
      <c r="D12184" t="s">
        <v>14</v>
      </c>
      <c r="E12184" t="s">
        <v>16755</v>
      </c>
    </row>
    <row r="12185" spans="1:6" x14ac:dyDescent="0.25">
      <c r="A12185" t="str">
        <f>"615310335979"</f>
        <v>615310335979</v>
      </c>
      <c r="B12185" t="s">
        <v>16911</v>
      </c>
      <c r="C12185" t="s">
        <v>7</v>
      </c>
      <c r="D12185" t="s">
        <v>14</v>
      </c>
      <c r="E12185" t="s">
        <v>16755</v>
      </c>
    </row>
    <row r="12186" spans="1:6" x14ac:dyDescent="0.25">
      <c r="A12186" t="str">
        <f>"615311710502"</f>
        <v>615311710502</v>
      </c>
      <c r="B12186" t="s">
        <v>16912</v>
      </c>
      <c r="C12186" t="s">
        <v>7</v>
      </c>
      <c r="D12186" t="s">
        <v>14</v>
      </c>
      <c r="E12186" t="s">
        <v>16755</v>
      </c>
    </row>
    <row r="12187" spans="1:6" x14ac:dyDescent="0.25">
      <c r="A12187" t="str">
        <f>"615398136946"</f>
        <v>615398136946</v>
      </c>
      <c r="B12187" t="s">
        <v>16913</v>
      </c>
      <c r="C12187" t="s">
        <v>7</v>
      </c>
      <c r="D12187" t="s">
        <v>14</v>
      </c>
      <c r="E12187" t="s">
        <v>16755</v>
      </c>
    </row>
    <row r="12188" spans="1:6" x14ac:dyDescent="0.25">
      <c r="A12188" t="str">
        <f>"615399256700"</f>
        <v>615399256700</v>
      </c>
      <c r="B12188" t="s">
        <v>13596</v>
      </c>
      <c r="C12188" t="s">
        <v>7</v>
      </c>
      <c r="D12188" t="s">
        <v>12</v>
      </c>
      <c r="E12188" t="s">
        <v>16755</v>
      </c>
    </row>
    <row r="12189" spans="1:6" x14ac:dyDescent="0.25">
      <c r="A12189" t="str">
        <f>"615401380351"</f>
        <v>615401380351</v>
      </c>
      <c r="B12189" t="s">
        <v>16914</v>
      </c>
      <c r="C12189" t="s">
        <v>7</v>
      </c>
      <c r="D12189" t="s">
        <v>14</v>
      </c>
      <c r="E12189" t="s">
        <v>16755</v>
      </c>
    </row>
    <row r="12190" spans="1:6" x14ac:dyDescent="0.25">
      <c r="A12190" t="str">
        <f>"615401630700"</f>
        <v>615401630700</v>
      </c>
      <c r="B12190" t="s">
        <v>16915</v>
      </c>
      <c r="C12190" t="s">
        <v>7</v>
      </c>
      <c r="D12190" t="s">
        <v>14</v>
      </c>
      <c r="E12190" t="s">
        <v>16755</v>
      </c>
    </row>
    <row r="12191" spans="1:6" x14ac:dyDescent="0.25">
      <c r="A12191" t="str">
        <f>"6154163856"</f>
        <v>6154163856</v>
      </c>
      <c r="B12191" t="s">
        <v>16916</v>
      </c>
      <c r="C12191" t="s">
        <v>7</v>
      </c>
      <c r="D12191" t="s">
        <v>12</v>
      </c>
      <c r="E12191" t="s">
        <v>16755</v>
      </c>
      <c r="F12191" t="s">
        <v>16917</v>
      </c>
    </row>
    <row r="12192" spans="1:6" x14ac:dyDescent="0.25">
      <c r="A12192" t="str">
        <f>"6154166590"</f>
        <v>6154166590</v>
      </c>
      <c r="B12192" t="s">
        <v>16239</v>
      </c>
      <c r="C12192" t="s">
        <v>7</v>
      </c>
      <c r="D12192" t="s">
        <v>674</v>
      </c>
      <c r="E12192" t="s">
        <v>16755</v>
      </c>
      <c r="F12192" t="s">
        <v>16918</v>
      </c>
    </row>
    <row r="12193" spans="1:6" x14ac:dyDescent="0.25">
      <c r="A12193" t="str">
        <f>"615422199957"</f>
        <v>615422199957</v>
      </c>
      <c r="B12193" t="s">
        <v>16919</v>
      </c>
      <c r="C12193" t="s">
        <v>7</v>
      </c>
      <c r="D12193" t="s">
        <v>14</v>
      </c>
      <c r="E12193" t="s">
        <v>16755</v>
      </c>
    </row>
    <row r="12194" spans="1:6" x14ac:dyDescent="0.25">
      <c r="A12194" t="str">
        <f>"615422609226"</f>
        <v>615422609226</v>
      </c>
      <c r="B12194" t="s">
        <v>16920</v>
      </c>
      <c r="C12194" t="s">
        <v>7</v>
      </c>
      <c r="D12194" t="s">
        <v>14</v>
      </c>
      <c r="E12194" t="s">
        <v>16755</v>
      </c>
    </row>
    <row r="12195" spans="1:6" x14ac:dyDescent="0.25">
      <c r="A12195" t="str">
        <f>"615424447299"</f>
        <v>615424447299</v>
      </c>
      <c r="B12195" t="s">
        <v>16921</v>
      </c>
      <c r="C12195" t="s">
        <v>7</v>
      </c>
      <c r="D12195" t="s">
        <v>28</v>
      </c>
      <c r="E12195" t="s">
        <v>16755</v>
      </c>
    </row>
    <row r="12196" spans="1:6" x14ac:dyDescent="0.25">
      <c r="A12196" t="str">
        <f>"615424628552"</f>
        <v>615424628552</v>
      </c>
      <c r="B12196" t="s">
        <v>16922</v>
      </c>
      <c r="C12196" t="s">
        <v>7</v>
      </c>
      <c r="D12196" t="s">
        <v>12</v>
      </c>
      <c r="E12196" t="s">
        <v>16755</v>
      </c>
    </row>
    <row r="12197" spans="1:6" x14ac:dyDescent="0.25">
      <c r="A12197" t="str">
        <f>"615425381026"</f>
        <v>615425381026</v>
      </c>
      <c r="B12197" t="s">
        <v>16923</v>
      </c>
      <c r="C12197" t="s">
        <v>7</v>
      </c>
      <c r="D12197" t="s">
        <v>8</v>
      </c>
      <c r="E12197" t="s">
        <v>16755</v>
      </c>
    </row>
    <row r="12198" spans="1:6" x14ac:dyDescent="0.25">
      <c r="A12198" t="str">
        <f>"615429259370"</f>
        <v>615429259370</v>
      </c>
      <c r="B12198" t="s">
        <v>16924</v>
      </c>
      <c r="C12198" t="s">
        <v>7</v>
      </c>
      <c r="D12198" t="s">
        <v>14</v>
      </c>
      <c r="E12198" t="s">
        <v>16755</v>
      </c>
    </row>
    <row r="12199" spans="1:6" x14ac:dyDescent="0.25">
      <c r="A12199" t="str">
        <f>"615435509846"</f>
        <v>615435509846</v>
      </c>
      <c r="B12199" t="s">
        <v>16925</v>
      </c>
      <c r="C12199" t="s">
        <v>7</v>
      </c>
      <c r="D12199" t="s">
        <v>14</v>
      </c>
      <c r="E12199" t="s">
        <v>16755</v>
      </c>
    </row>
    <row r="12200" spans="1:6" x14ac:dyDescent="0.25">
      <c r="A12200" t="str">
        <f>"6154566358"</f>
        <v>6154566358</v>
      </c>
      <c r="B12200" t="s">
        <v>16926</v>
      </c>
      <c r="C12200" t="s">
        <v>7</v>
      </c>
      <c r="D12200" t="s">
        <v>674</v>
      </c>
      <c r="E12200" t="s">
        <v>16755</v>
      </c>
      <c r="F12200" t="s">
        <v>16927</v>
      </c>
    </row>
    <row r="12201" spans="1:6" x14ac:dyDescent="0.25">
      <c r="A12201" t="str">
        <f>"615500132825"</f>
        <v>615500132825</v>
      </c>
      <c r="B12201" t="s">
        <v>16928</v>
      </c>
      <c r="C12201" t="s">
        <v>7</v>
      </c>
      <c r="D12201" t="s">
        <v>12</v>
      </c>
      <c r="E12201" t="s">
        <v>16755</v>
      </c>
    </row>
    <row r="12202" spans="1:6" x14ac:dyDescent="0.25">
      <c r="A12202" t="str">
        <f>"615500286984"</f>
        <v>615500286984</v>
      </c>
      <c r="B12202" t="s">
        <v>16929</v>
      </c>
      <c r="C12202" t="s">
        <v>7</v>
      </c>
      <c r="D12202" t="s">
        <v>14</v>
      </c>
      <c r="E12202" t="s">
        <v>16755</v>
      </c>
    </row>
    <row r="12203" spans="1:6" x14ac:dyDescent="0.25">
      <c r="A12203" t="str">
        <f>"6155058646"</f>
        <v>6155058646</v>
      </c>
      <c r="B12203" t="s">
        <v>16930</v>
      </c>
      <c r="C12203" t="s">
        <v>7</v>
      </c>
      <c r="D12203" t="s">
        <v>14</v>
      </c>
      <c r="E12203" t="s">
        <v>16755</v>
      </c>
      <c r="F12203" t="s">
        <v>16931</v>
      </c>
    </row>
    <row r="12204" spans="1:6" x14ac:dyDescent="0.25">
      <c r="A12204" t="str">
        <f>"6155076691"</f>
        <v>6155076691</v>
      </c>
      <c r="B12204" t="s">
        <v>2239</v>
      </c>
      <c r="C12204" t="s">
        <v>7</v>
      </c>
      <c r="D12204" t="s">
        <v>12</v>
      </c>
      <c r="E12204" t="s">
        <v>16755</v>
      </c>
      <c r="F12204" t="s">
        <v>16932</v>
      </c>
    </row>
    <row r="12205" spans="1:6" x14ac:dyDescent="0.25">
      <c r="A12205" t="str">
        <f>"615508314256"</f>
        <v>615508314256</v>
      </c>
      <c r="B12205" t="s">
        <v>16933</v>
      </c>
      <c r="C12205" t="s">
        <v>7</v>
      </c>
      <c r="D12205" t="s">
        <v>14</v>
      </c>
      <c r="E12205" t="s">
        <v>16755</v>
      </c>
    </row>
    <row r="12206" spans="1:6" x14ac:dyDescent="0.25">
      <c r="A12206" t="str">
        <f>"615509437780"</f>
        <v>615509437780</v>
      </c>
      <c r="B12206" t="s">
        <v>16934</v>
      </c>
      <c r="C12206" t="s">
        <v>7</v>
      </c>
      <c r="D12206" t="s">
        <v>33</v>
      </c>
      <c r="E12206" t="s">
        <v>16755</v>
      </c>
    </row>
    <row r="12207" spans="1:6" x14ac:dyDescent="0.25">
      <c r="A12207" t="str">
        <f>"615511598093"</f>
        <v>615511598093</v>
      </c>
      <c r="B12207" t="s">
        <v>16935</v>
      </c>
      <c r="C12207" t="s">
        <v>7</v>
      </c>
      <c r="D12207" t="s">
        <v>14</v>
      </c>
      <c r="E12207" t="s">
        <v>16755</v>
      </c>
    </row>
    <row r="12208" spans="1:6" x14ac:dyDescent="0.25">
      <c r="A12208" t="str">
        <f>"615513214024"</f>
        <v>615513214024</v>
      </c>
      <c r="B12208" t="s">
        <v>16936</v>
      </c>
      <c r="C12208" t="s">
        <v>7</v>
      </c>
      <c r="D12208" t="s">
        <v>14</v>
      </c>
      <c r="E12208" t="s">
        <v>16755</v>
      </c>
    </row>
    <row r="12209" spans="1:6" x14ac:dyDescent="0.25">
      <c r="A12209" t="str">
        <f>"615518761084"</f>
        <v>615518761084</v>
      </c>
      <c r="B12209" t="s">
        <v>16937</v>
      </c>
      <c r="C12209" t="s">
        <v>7</v>
      </c>
      <c r="D12209" t="s">
        <v>14</v>
      </c>
      <c r="E12209" t="s">
        <v>16755</v>
      </c>
    </row>
    <row r="12210" spans="1:6" x14ac:dyDescent="0.25">
      <c r="A12210" t="str">
        <f>"615519436111"</f>
        <v>615519436111</v>
      </c>
      <c r="B12210" t="s">
        <v>16938</v>
      </c>
      <c r="C12210" t="s">
        <v>7</v>
      </c>
      <c r="D12210" t="s">
        <v>14</v>
      </c>
      <c r="E12210" t="s">
        <v>16755</v>
      </c>
    </row>
    <row r="12211" spans="1:6" x14ac:dyDescent="0.25">
      <c r="A12211" t="str">
        <f>"615520282522"</f>
        <v>615520282522</v>
      </c>
      <c r="B12211" t="s">
        <v>16939</v>
      </c>
      <c r="C12211" t="s">
        <v>7</v>
      </c>
      <c r="D12211" t="s">
        <v>14</v>
      </c>
      <c r="E12211" t="s">
        <v>16755</v>
      </c>
    </row>
    <row r="12212" spans="1:6" x14ac:dyDescent="0.25">
      <c r="A12212" t="str">
        <f>"615520989015"</f>
        <v>615520989015</v>
      </c>
      <c r="B12212" t="s">
        <v>16940</v>
      </c>
      <c r="C12212" t="s">
        <v>7</v>
      </c>
      <c r="D12212" t="s">
        <v>14</v>
      </c>
      <c r="E12212" t="s">
        <v>16755</v>
      </c>
    </row>
    <row r="12213" spans="1:6" x14ac:dyDescent="0.25">
      <c r="A12213" t="str">
        <f>"615521870767"</f>
        <v>615521870767</v>
      </c>
      <c r="B12213" t="s">
        <v>16941</v>
      </c>
      <c r="C12213" t="s">
        <v>7</v>
      </c>
      <c r="D12213" t="s">
        <v>14</v>
      </c>
      <c r="E12213" t="s">
        <v>16755</v>
      </c>
    </row>
    <row r="12214" spans="1:6" x14ac:dyDescent="0.25">
      <c r="A12214" t="str">
        <f>"615522339502"</f>
        <v>615522339502</v>
      </c>
      <c r="B12214" t="s">
        <v>16942</v>
      </c>
      <c r="C12214" t="s">
        <v>7</v>
      </c>
      <c r="D12214" t="s">
        <v>14</v>
      </c>
      <c r="E12214" t="s">
        <v>16755</v>
      </c>
    </row>
    <row r="12215" spans="1:6" x14ac:dyDescent="0.25">
      <c r="A12215" t="str">
        <f>"615526948625"</f>
        <v>615526948625</v>
      </c>
      <c r="B12215" t="s">
        <v>16943</v>
      </c>
      <c r="C12215" t="s">
        <v>7</v>
      </c>
      <c r="D12215" t="s">
        <v>12</v>
      </c>
      <c r="E12215" t="s">
        <v>16755</v>
      </c>
    </row>
    <row r="12216" spans="1:6" x14ac:dyDescent="0.25">
      <c r="A12216" t="str">
        <f>"616100711548"</f>
        <v>616100711548</v>
      </c>
      <c r="B12216" t="s">
        <v>16944</v>
      </c>
      <c r="C12216" t="s">
        <v>7</v>
      </c>
      <c r="D12216" t="s">
        <v>14</v>
      </c>
      <c r="E12216" t="s">
        <v>16755</v>
      </c>
    </row>
    <row r="12217" spans="1:6" x14ac:dyDescent="0.25">
      <c r="A12217" t="str">
        <f>"616101006309"</f>
        <v>616101006309</v>
      </c>
      <c r="B12217" t="s">
        <v>16945</v>
      </c>
      <c r="C12217" t="s">
        <v>7</v>
      </c>
      <c r="D12217" t="s">
        <v>14</v>
      </c>
      <c r="E12217" t="s">
        <v>16755</v>
      </c>
    </row>
    <row r="12218" spans="1:6" x14ac:dyDescent="0.25">
      <c r="A12218" t="str">
        <f>"616107551477"</f>
        <v>616107551477</v>
      </c>
      <c r="B12218" t="s">
        <v>16946</v>
      </c>
      <c r="C12218" t="s">
        <v>7</v>
      </c>
      <c r="D12218" t="s">
        <v>12</v>
      </c>
      <c r="E12218" t="s">
        <v>16755</v>
      </c>
    </row>
    <row r="12219" spans="1:6" x14ac:dyDescent="0.25">
      <c r="A12219" t="str">
        <f>"616109637641"</f>
        <v>616109637641</v>
      </c>
      <c r="B12219" t="s">
        <v>16947</v>
      </c>
      <c r="C12219" t="s">
        <v>7</v>
      </c>
      <c r="D12219" t="s">
        <v>14</v>
      </c>
      <c r="E12219" t="s">
        <v>16755</v>
      </c>
    </row>
    <row r="12220" spans="1:6" x14ac:dyDescent="0.25">
      <c r="A12220" t="str">
        <f>"616111915744"</f>
        <v>616111915744</v>
      </c>
      <c r="B12220" t="s">
        <v>16948</v>
      </c>
      <c r="C12220" t="s">
        <v>7</v>
      </c>
      <c r="D12220" t="s">
        <v>14</v>
      </c>
      <c r="E12220" t="s">
        <v>16755</v>
      </c>
    </row>
    <row r="12221" spans="1:6" x14ac:dyDescent="0.25">
      <c r="A12221" t="str">
        <f>"6161152220"</f>
        <v>6161152220</v>
      </c>
      <c r="B12221" t="s">
        <v>16949</v>
      </c>
      <c r="C12221" t="s">
        <v>7</v>
      </c>
      <c r="D12221" t="s">
        <v>14</v>
      </c>
      <c r="E12221" t="s">
        <v>16755</v>
      </c>
      <c r="F12221" t="s">
        <v>16950</v>
      </c>
    </row>
    <row r="12222" spans="1:6" x14ac:dyDescent="0.25">
      <c r="A12222" t="str">
        <f>"616115303862"</f>
        <v>616115303862</v>
      </c>
      <c r="B12222" t="s">
        <v>16951</v>
      </c>
      <c r="C12222" t="s">
        <v>7</v>
      </c>
      <c r="D12222" t="s">
        <v>14</v>
      </c>
      <c r="E12222" t="s">
        <v>16755</v>
      </c>
    </row>
    <row r="12223" spans="1:6" x14ac:dyDescent="0.25">
      <c r="A12223" t="str">
        <f>"616118354696"</f>
        <v>616118354696</v>
      </c>
      <c r="B12223" t="s">
        <v>16952</v>
      </c>
      <c r="C12223" t="s">
        <v>7</v>
      </c>
      <c r="D12223" t="s">
        <v>586</v>
      </c>
      <c r="E12223" t="s">
        <v>16755</v>
      </c>
    </row>
    <row r="12224" spans="1:6" x14ac:dyDescent="0.25">
      <c r="A12224" t="str">
        <f>"616119283399"</f>
        <v>616119283399</v>
      </c>
      <c r="B12224" t="s">
        <v>16953</v>
      </c>
      <c r="C12224" t="s">
        <v>7</v>
      </c>
      <c r="D12224" t="s">
        <v>12</v>
      </c>
      <c r="E12224" t="s">
        <v>16755</v>
      </c>
    </row>
    <row r="12225" spans="1:6" x14ac:dyDescent="0.25">
      <c r="A12225" t="str">
        <f>"616119685644"</f>
        <v>616119685644</v>
      </c>
      <c r="B12225" t="s">
        <v>16954</v>
      </c>
      <c r="C12225" t="s">
        <v>7</v>
      </c>
      <c r="D12225" t="s">
        <v>33</v>
      </c>
      <c r="E12225" t="s">
        <v>16755</v>
      </c>
    </row>
    <row r="12226" spans="1:6" x14ac:dyDescent="0.25">
      <c r="A12226" t="str">
        <f>"6162036280"</f>
        <v>6162036280</v>
      </c>
      <c r="B12226" t="s">
        <v>16955</v>
      </c>
      <c r="C12226" t="s">
        <v>7</v>
      </c>
      <c r="D12226" t="s">
        <v>98</v>
      </c>
      <c r="E12226" t="s">
        <v>16755</v>
      </c>
      <c r="F12226" t="s">
        <v>16956</v>
      </c>
    </row>
    <row r="12227" spans="1:6" x14ac:dyDescent="0.25">
      <c r="A12227" t="str">
        <f>"616207008602"</f>
        <v>616207008602</v>
      </c>
      <c r="B12227" t="s">
        <v>16957</v>
      </c>
      <c r="C12227" t="s">
        <v>7</v>
      </c>
      <c r="D12227" t="s">
        <v>33</v>
      </c>
      <c r="E12227" t="s">
        <v>16755</v>
      </c>
    </row>
    <row r="12228" spans="1:6" x14ac:dyDescent="0.25">
      <c r="A12228" t="str">
        <f>"6162077840"</f>
        <v>6162077840</v>
      </c>
      <c r="B12228" t="s">
        <v>16958</v>
      </c>
      <c r="C12228" t="s">
        <v>7</v>
      </c>
      <c r="D12228" t="s">
        <v>12</v>
      </c>
      <c r="E12228" t="s">
        <v>16755</v>
      </c>
      <c r="F12228" t="s">
        <v>16959</v>
      </c>
    </row>
    <row r="12229" spans="1:6" x14ac:dyDescent="0.25">
      <c r="A12229" t="str">
        <f>"616300355495"</f>
        <v>616300355495</v>
      </c>
      <c r="B12229" t="s">
        <v>16960</v>
      </c>
      <c r="C12229" t="s">
        <v>7</v>
      </c>
      <c r="D12229" t="s">
        <v>33</v>
      </c>
      <c r="E12229" t="s">
        <v>16755</v>
      </c>
    </row>
    <row r="12230" spans="1:6" x14ac:dyDescent="0.25">
      <c r="A12230" t="str">
        <f>"6163046411"</f>
        <v>6163046411</v>
      </c>
      <c r="B12230" t="s">
        <v>16961</v>
      </c>
      <c r="C12230" t="s">
        <v>7</v>
      </c>
      <c r="D12230" t="s">
        <v>14</v>
      </c>
      <c r="E12230" t="s">
        <v>16755</v>
      </c>
      <c r="F12230" t="s">
        <v>16962</v>
      </c>
    </row>
    <row r="12231" spans="1:6" x14ac:dyDescent="0.25">
      <c r="A12231" t="str">
        <f>"616306035371"</f>
        <v>616306035371</v>
      </c>
      <c r="B12231" t="s">
        <v>16963</v>
      </c>
      <c r="C12231" t="s">
        <v>7</v>
      </c>
      <c r="D12231" t="s">
        <v>14</v>
      </c>
      <c r="E12231" t="s">
        <v>16755</v>
      </c>
    </row>
    <row r="12232" spans="1:6" x14ac:dyDescent="0.25">
      <c r="A12232" t="str">
        <f>"6163089013"</f>
        <v>6163089013</v>
      </c>
      <c r="B12232" t="s">
        <v>16964</v>
      </c>
      <c r="C12232" t="s">
        <v>7</v>
      </c>
      <c r="D12232" t="s">
        <v>33</v>
      </c>
      <c r="E12232" t="s">
        <v>16755</v>
      </c>
      <c r="F12232" t="s">
        <v>16965</v>
      </c>
    </row>
    <row r="12233" spans="1:6" x14ac:dyDescent="0.25">
      <c r="A12233" t="str">
        <f>"6163098674"</f>
        <v>6163098674</v>
      </c>
      <c r="B12233" t="s">
        <v>16966</v>
      </c>
      <c r="C12233" t="s">
        <v>7</v>
      </c>
      <c r="D12233" t="s">
        <v>14</v>
      </c>
      <c r="E12233" t="s">
        <v>16755</v>
      </c>
      <c r="F12233" t="s">
        <v>16967</v>
      </c>
    </row>
    <row r="12234" spans="1:6" x14ac:dyDescent="0.25">
      <c r="A12234" t="str">
        <f>"6163102916"</f>
        <v>6163102916</v>
      </c>
      <c r="B12234" t="s">
        <v>16968</v>
      </c>
      <c r="C12234" t="s">
        <v>7</v>
      </c>
      <c r="D12234" t="s">
        <v>12</v>
      </c>
      <c r="E12234" t="s">
        <v>16755</v>
      </c>
      <c r="F12234" t="s">
        <v>16969</v>
      </c>
    </row>
    <row r="12235" spans="1:6" x14ac:dyDescent="0.25">
      <c r="A12235" t="str">
        <f>"6163133706"</f>
        <v>6163133706</v>
      </c>
      <c r="B12235" t="s">
        <v>16970</v>
      </c>
      <c r="C12235" t="s">
        <v>7</v>
      </c>
      <c r="D12235" t="s">
        <v>33</v>
      </c>
      <c r="E12235" t="s">
        <v>16755</v>
      </c>
      <c r="F12235" t="s">
        <v>16971</v>
      </c>
    </row>
    <row r="12236" spans="1:6" x14ac:dyDescent="0.25">
      <c r="A12236" t="str">
        <f>"6163228901"</f>
        <v>6163228901</v>
      </c>
      <c r="B12236" t="s">
        <v>16972</v>
      </c>
      <c r="C12236" t="s">
        <v>7</v>
      </c>
      <c r="D12236" t="s">
        <v>8</v>
      </c>
      <c r="E12236" t="s">
        <v>16755</v>
      </c>
      <c r="F12236" t="s">
        <v>16973</v>
      </c>
    </row>
    <row r="12237" spans="1:6" x14ac:dyDescent="0.25">
      <c r="A12237" t="str">
        <f>"615011206830"</f>
        <v>615011206830</v>
      </c>
      <c r="B12237" t="s">
        <v>16974</v>
      </c>
      <c r="C12237" t="s">
        <v>7</v>
      </c>
      <c r="D12237" t="s">
        <v>12</v>
      </c>
      <c r="E12237" t="s">
        <v>16755</v>
      </c>
    </row>
    <row r="12238" spans="1:6" x14ac:dyDescent="0.25">
      <c r="A12238" t="str">
        <f>"615300308750"</f>
        <v>615300308750</v>
      </c>
      <c r="B12238" t="s">
        <v>16975</v>
      </c>
      <c r="C12238" t="s">
        <v>7</v>
      </c>
      <c r="D12238" t="s">
        <v>14</v>
      </c>
      <c r="E12238" t="s">
        <v>16755</v>
      </c>
    </row>
    <row r="12239" spans="1:6" x14ac:dyDescent="0.25">
      <c r="A12239" t="str">
        <f>"615304732819"</f>
        <v>615304732819</v>
      </c>
      <c r="B12239" t="s">
        <v>16976</v>
      </c>
      <c r="C12239" t="s">
        <v>7</v>
      </c>
      <c r="D12239" t="s">
        <v>14</v>
      </c>
      <c r="E12239" t="s">
        <v>16755</v>
      </c>
    </row>
    <row r="12240" spans="1:6" x14ac:dyDescent="0.25">
      <c r="A12240" t="str">
        <f>"615304849990"</f>
        <v>615304849990</v>
      </c>
      <c r="B12240" t="s">
        <v>16977</v>
      </c>
      <c r="C12240" t="s">
        <v>7</v>
      </c>
      <c r="D12240" t="s">
        <v>12</v>
      </c>
      <c r="E12240" t="s">
        <v>16755</v>
      </c>
    </row>
    <row r="12241" spans="1:6" x14ac:dyDescent="0.25">
      <c r="A12241" t="str">
        <f>"615305065935"</f>
        <v>615305065935</v>
      </c>
      <c r="B12241" t="s">
        <v>16978</v>
      </c>
      <c r="C12241" t="s">
        <v>7</v>
      </c>
      <c r="D12241" t="s">
        <v>12</v>
      </c>
      <c r="E12241" t="s">
        <v>16755</v>
      </c>
    </row>
    <row r="12242" spans="1:6" x14ac:dyDescent="0.25">
      <c r="A12242" t="str">
        <f>"6153911241"</f>
        <v>6153911241</v>
      </c>
      <c r="B12242" t="s">
        <v>16979</v>
      </c>
      <c r="C12242" t="s">
        <v>7</v>
      </c>
      <c r="D12242" t="s">
        <v>33</v>
      </c>
      <c r="E12242" t="s">
        <v>16755</v>
      </c>
      <c r="F12242" t="s">
        <v>16980</v>
      </c>
    </row>
    <row r="12243" spans="1:6" x14ac:dyDescent="0.25">
      <c r="A12243" t="str">
        <f>"615399614521"</f>
        <v>615399614521</v>
      </c>
      <c r="B12243" t="s">
        <v>16981</v>
      </c>
      <c r="C12243" t="s">
        <v>7</v>
      </c>
      <c r="D12243" t="s">
        <v>12</v>
      </c>
      <c r="E12243" t="s">
        <v>16755</v>
      </c>
    </row>
    <row r="12244" spans="1:6" x14ac:dyDescent="0.25">
      <c r="A12244" t="str">
        <f>"615400460886"</f>
        <v>615400460886</v>
      </c>
      <c r="B12244" t="s">
        <v>16982</v>
      </c>
      <c r="C12244" t="s">
        <v>7</v>
      </c>
      <c r="D12244" t="s">
        <v>14</v>
      </c>
      <c r="E12244" t="s">
        <v>16755</v>
      </c>
    </row>
    <row r="12245" spans="1:6" x14ac:dyDescent="0.25">
      <c r="A12245" t="str">
        <f>"615400631404"</f>
        <v>615400631404</v>
      </c>
      <c r="B12245" t="s">
        <v>16983</v>
      </c>
      <c r="C12245" t="s">
        <v>7</v>
      </c>
      <c r="D12245" t="s">
        <v>33</v>
      </c>
      <c r="E12245" t="s">
        <v>16755</v>
      </c>
    </row>
    <row r="12246" spans="1:6" x14ac:dyDescent="0.25">
      <c r="A12246" t="str">
        <f>"615400674260"</f>
        <v>615400674260</v>
      </c>
      <c r="B12246" t="s">
        <v>16984</v>
      </c>
      <c r="C12246" t="s">
        <v>7</v>
      </c>
      <c r="D12246" t="s">
        <v>12</v>
      </c>
      <c r="E12246" t="s">
        <v>16755</v>
      </c>
    </row>
    <row r="12247" spans="1:6" x14ac:dyDescent="0.25">
      <c r="A12247" t="str">
        <f>"615400732297"</f>
        <v>615400732297</v>
      </c>
      <c r="B12247" t="s">
        <v>16985</v>
      </c>
      <c r="C12247" t="s">
        <v>7</v>
      </c>
      <c r="D12247" t="s">
        <v>14</v>
      </c>
      <c r="E12247" t="s">
        <v>16755</v>
      </c>
    </row>
    <row r="12248" spans="1:6" x14ac:dyDescent="0.25">
      <c r="A12248" t="str">
        <f>"615401261996"</f>
        <v>615401261996</v>
      </c>
      <c r="B12248" t="s">
        <v>16986</v>
      </c>
      <c r="C12248" t="s">
        <v>7</v>
      </c>
      <c r="D12248" t="s">
        <v>14</v>
      </c>
      <c r="E12248" t="s">
        <v>16755</v>
      </c>
    </row>
    <row r="12249" spans="1:6" x14ac:dyDescent="0.25">
      <c r="A12249" t="str">
        <f>"615402785086"</f>
        <v>615402785086</v>
      </c>
      <c r="B12249" t="s">
        <v>16987</v>
      </c>
      <c r="C12249" t="s">
        <v>7</v>
      </c>
      <c r="D12249" t="s">
        <v>14</v>
      </c>
      <c r="E12249" t="s">
        <v>16755</v>
      </c>
    </row>
    <row r="12250" spans="1:6" x14ac:dyDescent="0.25">
      <c r="A12250" t="str">
        <f>"6154151667"</f>
        <v>6154151667</v>
      </c>
      <c r="B12250" t="s">
        <v>16988</v>
      </c>
      <c r="C12250" t="s">
        <v>7</v>
      </c>
      <c r="D12250" t="s">
        <v>33</v>
      </c>
      <c r="E12250" t="s">
        <v>16755</v>
      </c>
      <c r="F12250" t="s">
        <v>16989</v>
      </c>
    </row>
    <row r="12251" spans="1:6" x14ac:dyDescent="0.25">
      <c r="A12251" t="str">
        <f>"6154151988"</f>
        <v>6154151988</v>
      </c>
      <c r="B12251" t="s">
        <v>16990</v>
      </c>
      <c r="C12251" t="s">
        <v>7</v>
      </c>
      <c r="D12251" t="s">
        <v>12</v>
      </c>
      <c r="E12251" t="s">
        <v>16755</v>
      </c>
      <c r="F12251" t="s">
        <v>16991</v>
      </c>
    </row>
    <row r="12252" spans="1:6" x14ac:dyDescent="0.25">
      <c r="A12252" t="str">
        <f>"615420964546"</f>
        <v>615420964546</v>
      </c>
      <c r="B12252" t="s">
        <v>16992</v>
      </c>
      <c r="C12252" t="s">
        <v>7</v>
      </c>
      <c r="D12252" t="s">
        <v>14</v>
      </c>
      <c r="E12252" t="s">
        <v>16755</v>
      </c>
    </row>
    <row r="12253" spans="1:6" x14ac:dyDescent="0.25">
      <c r="A12253" t="str">
        <f>"615421596013"</f>
        <v>615421596013</v>
      </c>
      <c r="B12253" t="s">
        <v>16993</v>
      </c>
      <c r="C12253" t="s">
        <v>7</v>
      </c>
      <c r="D12253" t="s">
        <v>14</v>
      </c>
      <c r="E12253" t="s">
        <v>16755</v>
      </c>
    </row>
    <row r="12254" spans="1:6" x14ac:dyDescent="0.25">
      <c r="A12254" t="str">
        <f>"615423921325"</f>
        <v>615423921325</v>
      </c>
      <c r="B12254" t="s">
        <v>16994</v>
      </c>
      <c r="C12254" t="s">
        <v>7</v>
      </c>
      <c r="D12254" t="s">
        <v>14</v>
      </c>
      <c r="E12254" t="s">
        <v>16755</v>
      </c>
    </row>
    <row r="12255" spans="1:6" x14ac:dyDescent="0.25">
      <c r="A12255" t="str">
        <f>"615427479958"</f>
        <v>615427479958</v>
      </c>
      <c r="B12255" t="s">
        <v>16995</v>
      </c>
      <c r="C12255" t="s">
        <v>7</v>
      </c>
      <c r="D12255" t="s">
        <v>12</v>
      </c>
      <c r="E12255" t="s">
        <v>16755</v>
      </c>
    </row>
    <row r="12256" spans="1:6" x14ac:dyDescent="0.25">
      <c r="A12256" t="str">
        <f>"615427921703"</f>
        <v>615427921703</v>
      </c>
      <c r="B12256" t="s">
        <v>16996</v>
      </c>
      <c r="C12256" t="s">
        <v>7</v>
      </c>
      <c r="D12256" t="s">
        <v>12</v>
      </c>
      <c r="E12256" t="s">
        <v>16755</v>
      </c>
    </row>
    <row r="12257" spans="1:6" x14ac:dyDescent="0.25">
      <c r="A12257" t="str">
        <f>"615431733100"</f>
        <v>615431733100</v>
      </c>
      <c r="B12257" t="s">
        <v>16997</v>
      </c>
      <c r="C12257" t="s">
        <v>7</v>
      </c>
      <c r="D12257" t="s">
        <v>14</v>
      </c>
      <c r="E12257" t="s">
        <v>16755</v>
      </c>
    </row>
    <row r="12258" spans="1:6" x14ac:dyDescent="0.25">
      <c r="A12258" t="str">
        <f>"615437075305"</f>
        <v>615437075305</v>
      </c>
      <c r="B12258" t="s">
        <v>16998</v>
      </c>
      <c r="C12258" t="s">
        <v>7</v>
      </c>
      <c r="D12258" t="s">
        <v>14</v>
      </c>
      <c r="E12258" t="s">
        <v>16755</v>
      </c>
    </row>
    <row r="12259" spans="1:6" x14ac:dyDescent="0.25">
      <c r="A12259" t="str">
        <f>"615500410409"</f>
        <v>615500410409</v>
      </c>
      <c r="B12259" t="s">
        <v>16999</v>
      </c>
      <c r="C12259" t="s">
        <v>7</v>
      </c>
      <c r="D12259" t="s">
        <v>14</v>
      </c>
      <c r="E12259" t="s">
        <v>16755</v>
      </c>
    </row>
    <row r="12260" spans="1:6" x14ac:dyDescent="0.25">
      <c r="A12260" t="str">
        <f>"6155046305"</f>
        <v>6155046305</v>
      </c>
      <c r="B12260" t="s">
        <v>17000</v>
      </c>
      <c r="C12260" t="s">
        <v>7</v>
      </c>
      <c r="D12260" t="s">
        <v>14</v>
      </c>
      <c r="E12260" t="s">
        <v>16755</v>
      </c>
      <c r="F12260" t="s">
        <v>17001</v>
      </c>
    </row>
    <row r="12261" spans="1:6" x14ac:dyDescent="0.25">
      <c r="A12261" t="str">
        <f>"615509235007"</f>
        <v>615509235007</v>
      </c>
      <c r="B12261" t="s">
        <v>17002</v>
      </c>
      <c r="C12261" t="s">
        <v>7</v>
      </c>
      <c r="D12261" t="s">
        <v>14</v>
      </c>
      <c r="E12261" t="s">
        <v>16755</v>
      </c>
    </row>
    <row r="12262" spans="1:6" x14ac:dyDescent="0.25">
      <c r="A12262" t="str">
        <f>"615523450045"</f>
        <v>615523450045</v>
      </c>
      <c r="B12262" t="s">
        <v>17003</v>
      </c>
      <c r="C12262" t="s">
        <v>7</v>
      </c>
      <c r="D12262" t="s">
        <v>14</v>
      </c>
      <c r="E12262" t="s">
        <v>16755</v>
      </c>
    </row>
    <row r="12263" spans="1:6" x14ac:dyDescent="0.25">
      <c r="A12263" t="str">
        <f>"615524678388"</f>
        <v>615524678388</v>
      </c>
      <c r="B12263" t="s">
        <v>17004</v>
      </c>
      <c r="C12263" t="s">
        <v>7</v>
      </c>
      <c r="D12263" t="s">
        <v>14</v>
      </c>
      <c r="E12263" t="s">
        <v>16755</v>
      </c>
    </row>
    <row r="12264" spans="1:6" x14ac:dyDescent="0.25">
      <c r="A12264" t="str">
        <f>"616100632342"</f>
        <v>616100632342</v>
      </c>
      <c r="B12264" t="s">
        <v>17005</v>
      </c>
      <c r="C12264" t="s">
        <v>7</v>
      </c>
      <c r="D12264" t="s">
        <v>14</v>
      </c>
      <c r="E12264" t="s">
        <v>16755</v>
      </c>
    </row>
    <row r="12265" spans="1:6" x14ac:dyDescent="0.25">
      <c r="A12265" t="str">
        <f>"616101960804"</f>
        <v>616101960804</v>
      </c>
      <c r="B12265" t="s">
        <v>17006</v>
      </c>
      <c r="C12265" t="s">
        <v>7</v>
      </c>
      <c r="D12265" t="s">
        <v>33</v>
      </c>
      <c r="E12265" t="s">
        <v>16755</v>
      </c>
    </row>
    <row r="12266" spans="1:6" x14ac:dyDescent="0.25">
      <c r="A12266" t="str">
        <f>"616102407800"</f>
        <v>616102407800</v>
      </c>
      <c r="B12266" t="s">
        <v>17007</v>
      </c>
      <c r="C12266" t="s">
        <v>7</v>
      </c>
      <c r="D12266" t="s">
        <v>14</v>
      </c>
      <c r="E12266" t="s">
        <v>16755</v>
      </c>
    </row>
    <row r="12267" spans="1:6" x14ac:dyDescent="0.25">
      <c r="A12267" t="str">
        <f>"616104964469"</f>
        <v>616104964469</v>
      </c>
      <c r="B12267" t="s">
        <v>17008</v>
      </c>
      <c r="C12267" t="s">
        <v>7</v>
      </c>
      <c r="D12267" t="s">
        <v>460</v>
      </c>
      <c r="E12267" t="s">
        <v>16755</v>
      </c>
    </row>
    <row r="12268" spans="1:6" x14ac:dyDescent="0.25">
      <c r="A12268" t="str">
        <f>"616105470279"</f>
        <v>616105470279</v>
      </c>
      <c r="B12268" t="s">
        <v>17009</v>
      </c>
      <c r="C12268" t="s">
        <v>7</v>
      </c>
      <c r="D12268" t="s">
        <v>12</v>
      </c>
      <c r="E12268" t="s">
        <v>16755</v>
      </c>
    </row>
    <row r="12269" spans="1:6" x14ac:dyDescent="0.25">
      <c r="A12269" t="str">
        <f>"616112135240"</f>
        <v>616112135240</v>
      </c>
      <c r="B12269" t="s">
        <v>17010</v>
      </c>
      <c r="C12269" t="s">
        <v>7</v>
      </c>
      <c r="D12269" t="s">
        <v>12</v>
      </c>
      <c r="E12269" t="s">
        <v>16755</v>
      </c>
    </row>
    <row r="12270" spans="1:6" x14ac:dyDescent="0.25">
      <c r="A12270" t="str">
        <f>"616115987475"</f>
        <v>616115987475</v>
      </c>
      <c r="B12270" t="s">
        <v>17011</v>
      </c>
      <c r="C12270" t="s">
        <v>7</v>
      </c>
      <c r="D12270" t="s">
        <v>14</v>
      </c>
      <c r="E12270" t="s">
        <v>16755</v>
      </c>
    </row>
    <row r="12271" spans="1:6" x14ac:dyDescent="0.25">
      <c r="A12271" t="str">
        <f>"6162049353"</f>
        <v>6162049353</v>
      </c>
      <c r="B12271" t="s">
        <v>17012</v>
      </c>
      <c r="C12271" t="s">
        <v>7</v>
      </c>
      <c r="D12271" t="s">
        <v>33</v>
      </c>
      <c r="E12271" t="s">
        <v>16755</v>
      </c>
      <c r="F12271" t="s">
        <v>17013</v>
      </c>
    </row>
    <row r="12272" spans="1:6" x14ac:dyDescent="0.25">
      <c r="A12272" t="str">
        <f>"616270199951"</f>
        <v>616270199951</v>
      </c>
      <c r="B12272" t="s">
        <v>17014</v>
      </c>
      <c r="C12272" t="s">
        <v>7</v>
      </c>
      <c r="D12272" t="s">
        <v>33</v>
      </c>
      <c r="E12272" t="s">
        <v>16755</v>
      </c>
    </row>
    <row r="12273" spans="1:6" x14ac:dyDescent="0.25">
      <c r="A12273" t="str">
        <f>"616270924737"</f>
        <v>616270924737</v>
      </c>
      <c r="B12273" t="s">
        <v>17015</v>
      </c>
      <c r="C12273" t="s">
        <v>7</v>
      </c>
      <c r="D12273" t="s">
        <v>14</v>
      </c>
      <c r="E12273" t="s">
        <v>16755</v>
      </c>
    </row>
    <row r="12274" spans="1:6" x14ac:dyDescent="0.25">
      <c r="A12274" t="str">
        <f>"6163225379"</f>
        <v>6163225379</v>
      </c>
      <c r="B12274" t="s">
        <v>17016</v>
      </c>
      <c r="C12274" t="s">
        <v>7</v>
      </c>
      <c r="D12274" t="s">
        <v>33</v>
      </c>
      <c r="E12274" t="s">
        <v>16755</v>
      </c>
      <c r="F12274" t="s">
        <v>17017</v>
      </c>
    </row>
    <row r="12275" spans="1:6" x14ac:dyDescent="0.25">
      <c r="A12275" t="str">
        <f>"616400159751"</f>
        <v>616400159751</v>
      </c>
      <c r="B12275" t="s">
        <v>17018</v>
      </c>
      <c r="C12275" t="s">
        <v>7</v>
      </c>
      <c r="D12275" t="s">
        <v>14</v>
      </c>
      <c r="E12275" t="s">
        <v>16755</v>
      </c>
    </row>
    <row r="12276" spans="1:6" x14ac:dyDescent="0.25">
      <c r="A12276" t="str">
        <f>"616400539009"</f>
        <v>616400539009</v>
      </c>
      <c r="B12276" t="s">
        <v>17019</v>
      </c>
      <c r="C12276" t="s">
        <v>7</v>
      </c>
      <c r="D12276" t="s">
        <v>14</v>
      </c>
      <c r="E12276" t="s">
        <v>16755</v>
      </c>
    </row>
    <row r="12277" spans="1:6" x14ac:dyDescent="0.25">
      <c r="A12277" t="str">
        <f>"616401643108"</f>
        <v>616401643108</v>
      </c>
      <c r="B12277" t="s">
        <v>17020</v>
      </c>
      <c r="C12277" t="s">
        <v>7</v>
      </c>
      <c r="D12277" t="s">
        <v>1430</v>
      </c>
      <c r="E12277" t="s">
        <v>16755</v>
      </c>
    </row>
    <row r="12278" spans="1:6" x14ac:dyDescent="0.25">
      <c r="A12278" t="str">
        <f>"616402040663"</f>
        <v>616402040663</v>
      </c>
      <c r="B12278" t="s">
        <v>17021</v>
      </c>
      <c r="C12278" t="s">
        <v>7</v>
      </c>
      <c r="D12278" t="s">
        <v>14</v>
      </c>
      <c r="E12278" t="s">
        <v>16755</v>
      </c>
    </row>
    <row r="12279" spans="1:6" x14ac:dyDescent="0.25">
      <c r="A12279" t="str">
        <f>"616404640899"</f>
        <v>616404640899</v>
      </c>
      <c r="B12279" t="s">
        <v>17022</v>
      </c>
      <c r="C12279" t="s">
        <v>7</v>
      </c>
      <c r="D12279" t="s">
        <v>12</v>
      </c>
      <c r="E12279" t="s">
        <v>16755</v>
      </c>
    </row>
    <row r="12280" spans="1:6" x14ac:dyDescent="0.25">
      <c r="A12280" t="str">
        <f>"340903775027"</f>
        <v>340903775027</v>
      </c>
      <c r="B12280" t="s">
        <v>17023</v>
      </c>
      <c r="C12280" t="s">
        <v>7</v>
      </c>
      <c r="D12280" t="s">
        <v>14</v>
      </c>
      <c r="E12280" t="s">
        <v>16755</v>
      </c>
    </row>
    <row r="12281" spans="1:6" x14ac:dyDescent="0.25">
      <c r="A12281" t="str">
        <f>"615016680924"</f>
        <v>615016680924</v>
      </c>
      <c r="B12281" t="s">
        <v>17024</v>
      </c>
      <c r="C12281" t="s">
        <v>7</v>
      </c>
      <c r="D12281" t="s">
        <v>12</v>
      </c>
      <c r="E12281" t="s">
        <v>16755</v>
      </c>
    </row>
    <row r="12282" spans="1:6" x14ac:dyDescent="0.25">
      <c r="A12282" t="str">
        <f>"615100468387"</f>
        <v>615100468387</v>
      </c>
      <c r="B12282" t="s">
        <v>17025</v>
      </c>
      <c r="C12282" t="s">
        <v>7</v>
      </c>
      <c r="D12282" t="s">
        <v>14</v>
      </c>
      <c r="E12282" t="s">
        <v>16755</v>
      </c>
    </row>
    <row r="12283" spans="1:6" x14ac:dyDescent="0.25">
      <c r="A12283" t="str">
        <f>"6151019861"</f>
        <v>6151019861</v>
      </c>
      <c r="B12283" t="s">
        <v>9181</v>
      </c>
      <c r="C12283" t="s">
        <v>7</v>
      </c>
      <c r="D12283" t="s">
        <v>189</v>
      </c>
      <c r="E12283" t="s">
        <v>16755</v>
      </c>
      <c r="F12283" t="s">
        <v>17026</v>
      </c>
    </row>
    <row r="12284" spans="1:6" x14ac:dyDescent="0.25">
      <c r="A12284" t="str">
        <f>"615104540330"</f>
        <v>615104540330</v>
      </c>
      <c r="B12284" t="s">
        <v>17027</v>
      </c>
      <c r="C12284" t="s">
        <v>7</v>
      </c>
      <c r="D12284" t="s">
        <v>14</v>
      </c>
      <c r="E12284" t="s">
        <v>16755</v>
      </c>
    </row>
    <row r="12285" spans="1:6" x14ac:dyDescent="0.25">
      <c r="A12285" t="str">
        <f>"615146561822"</f>
        <v>615146561822</v>
      </c>
      <c r="B12285" t="s">
        <v>17028</v>
      </c>
      <c r="C12285" t="s">
        <v>7</v>
      </c>
      <c r="D12285" t="s">
        <v>33</v>
      </c>
      <c r="E12285" t="s">
        <v>16755</v>
      </c>
    </row>
    <row r="12286" spans="1:6" x14ac:dyDescent="0.25">
      <c r="A12286" t="str">
        <f>"615300474388"</f>
        <v>615300474388</v>
      </c>
      <c r="B12286" t="s">
        <v>17029</v>
      </c>
      <c r="C12286" t="s">
        <v>7</v>
      </c>
      <c r="D12286" t="s">
        <v>14</v>
      </c>
      <c r="E12286" t="s">
        <v>16755</v>
      </c>
    </row>
    <row r="12287" spans="1:6" x14ac:dyDescent="0.25">
      <c r="A12287" t="str">
        <f>"6153020301"</f>
        <v>6153020301</v>
      </c>
      <c r="B12287" t="s">
        <v>17030</v>
      </c>
      <c r="C12287" t="s">
        <v>7</v>
      </c>
      <c r="D12287" t="s">
        <v>12</v>
      </c>
      <c r="E12287" t="s">
        <v>16755</v>
      </c>
      <c r="F12287" t="s">
        <v>17031</v>
      </c>
    </row>
    <row r="12288" spans="1:6" x14ac:dyDescent="0.25">
      <c r="A12288" t="str">
        <f>"615305676525"</f>
        <v>615305676525</v>
      </c>
      <c r="B12288" t="s">
        <v>17032</v>
      </c>
      <c r="C12288" t="s">
        <v>7</v>
      </c>
      <c r="D12288" t="s">
        <v>12</v>
      </c>
      <c r="E12288" t="s">
        <v>16755</v>
      </c>
    </row>
    <row r="12289" spans="1:6" x14ac:dyDescent="0.25">
      <c r="A12289" t="str">
        <f>"615306128105"</f>
        <v>615306128105</v>
      </c>
      <c r="B12289" t="s">
        <v>17033</v>
      </c>
      <c r="C12289" t="s">
        <v>7</v>
      </c>
      <c r="D12289" t="s">
        <v>14</v>
      </c>
      <c r="E12289" t="s">
        <v>16755</v>
      </c>
    </row>
    <row r="12290" spans="1:6" x14ac:dyDescent="0.25">
      <c r="A12290" t="str">
        <f>"615307697471"</f>
        <v>615307697471</v>
      </c>
      <c r="B12290" t="s">
        <v>17034</v>
      </c>
      <c r="C12290" t="s">
        <v>7</v>
      </c>
      <c r="D12290" t="s">
        <v>14</v>
      </c>
      <c r="E12290" t="s">
        <v>16755</v>
      </c>
    </row>
    <row r="12291" spans="1:6" x14ac:dyDescent="0.25">
      <c r="A12291" t="str">
        <f>"615308385500"</f>
        <v>615308385500</v>
      </c>
      <c r="B12291" t="s">
        <v>17035</v>
      </c>
      <c r="C12291" t="s">
        <v>7</v>
      </c>
      <c r="D12291" t="s">
        <v>14</v>
      </c>
      <c r="E12291" t="s">
        <v>16755</v>
      </c>
    </row>
    <row r="12292" spans="1:6" x14ac:dyDescent="0.25">
      <c r="A12292" t="str">
        <f>"615310944307"</f>
        <v>615310944307</v>
      </c>
      <c r="B12292" t="s">
        <v>17036</v>
      </c>
      <c r="C12292" t="s">
        <v>7</v>
      </c>
      <c r="D12292" t="s">
        <v>14</v>
      </c>
      <c r="E12292" t="s">
        <v>16755</v>
      </c>
    </row>
    <row r="12293" spans="1:6" x14ac:dyDescent="0.25">
      <c r="A12293" t="str">
        <f>"615398719539"</f>
        <v>615398719539</v>
      </c>
      <c r="B12293" t="s">
        <v>17037</v>
      </c>
      <c r="C12293" t="s">
        <v>7</v>
      </c>
      <c r="D12293" t="s">
        <v>14</v>
      </c>
      <c r="E12293" t="s">
        <v>16755</v>
      </c>
    </row>
    <row r="12294" spans="1:6" x14ac:dyDescent="0.25">
      <c r="A12294" t="str">
        <f>"615399395132"</f>
        <v>615399395132</v>
      </c>
      <c r="B12294" t="s">
        <v>17038</v>
      </c>
      <c r="C12294" t="s">
        <v>7</v>
      </c>
      <c r="D12294" t="s">
        <v>14</v>
      </c>
      <c r="E12294" t="s">
        <v>16755</v>
      </c>
    </row>
    <row r="12295" spans="1:6" x14ac:dyDescent="0.25">
      <c r="A12295" t="str">
        <f>"615400358970"</f>
        <v>615400358970</v>
      </c>
      <c r="B12295" t="s">
        <v>17039</v>
      </c>
      <c r="C12295" t="s">
        <v>7</v>
      </c>
      <c r="D12295" t="s">
        <v>14</v>
      </c>
      <c r="E12295" t="s">
        <v>16755</v>
      </c>
    </row>
    <row r="12296" spans="1:6" x14ac:dyDescent="0.25">
      <c r="A12296" t="str">
        <f>"615401082316"</f>
        <v>615401082316</v>
      </c>
      <c r="B12296" t="s">
        <v>17040</v>
      </c>
      <c r="C12296" t="s">
        <v>7</v>
      </c>
      <c r="D12296" t="s">
        <v>12</v>
      </c>
      <c r="E12296" t="s">
        <v>16755</v>
      </c>
    </row>
    <row r="12297" spans="1:6" x14ac:dyDescent="0.25">
      <c r="A12297" t="str">
        <f>"615401354680"</f>
        <v>615401354680</v>
      </c>
      <c r="B12297" t="s">
        <v>17041</v>
      </c>
      <c r="C12297" t="s">
        <v>7</v>
      </c>
      <c r="D12297" t="s">
        <v>14</v>
      </c>
      <c r="E12297" t="s">
        <v>16755</v>
      </c>
    </row>
    <row r="12298" spans="1:6" x14ac:dyDescent="0.25">
      <c r="A12298" t="str">
        <f>"615404079618"</f>
        <v>615404079618</v>
      </c>
      <c r="B12298" t="s">
        <v>17042</v>
      </c>
      <c r="C12298" t="s">
        <v>7</v>
      </c>
      <c r="D12298" t="s">
        <v>12</v>
      </c>
      <c r="E12298" t="s">
        <v>16755</v>
      </c>
    </row>
    <row r="12299" spans="1:6" x14ac:dyDescent="0.25">
      <c r="A12299" t="str">
        <f>"615409134397"</f>
        <v>615409134397</v>
      </c>
      <c r="B12299" t="s">
        <v>17043</v>
      </c>
      <c r="C12299" t="s">
        <v>7</v>
      </c>
      <c r="D12299" t="s">
        <v>33</v>
      </c>
      <c r="E12299" t="s">
        <v>16755</v>
      </c>
    </row>
    <row r="12300" spans="1:6" x14ac:dyDescent="0.25">
      <c r="A12300" t="str">
        <f>"615411502369"</f>
        <v>615411502369</v>
      </c>
      <c r="B12300" t="s">
        <v>17044</v>
      </c>
      <c r="C12300" t="s">
        <v>7</v>
      </c>
      <c r="D12300" t="s">
        <v>14</v>
      </c>
      <c r="E12300" t="s">
        <v>16755</v>
      </c>
    </row>
    <row r="12301" spans="1:6" x14ac:dyDescent="0.25">
      <c r="A12301" t="str">
        <f>"6154147269"</f>
        <v>6154147269</v>
      </c>
      <c r="B12301" t="s">
        <v>17045</v>
      </c>
      <c r="C12301" t="s">
        <v>7</v>
      </c>
      <c r="D12301" t="s">
        <v>14</v>
      </c>
      <c r="E12301" t="s">
        <v>16755</v>
      </c>
      <c r="F12301" t="s">
        <v>17046</v>
      </c>
    </row>
    <row r="12302" spans="1:6" x14ac:dyDescent="0.25">
      <c r="A12302" t="str">
        <f>"6154160887"</f>
        <v>6154160887</v>
      </c>
      <c r="B12302" t="s">
        <v>17047</v>
      </c>
      <c r="C12302" t="s">
        <v>7</v>
      </c>
      <c r="D12302" t="s">
        <v>674</v>
      </c>
      <c r="E12302" t="s">
        <v>16755</v>
      </c>
      <c r="F12302" t="s">
        <v>17048</v>
      </c>
    </row>
    <row r="12303" spans="1:6" x14ac:dyDescent="0.25">
      <c r="A12303" t="str">
        <f>"6154160990"</f>
        <v>6154160990</v>
      </c>
      <c r="B12303" t="s">
        <v>17049</v>
      </c>
      <c r="C12303" t="s">
        <v>7</v>
      </c>
      <c r="D12303" t="s">
        <v>12</v>
      </c>
      <c r="E12303" t="s">
        <v>16755</v>
      </c>
      <c r="F12303" t="s">
        <v>17050</v>
      </c>
    </row>
    <row r="12304" spans="1:6" x14ac:dyDescent="0.25">
      <c r="A12304" t="str">
        <f>"615420747189"</f>
        <v>615420747189</v>
      </c>
      <c r="B12304" t="s">
        <v>17051</v>
      </c>
      <c r="C12304" t="s">
        <v>7</v>
      </c>
      <c r="D12304" t="s">
        <v>12</v>
      </c>
      <c r="E12304" t="s">
        <v>16755</v>
      </c>
    </row>
    <row r="12305" spans="1:6" x14ac:dyDescent="0.25">
      <c r="A12305" t="str">
        <f>"615423424919"</f>
        <v>615423424919</v>
      </c>
      <c r="B12305" t="s">
        <v>17052</v>
      </c>
      <c r="C12305" t="s">
        <v>7</v>
      </c>
      <c r="D12305" t="s">
        <v>33</v>
      </c>
      <c r="E12305" t="s">
        <v>16755</v>
      </c>
    </row>
    <row r="12306" spans="1:6" x14ac:dyDescent="0.25">
      <c r="A12306" t="str">
        <f>"615424464833"</f>
        <v>615424464833</v>
      </c>
      <c r="B12306" t="s">
        <v>17053</v>
      </c>
      <c r="C12306" t="s">
        <v>7</v>
      </c>
      <c r="D12306" t="s">
        <v>14</v>
      </c>
      <c r="E12306" t="s">
        <v>16755</v>
      </c>
    </row>
    <row r="12307" spans="1:6" x14ac:dyDescent="0.25">
      <c r="A12307" t="str">
        <f>"615426756454"</f>
        <v>615426756454</v>
      </c>
      <c r="B12307" t="s">
        <v>17054</v>
      </c>
      <c r="C12307" t="s">
        <v>7</v>
      </c>
      <c r="D12307" t="s">
        <v>14</v>
      </c>
      <c r="E12307" t="s">
        <v>16755</v>
      </c>
    </row>
    <row r="12308" spans="1:6" x14ac:dyDescent="0.25">
      <c r="A12308" t="str">
        <f>"615427746466"</f>
        <v>615427746466</v>
      </c>
      <c r="B12308" t="s">
        <v>17055</v>
      </c>
      <c r="C12308" t="s">
        <v>7</v>
      </c>
      <c r="D12308" t="s">
        <v>14</v>
      </c>
      <c r="E12308" t="s">
        <v>16755</v>
      </c>
    </row>
    <row r="12309" spans="1:6" x14ac:dyDescent="0.25">
      <c r="A12309" t="str">
        <f>"615427826619"</f>
        <v>615427826619</v>
      </c>
      <c r="B12309" t="s">
        <v>17056</v>
      </c>
      <c r="C12309" t="s">
        <v>7</v>
      </c>
      <c r="D12309" t="s">
        <v>12</v>
      </c>
      <c r="E12309" t="s">
        <v>16755</v>
      </c>
    </row>
    <row r="12310" spans="1:6" x14ac:dyDescent="0.25">
      <c r="A12310" t="str">
        <f>"615429680884"</f>
        <v>615429680884</v>
      </c>
      <c r="B12310" t="s">
        <v>17057</v>
      </c>
      <c r="C12310" t="s">
        <v>7</v>
      </c>
      <c r="D12310" t="s">
        <v>14</v>
      </c>
      <c r="E12310" t="s">
        <v>16755</v>
      </c>
    </row>
    <row r="12311" spans="1:6" x14ac:dyDescent="0.25">
      <c r="A12311" t="str">
        <f>"615434365052"</f>
        <v>615434365052</v>
      </c>
      <c r="B12311" t="s">
        <v>17058</v>
      </c>
      <c r="C12311" t="s">
        <v>7</v>
      </c>
      <c r="D12311" t="s">
        <v>14</v>
      </c>
      <c r="E12311" t="s">
        <v>16755</v>
      </c>
    </row>
    <row r="12312" spans="1:6" x14ac:dyDescent="0.25">
      <c r="A12312" t="str">
        <f>"615491004912"</f>
        <v>615491004912</v>
      </c>
      <c r="B12312" t="s">
        <v>17059</v>
      </c>
      <c r="C12312" t="s">
        <v>7</v>
      </c>
      <c r="D12312" t="s">
        <v>14</v>
      </c>
      <c r="E12312" t="s">
        <v>16755</v>
      </c>
    </row>
    <row r="12313" spans="1:6" x14ac:dyDescent="0.25">
      <c r="A12313" t="str">
        <f>"615500411770"</f>
        <v>615500411770</v>
      </c>
      <c r="B12313" t="s">
        <v>17060</v>
      </c>
      <c r="C12313" t="s">
        <v>7</v>
      </c>
      <c r="D12313" t="s">
        <v>14</v>
      </c>
      <c r="E12313" t="s">
        <v>16755</v>
      </c>
    </row>
    <row r="12314" spans="1:6" x14ac:dyDescent="0.25">
      <c r="A12314" t="str">
        <f>"615500622971"</f>
        <v>615500622971</v>
      </c>
      <c r="B12314" t="s">
        <v>17061</v>
      </c>
      <c r="C12314" t="s">
        <v>7</v>
      </c>
      <c r="D12314" t="s">
        <v>14</v>
      </c>
      <c r="E12314" t="s">
        <v>16755</v>
      </c>
    </row>
    <row r="12315" spans="1:6" x14ac:dyDescent="0.25">
      <c r="A12315" t="str">
        <f>"615501643942"</f>
        <v>615501643942</v>
      </c>
      <c r="B12315" t="s">
        <v>17062</v>
      </c>
      <c r="C12315" t="s">
        <v>7</v>
      </c>
      <c r="D12315" t="s">
        <v>14</v>
      </c>
      <c r="E12315" t="s">
        <v>16755</v>
      </c>
    </row>
    <row r="12316" spans="1:6" x14ac:dyDescent="0.25">
      <c r="A12316" t="str">
        <f>"6155075730"</f>
        <v>6155075730</v>
      </c>
      <c r="B12316" t="s">
        <v>17063</v>
      </c>
      <c r="C12316" t="s">
        <v>7</v>
      </c>
      <c r="D12316" t="s">
        <v>8</v>
      </c>
      <c r="E12316" t="s">
        <v>16755</v>
      </c>
      <c r="F12316" t="s">
        <v>17064</v>
      </c>
    </row>
    <row r="12317" spans="1:6" x14ac:dyDescent="0.25">
      <c r="A12317" t="str">
        <f>"615508560678"</f>
        <v>615508560678</v>
      </c>
      <c r="B12317" t="s">
        <v>17065</v>
      </c>
      <c r="C12317" t="s">
        <v>7</v>
      </c>
      <c r="D12317" t="s">
        <v>14</v>
      </c>
      <c r="E12317" t="s">
        <v>16755</v>
      </c>
    </row>
    <row r="12318" spans="1:6" x14ac:dyDescent="0.25">
      <c r="A12318" t="str">
        <f>"6155093979"</f>
        <v>6155093979</v>
      </c>
      <c r="B12318" t="s">
        <v>17066</v>
      </c>
      <c r="C12318" t="s">
        <v>7</v>
      </c>
      <c r="D12318" t="s">
        <v>14</v>
      </c>
      <c r="E12318" t="s">
        <v>16755</v>
      </c>
      <c r="F12318" t="s">
        <v>17067</v>
      </c>
    </row>
    <row r="12319" spans="1:6" x14ac:dyDescent="0.25">
      <c r="A12319" t="str">
        <f>"615525878781"</f>
        <v>615525878781</v>
      </c>
      <c r="B12319" t="s">
        <v>17068</v>
      </c>
      <c r="C12319" t="s">
        <v>7</v>
      </c>
      <c r="D12319" t="s">
        <v>14</v>
      </c>
      <c r="E12319" t="s">
        <v>16755</v>
      </c>
    </row>
    <row r="12320" spans="1:6" x14ac:dyDescent="0.25">
      <c r="A12320" t="str">
        <f>"616101717126"</f>
        <v>616101717126</v>
      </c>
      <c r="B12320" t="s">
        <v>17069</v>
      </c>
      <c r="C12320" t="s">
        <v>7</v>
      </c>
      <c r="D12320" t="s">
        <v>14</v>
      </c>
      <c r="E12320" t="s">
        <v>16755</v>
      </c>
    </row>
    <row r="12321" spans="1:6" x14ac:dyDescent="0.25">
      <c r="A12321" t="str">
        <f>"6161027861"</f>
        <v>6161027861</v>
      </c>
      <c r="B12321" t="s">
        <v>17070</v>
      </c>
      <c r="C12321" t="s">
        <v>7</v>
      </c>
      <c r="D12321" t="s">
        <v>12</v>
      </c>
      <c r="E12321" t="s">
        <v>16755</v>
      </c>
      <c r="F12321" t="s">
        <v>17071</v>
      </c>
    </row>
    <row r="12322" spans="1:6" x14ac:dyDescent="0.25">
      <c r="A12322" t="str">
        <f>"6161075093"</f>
        <v>6161075093</v>
      </c>
      <c r="B12322" t="s">
        <v>17072</v>
      </c>
      <c r="C12322" t="s">
        <v>7</v>
      </c>
      <c r="D12322" t="s">
        <v>98</v>
      </c>
      <c r="E12322" t="s">
        <v>16755</v>
      </c>
      <c r="F12322" t="s">
        <v>17073</v>
      </c>
    </row>
    <row r="12323" spans="1:6" x14ac:dyDescent="0.25">
      <c r="A12323" t="str">
        <f>"6161099190"</f>
        <v>6161099190</v>
      </c>
      <c r="B12323" t="s">
        <v>17074</v>
      </c>
      <c r="C12323" t="s">
        <v>7</v>
      </c>
      <c r="D12323" t="s">
        <v>33</v>
      </c>
      <c r="E12323" t="s">
        <v>16755</v>
      </c>
      <c r="F12323" t="s">
        <v>17075</v>
      </c>
    </row>
    <row r="12324" spans="1:6" x14ac:dyDescent="0.25">
      <c r="A12324" t="str">
        <f>"6161100381"</f>
        <v>6161100381</v>
      </c>
      <c r="B12324" t="s">
        <v>17076</v>
      </c>
      <c r="C12324" t="s">
        <v>7</v>
      </c>
      <c r="D12324" t="s">
        <v>463</v>
      </c>
      <c r="E12324" t="s">
        <v>16755</v>
      </c>
      <c r="F12324" t="s">
        <v>17077</v>
      </c>
    </row>
    <row r="12325" spans="1:6" x14ac:dyDescent="0.25">
      <c r="A12325" t="str">
        <f>"616117096266"</f>
        <v>616117096266</v>
      </c>
      <c r="B12325" t="s">
        <v>17078</v>
      </c>
      <c r="C12325" t="s">
        <v>7</v>
      </c>
      <c r="D12325" t="s">
        <v>33</v>
      </c>
      <c r="E12325" t="s">
        <v>16755</v>
      </c>
    </row>
    <row r="12326" spans="1:6" x14ac:dyDescent="0.25">
      <c r="A12326" t="str">
        <f>"616125949782"</f>
        <v>616125949782</v>
      </c>
      <c r="B12326" t="s">
        <v>17079</v>
      </c>
      <c r="C12326" t="s">
        <v>7</v>
      </c>
      <c r="D12326" t="s">
        <v>12</v>
      </c>
      <c r="E12326" t="s">
        <v>16755</v>
      </c>
    </row>
    <row r="12327" spans="1:6" x14ac:dyDescent="0.25">
      <c r="A12327" t="str">
        <f>"616200583392"</f>
        <v>616200583392</v>
      </c>
      <c r="B12327" t="s">
        <v>17080</v>
      </c>
      <c r="C12327" t="s">
        <v>7</v>
      </c>
      <c r="D12327" t="s">
        <v>12</v>
      </c>
      <c r="E12327" t="s">
        <v>16755</v>
      </c>
    </row>
    <row r="12328" spans="1:6" x14ac:dyDescent="0.25">
      <c r="A12328" t="str">
        <f>"616205344430"</f>
        <v>616205344430</v>
      </c>
      <c r="B12328" t="s">
        <v>17081</v>
      </c>
      <c r="C12328" t="s">
        <v>7</v>
      </c>
      <c r="D12328" t="s">
        <v>14</v>
      </c>
      <c r="E12328" t="s">
        <v>16755</v>
      </c>
    </row>
    <row r="12329" spans="1:6" x14ac:dyDescent="0.25">
      <c r="A12329" t="str">
        <f>"616206548852"</f>
        <v>616206548852</v>
      </c>
      <c r="B12329" t="s">
        <v>17082</v>
      </c>
      <c r="C12329" t="s">
        <v>7</v>
      </c>
      <c r="D12329" t="s">
        <v>8</v>
      </c>
      <c r="E12329" t="s">
        <v>16755</v>
      </c>
    </row>
    <row r="12330" spans="1:6" x14ac:dyDescent="0.25">
      <c r="A12330" t="str">
        <f>"616300216808"</f>
        <v>616300216808</v>
      </c>
      <c r="B12330" t="s">
        <v>17083</v>
      </c>
      <c r="C12330" t="s">
        <v>7</v>
      </c>
      <c r="D12330" t="s">
        <v>14</v>
      </c>
      <c r="E12330" t="s">
        <v>16755</v>
      </c>
    </row>
    <row r="12331" spans="1:6" x14ac:dyDescent="0.25">
      <c r="A12331" t="str">
        <f>"6163087190"</f>
        <v>6163087190</v>
      </c>
      <c r="B12331" t="s">
        <v>4873</v>
      </c>
      <c r="C12331" t="s">
        <v>7</v>
      </c>
      <c r="D12331" t="s">
        <v>14</v>
      </c>
      <c r="E12331" t="s">
        <v>16755</v>
      </c>
      <c r="F12331" t="s">
        <v>17084</v>
      </c>
    </row>
    <row r="12332" spans="1:6" x14ac:dyDescent="0.25">
      <c r="A12332" t="str">
        <f>"6163090280"</f>
        <v>6163090280</v>
      </c>
      <c r="B12332" t="s">
        <v>17085</v>
      </c>
      <c r="C12332" t="s">
        <v>7</v>
      </c>
      <c r="D12332" t="s">
        <v>33</v>
      </c>
      <c r="E12332" t="s">
        <v>16755</v>
      </c>
      <c r="F12332" t="s">
        <v>17086</v>
      </c>
    </row>
    <row r="12333" spans="1:6" x14ac:dyDescent="0.25">
      <c r="A12333" t="str">
        <f>"6163154858"</f>
        <v>6163154858</v>
      </c>
      <c r="B12333" t="s">
        <v>17087</v>
      </c>
      <c r="C12333" t="s">
        <v>7</v>
      </c>
      <c r="D12333" t="s">
        <v>33</v>
      </c>
      <c r="E12333" t="s">
        <v>16755</v>
      </c>
      <c r="F12333" t="s">
        <v>17088</v>
      </c>
    </row>
    <row r="12334" spans="1:6" x14ac:dyDescent="0.25">
      <c r="A12334" t="str">
        <f>"616400290795"</f>
        <v>616400290795</v>
      </c>
      <c r="B12334" t="s">
        <v>17089</v>
      </c>
      <c r="C12334" t="s">
        <v>7</v>
      </c>
      <c r="D12334" t="s">
        <v>14</v>
      </c>
      <c r="E12334" t="s">
        <v>16755</v>
      </c>
    </row>
    <row r="12335" spans="1:6" x14ac:dyDescent="0.25">
      <c r="A12335" t="str">
        <f>"616401191170"</f>
        <v>616401191170</v>
      </c>
      <c r="B12335" t="s">
        <v>17090</v>
      </c>
      <c r="C12335" t="s">
        <v>7</v>
      </c>
      <c r="D12335" t="s">
        <v>33</v>
      </c>
      <c r="E12335" t="s">
        <v>16755</v>
      </c>
    </row>
    <row r="12336" spans="1:6" x14ac:dyDescent="0.25">
      <c r="A12336" t="str">
        <f>"616477816583"</f>
        <v>616477816583</v>
      </c>
      <c r="B12336" t="s">
        <v>17091</v>
      </c>
      <c r="C12336" t="s">
        <v>7</v>
      </c>
      <c r="D12336" t="s">
        <v>33</v>
      </c>
      <c r="E12336" t="s">
        <v>16755</v>
      </c>
    </row>
    <row r="12337" spans="1:6" x14ac:dyDescent="0.25">
      <c r="A12337" t="str">
        <f>"616483421008"</f>
        <v>616483421008</v>
      </c>
      <c r="B12337" t="s">
        <v>17092</v>
      </c>
      <c r="C12337" t="s">
        <v>7</v>
      </c>
      <c r="D12337" t="s">
        <v>14</v>
      </c>
      <c r="E12337" t="s">
        <v>16755</v>
      </c>
    </row>
    <row r="12338" spans="1:6" x14ac:dyDescent="0.25">
      <c r="A12338" t="str">
        <f>"616500140000"</f>
        <v>616500140000</v>
      </c>
      <c r="B12338" t="s">
        <v>17093</v>
      </c>
      <c r="C12338" t="s">
        <v>7</v>
      </c>
      <c r="D12338" t="s">
        <v>14</v>
      </c>
      <c r="E12338" t="s">
        <v>16755</v>
      </c>
    </row>
    <row r="12339" spans="1:6" x14ac:dyDescent="0.25">
      <c r="A12339" t="str">
        <f>"6165029228"</f>
        <v>6165029228</v>
      </c>
      <c r="B12339" t="s">
        <v>17094</v>
      </c>
      <c r="C12339" t="s">
        <v>7</v>
      </c>
      <c r="D12339" t="s">
        <v>14</v>
      </c>
      <c r="E12339" t="s">
        <v>16755</v>
      </c>
      <c r="F12339" t="s">
        <v>17095</v>
      </c>
    </row>
    <row r="12340" spans="1:6" x14ac:dyDescent="0.25">
      <c r="A12340" t="str">
        <f>"6165107437"</f>
        <v>6165107437</v>
      </c>
      <c r="B12340" t="s">
        <v>17096</v>
      </c>
      <c r="C12340" t="s">
        <v>7</v>
      </c>
      <c r="D12340" t="s">
        <v>14</v>
      </c>
      <c r="E12340" t="s">
        <v>16755</v>
      </c>
      <c r="F12340" t="s">
        <v>17097</v>
      </c>
    </row>
    <row r="12341" spans="1:6" x14ac:dyDescent="0.25">
      <c r="A12341" t="str">
        <f>"6165167891"</f>
        <v>6165167891</v>
      </c>
      <c r="B12341" t="s">
        <v>17098</v>
      </c>
      <c r="C12341" t="s">
        <v>7</v>
      </c>
      <c r="D12341" t="s">
        <v>189</v>
      </c>
      <c r="E12341" t="s">
        <v>16755</v>
      </c>
      <c r="F12341" t="s">
        <v>17099</v>
      </c>
    </row>
    <row r="12342" spans="1:6" x14ac:dyDescent="0.25">
      <c r="A12342" t="str">
        <f>"6165176938"</f>
        <v>6165176938</v>
      </c>
      <c r="B12342" t="s">
        <v>17100</v>
      </c>
      <c r="C12342" t="s">
        <v>7</v>
      </c>
      <c r="D12342" t="s">
        <v>12</v>
      </c>
      <c r="E12342" t="s">
        <v>16755</v>
      </c>
      <c r="F12342" t="s">
        <v>17101</v>
      </c>
    </row>
    <row r="12343" spans="1:6" x14ac:dyDescent="0.25">
      <c r="A12343" t="str">
        <f>"616519886306"</f>
        <v>616519886306</v>
      </c>
      <c r="B12343" t="s">
        <v>17102</v>
      </c>
      <c r="C12343" t="s">
        <v>7</v>
      </c>
      <c r="D12343" t="s">
        <v>12</v>
      </c>
      <c r="E12343" t="s">
        <v>16755</v>
      </c>
    </row>
    <row r="12344" spans="1:6" x14ac:dyDescent="0.25">
      <c r="A12344" t="str">
        <f>"6165200588"</f>
        <v>6165200588</v>
      </c>
      <c r="B12344" t="s">
        <v>17103</v>
      </c>
      <c r="C12344" t="s">
        <v>7</v>
      </c>
      <c r="D12344" t="s">
        <v>33</v>
      </c>
      <c r="E12344" t="s">
        <v>16755</v>
      </c>
      <c r="F12344" t="s">
        <v>17104</v>
      </c>
    </row>
    <row r="12345" spans="1:6" x14ac:dyDescent="0.25">
      <c r="A12345" t="str">
        <f>"6165200732"</f>
        <v>6165200732</v>
      </c>
      <c r="B12345" t="s">
        <v>17105</v>
      </c>
      <c r="C12345" t="s">
        <v>7</v>
      </c>
      <c r="D12345" t="s">
        <v>8</v>
      </c>
      <c r="E12345" t="s">
        <v>16755</v>
      </c>
      <c r="F12345" t="s">
        <v>17106</v>
      </c>
    </row>
    <row r="12346" spans="1:6" x14ac:dyDescent="0.25">
      <c r="A12346" t="str">
        <f>"6165216740"</f>
        <v>6165216740</v>
      </c>
      <c r="B12346" t="s">
        <v>17107</v>
      </c>
      <c r="C12346" t="s">
        <v>7</v>
      </c>
      <c r="D12346" t="s">
        <v>460</v>
      </c>
      <c r="E12346" t="s">
        <v>16755</v>
      </c>
      <c r="F12346" t="s">
        <v>17108</v>
      </c>
    </row>
    <row r="12347" spans="1:6" x14ac:dyDescent="0.25">
      <c r="A12347" t="str">
        <f>"6165243133"</f>
        <v>6165243133</v>
      </c>
      <c r="B12347" t="s">
        <v>17109</v>
      </c>
      <c r="C12347" t="s">
        <v>7</v>
      </c>
      <c r="D12347" t="s">
        <v>14</v>
      </c>
      <c r="E12347" t="s">
        <v>16755</v>
      </c>
      <c r="F12347" t="s">
        <v>17110</v>
      </c>
    </row>
    <row r="12348" spans="1:6" x14ac:dyDescent="0.25">
      <c r="A12348" t="str">
        <f>"616600555819"</f>
        <v>616600555819</v>
      </c>
      <c r="B12348" t="s">
        <v>17111</v>
      </c>
      <c r="C12348" t="s">
        <v>7</v>
      </c>
      <c r="D12348" t="s">
        <v>14</v>
      </c>
      <c r="E12348" t="s">
        <v>16755</v>
      </c>
    </row>
    <row r="12349" spans="1:6" x14ac:dyDescent="0.25">
      <c r="A12349" t="str">
        <f>"616601015277"</f>
        <v>616601015277</v>
      </c>
      <c r="B12349" t="s">
        <v>17112</v>
      </c>
      <c r="C12349" t="s">
        <v>7</v>
      </c>
      <c r="D12349" t="s">
        <v>14</v>
      </c>
      <c r="E12349" t="s">
        <v>16755</v>
      </c>
    </row>
    <row r="12350" spans="1:6" x14ac:dyDescent="0.25">
      <c r="A12350" t="str">
        <f>"6166068300"</f>
        <v>6166068300</v>
      </c>
      <c r="B12350" t="s">
        <v>17113</v>
      </c>
      <c r="C12350" t="s">
        <v>7</v>
      </c>
      <c r="D12350" t="s">
        <v>14</v>
      </c>
      <c r="E12350" t="s">
        <v>16755</v>
      </c>
      <c r="F12350" t="s">
        <v>17114</v>
      </c>
    </row>
    <row r="12351" spans="1:6" x14ac:dyDescent="0.25">
      <c r="A12351" t="str">
        <f>"6166099891"</f>
        <v>6166099891</v>
      </c>
      <c r="B12351" t="s">
        <v>17115</v>
      </c>
      <c r="C12351" t="s">
        <v>7</v>
      </c>
      <c r="D12351" t="s">
        <v>33</v>
      </c>
      <c r="E12351" t="s">
        <v>16755</v>
      </c>
      <c r="F12351" t="s">
        <v>17116</v>
      </c>
    </row>
    <row r="12352" spans="1:6" x14ac:dyDescent="0.25">
      <c r="A12352" t="str">
        <f>"6166103940"</f>
        <v>6166103940</v>
      </c>
      <c r="B12352" t="s">
        <v>17117</v>
      </c>
      <c r="C12352" t="s">
        <v>7</v>
      </c>
      <c r="D12352" t="s">
        <v>28</v>
      </c>
      <c r="E12352" t="s">
        <v>16755</v>
      </c>
      <c r="F12352" t="s">
        <v>17118</v>
      </c>
    </row>
    <row r="12353" spans="1:6" x14ac:dyDescent="0.25">
      <c r="A12353" t="str">
        <f>"6166106500"</f>
        <v>6166106500</v>
      </c>
      <c r="B12353" t="s">
        <v>17119</v>
      </c>
      <c r="C12353" t="s">
        <v>7</v>
      </c>
      <c r="D12353" t="s">
        <v>33</v>
      </c>
      <c r="E12353" t="s">
        <v>16755</v>
      </c>
      <c r="F12353" t="s">
        <v>17120</v>
      </c>
    </row>
    <row r="12354" spans="1:6" x14ac:dyDescent="0.25">
      <c r="A12354" t="str">
        <f>"6166119185"</f>
        <v>6166119185</v>
      </c>
      <c r="B12354" t="s">
        <v>17121</v>
      </c>
      <c r="C12354" t="s">
        <v>7</v>
      </c>
      <c r="D12354" t="s">
        <v>33</v>
      </c>
      <c r="E12354" t="s">
        <v>16755</v>
      </c>
      <c r="F12354" t="s">
        <v>17122</v>
      </c>
    </row>
    <row r="12355" spans="1:6" x14ac:dyDescent="0.25">
      <c r="A12355" t="str">
        <f>"616612769396"</f>
        <v>616612769396</v>
      </c>
      <c r="B12355" t="s">
        <v>17123</v>
      </c>
      <c r="C12355" t="s">
        <v>7</v>
      </c>
      <c r="D12355" t="s">
        <v>14</v>
      </c>
      <c r="E12355" t="s">
        <v>16755</v>
      </c>
    </row>
    <row r="12356" spans="1:6" x14ac:dyDescent="0.25">
      <c r="A12356" t="str">
        <f>"616613521461"</f>
        <v>616613521461</v>
      </c>
      <c r="B12356" t="s">
        <v>17124</v>
      </c>
      <c r="C12356" t="s">
        <v>7</v>
      </c>
      <c r="D12356" t="s">
        <v>12</v>
      </c>
      <c r="E12356" t="s">
        <v>16755</v>
      </c>
    </row>
    <row r="12357" spans="1:6" x14ac:dyDescent="0.25">
      <c r="A12357" t="str">
        <f>"616704021145"</f>
        <v>616704021145</v>
      </c>
      <c r="B12357" t="s">
        <v>17125</v>
      </c>
      <c r="C12357" t="s">
        <v>7</v>
      </c>
      <c r="D12357" t="s">
        <v>14</v>
      </c>
      <c r="E12357" t="s">
        <v>16755</v>
      </c>
    </row>
    <row r="12358" spans="1:6" x14ac:dyDescent="0.25">
      <c r="A12358" t="str">
        <f>"616704082042"</f>
        <v>616704082042</v>
      </c>
      <c r="B12358" t="s">
        <v>17126</v>
      </c>
      <c r="C12358" t="s">
        <v>7</v>
      </c>
      <c r="D12358" t="s">
        <v>14</v>
      </c>
      <c r="E12358" t="s">
        <v>16755</v>
      </c>
    </row>
    <row r="12359" spans="1:6" x14ac:dyDescent="0.25">
      <c r="A12359" t="str">
        <f>"616704914741"</f>
        <v>616704914741</v>
      </c>
      <c r="B12359" t="s">
        <v>17127</v>
      </c>
      <c r="C12359" t="s">
        <v>7</v>
      </c>
      <c r="D12359" t="s">
        <v>14</v>
      </c>
      <c r="E12359" t="s">
        <v>16755</v>
      </c>
    </row>
    <row r="12360" spans="1:6" x14ac:dyDescent="0.25">
      <c r="A12360" t="str">
        <f>"6167065398"</f>
        <v>6167065398</v>
      </c>
      <c r="B12360" t="s">
        <v>17128</v>
      </c>
      <c r="C12360" t="s">
        <v>7</v>
      </c>
      <c r="D12360" t="s">
        <v>12</v>
      </c>
      <c r="E12360" t="s">
        <v>16755</v>
      </c>
      <c r="F12360" t="s">
        <v>17129</v>
      </c>
    </row>
    <row r="12361" spans="1:6" x14ac:dyDescent="0.25">
      <c r="A12361" t="str">
        <f>"616706574402"</f>
        <v>616706574402</v>
      </c>
      <c r="B12361" t="s">
        <v>17130</v>
      </c>
      <c r="C12361" t="s">
        <v>7</v>
      </c>
      <c r="D12361" t="s">
        <v>33</v>
      </c>
      <c r="E12361" t="s">
        <v>16755</v>
      </c>
    </row>
    <row r="12362" spans="1:6" x14ac:dyDescent="0.25">
      <c r="A12362" t="str">
        <f>"6167074900"</f>
        <v>6167074900</v>
      </c>
      <c r="B12362" t="s">
        <v>17131</v>
      </c>
      <c r="C12362" t="s">
        <v>7</v>
      </c>
      <c r="D12362" t="s">
        <v>33</v>
      </c>
      <c r="E12362" t="s">
        <v>16755</v>
      </c>
      <c r="F12362" t="s">
        <v>17132</v>
      </c>
    </row>
    <row r="12363" spans="1:6" x14ac:dyDescent="0.25">
      <c r="A12363" t="str">
        <f>"616708732333"</f>
        <v>616708732333</v>
      </c>
      <c r="B12363" t="s">
        <v>17133</v>
      </c>
      <c r="C12363" t="s">
        <v>7</v>
      </c>
      <c r="D12363" t="s">
        <v>14</v>
      </c>
      <c r="E12363" t="s">
        <v>16755</v>
      </c>
    </row>
    <row r="12364" spans="1:6" x14ac:dyDescent="0.25">
      <c r="A12364" t="str">
        <f>"616709602538"</f>
        <v>616709602538</v>
      </c>
      <c r="B12364" t="s">
        <v>17134</v>
      </c>
      <c r="C12364" t="s">
        <v>7</v>
      </c>
      <c r="D12364" t="s">
        <v>14</v>
      </c>
      <c r="E12364" t="s">
        <v>16755</v>
      </c>
    </row>
    <row r="12365" spans="1:6" x14ac:dyDescent="0.25">
      <c r="A12365" t="str">
        <f>"616711510309"</f>
        <v>616711510309</v>
      </c>
      <c r="B12365" t="s">
        <v>17135</v>
      </c>
      <c r="C12365" t="s">
        <v>7</v>
      </c>
      <c r="D12365" t="s">
        <v>14</v>
      </c>
      <c r="E12365" t="s">
        <v>16755</v>
      </c>
    </row>
    <row r="12366" spans="1:6" x14ac:dyDescent="0.25">
      <c r="A12366" t="str">
        <f>"6167122085"</f>
        <v>6167122085</v>
      </c>
      <c r="B12366" t="s">
        <v>17136</v>
      </c>
      <c r="C12366" t="s">
        <v>7</v>
      </c>
      <c r="D12366" t="s">
        <v>189</v>
      </c>
      <c r="E12366" t="s">
        <v>16755</v>
      </c>
      <c r="F12366" t="s">
        <v>17137</v>
      </c>
    </row>
    <row r="12367" spans="1:6" x14ac:dyDescent="0.25">
      <c r="A12367" t="str">
        <f>"616712235599"</f>
        <v>616712235599</v>
      </c>
      <c r="B12367" t="s">
        <v>17138</v>
      </c>
      <c r="C12367" t="s">
        <v>7</v>
      </c>
      <c r="D12367" t="s">
        <v>12</v>
      </c>
      <c r="E12367" t="s">
        <v>16755</v>
      </c>
    </row>
    <row r="12368" spans="1:6" x14ac:dyDescent="0.25">
      <c r="A12368" t="str">
        <f>"6167124861"</f>
        <v>6167124861</v>
      </c>
      <c r="B12368" t="s">
        <v>17139</v>
      </c>
      <c r="C12368" t="s">
        <v>7</v>
      </c>
      <c r="D12368" t="s">
        <v>33</v>
      </c>
      <c r="E12368" t="s">
        <v>16755</v>
      </c>
      <c r="F12368" t="s">
        <v>17140</v>
      </c>
    </row>
    <row r="12369" spans="1:6" x14ac:dyDescent="0.25">
      <c r="A12369" t="str">
        <f>"6167128802"</f>
        <v>6167128802</v>
      </c>
      <c r="B12369" t="s">
        <v>17141</v>
      </c>
      <c r="C12369" t="s">
        <v>7</v>
      </c>
      <c r="D12369" t="s">
        <v>12</v>
      </c>
      <c r="E12369" t="s">
        <v>16755</v>
      </c>
      <c r="F12369" t="s">
        <v>17142</v>
      </c>
    </row>
    <row r="12370" spans="1:6" x14ac:dyDescent="0.25">
      <c r="A12370" t="str">
        <f>"6167145558"</f>
        <v>6167145558</v>
      </c>
      <c r="B12370" t="s">
        <v>17143</v>
      </c>
      <c r="C12370" t="s">
        <v>7</v>
      </c>
      <c r="D12370" t="s">
        <v>12</v>
      </c>
      <c r="E12370" t="s">
        <v>16755</v>
      </c>
      <c r="F12370" t="s">
        <v>17144</v>
      </c>
    </row>
    <row r="12371" spans="1:6" x14ac:dyDescent="0.25">
      <c r="A12371" t="str">
        <f>"6167200689"</f>
        <v>6167200689</v>
      </c>
      <c r="B12371" t="s">
        <v>3276</v>
      </c>
      <c r="C12371" t="s">
        <v>7</v>
      </c>
      <c r="D12371" t="s">
        <v>14</v>
      </c>
      <c r="E12371" t="s">
        <v>16755</v>
      </c>
      <c r="F12371" t="s">
        <v>17145</v>
      </c>
    </row>
    <row r="12372" spans="1:6" x14ac:dyDescent="0.25">
      <c r="A12372" t="str">
        <f>"6167204228"</f>
        <v>6167204228</v>
      </c>
      <c r="B12372" t="s">
        <v>17146</v>
      </c>
      <c r="C12372" t="s">
        <v>7</v>
      </c>
      <c r="D12372" t="s">
        <v>12</v>
      </c>
      <c r="E12372" t="s">
        <v>16755</v>
      </c>
      <c r="F12372" t="s">
        <v>17147</v>
      </c>
    </row>
    <row r="12373" spans="1:6" x14ac:dyDescent="0.25">
      <c r="A12373" t="str">
        <f>"6167205101"</f>
        <v>6167205101</v>
      </c>
      <c r="B12373" t="s">
        <v>17148</v>
      </c>
      <c r="C12373" t="s">
        <v>7</v>
      </c>
      <c r="D12373" t="s">
        <v>12</v>
      </c>
      <c r="E12373" t="s">
        <v>16755</v>
      </c>
      <c r="F12373" t="s">
        <v>17149</v>
      </c>
    </row>
    <row r="12374" spans="1:6" x14ac:dyDescent="0.25">
      <c r="A12374" t="str">
        <f>"6168023150"</f>
        <v>6168023150</v>
      </c>
      <c r="B12374" t="s">
        <v>17150</v>
      </c>
      <c r="C12374" t="s">
        <v>7</v>
      </c>
      <c r="D12374" t="s">
        <v>33</v>
      </c>
      <c r="E12374" t="s">
        <v>16755</v>
      </c>
      <c r="F12374" t="s">
        <v>17151</v>
      </c>
    </row>
    <row r="12375" spans="1:6" x14ac:dyDescent="0.25">
      <c r="A12375" t="str">
        <f>"616803355621"</f>
        <v>616803355621</v>
      </c>
      <c r="B12375" t="s">
        <v>17152</v>
      </c>
      <c r="C12375" t="s">
        <v>7</v>
      </c>
      <c r="D12375" t="s">
        <v>14</v>
      </c>
      <c r="E12375" t="s">
        <v>16755</v>
      </c>
    </row>
    <row r="12376" spans="1:6" x14ac:dyDescent="0.25">
      <c r="A12376" t="str">
        <f>"6168044619"</f>
        <v>6168044619</v>
      </c>
      <c r="B12376" t="s">
        <v>17153</v>
      </c>
      <c r="C12376" t="s">
        <v>7</v>
      </c>
      <c r="D12376" t="s">
        <v>33</v>
      </c>
      <c r="E12376" t="s">
        <v>16755</v>
      </c>
      <c r="F12376" t="s">
        <v>17154</v>
      </c>
    </row>
    <row r="12377" spans="1:6" x14ac:dyDescent="0.25">
      <c r="A12377" t="str">
        <f>"6168056100"</f>
        <v>6168056100</v>
      </c>
      <c r="B12377" t="s">
        <v>17155</v>
      </c>
      <c r="C12377" t="s">
        <v>7</v>
      </c>
      <c r="D12377" t="s">
        <v>33</v>
      </c>
      <c r="E12377" t="s">
        <v>16755</v>
      </c>
      <c r="F12377" t="s">
        <v>17156</v>
      </c>
    </row>
    <row r="12378" spans="1:6" x14ac:dyDescent="0.25">
      <c r="A12378" t="str">
        <f>"6168057431"</f>
        <v>6168057431</v>
      </c>
      <c r="B12378" t="s">
        <v>17157</v>
      </c>
      <c r="C12378" t="s">
        <v>7</v>
      </c>
      <c r="D12378" t="s">
        <v>14</v>
      </c>
      <c r="E12378" t="s">
        <v>16755</v>
      </c>
      <c r="F12378" t="s">
        <v>17158</v>
      </c>
    </row>
    <row r="12379" spans="1:6" x14ac:dyDescent="0.25">
      <c r="A12379" t="str">
        <f>"6168061950"</f>
        <v>6168061950</v>
      </c>
      <c r="B12379" t="s">
        <v>17159</v>
      </c>
      <c r="C12379" t="s">
        <v>7</v>
      </c>
      <c r="D12379" t="s">
        <v>14</v>
      </c>
      <c r="E12379" t="s">
        <v>16755</v>
      </c>
      <c r="F12379" t="s">
        <v>17160</v>
      </c>
    </row>
    <row r="12380" spans="1:6" x14ac:dyDescent="0.25">
      <c r="A12380" t="str">
        <f>"6168073955"</f>
        <v>6168073955</v>
      </c>
      <c r="B12380" t="s">
        <v>7880</v>
      </c>
      <c r="C12380" t="s">
        <v>7</v>
      </c>
      <c r="D12380" t="s">
        <v>33</v>
      </c>
      <c r="E12380" t="s">
        <v>16755</v>
      </c>
      <c r="F12380" t="s">
        <v>17161</v>
      </c>
    </row>
    <row r="12381" spans="1:6" x14ac:dyDescent="0.25">
      <c r="A12381" t="str">
        <f>"616811006511"</f>
        <v>616811006511</v>
      </c>
      <c r="B12381" t="s">
        <v>17162</v>
      </c>
      <c r="C12381" t="s">
        <v>7</v>
      </c>
      <c r="D12381" t="s">
        <v>12</v>
      </c>
      <c r="E12381" t="s">
        <v>16755</v>
      </c>
    </row>
    <row r="12382" spans="1:6" x14ac:dyDescent="0.25">
      <c r="A12382" t="str">
        <f>"6168110967"</f>
        <v>6168110967</v>
      </c>
      <c r="B12382" t="s">
        <v>17163</v>
      </c>
      <c r="C12382" t="s">
        <v>7</v>
      </c>
      <c r="D12382" t="s">
        <v>33</v>
      </c>
      <c r="E12382" t="s">
        <v>16755</v>
      </c>
      <c r="F12382" t="s">
        <v>17164</v>
      </c>
    </row>
    <row r="12383" spans="1:6" x14ac:dyDescent="0.25">
      <c r="A12383" t="str">
        <f>"6168115411"</f>
        <v>6168115411</v>
      </c>
      <c r="B12383" t="s">
        <v>17165</v>
      </c>
      <c r="C12383" t="s">
        <v>7</v>
      </c>
      <c r="D12383" t="s">
        <v>12</v>
      </c>
      <c r="E12383" t="s">
        <v>16755</v>
      </c>
      <c r="F12383" t="s">
        <v>17166</v>
      </c>
    </row>
    <row r="12384" spans="1:6" x14ac:dyDescent="0.25">
      <c r="A12384" t="str">
        <f>"6168119254"</f>
        <v>6168119254</v>
      </c>
      <c r="B12384" t="s">
        <v>510</v>
      </c>
      <c r="C12384" t="s">
        <v>7</v>
      </c>
      <c r="D12384" t="s">
        <v>33</v>
      </c>
      <c r="E12384" t="s">
        <v>16755</v>
      </c>
      <c r="F12384" t="s">
        <v>17167</v>
      </c>
    </row>
    <row r="12385" spans="1:6" x14ac:dyDescent="0.25">
      <c r="A12385" t="str">
        <f>"6168122296"</f>
        <v>6168122296</v>
      </c>
      <c r="B12385" t="s">
        <v>17168</v>
      </c>
      <c r="C12385" t="s">
        <v>7</v>
      </c>
      <c r="D12385" t="s">
        <v>33</v>
      </c>
      <c r="E12385" t="s">
        <v>16755</v>
      </c>
      <c r="F12385" t="s">
        <v>17169</v>
      </c>
    </row>
    <row r="12386" spans="1:6" x14ac:dyDescent="0.25">
      <c r="A12386" t="str">
        <f>"616822069640"</f>
        <v>616822069640</v>
      </c>
      <c r="B12386" t="s">
        <v>17170</v>
      </c>
      <c r="C12386" t="s">
        <v>7</v>
      </c>
      <c r="D12386" t="s">
        <v>14</v>
      </c>
      <c r="E12386" t="s">
        <v>16755</v>
      </c>
    </row>
    <row r="12387" spans="1:6" x14ac:dyDescent="0.25">
      <c r="A12387" t="str">
        <f>"616822531142"</f>
        <v>616822531142</v>
      </c>
      <c r="B12387" t="s">
        <v>17171</v>
      </c>
      <c r="C12387" t="s">
        <v>7</v>
      </c>
      <c r="D12387" t="s">
        <v>33</v>
      </c>
      <c r="E12387" t="s">
        <v>16755</v>
      </c>
    </row>
    <row r="12388" spans="1:6" x14ac:dyDescent="0.25">
      <c r="A12388" t="str">
        <f>"6168719741"</f>
        <v>6168719741</v>
      </c>
      <c r="B12388" t="s">
        <v>17172</v>
      </c>
      <c r="C12388" t="s">
        <v>7</v>
      </c>
      <c r="D12388" t="s">
        <v>33</v>
      </c>
      <c r="E12388" t="s">
        <v>16755</v>
      </c>
      <c r="F12388" t="s">
        <v>17173</v>
      </c>
    </row>
    <row r="12389" spans="1:6" x14ac:dyDescent="0.25">
      <c r="A12389" t="str">
        <f>"6164105187"</f>
        <v>6164105187</v>
      </c>
      <c r="B12389" t="s">
        <v>17174</v>
      </c>
      <c r="C12389" t="s">
        <v>7</v>
      </c>
      <c r="D12389" t="s">
        <v>674</v>
      </c>
      <c r="E12389" t="s">
        <v>16755</v>
      </c>
      <c r="F12389" t="s">
        <v>17175</v>
      </c>
    </row>
    <row r="12390" spans="1:6" x14ac:dyDescent="0.25">
      <c r="A12390" t="str">
        <f>"6164292385"</f>
        <v>6164292385</v>
      </c>
      <c r="B12390" t="s">
        <v>4057</v>
      </c>
      <c r="C12390" t="s">
        <v>7</v>
      </c>
      <c r="D12390" t="s">
        <v>12</v>
      </c>
      <c r="E12390" t="s">
        <v>16755</v>
      </c>
      <c r="F12390" t="s">
        <v>17176</v>
      </c>
    </row>
    <row r="12391" spans="1:6" x14ac:dyDescent="0.25">
      <c r="A12391" t="str">
        <f>"616501044877"</f>
        <v>616501044877</v>
      </c>
      <c r="B12391" t="s">
        <v>17177</v>
      </c>
      <c r="C12391" t="s">
        <v>7</v>
      </c>
      <c r="D12391" t="s">
        <v>14</v>
      </c>
      <c r="E12391" t="s">
        <v>16755</v>
      </c>
    </row>
    <row r="12392" spans="1:6" x14ac:dyDescent="0.25">
      <c r="A12392" t="str">
        <f>"616508449640"</f>
        <v>616508449640</v>
      </c>
      <c r="B12392" t="s">
        <v>17178</v>
      </c>
      <c r="C12392" t="s">
        <v>7</v>
      </c>
      <c r="D12392" t="s">
        <v>14</v>
      </c>
      <c r="E12392" t="s">
        <v>16755</v>
      </c>
    </row>
    <row r="12393" spans="1:6" x14ac:dyDescent="0.25">
      <c r="A12393" t="str">
        <f>"6165087759"</f>
        <v>6165087759</v>
      </c>
      <c r="B12393" t="s">
        <v>4176</v>
      </c>
      <c r="C12393" t="s">
        <v>7</v>
      </c>
      <c r="D12393" t="s">
        <v>14</v>
      </c>
      <c r="E12393" t="s">
        <v>16755</v>
      </c>
      <c r="F12393" t="s">
        <v>17179</v>
      </c>
    </row>
    <row r="12394" spans="1:6" x14ac:dyDescent="0.25">
      <c r="A12394" t="str">
        <f>"616508968420"</f>
        <v>616508968420</v>
      </c>
      <c r="B12394" t="s">
        <v>17180</v>
      </c>
      <c r="C12394" t="s">
        <v>7</v>
      </c>
      <c r="D12394" t="s">
        <v>12</v>
      </c>
      <c r="E12394" t="s">
        <v>16755</v>
      </c>
    </row>
    <row r="12395" spans="1:6" x14ac:dyDescent="0.25">
      <c r="A12395" t="str">
        <f>"616510924740"</f>
        <v>616510924740</v>
      </c>
      <c r="B12395" t="s">
        <v>17181</v>
      </c>
      <c r="C12395" t="s">
        <v>7</v>
      </c>
      <c r="D12395" t="s">
        <v>33</v>
      </c>
      <c r="E12395" t="s">
        <v>16755</v>
      </c>
    </row>
    <row r="12396" spans="1:6" x14ac:dyDescent="0.25">
      <c r="A12396" t="str">
        <f>"6165122146"</f>
        <v>6165122146</v>
      </c>
      <c r="B12396" t="s">
        <v>17182</v>
      </c>
      <c r="C12396" t="s">
        <v>7</v>
      </c>
      <c r="D12396" t="s">
        <v>14</v>
      </c>
      <c r="E12396" t="s">
        <v>16755</v>
      </c>
      <c r="F12396" t="s">
        <v>17183</v>
      </c>
    </row>
    <row r="12397" spans="1:6" x14ac:dyDescent="0.25">
      <c r="A12397" t="str">
        <f>"6165126510"</f>
        <v>6165126510</v>
      </c>
      <c r="B12397" t="s">
        <v>17184</v>
      </c>
      <c r="C12397" t="s">
        <v>7</v>
      </c>
      <c r="D12397" t="s">
        <v>98</v>
      </c>
      <c r="E12397" t="s">
        <v>16755</v>
      </c>
      <c r="F12397" t="s">
        <v>17185</v>
      </c>
    </row>
    <row r="12398" spans="1:6" x14ac:dyDescent="0.25">
      <c r="A12398" t="str">
        <f>"6165134656"</f>
        <v>6165134656</v>
      </c>
      <c r="B12398" t="s">
        <v>17186</v>
      </c>
      <c r="C12398" t="s">
        <v>7</v>
      </c>
      <c r="D12398" t="s">
        <v>1430</v>
      </c>
      <c r="E12398" t="s">
        <v>16755</v>
      </c>
      <c r="F12398" t="s">
        <v>17187</v>
      </c>
    </row>
    <row r="12399" spans="1:6" x14ac:dyDescent="0.25">
      <c r="A12399" t="str">
        <f>"6165138530"</f>
        <v>6165138530</v>
      </c>
      <c r="B12399" t="s">
        <v>17188</v>
      </c>
      <c r="C12399" t="s">
        <v>7</v>
      </c>
      <c r="D12399" t="s">
        <v>14</v>
      </c>
      <c r="E12399" t="s">
        <v>16755</v>
      </c>
      <c r="F12399" t="s">
        <v>17183</v>
      </c>
    </row>
    <row r="12400" spans="1:6" x14ac:dyDescent="0.25">
      <c r="A12400" t="str">
        <f>"6165168013"</f>
        <v>6165168013</v>
      </c>
      <c r="B12400" t="s">
        <v>17189</v>
      </c>
      <c r="C12400" t="s">
        <v>7</v>
      </c>
      <c r="D12400" t="s">
        <v>33</v>
      </c>
      <c r="E12400" t="s">
        <v>16755</v>
      </c>
      <c r="F12400" t="s">
        <v>17190</v>
      </c>
    </row>
    <row r="12401" spans="1:6" x14ac:dyDescent="0.25">
      <c r="A12401" t="str">
        <f>"6165182032"</f>
        <v>6165182032</v>
      </c>
      <c r="B12401" t="s">
        <v>17191</v>
      </c>
      <c r="C12401" t="s">
        <v>7</v>
      </c>
      <c r="D12401" t="s">
        <v>12</v>
      </c>
      <c r="E12401" t="s">
        <v>16755</v>
      </c>
      <c r="F12401" t="s">
        <v>17192</v>
      </c>
    </row>
    <row r="12402" spans="1:6" x14ac:dyDescent="0.25">
      <c r="A12402" t="str">
        <f>"6165189214"</f>
        <v>6165189214</v>
      </c>
      <c r="B12402" t="s">
        <v>17193</v>
      </c>
      <c r="C12402" t="s">
        <v>7</v>
      </c>
      <c r="D12402" t="s">
        <v>674</v>
      </c>
      <c r="E12402" t="s">
        <v>16755</v>
      </c>
      <c r="F12402" t="s">
        <v>17194</v>
      </c>
    </row>
    <row r="12403" spans="1:6" x14ac:dyDescent="0.25">
      <c r="A12403" t="str">
        <f>"6165198956"</f>
        <v>6165198956</v>
      </c>
      <c r="B12403" t="s">
        <v>17195</v>
      </c>
      <c r="C12403" t="s">
        <v>7</v>
      </c>
      <c r="D12403" t="s">
        <v>12</v>
      </c>
      <c r="E12403" t="s">
        <v>16755</v>
      </c>
      <c r="F12403" t="s">
        <v>17196</v>
      </c>
    </row>
    <row r="12404" spans="1:6" x14ac:dyDescent="0.25">
      <c r="A12404" t="str">
        <f>"6165214090"</f>
        <v>6165214090</v>
      </c>
      <c r="B12404" t="s">
        <v>17197</v>
      </c>
      <c r="C12404" t="s">
        <v>7</v>
      </c>
      <c r="D12404" t="s">
        <v>460</v>
      </c>
      <c r="E12404" t="s">
        <v>16755</v>
      </c>
      <c r="F12404" t="s">
        <v>17198</v>
      </c>
    </row>
    <row r="12405" spans="1:6" x14ac:dyDescent="0.25">
      <c r="A12405" t="str">
        <f>"6165221683"</f>
        <v>6165221683</v>
      </c>
      <c r="B12405" t="s">
        <v>17199</v>
      </c>
      <c r="C12405" t="s">
        <v>7</v>
      </c>
      <c r="D12405" t="s">
        <v>33</v>
      </c>
      <c r="E12405" t="s">
        <v>16755</v>
      </c>
      <c r="F12405" t="s">
        <v>17200</v>
      </c>
    </row>
    <row r="12406" spans="1:6" x14ac:dyDescent="0.25">
      <c r="A12406" t="str">
        <f>"6165222870"</f>
        <v>6165222870</v>
      </c>
      <c r="B12406" t="s">
        <v>17201</v>
      </c>
      <c r="C12406" t="s">
        <v>7</v>
      </c>
      <c r="D12406" t="s">
        <v>33</v>
      </c>
      <c r="E12406" t="s">
        <v>16755</v>
      </c>
      <c r="F12406" t="s">
        <v>17202</v>
      </c>
    </row>
    <row r="12407" spans="1:6" x14ac:dyDescent="0.25">
      <c r="A12407" t="str">
        <f>"6165236658"</f>
        <v>6165236658</v>
      </c>
      <c r="B12407" t="s">
        <v>17203</v>
      </c>
      <c r="C12407" t="s">
        <v>7</v>
      </c>
      <c r="D12407" t="s">
        <v>33</v>
      </c>
      <c r="E12407" t="s">
        <v>16755</v>
      </c>
      <c r="F12407" t="s">
        <v>17204</v>
      </c>
    </row>
    <row r="12408" spans="1:6" x14ac:dyDescent="0.25">
      <c r="A12408" t="str">
        <f>"616600352400"</f>
        <v>616600352400</v>
      </c>
      <c r="B12408" t="s">
        <v>17205</v>
      </c>
      <c r="C12408" t="s">
        <v>7</v>
      </c>
      <c r="D12408" t="s">
        <v>14</v>
      </c>
      <c r="E12408" t="s">
        <v>16755</v>
      </c>
    </row>
    <row r="12409" spans="1:6" x14ac:dyDescent="0.25">
      <c r="A12409" t="str">
        <f>"616600462106"</f>
        <v>616600462106</v>
      </c>
      <c r="B12409" t="s">
        <v>17206</v>
      </c>
      <c r="C12409" t="s">
        <v>7</v>
      </c>
      <c r="D12409" t="s">
        <v>14</v>
      </c>
      <c r="E12409" t="s">
        <v>16755</v>
      </c>
    </row>
    <row r="12410" spans="1:6" x14ac:dyDescent="0.25">
      <c r="A12410" t="str">
        <f>"616601368650"</f>
        <v>616601368650</v>
      </c>
      <c r="B12410" t="s">
        <v>17207</v>
      </c>
      <c r="C12410" t="s">
        <v>7</v>
      </c>
      <c r="D12410" t="s">
        <v>14</v>
      </c>
      <c r="E12410" t="s">
        <v>16755</v>
      </c>
    </row>
    <row r="12411" spans="1:6" x14ac:dyDescent="0.25">
      <c r="A12411" t="str">
        <f>"6166032897"</f>
        <v>6166032897</v>
      </c>
      <c r="B12411" t="s">
        <v>17208</v>
      </c>
      <c r="C12411" t="s">
        <v>7</v>
      </c>
      <c r="D12411" t="s">
        <v>14</v>
      </c>
      <c r="E12411" t="s">
        <v>16755</v>
      </c>
      <c r="F12411" t="s">
        <v>17114</v>
      </c>
    </row>
    <row r="12412" spans="1:6" x14ac:dyDescent="0.25">
      <c r="A12412" t="str">
        <f>"6166103185"</f>
        <v>6166103185</v>
      </c>
      <c r="B12412" t="s">
        <v>17209</v>
      </c>
      <c r="C12412" t="s">
        <v>7</v>
      </c>
      <c r="D12412" t="s">
        <v>14</v>
      </c>
      <c r="E12412" t="s">
        <v>16755</v>
      </c>
      <c r="F12412" t="s">
        <v>17210</v>
      </c>
    </row>
    <row r="12413" spans="1:6" x14ac:dyDescent="0.25">
      <c r="A12413" t="str">
        <f>"616703263504"</f>
        <v>616703263504</v>
      </c>
      <c r="B12413" t="s">
        <v>17211</v>
      </c>
      <c r="C12413" t="s">
        <v>7</v>
      </c>
      <c r="D12413" t="s">
        <v>14</v>
      </c>
      <c r="E12413" t="s">
        <v>16755</v>
      </c>
    </row>
    <row r="12414" spans="1:6" x14ac:dyDescent="0.25">
      <c r="A12414" t="str">
        <f>"616705462431"</f>
        <v>616705462431</v>
      </c>
      <c r="B12414" t="s">
        <v>17212</v>
      </c>
      <c r="C12414" t="s">
        <v>7</v>
      </c>
      <c r="D12414" t="s">
        <v>12</v>
      </c>
      <c r="E12414" t="s">
        <v>16755</v>
      </c>
    </row>
    <row r="12415" spans="1:6" x14ac:dyDescent="0.25">
      <c r="A12415" t="str">
        <f>"616706419622"</f>
        <v>616706419622</v>
      </c>
      <c r="B12415" t="s">
        <v>17213</v>
      </c>
      <c r="C12415" t="s">
        <v>7</v>
      </c>
      <c r="D12415" t="s">
        <v>98</v>
      </c>
      <c r="E12415" t="s">
        <v>16755</v>
      </c>
    </row>
    <row r="12416" spans="1:6" x14ac:dyDescent="0.25">
      <c r="A12416" t="str">
        <f>"616706453711"</f>
        <v>616706453711</v>
      </c>
      <c r="B12416" t="s">
        <v>17214</v>
      </c>
      <c r="C12416" t="s">
        <v>7</v>
      </c>
      <c r="D12416" t="s">
        <v>12</v>
      </c>
      <c r="E12416" t="s">
        <v>16755</v>
      </c>
    </row>
    <row r="12417" spans="1:6" x14ac:dyDescent="0.25">
      <c r="A12417" t="str">
        <f>"6167077308"</f>
        <v>6167077308</v>
      </c>
      <c r="B12417" t="s">
        <v>17215</v>
      </c>
      <c r="C12417" t="s">
        <v>7</v>
      </c>
      <c r="D12417" t="s">
        <v>8</v>
      </c>
      <c r="E12417" t="s">
        <v>16755</v>
      </c>
      <c r="F12417" t="s">
        <v>17216</v>
      </c>
    </row>
    <row r="12418" spans="1:6" x14ac:dyDescent="0.25">
      <c r="A12418" t="str">
        <f>"6167135373"</f>
        <v>6167135373</v>
      </c>
      <c r="B12418" t="s">
        <v>17217</v>
      </c>
      <c r="C12418" t="s">
        <v>7</v>
      </c>
      <c r="D12418" t="s">
        <v>12</v>
      </c>
      <c r="E12418" t="s">
        <v>16755</v>
      </c>
      <c r="F12418" t="s">
        <v>17218</v>
      </c>
    </row>
    <row r="12419" spans="1:6" x14ac:dyDescent="0.25">
      <c r="A12419" t="str">
        <f>"6167206264"</f>
        <v>6167206264</v>
      </c>
      <c r="B12419" t="s">
        <v>17219</v>
      </c>
      <c r="C12419" t="s">
        <v>7</v>
      </c>
      <c r="D12419" t="s">
        <v>189</v>
      </c>
      <c r="E12419" t="s">
        <v>16755</v>
      </c>
      <c r="F12419" t="s">
        <v>17220</v>
      </c>
    </row>
    <row r="12420" spans="1:6" x14ac:dyDescent="0.25">
      <c r="A12420" t="str">
        <f>"616800085720"</f>
        <v>616800085720</v>
      </c>
      <c r="B12420" t="s">
        <v>17221</v>
      </c>
      <c r="C12420" t="s">
        <v>7</v>
      </c>
      <c r="D12420" t="s">
        <v>33</v>
      </c>
      <c r="E12420" t="s">
        <v>16755</v>
      </c>
    </row>
    <row r="12421" spans="1:6" x14ac:dyDescent="0.25">
      <c r="A12421" t="str">
        <f>"6168024651"</f>
        <v>6168024651</v>
      </c>
      <c r="B12421" t="s">
        <v>17222</v>
      </c>
      <c r="C12421" t="s">
        <v>7</v>
      </c>
      <c r="D12421" t="s">
        <v>14</v>
      </c>
      <c r="E12421" t="s">
        <v>16755</v>
      </c>
      <c r="F12421" t="s">
        <v>17223</v>
      </c>
    </row>
    <row r="12422" spans="1:6" x14ac:dyDescent="0.25">
      <c r="A12422" t="str">
        <f>"616803905561"</f>
        <v>616803905561</v>
      </c>
      <c r="B12422" t="s">
        <v>17224</v>
      </c>
      <c r="C12422" t="s">
        <v>7</v>
      </c>
      <c r="D12422" t="s">
        <v>14</v>
      </c>
      <c r="E12422" t="s">
        <v>16755</v>
      </c>
    </row>
    <row r="12423" spans="1:6" x14ac:dyDescent="0.25">
      <c r="A12423" t="str">
        <f>"6168041495"</f>
        <v>6168041495</v>
      </c>
      <c r="B12423" t="s">
        <v>17225</v>
      </c>
      <c r="C12423" t="s">
        <v>7</v>
      </c>
      <c r="D12423" t="s">
        <v>1430</v>
      </c>
      <c r="E12423" t="s">
        <v>16755</v>
      </c>
      <c r="F12423" t="s">
        <v>17226</v>
      </c>
    </row>
    <row r="12424" spans="1:6" x14ac:dyDescent="0.25">
      <c r="A12424" t="str">
        <f>"6168043686"</f>
        <v>6168043686</v>
      </c>
      <c r="B12424" t="s">
        <v>17227</v>
      </c>
      <c r="C12424" t="s">
        <v>7</v>
      </c>
      <c r="D12424" t="s">
        <v>12</v>
      </c>
      <c r="E12424" t="s">
        <v>16755</v>
      </c>
      <c r="F12424" t="s">
        <v>17228</v>
      </c>
    </row>
    <row r="12425" spans="1:6" x14ac:dyDescent="0.25">
      <c r="A12425" t="str">
        <f>"6168047426"</f>
        <v>6168047426</v>
      </c>
      <c r="B12425" t="s">
        <v>13773</v>
      </c>
      <c r="C12425" t="s">
        <v>7</v>
      </c>
      <c r="D12425" t="s">
        <v>12</v>
      </c>
      <c r="E12425" t="s">
        <v>16755</v>
      </c>
      <c r="F12425" t="s">
        <v>17229</v>
      </c>
    </row>
    <row r="12426" spans="1:6" x14ac:dyDescent="0.25">
      <c r="A12426" t="str">
        <f>"6168064446"</f>
        <v>6168064446</v>
      </c>
      <c r="B12426" t="s">
        <v>17230</v>
      </c>
      <c r="C12426" t="s">
        <v>7</v>
      </c>
      <c r="D12426" t="s">
        <v>12</v>
      </c>
      <c r="E12426" t="s">
        <v>16755</v>
      </c>
      <c r="F12426" t="s">
        <v>17231</v>
      </c>
    </row>
    <row r="12427" spans="1:6" x14ac:dyDescent="0.25">
      <c r="A12427" t="str">
        <f>"6168067140"</f>
        <v>6168067140</v>
      </c>
      <c r="B12427" t="s">
        <v>17232</v>
      </c>
      <c r="C12427" t="s">
        <v>7</v>
      </c>
      <c r="D12427" t="s">
        <v>463</v>
      </c>
      <c r="E12427" t="s">
        <v>16755</v>
      </c>
      <c r="F12427" t="s">
        <v>17233</v>
      </c>
    </row>
    <row r="12428" spans="1:6" x14ac:dyDescent="0.25">
      <c r="A12428" t="str">
        <f>"6168088366"</f>
        <v>6168088366</v>
      </c>
      <c r="B12428" t="s">
        <v>17234</v>
      </c>
      <c r="C12428" t="s">
        <v>7</v>
      </c>
      <c r="D12428" t="s">
        <v>12</v>
      </c>
      <c r="E12428" t="s">
        <v>16755</v>
      </c>
      <c r="F12428" t="s">
        <v>17235</v>
      </c>
    </row>
    <row r="12429" spans="1:6" x14ac:dyDescent="0.25">
      <c r="A12429" t="str">
        <f>"6168089377"</f>
        <v>6168089377</v>
      </c>
      <c r="B12429" t="s">
        <v>17236</v>
      </c>
      <c r="C12429" t="s">
        <v>7</v>
      </c>
      <c r="D12429" t="s">
        <v>8</v>
      </c>
      <c r="E12429" t="s">
        <v>16755</v>
      </c>
      <c r="F12429" t="s">
        <v>17237</v>
      </c>
    </row>
    <row r="12430" spans="1:6" x14ac:dyDescent="0.25">
      <c r="A12430" t="str">
        <f>"6168112629"</f>
        <v>6168112629</v>
      </c>
      <c r="B12430" t="s">
        <v>17238</v>
      </c>
      <c r="C12430" t="s">
        <v>7</v>
      </c>
      <c r="D12430" t="s">
        <v>33</v>
      </c>
      <c r="E12430" t="s">
        <v>16755</v>
      </c>
      <c r="F12430" t="s">
        <v>17239</v>
      </c>
    </row>
    <row r="12431" spans="1:6" x14ac:dyDescent="0.25">
      <c r="A12431" t="str">
        <f>"6168114898"</f>
        <v>6168114898</v>
      </c>
      <c r="B12431" t="s">
        <v>17240</v>
      </c>
      <c r="C12431" t="s">
        <v>7</v>
      </c>
      <c r="D12431" t="s">
        <v>33</v>
      </c>
      <c r="E12431" t="s">
        <v>16755</v>
      </c>
      <c r="F12431" t="s">
        <v>17241</v>
      </c>
    </row>
    <row r="12432" spans="1:6" x14ac:dyDescent="0.25">
      <c r="A12432" t="str">
        <f>"6168117793"</f>
        <v>6168117793</v>
      </c>
      <c r="B12432" t="s">
        <v>17242</v>
      </c>
      <c r="C12432" t="s">
        <v>7</v>
      </c>
      <c r="D12432" t="s">
        <v>33</v>
      </c>
      <c r="E12432" t="s">
        <v>16755</v>
      </c>
      <c r="F12432" t="s">
        <v>17243</v>
      </c>
    </row>
    <row r="12433" spans="1:6" x14ac:dyDescent="0.25">
      <c r="A12433" t="str">
        <f>"6168118331"</f>
        <v>6168118331</v>
      </c>
      <c r="B12433" t="s">
        <v>17244</v>
      </c>
      <c r="C12433" t="s">
        <v>7</v>
      </c>
      <c r="D12433" t="s">
        <v>98</v>
      </c>
      <c r="E12433" t="s">
        <v>16755</v>
      </c>
      <c r="F12433" t="s">
        <v>17245</v>
      </c>
    </row>
    <row r="12434" spans="1:6" x14ac:dyDescent="0.25">
      <c r="A12434" t="str">
        <f>"6168121704"</f>
        <v>6168121704</v>
      </c>
      <c r="B12434" t="s">
        <v>10343</v>
      </c>
      <c r="C12434" t="s">
        <v>7</v>
      </c>
      <c r="D12434" t="s">
        <v>33</v>
      </c>
      <c r="E12434" t="s">
        <v>16755</v>
      </c>
      <c r="F12434" t="s">
        <v>17246</v>
      </c>
    </row>
    <row r="12435" spans="1:6" x14ac:dyDescent="0.25">
      <c r="A12435" t="str">
        <f>"616852610578"</f>
        <v>616852610578</v>
      </c>
      <c r="B12435" t="s">
        <v>17247</v>
      </c>
      <c r="C12435" t="s">
        <v>7</v>
      </c>
      <c r="D12435" t="s">
        <v>12</v>
      </c>
      <c r="E12435" t="s">
        <v>16755</v>
      </c>
    </row>
    <row r="12436" spans="1:6" x14ac:dyDescent="0.25">
      <c r="A12436" t="str">
        <f>"773000771605"</f>
        <v>773000771605</v>
      </c>
      <c r="B12436" t="s">
        <v>17248</v>
      </c>
      <c r="C12436" t="s">
        <v>7</v>
      </c>
      <c r="D12436" t="s">
        <v>14</v>
      </c>
      <c r="E12436" t="s">
        <v>16755</v>
      </c>
    </row>
    <row r="12437" spans="1:6" x14ac:dyDescent="0.25">
      <c r="A12437" t="str">
        <f>"6164262285"</f>
        <v>6164262285</v>
      </c>
      <c r="B12437" t="s">
        <v>17249</v>
      </c>
      <c r="C12437" t="s">
        <v>7</v>
      </c>
      <c r="D12437" t="s">
        <v>12</v>
      </c>
      <c r="E12437" t="s">
        <v>16755</v>
      </c>
      <c r="F12437" t="s">
        <v>17250</v>
      </c>
    </row>
    <row r="12438" spans="1:6" x14ac:dyDescent="0.25">
      <c r="A12438" t="str">
        <f>"6164280862"</f>
        <v>6164280862</v>
      </c>
      <c r="B12438" t="s">
        <v>17251</v>
      </c>
      <c r="C12438" t="s">
        <v>7</v>
      </c>
      <c r="D12438" t="s">
        <v>674</v>
      </c>
      <c r="E12438" t="s">
        <v>16755</v>
      </c>
      <c r="F12438" t="s">
        <v>17252</v>
      </c>
    </row>
    <row r="12439" spans="1:6" x14ac:dyDescent="0.25">
      <c r="A12439" t="str">
        <f>"616501609647"</f>
        <v>616501609647</v>
      </c>
      <c r="B12439" t="s">
        <v>17253</v>
      </c>
      <c r="C12439" t="s">
        <v>7</v>
      </c>
      <c r="D12439" t="s">
        <v>14</v>
      </c>
      <c r="E12439" t="s">
        <v>16755</v>
      </c>
    </row>
    <row r="12440" spans="1:6" x14ac:dyDescent="0.25">
      <c r="A12440" t="str">
        <f>"616504125620"</f>
        <v>616504125620</v>
      </c>
      <c r="B12440" t="s">
        <v>17254</v>
      </c>
      <c r="C12440" t="s">
        <v>7</v>
      </c>
      <c r="D12440" t="s">
        <v>14</v>
      </c>
      <c r="E12440" t="s">
        <v>16755</v>
      </c>
    </row>
    <row r="12441" spans="1:6" x14ac:dyDescent="0.25">
      <c r="A12441" t="str">
        <f>"616511668708"</f>
        <v>616511668708</v>
      </c>
      <c r="B12441" t="s">
        <v>17255</v>
      </c>
      <c r="C12441" t="s">
        <v>7</v>
      </c>
      <c r="D12441" t="s">
        <v>14</v>
      </c>
      <c r="E12441" t="s">
        <v>16755</v>
      </c>
    </row>
    <row r="12442" spans="1:6" x14ac:dyDescent="0.25">
      <c r="A12442" t="str">
        <f>"6165130179"</f>
        <v>6165130179</v>
      </c>
      <c r="B12442" t="s">
        <v>17256</v>
      </c>
      <c r="C12442" t="s">
        <v>7</v>
      </c>
      <c r="D12442" t="s">
        <v>33</v>
      </c>
      <c r="E12442" t="s">
        <v>16755</v>
      </c>
      <c r="F12442" t="s">
        <v>17257</v>
      </c>
    </row>
    <row r="12443" spans="1:6" x14ac:dyDescent="0.25">
      <c r="A12443" t="str">
        <f>"6165215538"</f>
        <v>6165215538</v>
      </c>
      <c r="B12443" t="s">
        <v>17258</v>
      </c>
      <c r="C12443" t="s">
        <v>7</v>
      </c>
      <c r="D12443" t="s">
        <v>146</v>
      </c>
      <c r="E12443" t="s">
        <v>16755</v>
      </c>
      <c r="F12443" t="s">
        <v>17259</v>
      </c>
    </row>
    <row r="12444" spans="1:6" x14ac:dyDescent="0.25">
      <c r="A12444" t="str">
        <f>"616600673869"</f>
        <v>616600673869</v>
      </c>
      <c r="B12444" t="s">
        <v>17260</v>
      </c>
      <c r="C12444" t="s">
        <v>7</v>
      </c>
      <c r="D12444" t="s">
        <v>14</v>
      </c>
      <c r="E12444" t="s">
        <v>16755</v>
      </c>
    </row>
    <row r="12445" spans="1:6" x14ac:dyDescent="0.25">
      <c r="A12445" t="str">
        <f>"616603630253"</f>
        <v>616603630253</v>
      </c>
      <c r="B12445" t="s">
        <v>17261</v>
      </c>
      <c r="C12445" t="s">
        <v>7</v>
      </c>
      <c r="D12445" t="s">
        <v>14</v>
      </c>
      <c r="E12445" t="s">
        <v>16755</v>
      </c>
    </row>
    <row r="12446" spans="1:6" x14ac:dyDescent="0.25">
      <c r="A12446" t="str">
        <f>"6166048181"</f>
        <v>6166048181</v>
      </c>
      <c r="B12446" t="s">
        <v>17262</v>
      </c>
      <c r="C12446" t="s">
        <v>7</v>
      </c>
      <c r="D12446" t="s">
        <v>12</v>
      </c>
      <c r="E12446" t="s">
        <v>16755</v>
      </c>
      <c r="F12446" t="s">
        <v>17263</v>
      </c>
    </row>
    <row r="12447" spans="1:6" x14ac:dyDescent="0.25">
      <c r="A12447" t="str">
        <f>"6166059031"</f>
        <v>6166059031</v>
      </c>
      <c r="B12447" t="s">
        <v>17264</v>
      </c>
      <c r="C12447" t="s">
        <v>7</v>
      </c>
      <c r="D12447" t="s">
        <v>12</v>
      </c>
      <c r="E12447" t="s">
        <v>16755</v>
      </c>
      <c r="F12447" t="s">
        <v>17265</v>
      </c>
    </row>
    <row r="12448" spans="1:6" x14ac:dyDescent="0.25">
      <c r="A12448" t="str">
        <f>"616608926399"</f>
        <v>616608926399</v>
      </c>
      <c r="B12448" t="s">
        <v>17266</v>
      </c>
      <c r="C12448" t="s">
        <v>7</v>
      </c>
      <c r="D12448" t="s">
        <v>14</v>
      </c>
      <c r="E12448" t="s">
        <v>16755</v>
      </c>
    </row>
    <row r="12449" spans="1:6" x14ac:dyDescent="0.25">
      <c r="A12449" t="str">
        <f>"616609289103"</f>
        <v>616609289103</v>
      </c>
      <c r="B12449" t="s">
        <v>17267</v>
      </c>
      <c r="C12449" t="s">
        <v>7</v>
      </c>
      <c r="D12449" t="s">
        <v>14</v>
      </c>
      <c r="E12449" t="s">
        <v>16755</v>
      </c>
    </row>
    <row r="12450" spans="1:6" x14ac:dyDescent="0.25">
      <c r="A12450" t="str">
        <f>"616609949053"</f>
        <v>616609949053</v>
      </c>
      <c r="B12450" t="s">
        <v>17268</v>
      </c>
      <c r="C12450" t="s">
        <v>7</v>
      </c>
      <c r="D12450" t="s">
        <v>14</v>
      </c>
      <c r="E12450" t="s">
        <v>16755</v>
      </c>
    </row>
    <row r="12451" spans="1:6" x14ac:dyDescent="0.25">
      <c r="A12451" t="str">
        <f>"6166099965"</f>
        <v>6166099965</v>
      </c>
      <c r="B12451" t="s">
        <v>17269</v>
      </c>
      <c r="C12451" t="s">
        <v>7</v>
      </c>
      <c r="D12451" t="s">
        <v>189</v>
      </c>
      <c r="E12451" t="s">
        <v>16755</v>
      </c>
      <c r="F12451" t="s">
        <v>17270</v>
      </c>
    </row>
    <row r="12452" spans="1:6" x14ac:dyDescent="0.25">
      <c r="A12452" t="str">
        <f>"6166106404"</f>
        <v>6166106404</v>
      </c>
      <c r="B12452" t="s">
        <v>17271</v>
      </c>
      <c r="C12452" t="s">
        <v>7</v>
      </c>
      <c r="D12452" t="s">
        <v>189</v>
      </c>
      <c r="E12452" t="s">
        <v>16755</v>
      </c>
      <c r="F12452" t="s">
        <v>17272</v>
      </c>
    </row>
    <row r="12453" spans="1:6" x14ac:dyDescent="0.25">
      <c r="A12453" t="str">
        <f>"6166107327"</f>
        <v>6166107327</v>
      </c>
      <c r="B12453" t="s">
        <v>17273</v>
      </c>
      <c r="C12453" t="s">
        <v>7</v>
      </c>
      <c r="D12453" t="s">
        <v>33</v>
      </c>
      <c r="E12453" t="s">
        <v>16755</v>
      </c>
      <c r="F12453" t="s">
        <v>17274</v>
      </c>
    </row>
    <row r="12454" spans="1:6" x14ac:dyDescent="0.25">
      <c r="A12454" t="str">
        <f>"616611259547"</f>
        <v>616611259547</v>
      </c>
      <c r="B12454" t="s">
        <v>17275</v>
      </c>
      <c r="C12454" t="s">
        <v>7</v>
      </c>
      <c r="D12454" t="s">
        <v>14</v>
      </c>
      <c r="E12454" t="s">
        <v>16755</v>
      </c>
    </row>
    <row r="12455" spans="1:6" x14ac:dyDescent="0.25">
      <c r="A12455" t="str">
        <f>"616612058402"</f>
        <v>616612058402</v>
      </c>
      <c r="B12455" t="s">
        <v>17276</v>
      </c>
      <c r="C12455" t="s">
        <v>7</v>
      </c>
      <c r="D12455" t="s">
        <v>14</v>
      </c>
      <c r="E12455" t="s">
        <v>16755</v>
      </c>
    </row>
    <row r="12456" spans="1:6" x14ac:dyDescent="0.25">
      <c r="A12456" t="str">
        <f>"6166125647"</f>
        <v>6166125647</v>
      </c>
      <c r="B12456" t="s">
        <v>17277</v>
      </c>
      <c r="C12456" t="s">
        <v>7</v>
      </c>
      <c r="D12456" t="s">
        <v>33</v>
      </c>
      <c r="E12456" t="s">
        <v>16755</v>
      </c>
      <c r="F12456" t="s">
        <v>17278</v>
      </c>
    </row>
    <row r="12457" spans="1:6" x14ac:dyDescent="0.25">
      <c r="A12457" t="str">
        <f>"6167008336"</f>
        <v>6167008336</v>
      </c>
      <c r="B12457" t="s">
        <v>17279</v>
      </c>
      <c r="C12457" t="s">
        <v>7</v>
      </c>
      <c r="D12457" t="s">
        <v>98</v>
      </c>
      <c r="E12457" t="s">
        <v>16755</v>
      </c>
      <c r="F12457" t="s">
        <v>17280</v>
      </c>
    </row>
    <row r="12458" spans="1:6" x14ac:dyDescent="0.25">
      <c r="A12458" t="str">
        <f>"616702424533"</f>
        <v>616702424533</v>
      </c>
      <c r="B12458" t="s">
        <v>17281</v>
      </c>
      <c r="C12458" t="s">
        <v>7</v>
      </c>
      <c r="D12458" t="s">
        <v>14</v>
      </c>
      <c r="E12458" t="s">
        <v>16755</v>
      </c>
    </row>
    <row r="12459" spans="1:6" x14ac:dyDescent="0.25">
      <c r="A12459" t="str">
        <f>"616706286330"</f>
        <v>616706286330</v>
      </c>
      <c r="B12459" t="s">
        <v>17282</v>
      </c>
      <c r="C12459" t="s">
        <v>7</v>
      </c>
      <c r="D12459" t="s">
        <v>12</v>
      </c>
      <c r="E12459" t="s">
        <v>16755</v>
      </c>
    </row>
    <row r="12460" spans="1:6" x14ac:dyDescent="0.25">
      <c r="A12460" t="str">
        <f>"6167097664"</f>
        <v>6167097664</v>
      </c>
      <c r="B12460" t="s">
        <v>17283</v>
      </c>
      <c r="C12460" t="s">
        <v>7</v>
      </c>
      <c r="D12460" t="s">
        <v>33</v>
      </c>
      <c r="E12460" t="s">
        <v>16755</v>
      </c>
      <c r="F12460" t="s">
        <v>17284</v>
      </c>
    </row>
    <row r="12461" spans="1:6" x14ac:dyDescent="0.25">
      <c r="A12461" t="str">
        <f>"6167106622"</f>
        <v>6167106622</v>
      </c>
      <c r="B12461" t="s">
        <v>17285</v>
      </c>
      <c r="C12461" t="s">
        <v>7</v>
      </c>
      <c r="D12461" t="s">
        <v>33</v>
      </c>
      <c r="E12461" t="s">
        <v>16755</v>
      </c>
      <c r="F12461" t="s">
        <v>17286</v>
      </c>
    </row>
    <row r="12462" spans="1:6" x14ac:dyDescent="0.25">
      <c r="A12462" t="str">
        <f>"6167108531"</f>
        <v>6167108531</v>
      </c>
      <c r="B12462" t="s">
        <v>17287</v>
      </c>
      <c r="C12462" t="s">
        <v>7</v>
      </c>
      <c r="D12462" t="s">
        <v>33</v>
      </c>
      <c r="E12462" t="s">
        <v>16755</v>
      </c>
      <c r="F12462" t="s">
        <v>17288</v>
      </c>
    </row>
    <row r="12463" spans="1:6" x14ac:dyDescent="0.25">
      <c r="A12463" t="str">
        <f>"6167137363"</f>
        <v>6167137363</v>
      </c>
      <c r="B12463" t="s">
        <v>17289</v>
      </c>
      <c r="C12463" t="s">
        <v>7</v>
      </c>
      <c r="D12463" t="s">
        <v>14</v>
      </c>
      <c r="E12463" t="s">
        <v>16755</v>
      </c>
      <c r="F12463" t="s">
        <v>17290</v>
      </c>
    </row>
    <row r="12464" spans="1:6" x14ac:dyDescent="0.25">
      <c r="A12464" t="str">
        <f>"6167202118"</f>
        <v>6167202118</v>
      </c>
      <c r="B12464" t="s">
        <v>1516</v>
      </c>
      <c r="C12464" t="s">
        <v>7</v>
      </c>
      <c r="D12464" t="s">
        <v>8</v>
      </c>
      <c r="E12464" t="s">
        <v>16755</v>
      </c>
      <c r="F12464" t="s">
        <v>17291</v>
      </c>
    </row>
    <row r="12465" spans="1:6" x14ac:dyDescent="0.25">
      <c r="A12465" t="str">
        <f>"6167202990"</f>
        <v>6167202990</v>
      </c>
      <c r="B12465" t="s">
        <v>17292</v>
      </c>
      <c r="C12465" t="s">
        <v>7</v>
      </c>
      <c r="D12465" t="s">
        <v>14</v>
      </c>
      <c r="E12465" t="s">
        <v>16755</v>
      </c>
      <c r="F12465" t="s">
        <v>17293</v>
      </c>
    </row>
    <row r="12466" spans="1:6" x14ac:dyDescent="0.25">
      <c r="A12466" t="str">
        <f>"6167206708"</f>
        <v>6167206708</v>
      </c>
      <c r="B12466" t="s">
        <v>17294</v>
      </c>
      <c r="C12466" t="s">
        <v>7</v>
      </c>
      <c r="D12466" t="s">
        <v>12</v>
      </c>
      <c r="E12466" t="s">
        <v>16755</v>
      </c>
      <c r="F12466" t="s">
        <v>17295</v>
      </c>
    </row>
    <row r="12467" spans="1:6" x14ac:dyDescent="0.25">
      <c r="A12467" t="str">
        <f>"6167207973"</f>
        <v>6167207973</v>
      </c>
      <c r="B12467" t="s">
        <v>17296</v>
      </c>
      <c r="C12467" t="s">
        <v>7</v>
      </c>
      <c r="D12467" t="s">
        <v>33</v>
      </c>
      <c r="E12467" t="s">
        <v>16755</v>
      </c>
      <c r="F12467" t="s">
        <v>17297</v>
      </c>
    </row>
    <row r="12468" spans="1:6" x14ac:dyDescent="0.25">
      <c r="A12468" t="str">
        <f>"6168023136"</f>
        <v>6168023136</v>
      </c>
      <c r="B12468" t="s">
        <v>17298</v>
      </c>
      <c r="C12468" t="s">
        <v>7</v>
      </c>
      <c r="D12468" t="s">
        <v>14</v>
      </c>
      <c r="E12468" t="s">
        <v>16755</v>
      </c>
      <c r="F12468" t="s">
        <v>17299</v>
      </c>
    </row>
    <row r="12469" spans="1:6" x14ac:dyDescent="0.25">
      <c r="A12469" t="str">
        <f>"616802362979"</f>
        <v>616802362979</v>
      </c>
      <c r="B12469" t="s">
        <v>17300</v>
      </c>
      <c r="C12469" t="s">
        <v>7</v>
      </c>
      <c r="D12469" t="s">
        <v>14</v>
      </c>
      <c r="E12469" t="s">
        <v>16755</v>
      </c>
    </row>
    <row r="12470" spans="1:6" x14ac:dyDescent="0.25">
      <c r="A12470" t="str">
        <f>"6168031063"</f>
        <v>6168031063</v>
      </c>
      <c r="B12470" t="s">
        <v>17301</v>
      </c>
      <c r="C12470" t="s">
        <v>7</v>
      </c>
      <c r="D12470" t="s">
        <v>1430</v>
      </c>
      <c r="E12470" t="s">
        <v>16755</v>
      </c>
      <c r="F12470" t="s">
        <v>17302</v>
      </c>
    </row>
    <row r="12471" spans="1:6" x14ac:dyDescent="0.25">
      <c r="A12471" t="str">
        <f>"616803765441"</f>
        <v>616803765441</v>
      </c>
      <c r="B12471" t="s">
        <v>17303</v>
      </c>
      <c r="C12471" t="s">
        <v>7</v>
      </c>
      <c r="D12471" t="s">
        <v>14</v>
      </c>
      <c r="E12471" t="s">
        <v>16755</v>
      </c>
    </row>
    <row r="12472" spans="1:6" x14ac:dyDescent="0.25">
      <c r="A12472" t="str">
        <f>"6168046119"</f>
        <v>6168046119</v>
      </c>
      <c r="B12472" t="s">
        <v>17304</v>
      </c>
      <c r="C12472" t="s">
        <v>7</v>
      </c>
      <c r="D12472" t="s">
        <v>28</v>
      </c>
      <c r="E12472" t="s">
        <v>16755</v>
      </c>
      <c r="F12472" t="s">
        <v>17305</v>
      </c>
    </row>
    <row r="12473" spans="1:6" x14ac:dyDescent="0.25">
      <c r="A12473" t="str">
        <f>"6168057294"</f>
        <v>6168057294</v>
      </c>
      <c r="B12473" t="s">
        <v>17306</v>
      </c>
      <c r="C12473" t="s">
        <v>7</v>
      </c>
      <c r="D12473" t="s">
        <v>12</v>
      </c>
      <c r="E12473" t="s">
        <v>16755</v>
      </c>
      <c r="F12473" t="s">
        <v>17307</v>
      </c>
    </row>
    <row r="12474" spans="1:6" x14ac:dyDescent="0.25">
      <c r="A12474" t="str">
        <f>"616806756572"</f>
        <v>616806756572</v>
      </c>
      <c r="B12474" t="s">
        <v>17308</v>
      </c>
      <c r="C12474" t="s">
        <v>7</v>
      </c>
      <c r="D12474" t="s">
        <v>33</v>
      </c>
      <c r="E12474" t="s">
        <v>16755</v>
      </c>
    </row>
    <row r="12475" spans="1:6" x14ac:dyDescent="0.25">
      <c r="A12475" t="str">
        <f>"6168074067"</f>
        <v>6168074067</v>
      </c>
      <c r="B12475" t="s">
        <v>17309</v>
      </c>
      <c r="C12475" t="s">
        <v>7</v>
      </c>
      <c r="D12475" t="s">
        <v>14</v>
      </c>
      <c r="E12475" t="s">
        <v>16755</v>
      </c>
      <c r="F12475" t="s">
        <v>17310</v>
      </c>
    </row>
    <row r="12476" spans="1:6" x14ac:dyDescent="0.25">
      <c r="A12476" t="str">
        <f>"6168097441"</f>
        <v>6168097441</v>
      </c>
      <c r="B12476" t="s">
        <v>17311</v>
      </c>
      <c r="C12476" t="s">
        <v>7</v>
      </c>
      <c r="D12476" t="s">
        <v>14</v>
      </c>
      <c r="E12476" t="s">
        <v>16755</v>
      </c>
      <c r="F12476" t="s">
        <v>17312</v>
      </c>
    </row>
    <row r="12477" spans="1:6" x14ac:dyDescent="0.25">
      <c r="A12477" t="str">
        <f>"6168103705"</f>
        <v>6168103705</v>
      </c>
      <c r="B12477" t="s">
        <v>17313</v>
      </c>
      <c r="C12477" t="s">
        <v>7</v>
      </c>
      <c r="D12477" t="s">
        <v>33</v>
      </c>
      <c r="E12477" t="s">
        <v>16755</v>
      </c>
      <c r="F12477" t="s">
        <v>17314</v>
      </c>
    </row>
    <row r="12478" spans="1:6" x14ac:dyDescent="0.25">
      <c r="A12478" t="str">
        <f>"6168104040"</f>
        <v>6168104040</v>
      </c>
      <c r="B12478" t="s">
        <v>17315</v>
      </c>
      <c r="C12478" t="s">
        <v>7</v>
      </c>
      <c r="D12478" t="s">
        <v>8</v>
      </c>
      <c r="E12478" t="s">
        <v>16755</v>
      </c>
      <c r="F12478" t="s">
        <v>17316</v>
      </c>
    </row>
    <row r="12479" spans="1:6" x14ac:dyDescent="0.25">
      <c r="A12479" t="str">
        <f>"6168104226"</f>
        <v>6168104226</v>
      </c>
      <c r="B12479" t="s">
        <v>17317</v>
      </c>
      <c r="C12479" t="s">
        <v>7</v>
      </c>
      <c r="D12479" t="s">
        <v>14</v>
      </c>
      <c r="E12479" t="s">
        <v>16755</v>
      </c>
      <c r="F12479" t="s">
        <v>17318</v>
      </c>
    </row>
    <row r="12480" spans="1:6" x14ac:dyDescent="0.25">
      <c r="A12480" t="str">
        <f>"6168107058"</f>
        <v>6168107058</v>
      </c>
      <c r="B12480" t="s">
        <v>17319</v>
      </c>
      <c r="C12480" t="s">
        <v>7</v>
      </c>
      <c r="D12480" t="s">
        <v>33</v>
      </c>
      <c r="E12480" t="s">
        <v>16755</v>
      </c>
      <c r="F12480" t="s">
        <v>17320</v>
      </c>
    </row>
    <row r="12481" spans="1:6" x14ac:dyDescent="0.25">
      <c r="A12481" t="str">
        <f>"6168113439"</f>
        <v>6168113439</v>
      </c>
      <c r="B12481" t="s">
        <v>17321</v>
      </c>
      <c r="C12481" t="s">
        <v>7</v>
      </c>
      <c r="D12481" t="s">
        <v>33</v>
      </c>
      <c r="E12481" t="s">
        <v>16755</v>
      </c>
      <c r="F12481" t="s">
        <v>17322</v>
      </c>
    </row>
    <row r="12482" spans="1:6" x14ac:dyDescent="0.25">
      <c r="A12482" t="str">
        <f>"6168121581"</f>
        <v>6168121581</v>
      </c>
      <c r="B12482" t="s">
        <v>17323</v>
      </c>
      <c r="C12482" t="s">
        <v>7</v>
      </c>
      <c r="D12482" t="s">
        <v>146</v>
      </c>
      <c r="E12482" t="s">
        <v>16755</v>
      </c>
      <c r="F12482" t="s">
        <v>17324</v>
      </c>
    </row>
    <row r="12483" spans="1:6" x14ac:dyDescent="0.25">
      <c r="A12483" t="str">
        <f>"616822971369"</f>
        <v>616822971369</v>
      </c>
      <c r="B12483" t="s">
        <v>17325</v>
      </c>
      <c r="C12483" t="s">
        <v>7</v>
      </c>
      <c r="D12483" t="s">
        <v>33</v>
      </c>
      <c r="E12483" t="s">
        <v>16755</v>
      </c>
    </row>
    <row r="12484" spans="1:6" x14ac:dyDescent="0.25">
      <c r="A12484" t="str">
        <f>"616851162362"</f>
        <v>616851162362</v>
      </c>
      <c r="B12484" t="s">
        <v>17326</v>
      </c>
      <c r="C12484" t="s">
        <v>7</v>
      </c>
      <c r="D12484" t="s">
        <v>12</v>
      </c>
      <c r="E12484" t="s">
        <v>16755</v>
      </c>
    </row>
    <row r="12485" spans="1:6" x14ac:dyDescent="0.25">
      <c r="A12485" t="str">
        <f>"616853770052"</f>
        <v>616853770052</v>
      </c>
      <c r="B12485" t="s">
        <v>17327</v>
      </c>
      <c r="C12485" t="s">
        <v>7</v>
      </c>
      <c r="D12485" t="s">
        <v>463</v>
      </c>
      <c r="E12485" t="s">
        <v>16755</v>
      </c>
    </row>
    <row r="12486" spans="1:6" x14ac:dyDescent="0.25">
      <c r="A12486" t="str">
        <f>"610100600163"</f>
        <v>610100600163</v>
      </c>
      <c r="B12486" t="s">
        <v>17328</v>
      </c>
      <c r="C12486" t="s">
        <v>7</v>
      </c>
      <c r="D12486" t="s">
        <v>14</v>
      </c>
      <c r="E12486" t="s">
        <v>16755</v>
      </c>
    </row>
    <row r="12487" spans="1:6" x14ac:dyDescent="0.25">
      <c r="A12487" t="str">
        <f>"550147764900"</f>
        <v>550147764900</v>
      </c>
      <c r="B12487" t="s">
        <v>17329</v>
      </c>
      <c r="C12487" t="s">
        <v>7</v>
      </c>
      <c r="D12487" t="s">
        <v>14</v>
      </c>
      <c r="E12487" t="s">
        <v>16755</v>
      </c>
    </row>
    <row r="12488" spans="1:6" x14ac:dyDescent="0.25">
      <c r="A12488" t="str">
        <f>"6102060200"</f>
        <v>6102060200</v>
      </c>
      <c r="B12488" t="s">
        <v>8979</v>
      </c>
      <c r="C12488" t="s">
        <v>7</v>
      </c>
      <c r="D12488" t="s">
        <v>14</v>
      </c>
      <c r="E12488" t="s">
        <v>16755</v>
      </c>
      <c r="F12488" t="s">
        <v>17330</v>
      </c>
    </row>
    <row r="12489" spans="1:6" x14ac:dyDescent="0.25">
      <c r="A12489" t="str">
        <f>"610999216322"</f>
        <v>610999216322</v>
      </c>
      <c r="B12489" t="s">
        <v>17331</v>
      </c>
      <c r="C12489" t="s">
        <v>7</v>
      </c>
      <c r="D12489" t="s">
        <v>14</v>
      </c>
      <c r="E12489" t="s">
        <v>16755</v>
      </c>
    </row>
    <row r="12490" spans="1:6" x14ac:dyDescent="0.25">
      <c r="A12490" t="str">
        <f>"611202969603"</f>
        <v>611202969603</v>
      </c>
      <c r="B12490" t="s">
        <v>17332</v>
      </c>
      <c r="C12490" t="s">
        <v>7</v>
      </c>
      <c r="D12490" t="s">
        <v>14</v>
      </c>
      <c r="E12490" t="s">
        <v>16755</v>
      </c>
    </row>
    <row r="12491" spans="1:6" x14ac:dyDescent="0.25">
      <c r="A12491" t="str">
        <f>"611901757908"</f>
        <v>611901757908</v>
      </c>
      <c r="B12491" t="s">
        <v>17333</v>
      </c>
      <c r="C12491" t="s">
        <v>7</v>
      </c>
      <c r="D12491" t="s">
        <v>14</v>
      </c>
      <c r="E12491" t="s">
        <v>16755</v>
      </c>
    </row>
    <row r="12492" spans="1:6" x14ac:dyDescent="0.25">
      <c r="A12492" t="str">
        <f>"611902237891"</f>
        <v>611902237891</v>
      </c>
      <c r="B12492" t="s">
        <v>17334</v>
      </c>
      <c r="C12492" t="s">
        <v>7</v>
      </c>
      <c r="D12492" t="s">
        <v>14</v>
      </c>
      <c r="E12492" t="s">
        <v>16755</v>
      </c>
    </row>
    <row r="12493" spans="1:6" x14ac:dyDescent="0.25">
      <c r="A12493" t="str">
        <f>"612000007919"</f>
        <v>612000007919</v>
      </c>
      <c r="B12493" t="s">
        <v>17335</v>
      </c>
      <c r="C12493" t="s">
        <v>7</v>
      </c>
      <c r="D12493" t="s">
        <v>14</v>
      </c>
      <c r="E12493" t="s">
        <v>16755</v>
      </c>
    </row>
    <row r="12494" spans="1:6" x14ac:dyDescent="0.25">
      <c r="A12494" t="str">
        <f>"612000333704"</f>
        <v>612000333704</v>
      </c>
      <c r="B12494" t="s">
        <v>17336</v>
      </c>
      <c r="C12494" t="s">
        <v>7</v>
      </c>
      <c r="D12494" t="s">
        <v>14</v>
      </c>
      <c r="E12494" t="s">
        <v>16755</v>
      </c>
    </row>
    <row r="12495" spans="1:6" x14ac:dyDescent="0.25">
      <c r="A12495" t="str">
        <f>"6122009481"</f>
        <v>6122009481</v>
      </c>
      <c r="B12495" t="s">
        <v>1339</v>
      </c>
      <c r="C12495" t="s">
        <v>7</v>
      </c>
      <c r="D12495" t="s">
        <v>14</v>
      </c>
      <c r="E12495" t="s">
        <v>16755</v>
      </c>
      <c r="F12495" t="s">
        <v>17337</v>
      </c>
    </row>
    <row r="12496" spans="1:6" x14ac:dyDescent="0.25">
      <c r="A12496" t="str">
        <f>"612600068303"</f>
        <v>612600068303</v>
      </c>
      <c r="B12496" t="s">
        <v>17338</v>
      </c>
      <c r="C12496" t="s">
        <v>7</v>
      </c>
      <c r="D12496" t="s">
        <v>14</v>
      </c>
      <c r="E12496" t="s">
        <v>16755</v>
      </c>
    </row>
    <row r="12497" spans="1:6" x14ac:dyDescent="0.25">
      <c r="A12497" t="str">
        <f>"612600685867"</f>
        <v>612600685867</v>
      </c>
      <c r="B12497" t="s">
        <v>17339</v>
      </c>
      <c r="C12497" t="s">
        <v>7</v>
      </c>
      <c r="D12497" t="s">
        <v>14</v>
      </c>
      <c r="E12497" t="s">
        <v>16755</v>
      </c>
    </row>
    <row r="12498" spans="1:6" x14ac:dyDescent="0.25">
      <c r="A12498" t="str">
        <f>"612602127900"</f>
        <v>612602127900</v>
      </c>
      <c r="B12498" t="s">
        <v>17340</v>
      </c>
      <c r="C12498" t="s">
        <v>7</v>
      </c>
      <c r="D12498" t="s">
        <v>14</v>
      </c>
      <c r="E12498" t="s">
        <v>16755</v>
      </c>
    </row>
    <row r="12499" spans="1:6" x14ac:dyDescent="0.25">
      <c r="A12499" t="str">
        <f>"612690759655"</f>
        <v>612690759655</v>
      </c>
      <c r="B12499" t="s">
        <v>17341</v>
      </c>
      <c r="C12499" t="s">
        <v>7</v>
      </c>
      <c r="D12499" t="s">
        <v>14</v>
      </c>
      <c r="E12499" t="s">
        <v>16755</v>
      </c>
    </row>
    <row r="12500" spans="1:6" x14ac:dyDescent="0.25">
      <c r="A12500" t="str">
        <f>"612803355110"</f>
        <v>612803355110</v>
      </c>
      <c r="B12500" t="s">
        <v>17342</v>
      </c>
      <c r="C12500" t="s">
        <v>7</v>
      </c>
      <c r="D12500" t="s">
        <v>14</v>
      </c>
      <c r="E12500" t="s">
        <v>16755</v>
      </c>
    </row>
    <row r="12501" spans="1:6" x14ac:dyDescent="0.25">
      <c r="A12501" t="str">
        <f>"612900043645"</f>
        <v>612900043645</v>
      </c>
      <c r="B12501" t="s">
        <v>17343</v>
      </c>
      <c r="C12501" t="s">
        <v>7</v>
      </c>
      <c r="D12501" t="s">
        <v>14</v>
      </c>
      <c r="E12501" t="s">
        <v>16755</v>
      </c>
    </row>
    <row r="12502" spans="1:6" x14ac:dyDescent="0.25">
      <c r="A12502" t="str">
        <f>"613001793417"</f>
        <v>613001793417</v>
      </c>
      <c r="B12502" t="s">
        <v>17344</v>
      </c>
      <c r="C12502" t="s">
        <v>7</v>
      </c>
      <c r="D12502" t="s">
        <v>14</v>
      </c>
      <c r="E12502" t="s">
        <v>16755</v>
      </c>
    </row>
    <row r="12503" spans="1:6" x14ac:dyDescent="0.25">
      <c r="A12503" t="str">
        <f>"613070732888"</f>
        <v>613070732888</v>
      </c>
      <c r="B12503" t="s">
        <v>17345</v>
      </c>
      <c r="C12503" t="s">
        <v>7</v>
      </c>
      <c r="D12503" t="s">
        <v>14</v>
      </c>
      <c r="E12503" t="s">
        <v>16755</v>
      </c>
    </row>
    <row r="12504" spans="1:6" x14ac:dyDescent="0.25">
      <c r="A12504" t="str">
        <f>"613200561795"</f>
        <v>613200561795</v>
      </c>
      <c r="B12504" t="s">
        <v>17346</v>
      </c>
      <c r="C12504" t="s">
        <v>7</v>
      </c>
      <c r="D12504" t="s">
        <v>14</v>
      </c>
      <c r="E12504" t="s">
        <v>16755</v>
      </c>
    </row>
    <row r="12505" spans="1:6" x14ac:dyDescent="0.25">
      <c r="A12505" t="str">
        <f>"6133006161"</f>
        <v>6133006161</v>
      </c>
      <c r="B12505" t="s">
        <v>17347</v>
      </c>
      <c r="C12505" t="s">
        <v>7</v>
      </c>
      <c r="D12505" t="s">
        <v>14</v>
      </c>
      <c r="E12505" t="s">
        <v>16755</v>
      </c>
      <c r="F12505" t="s">
        <v>17348</v>
      </c>
    </row>
    <row r="12506" spans="1:6" x14ac:dyDescent="0.25">
      <c r="A12506" t="str">
        <f>"613602719697"</f>
        <v>613602719697</v>
      </c>
      <c r="B12506" t="s">
        <v>17349</v>
      </c>
      <c r="C12506" t="s">
        <v>7</v>
      </c>
      <c r="D12506" t="s">
        <v>14</v>
      </c>
      <c r="E12506" t="s">
        <v>16755</v>
      </c>
    </row>
    <row r="12507" spans="1:6" x14ac:dyDescent="0.25">
      <c r="A12507" t="str">
        <f>"614000026908"</f>
        <v>614000026908</v>
      </c>
      <c r="B12507" t="s">
        <v>17350</v>
      </c>
      <c r="C12507" t="s">
        <v>7</v>
      </c>
      <c r="D12507" t="s">
        <v>14</v>
      </c>
      <c r="E12507" t="s">
        <v>16755</v>
      </c>
    </row>
    <row r="12508" spans="1:6" x14ac:dyDescent="0.25">
      <c r="A12508" t="str">
        <f>"6141058685"</f>
        <v>6141058685</v>
      </c>
      <c r="B12508" t="s">
        <v>17351</v>
      </c>
      <c r="C12508" t="s">
        <v>7</v>
      </c>
      <c r="D12508" t="s">
        <v>12</v>
      </c>
      <c r="E12508" t="s">
        <v>16755</v>
      </c>
      <c r="F12508" t="s">
        <v>17352</v>
      </c>
    </row>
    <row r="12509" spans="1:6" x14ac:dyDescent="0.25">
      <c r="A12509" t="str">
        <f>"614300433661"</f>
        <v>614300433661</v>
      </c>
      <c r="B12509" t="s">
        <v>17353</v>
      </c>
      <c r="C12509" t="s">
        <v>7</v>
      </c>
      <c r="D12509" t="s">
        <v>14</v>
      </c>
      <c r="E12509" t="s">
        <v>16755</v>
      </c>
    </row>
    <row r="12510" spans="1:6" x14ac:dyDescent="0.25">
      <c r="A12510" t="str">
        <f>"614304367441"</f>
        <v>614304367441</v>
      </c>
      <c r="B12510" t="s">
        <v>17354</v>
      </c>
      <c r="C12510" t="s">
        <v>7</v>
      </c>
      <c r="D12510" t="s">
        <v>146</v>
      </c>
      <c r="E12510" t="s">
        <v>16755</v>
      </c>
    </row>
    <row r="12511" spans="1:6" x14ac:dyDescent="0.25">
      <c r="A12511" t="str">
        <f>"614306737063"</f>
        <v>614306737063</v>
      </c>
      <c r="B12511" t="s">
        <v>17355</v>
      </c>
      <c r="C12511" t="s">
        <v>7</v>
      </c>
      <c r="D12511" t="s">
        <v>12</v>
      </c>
      <c r="E12511" t="s">
        <v>16755</v>
      </c>
    </row>
    <row r="12512" spans="1:6" x14ac:dyDescent="0.25">
      <c r="A12512" t="str">
        <f>"614315695780"</f>
        <v>614315695780</v>
      </c>
      <c r="B12512" t="s">
        <v>17356</v>
      </c>
      <c r="C12512" t="s">
        <v>7</v>
      </c>
      <c r="D12512" t="s">
        <v>12</v>
      </c>
      <c r="E12512" t="s">
        <v>16755</v>
      </c>
    </row>
    <row r="12513" spans="1:6" x14ac:dyDescent="0.25">
      <c r="A12513" t="str">
        <f>"614402798365"</f>
        <v>614402798365</v>
      </c>
      <c r="B12513" t="s">
        <v>17357</v>
      </c>
      <c r="C12513" t="s">
        <v>7</v>
      </c>
      <c r="D12513" t="s">
        <v>14</v>
      </c>
      <c r="E12513" t="s">
        <v>16755</v>
      </c>
    </row>
    <row r="12514" spans="1:6" x14ac:dyDescent="0.25">
      <c r="A12514" t="str">
        <f>"614405593750"</f>
        <v>614405593750</v>
      </c>
      <c r="B12514" t="s">
        <v>17358</v>
      </c>
      <c r="C12514" t="s">
        <v>7</v>
      </c>
      <c r="D12514" t="s">
        <v>14</v>
      </c>
      <c r="E12514" t="s">
        <v>16755</v>
      </c>
    </row>
    <row r="12515" spans="1:6" x14ac:dyDescent="0.25">
      <c r="A12515" t="str">
        <f>"614800532188"</f>
        <v>614800532188</v>
      </c>
      <c r="B12515" t="s">
        <v>17359</v>
      </c>
      <c r="C12515" t="s">
        <v>7</v>
      </c>
      <c r="D12515" t="s">
        <v>12</v>
      </c>
      <c r="E12515" t="s">
        <v>16755</v>
      </c>
    </row>
    <row r="12516" spans="1:6" x14ac:dyDescent="0.25">
      <c r="A12516" t="str">
        <f>"614807034417"</f>
        <v>614807034417</v>
      </c>
      <c r="B12516" t="s">
        <v>17360</v>
      </c>
      <c r="C12516" t="s">
        <v>7</v>
      </c>
      <c r="D12516" t="s">
        <v>14</v>
      </c>
      <c r="E12516" t="s">
        <v>16755</v>
      </c>
    </row>
    <row r="12517" spans="1:6" x14ac:dyDescent="0.25">
      <c r="A12517" t="str">
        <f>"615310188315"</f>
        <v>615310188315</v>
      </c>
      <c r="B12517" t="s">
        <v>17361</v>
      </c>
      <c r="C12517" t="s">
        <v>7</v>
      </c>
      <c r="D12517" t="s">
        <v>14</v>
      </c>
      <c r="E12517" t="s">
        <v>16755</v>
      </c>
    </row>
    <row r="12518" spans="1:6" x14ac:dyDescent="0.25">
      <c r="A12518" t="str">
        <f>"6154073828"</f>
        <v>6154073828</v>
      </c>
      <c r="B12518" t="s">
        <v>17362</v>
      </c>
      <c r="C12518" t="s">
        <v>7</v>
      </c>
      <c r="D12518" t="s">
        <v>14</v>
      </c>
      <c r="E12518" t="s">
        <v>16755</v>
      </c>
      <c r="F12518" t="s">
        <v>17363</v>
      </c>
    </row>
    <row r="12519" spans="1:6" x14ac:dyDescent="0.25">
      <c r="A12519" t="str">
        <f>"615412882730"</f>
        <v>615412882730</v>
      </c>
      <c r="B12519" t="s">
        <v>17364</v>
      </c>
      <c r="C12519" t="s">
        <v>7</v>
      </c>
      <c r="D12519" t="s">
        <v>33</v>
      </c>
      <c r="E12519" t="s">
        <v>16755</v>
      </c>
    </row>
    <row r="12520" spans="1:6" x14ac:dyDescent="0.25">
      <c r="A12520" t="str">
        <f>"615516218796"</f>
        <v>615516218796</v>
      </c>
      <c r="B12520" t="s">
        <v>17365</v>
      </c>
      <c r="C12520" t="s">
        <v>7</v>
      </c>
      <c r="D12520" t="s">
        <v>14</v>
      </c>
      <c r="E12520" t="s">
        <v>16755</v>
      </c>
    </row>
    <row r="12521" spans="1:6" x14ac:dyDescent="0.25">
      <c r="A12521" t="str">
        <f>"6161066885"</f>
        <v>6161066885</v>
      </c>
      <c r="B12521" t="s">
        <v>17366</v>
      </c>
      <c r="C12521" t="s">
        <v>7</v>
      </c>
      <c r="D12521" t="s">
        <v>12</v>
      </c>
      <c r="E12521" t="s">
        <v>16755</v>
      </c>
      <c r="F12521" t="s">
        <v>17367</v>
      </c>
    </row>
    <row r="12522" spans="1:6" x14ac:dyDescent="0.25">
      <c r="A12522" t="str">
        <f>"6161079267"</f>
        <v>6161079267</v>
      </c>
      <c r="B12522" t="s">
        <v>17368</v>
      </c>
      <c r="C12522" t="s">
        <v>7</v>
      </c>
      <c r="D12522" t="s">
        <v>1430</v>
      </c>
      <c r="E12522" t="s">
        <v>16755</v>
      </c>
      <c r="F12522" t="s">
        <v>17369</v>
      </c>
    </row>
    <row r="12523" spans="1:6" x14ac:dyDescent="0.25">
      <c r="A12523" t="str">
        <f>"616112194608"</f>
        <v>616112194608</v>
      </c>
      <c r="B12523" t="s">
        <v>17370</v>
      </c>
      <c r="C12523" t="s">
        <v>7</v>
      </c>
      <c r="D12523" t="s">
        <v>33</v>
      </c>
      <c r="E12523" t="s">
        <v>16755</v>
      </c>
    </row>
    <row r="12524" spans="1:6" x14ac:dyDescent="0.25">
      <c r="A12524" t="str">
        <f>"6161151058"</f>
        <v>6161151058</v>
      </c>
      <c r="B12524" t="s">
        <v>17371</v>
      </c>
      <c r="C12524" t="s">
        <v>7</v>
      </c>
      <c r="D12524" t="s">
        <v>12</v>
      </c>
      <c r="E12524" t="s">
        <v>16755</v>
      </c>
      <c r="F12524" t="s">
        <v>17372</v>
      </c>
    </row>
    <row r="12525" spans="1:6" x14ac:dyDescent="0.25">
      <c r="A12525" t="str">
        <f>"616118913048"</f>
        <v>616118913048</v>
      </c>
      <c r="B12525" t="s">
        <v>17373</v>
      </c>
      <c r="C12525" t="s">
        <v>7</v>
      </c>
      <c r="D12525" t="s">
        <v>14</v>
      </c>
      <c r="E12525" t="s">
        <v>16755</v>
      </c>
    </row>
    <row r="12526" spans="1:6" x14ac:dyDescent="0.25">
      <c r="A12526" t="str">
        <f>"6162050334"</f>
        <v>6162050334</v>
      </c>
      <c r="B12526" t="s">
        <v>17374</v>
      </c>
      <c r="C12526" t="s">
        <v>7</v>
      </c>
      <c r="D12526" t="s">
        <v>146</v>
      </c>
      <c r="E12526" t="s">
        <v>16755</v>
      </c>
      <c r="F12526" t="s">
        <v>17375</v>
      </c>
    </row>
    <row r="12527" spans="1:6" x14ac:dyDescent="0.25">
      <c r="A12527" t="str">
        <f>"616300352991"</f>
        <v>616300352991</v>
      </c>
      <c r="B12527" t="s">
        <v>17376</v>
      </c>
      <c r="C12527" t="s">
        <v>7</v>
      </c>
      <c r="D12527" t="s">
        <v>14</v>
      </c>
      <c r="E12527" t="s">
        <v>16755</v>
      </c>
    </row>
    <row r="12528" spans="1:6" x14ac:dyDescent="0.25">
      <c r="A12528" t="str">
        <f>"616404376490"</f>
        <v>616404376490</v>
      </c>
      <c r="B12528" t="s">
        <v>17377</v>
      </c>
      <c r="C12528" t="s">
        <v>7</v>
      </c>
      <c r="D12528" t="s">
        <v>14</v>
      </c>
      <c r="E12528" t="s">
        <v>16755</v>
      </c>
    </row>
    <row r="12529" spans="1:6" x14ac:dyDescent="0.25">
      <c r="A12529" t="str">
        <f>"616520366340"</f>
        <v>616520366340</v>
      </c>
      <c r="B12529" t="s">
        <v>17378</v>
      </c>
      <c r="C12529" t="s">
        <v>7</v>
      </c>
      <c r="D12529" t="s">
        <v>14</v>
      </c>
      <c r="E12529" t="s">
        <v>16755</v>
      </c>
    </row>
    <row r="12530" spans="1:6" x14ac:dyDescent="0.25">
      <c r="A12530" t="str">
        <f>"6166116025"</f>
        <v>6166116025</v>
      </c>
      <c r="B12530" t="s">
        <v>17379</v>
      </c>
      <c r="C12530" t="s">
        <v>7</v>
      </c>
      <c r="D12530" t="s">
        <v>12</v>
      </c>
      <c r="E12530" t="s">
        <v>16755</v>
      </c>
      <c r="F12530" t="s">
        <v>17380</v>
      </c>
    </row>
    <row r="12531" spans="1:6" x14ac:dyDescent="0.25">
      <c r="A12531" t="str">
        <f>"6167198461"</f>
        <v>6167198461</v>
      </c>
      <c r="B12531" t="s">
        <v>17381</v>
      </c>
      <c r="C12531" t="s">
        <v>7</v>
      </c>
      <c r="D12531" t="s">
        <v>189</v>
      </c>
      <c r="E12531" t="s">
        <v>16755</v>
      </c>
      <c r="F12531" t="s">
        <v>17382</v>
      </c>
    </row>
    <row r="12532" spans="1:6" x14ac:dyDescent="0.25">
      <c r="A12532" t="str">
        <f>"6168065721"</f>
        <v>6168065721</v>
      </c>
      <c r="B12532" t="s">
        <v>17383</v>
      </c>
      <c r="C12532" t="s">
        <v>7</v>
      </c>
      <c r="D12532" t="s">
        <v>12</v>
      </c>
      <c r="E12532" t="s">
        <v>16755</v>
      </c>
      <c r="F12532" t="s">
        <v>17384</v>
      </c>
    </row>
    <row r="12533" spans="1:6" x14ac:dyDescent="0.25">
      <c r="A12533" t="str">
        <f>"6168079731"</f>
        <v>6168079731</v>
      </c>
      <c r="B12533" t="s">
        <v>17385</v>
      </c>
      <c r="C12533" t="s">
        <v>7</v>
      </c>
      <c r="D12533" t="s">
        <v>33</v>
      </c>
      <c r="E12533" t="s">
        <v>16755</v>
      </c>
      <c r="F12533" t="s">
        <v>17013</v>
      </c>
    </row>
    <row r="12534" spans="1:6" x14ac:dyDescent="0.25">
      <c r="A12534" t="str">
        <f>"6168100694"</f>
        <v>6168100694</v>
      </c>
      <c r="B12534" t="s">
        <v>17386</v>
      </c>
      <c r="C12534" t="s">
        <v>7</v>
      </c>
      <c r="D12534" t="s">
        <v>33</v>
      </c>
      <c r="E12534" t="s">
        <v>16755</v>
      </c>
      <c r="F12534" t="s">
        <v>17387</v>
      </c>
    </row>
    <row r="12535" spans="1:6" x14ac:dyDescent="0.25">
      <c r="A12535" t="str">
        <f>"6168101465"</f>
        <v>6168101465</v>
      </c>
      <c r="B12535" t="s">
        <v>17388</v>
      </c>
      <c r="C12535" t="s">
        <v>7</v>
      </c>
      <c r="D12535" t="s">
        <v>33</v>
      </c>
      <c r="E12535" t="s">
        <v>16755</v>
      </c>
      <c r="F12535" t="s">
        <v>17389</v>
      </c>
    </row>
    <row r="12536" spans="1:6" x14ac:dyDescent="0.25">
      <c r="A12536" t="str">
        <f>"230408579460"</f>
        <v>230408579460</v>
      </c>
      <c r="B12536" t="s">
        <v>17390</v>
      </c>
      <c r="C12536" t="s">
        <v>7</v>
      </c>
      <c r="D12536" t="s">
        <v>14</v>
      </c>
      <c r="E12536" t="s">
        <v>16755</v>
      </c>
    </row>
    <row r="12537" spans="1:6" x14ac:dyDescent="0.25">
      <c r="A12537" t="str">
        <f>"230813697086"</f>
        <v>230813697086</v>
      </c>
      <c r="B12537" t="s">
        <v>17391</v>
      </c>
      <c r="C12537" t="s">
        <v>7</v>
      </c>
      <c r="D12537" t="s">
        <v>14</v>
      </c>
      <c r="E12537" t="s">
        <v>16755</v>
      </c>
    </row>
    <row r="12538" spans="1:6" x14ac:dyDescent="0.25">
      <c r="A12538" t="str">
        <f>"090102900625"</f>
        <v>090102900625</v>
      </c>
      <c r="B12538" t="s">
        <v>17392</v>
      </c>
      <c r="C12538" t="s">
        <v>7</v>
      </c>
      <c r="D12538" t="s">
        <v>14</v>
      </c>
      <c r="E12538" t="s">
        <v>16755</v>
      </c>
    </row>
    <row r="12539" spans="1:6" x14ac:dyDescent="0.25">
      <c r="A12539" t="str">
        <f>"090109373671"</f>
        <v>090109373671</v>
      </c>
      <c r="B12539" t="s">
        <v>17393</v>
      </c>
      <c r="C12539" t="s">
        <v>7</v>
      </c>
      <c r="D12539" t="s">
        <v>14</v>
      </c>
      <c r="E12539" t="s">
        <v>16755</v>
      </c>
    </row>
    <row r="12540" spans="1:6" x14ac:dyDescent="0.25">
      <c r="A12540" t="str">
        <f>"7810768690"</f>
        <v>7810768690</v>
      </c>
      <c r="B12540" t="s">
        <v>14709</v>
      </c>
      <c r="C12540" t="s">
        <v>7</v>
      </c>
      <c r="D12540" t="s">
        <v>14</v>
      </c>
      <c r="E12540" t="s">
        <v>16755</v>
      </c>
      <c r="F12540" t="s">
        <v>17394</v>
      </c>
    </row>
    <row r="12541" spans="1:6" x14ac:dyDescent="0.25">
      <c r="A12541" t="str">
        <f>"230811531776"</f>
        <v>230811531776</v>
      </c>
      <c r="B12541" t="s">
        <v>17395</v>
      </c>
      <c r="C12541" t="s">
        <v>7</v>
      </c>
      <c r="D12541" t="s">
        <v>12</v>
      </c>
      <c r="E12541" t="s">
        <v>16755</v>
      </c>
    </row>
    <row r="12542" spans="1:6" x14ac:dyDescent="0.25">
      <c r="A12542" t="str">
        <f>"2311343325"</f>
        <v>2311343325</v>
      </c>
      <c r="B12542" t="s">
        <v>17396</v>
      </c>
      <c r="C12542" t="s">
        <v>7</v>
      </c>
      <c r="D12542" t="s">
        <v>33</v>
      </c>
      <c r="E12542" t="s">
        <v>16755</v>
      </c>
      <c r="F12542" t="s">
        <v>17397</v>
      </c>
    </row>
    <row r="12543" spans="1:6" x14ac:dyDescent="0.25">
      <c r="A12543" t="str">
        <f>"651600487523"</f>
        <v>651600487523</v>
      </c>
      <c r="B12543" t="s">
        <v>17398</v>
      </c>
      <c r="C12543" t="s">
        <v>7</v>
      </c>
      <c r="D12543" t="s">
        <v>14</v>
      </c>
      <c r="E12543" t="s">
        <v>16755</v>
      </c>
    </row>
    <row r="12544" spans="1:6" x14ac:dyDescent="0.25">
      <c r="A12544" t="str">
        <f>"381811282364"</f>
        <v>381811282364</v>
      </c>
      <c r="B12544" t="s">
        <v>17399</v>
      </c>
      <c r="C12544" t="s">
        <v>7</v>
      </c>
      <c r="D12544" t="s">
        <v>14</v>
      </c>
      <c r="E12544" t="s">
        <v>16755</v>
      </c>
    </row>
    <row r="12545" spans="1:6" x14ac:dyDescent="0.25">
      <c r="A12545" t="str">
        <f>"782688058804"</f>
        <v>782688058804</v>
      </c>
      <c r="B12545" t="s">
        <v>17400</v>
      </c>
      <c r="C12545" t="s">
        <v>7</v>
      </c>
      <c r="D12545" t="s">
        <v>33</v>
      </c>
      <c r="E12545" t="s">
        <v>16755</v>
      </c>
    </row>
    <row r="12546" spans="1:6" x14ac:dyDescent="0.25">
      <c r="A12546" t="str">
        <f>"861101665860"</f>
        <v>861101665860</v>
      </c>
      <c r="B12546" t="s">
        <v>17401</v>
      </c>
      <c r="C12546" t="s">
        <v>7</v>
      </c>
      <c r="D12546" t="s">
        <v>33</v>
      </c>
      <c r="E12546" t="s">
        <v>16755</v>
      </c>
    </row>
    <row r="12547" spans="1:6" x14ac:dyDescent="0.25">
      <c r="A12547" t="str">
        <f>"150304617417"</f>
        <v>150304617417</v>
      </c>
      <c r="B12547" t="s">
        <v>17402</v>
      </c>
      <c r="C12547" t="s">
        <v>7</v>
      </c>
      <c r="D12547" t="s">
        <v>14</v>
      </c>
      <c r="E12547" t="s">
        <v>16755</v>
      </c>
    </row>
    <row r="12548" spans="1:6" x14ac:dyDescent="0.25">
      <c r="A12548" t="str">
        <f>"235102216154"</f>
        <v>235102216154</v>
      </c>
      <c r="B12548" t="s">
        <v>17403</v>
      </c>
      <c r="C12548" t="s">
        <v>7</v>
      </c>
      <c r="D12548" t="s">
        <v>14</v>
      </c>
      <c r="E12548" t="s">
        <v>16755</v>
      </c>
    </row>
    <row r="12549" spans="1:6" x14ac:dyDescent="0.25">
      <c r="A12549" t="str">
        <f>"870300855275"</f>
        <v>870300855275</v>
      </c>
      <c r="B12549" t="s">
        <v>17404</v>
      </c>
      <c r="C12549" t="s">
        <v>7</v>
      </c>
      <c r="D12549" t="s">
        <v>14</v>
      </c>
      <c r="E12549" t="s">
        <v>16755</v>
      </c>
    </row>
    <row r="12550" spans="1:6" x14ac:dyDescent="0.25">
      <c r="A12550" t="str">
        <f>"233903375730"</f>
        <v>233903375730</v>
      </c>
      <c r="B12550" t="s">
        <v>17405</v>
      </c>
      <c r="C12550" t="s">
        <v>7</v>
      </c>
      <c r="D12550" t="s">
        <v>14</v>
      </c>
      <c r="E12550" t="s">
        <v>16755</v>
      </c>
    </row>
    <row r="12551" spans="1:6" x14ac:dyDescent="0.25">
      <c r="A12551" t="str">
        <f>"667405225377"</f>
        <v>667405225377</v>
      </c>
      <c r="B12551" t="s">
        <v>17406</v>
      </c>
      <c r="C12551" t="s">
        <v>7</v>
      </c>
      <c r="D12551" t="s">
        <v>12</v>
      </c>
      <c r="E12551" t="s">
        <v>16755</v>
      </c>
    </row>
    <row r="12552" spans="1:6" x14ac:dyDescent="0.25">
      <c r="A12552" t="str">
        <f>"236105744771"</f>
        <v>236105744771</v>
      </c>
      <c r="B12552" t="s">
        <v>17407</v>
      </c>
      <c r="C12552" t="s">
        <v>7</v>
      </c>
      <c r="D12552" t="s">
        <v>33</v>
      </c>
      <c r="E12552" t="s">
        <v>16755</v>
      </c>
    </row>
    <row r="12553" spans="1:6" x14ac:dyDescent="0.25">
      <c r="A12553" t="str">
        <f>"237102521779"</f>
        <v>237102521779</v>
      </c>
      <c r="B12553" t="s">
        <v>17408</v>
      </c>
      <c r="C12553" t="s">
        <v>7</v>
      </c>
      <c r="D12553" t="s">
        <v>14</v>
      </c>
      <c r="E12553" t="s">
        <v>16755</v>
      </c>
    </row>
    <row r="12554" spans="1:6" x14ac:dyDescent="0.25">
      <c r="A12554" t="str">
        <f>"2372031034"</f>
        <v>2372031034</v>
      </c>
      <c r="B12554" t="s">
        <v>17409</v>
      </c>
      <c r="C12554" t="s">
        <v>7</v>
      </c>
      <c r="D12554" t="s">
        <v>189</v>
      </c>
      <c r="E12554" t="s">
        <v>16755</v>
      </c>
      <c r="F12554" t="s">
        <v>17410</v>
      </c>
    </row>
    <row r="12555" spans="1:6" x14ac:dyDescent="0.25">
      <c r="A12555" t="str">
        <f>"7710352419"</f>
        <v>7710352419</v>
      </c>
      <c r="B12555" t="s">
        <v>17411</v>
      </c>
      <c r="C12555" t="s">
        <v>7</v>
      </c>
      <c r="D12555" t="s">
        <v>33</v>
      </c>
      <c r="E12555" t="s">
        <v>16755</v>
      </c>
      <c r="F12555" t="s">
        <v>17412</v>
      </c>
    </row>
    <row r="12556" spans="1:6" x14ac:dyDescent="0.25">
      <c r="A12556" t="str">
        <f>"235001997455"</f>
        <v>235001997455</v>
      </c>
      <c r="B12556" t="s">
        <v>17413</v>
      </c>
      <c r="C12556" t="s">
        <v>7</v>
      </c>
      <c r="D12556" t="s">
        <v>14</v>
      </c>
      <c r="E12556" t="s">
        <v>16755</v>
      </c>
    </row>
    <row r="12557" spans="1:6" x14ac:dyDescent="0.25">
      <c r="A12557" t="str">
        <f>"6101922531"</f>
        <v>6101922531</v>
      </c>
      <c r="B12557" t="s">
        <v>17414</v>
      </c>
      <c r="C12557" t="s">
        <v>7</v>
      </c>
      <c r="D12557" t="s">
        <v>674</v>
      </c>
      <c r="E12557" t="s">
        <v>16755</v>
      </c>
      <c r="F12557" t="s">
        <v>17415</v>
      </c>
    </row>
    <row r="12558" spans="1:6" x14ac:dyDescent="0.25">
      <c r="A12558" t="str">
        <f>"6101929880"</f>
        <v>6101929880</v>
      </c>
      <c r="B12558" t="s">
        <v>17416</v>
      </c>
      <c r="C12558" t="s">
        <v>7</v>
      </c>
      <c r="D12558" t="s">
        <v>33</v>
      </c>
      <c r="E12558" t="s">
        <v>16755</v>
      </c>
      <c r="F12558" t="s">
        <v>17417</v>
      </c>
    </row>
    <row r="12559" spans="1:6" x14ac:dyDescent="0.25">
      <c r="A12559" t="str">
        <f>"610200101591"</f>
        <v>610200101591</v>
      </c>
      <c r="B12559" t="s">
        <v>17418</v>
      </c>
      <c r="C12559" t="s">
        <v>7</v>
      </c>
      <c r="D12559" t="s">
        <v>33</v>
      </c>
      <c r="E12559" t="s">
        <v>16755</v>
      </c>
    </row>
    <row r="12560" spans="1:6" x14ac:dyDescent="0.25">
      <c r="A12560" t="str">
        <f>"6102025622"</f>
        <v>6102025622</v>
      </c>
      <c r="B12560" t="s">
        <v>17419</v>
      </c>
      <c r="C12560" t="s">
        <v>7</v>
      </c>
      <c r="D12560" t="s">
        <v>14</v>
      </c>
      <c r="E12560" t="s">
        <v>16755</v>
      </c>
      <c r="F12560" t="s">
        <v>17420</v>
      </c>
    </row>
    <row r="12561" spans="1:6" x14ac:dyDescent="0.25">
      <c r="A12561" t="str">
        <f>"610203221400"</f>
        <v>610203221400</v>
      </c>
      <c r="B12561" t="s">
        <v>17421</v>
      </c>
      <c r="C12561" t="s">
        <v>7</v>
      </c>
      <c r="D12561" t="s">
        <v>14</v>
      </c>
      <c r="E12561" t="s">
        <v>16755</v>
      </c>
    </row>
    <row r="12562" spans="1:6" x14ac:dyDescent="0.25">
      <c r="A12562" t="str">
        <f>"610207125506"</f>
        <v>610207125506</v>
      </c>
      <c r="B12562" t="s">
        <v>17422</v>
      </c>
      <c r="C12562" t="s">
        <v>7</v>
      </c>
      <c r="D12562" t="s">
        <v>33</v>
      </c>
      <c r="E12562" t="s">
        <v>16755</v>
      </c>
    </row>
    <row r="12563" spans="1:6" x14ac:dyDescent="0.25">
      <c r="A12563" t="str">
        <f>"6102072622"</f>
        <v>6102072622</v>
      </c>
      <c r="B12563" t="s">
        <v>17423</v>
      </c>
      <c r="C12563" t="s">
        <v>7</v>
      </c>
      <c r="D12563" t="s">
        <v>12</v>
      </c>
      <c r="E12563" t="s">
        <v>16755</v>
      </c>
      <c r="F12563" t="s">
        <v>17424</v>
      </c>
    </row>
    <row r="12564" spans="1:6" x14ac:dyDescent="0.25">
      <c r="A12564" t="str">
        <f>"6102080870"</f>
        <v>6102080870</v>
      </c>
      <c r="B12564" t="s">
        <v>17425</v>
      </c>
      <c r="C12564" t="s">
        <v>7</v>
      </c>
      <c r="D12564" t="s">
        <v>33</v>
      </c>
      <c r="E12564" t="s">
        <v>16755</v>
      </c>
      <c r="F12564" t="s">
        <v>17426</v>
      </c>
    </row>
    <row r="12565" spans="1:6" x14ac:dyDescent="0.25">
      <c r="A12565" t="str">
        <f>"610501123101"</f>
        <v>610501123101</v>
      </c>
      <c r="B12565" t="s">
        <v>17427</v>
      </c>
      <c r="C12565" t="s">
        <v>7</v>
      </c>
      <c r="D12565" t="s">
        <v>14</v>
      </c>
      <c r="E12565" t="s">
        <v>16755</v>
      </c>
    </row>
    <row r="12566" spans="1:6" x14ac:dyDescent="0.25">
      <c r="A12566" t="str">
        <f>"610600151928"</f>
        <v>610600151928</v>
      </c>
      <c r="B12566" t="s">
        <v>17428</v>
      </c>
      <c r="C12566" t="s">
        <v>7</v>
      </c>
      <c r="D12566" t="s">
        <v>14</v>
      </c>
      <c r="E12566" t="s">
        <v>16755</v>
      </c>
    </row>
    <row r="12567" spans="1:6" x14ac:dyDescent="0.25">
      <c r="A12567" t="str">
        <f>"610602444990"</f>
        <v>610602444990</v>
      </c>
      <c r="B12567" t="s">
        <v>17429</v>
      </c>
      <c r="C12567" t="s">
        <v>7</v>
      </c>
      <c r="D12567" t="s">
        <v>12</v>
      </c>
      <c r="E12567" t="s">
        <v>16755</v>
      </c>
    </row>
    <row r="12568" spans="1:6" x14ac:dyDescent="0.25">
      <c r="A12568" t="str">
        <f>"611001436203"</f>
        <v>611001436203</v>
      </c>
      <c r="B12568" t="s">
        <v>17430</v>
      </c>
      <c r="C12568" t="s">
        <v>7</v>
      </c>
      <c r="D12568" t="s">
        <v>12</v>
      </c>
      <c r="E12568" t="s">
        <v>16755</v>
      </c>
    </row>
    <row r="12569" spans="1:6" x14ac:dyDescent="0.25">
      <c r="A12569" t="str">
        <f>"611102909833"</f>
        <v>611102909833</v>
      </c>
      <c r="B12569" t="s">
        <v>17431</v>
      </c>
      <c r="C12569" t="s">
        <v>7</v>
      </c>
      <c r="D12569" t="s">
        <v>14</v>
      </c>
      <c r="E12569" t="s">
        <v>16755</v>
      </c>
    </row>
    <row r="12570" spans="1:6" x14ac:dyDescent="0.25">
      <c r="A12570" t="str">
        <f>"611104875957"</f>
        <v>611104875957</v>
      </c>
      <c r="B12570" t="s">
        <v>17432</v>
      </c>
      <c r="C12570" t="s">
        <v>7</v>
      </c>
      <c r="D12570" t="s">
        <v>33</v>
      </c>
      <c r="E12570" t="s">
        <v>16755</v>
      </c>
    </row>
    <row r="12571" spans="1:6" x14ac:dyDescent="0.25">
      <c r="A12571" t="str">
        <f>"6114017880"</f>
        <v>6114017880</v>
      </c>
      <c r="B12571" t="s">
        <v>17433</v>
      </c>
      <c r="C12571" t="s">
        <v>7</v>
      </c>
      <c r="D12571" t="s">
        <v>14</v>
      </c>
      <c r="E12571" t="s">
        <v>16755</v>
      </c>
      <c r="F12571" t="s">
        <v>17434</v>
      </c>
    </row>
    <row r="12572" spans="1:6" x14ac:dyDescent="0.25">
      <c r="A12572" t="str">
        <f>"611500252699"</f>
        <v>611500252699</v>
      </c>
      <c r="B12572" t="s">
        <v>17435</v>
      </c>
      <c r="C12572" t="s">
        <v>7</v>
      </c>
      <c r="D12572" t="s">
        <v>14</v>
      </c>
      <c r="E12572" t="s">
        <v>16755</v>
      </c>
    </row>
    <row r="12573" spans="1:6" x14ac:dyDescent="0.25">
      <c r="A12573" t="str">
        <f>"611800055028"</f>
        <v>611800055028</v>
      </c>
      <c r="B12573" t="s">
        <v>17436</v>
      </c>
      <c r="C12573" t="s">
        <v>7</v>
      </c>
      <c r="D12573" t="s">
        <v>14</v>
      </c>
      <c r="E12573" t="s">
        <v>16755</v>
      </c>
    </row>
    <row r="12574" spans="1:6" x14ac:dyDescent="0.25">
      <c r="A12574" t="str">
        <f>"611904338422"</f>
        <v>611904338422</v>
      </c>
      <c r="B12574" t="s">
        <v>17437</v>
      </c>
      <c r="C12574" t="s">
        <v>7</v>
      </c>
      <c r="D12574" t="s">
        <v>14</v>
      </c>
      <c r="E12574" t="s">
        <v>16755</v>
      </c>
    </row>
    <row r="12575" spans="1:6" x14ac:dyDescent="0.25">
      <c r="A12575" t="str">
        <f>"611904446114"</f>
        <v>611904446114</v>
      </c>
      <c r="B12575" t="s">
        <v>17438</v>
      </c>
      <c r="C12575" t="s">
        <v>7</v>
      </c>
      <c r="D12575" t="s">
        <v>14</v>
      </c>
      <c r="E12575" t="s">
        <v>16755</v>
      </c>
    </row>
    <row r="12576" spans="1:6" x14ac:dyDescent="0.25">
      <c r="A12576" t="str">
        <f>"611905266636"</f>
        <v>611905266636</v>
      </c>
      <c r="B12576" t="s">
        <v>17439</v>
      </c>
      <c r="C12576" t="s">
        <v>7</v>
      </c>
      <c r="D12576" t="s">
        <v>14</v>
      </c>
      <c r="E12576" t="s">
        <v>16755</v>
      </c>
    </row>
    <row r="12577" spans="1:6" x14ac:dyDescent="0.25">
      <c r="A12577" t="str">
        <f>"612201413501"</f>
        <v>612201413501</v>
      </c>
      <c r="B12577" t="s">
        <v>17440</v>
      </c>
      <c r="C12577" t="s">
        <v>7</v>
      </c>
      <c r="D12577" t="s">
        <v>14</v>
      </c>
      <c r="E12577" t="s">
        <v>16755</v>
      </c>
    </row>
    <row r="12578" spans="1:6" x14ac:dyDescent="0.25">
      <c r="A12578" t="str">
        <f>"6122022115"</f>
        <v>6122022115</v>
      </c>
      <c r="B12578" t="s">
        <v>17441</v>
      </c>
      <c r="C12578" t="s">
        <v>7</v>
      </c>
      <c r="D12578" t="s">
        <v>33</v>
      </c>
      <c r="E12578" t="s">
        <v>16755</v>
      </c>
      <c r="F12578" t="s">
        <v>17442</v>
      </c>
    </row>
    <row r="12579" spans="1:6" x14ac:dyDescent="0.25">
      <c r="A12579" t="str">
        <f>"612300707710"</f>
        <v>612300707710</v>
      </c>
      <c r="B12579" t="s">
        <v>17443</v>
      </c>
      <c r="C12579" t="s">
        <v>7</v>
      </c>
      <c r="D12579" t="s">
        <v>14</v>
      </c>
      <c r="E12579" t="s">
        <v>16755</v>
      </c>
    </row>
    <row r="12580" spans="1:6" x14ac:dyDescent="0.25">
      <c r="A12580" t="str">
        <f>"612301778383"</f>
        <v>612301778383</v>
      </c>
      <c r="B12580" t="s">
        <v>17444</v>
      </c>
      <c r="C12580" t="s">
        <v>7</v>
      </c>
      <c r="D12580" t="s">
        <v>14</v>
      </c>
      <c r="E12580" t="s">
        <v>16755</v>
      </c>
    </row>
    <row r="12581" spans="1:6" x14ac:dyDescent="0.25">
      <c r="A12581" t="str">
        <f>"612306854302"</f>
        <v>612306854302</v>
      </c>
      <c r="B12581" t="s">
        <v>17445</v>
      </c>
      <c r="C12581" t="s">
        <v>7</v>
      </c>
      <c r="D12581" t="s">
        <v>14</v>
      </c>
      <c r="E12581" t="s">
        <v>16755</v>
      </c>
    </row>
    <row r="12582" spans="1:6" x14ac:dyDescent="0.25">
      <c r="A12582" t="str">
        <f>"612309926562"</f>
        <v>612309926562</v>
      </c>
      <c r="B12582" t="s">
        <v>17446</v>
      </c>
      <c r="C12582" t="s">
        <v>7</v>
      </c>
      <c r="D12582" t="s">
        <v>12</v>
      </c>
      <c r="E12582" t="s">
        <v>16755</v>
      </c>
    </row>
    <row r="12583" spans="1:6" x14ac:dyDescent="0.25">
      <c r="A12583" t="str">
        <f>"612501454717"</f>
        <v>612501454717</v>
      </c>
      <c r="B12583" t="s">
        <v>17447</v>
      </c>
      <c r="C12583" t="s">
        <v>7</v>
      </c>
      <c r="D12583" t="s">
        <v>12</v>
      </c>
      <c r="E12583" t="s">
        <v>16755</v>
      </c>
    </row>
    <row r="12584" spans="1:6" x14ac:dyDescent="0.25">
      <c r="A12584" t="str">
        <f>"612507939556"</f>
        <v>612507939556</v>
      </c>
      <c r="B12584" t="s">
        <v>17448</v>
      </c>
      <c r="C12584" t="s">
        <v>7</v>
      </c>
      <c r="D12584" t="s">
        <v>14</v>
      </c>
      <c r="E12584" t="s">
        <v>16755</v>
      </c>
    </row>
    <row r="12585" spans="1:6" x14ac:dyDescent="0.25">
      <c r="A12585" t="str">
        <f>"612700100952"</f>
        <v>612700100952</v>
      </c>
      <c r="B12585" t="s">
        <v>17449</v>
      </c>
      <c r="C12585" t="s">
        <v>7</v>
      </c>
      <c r="D12585" t="s">
        <v>14</v>
      </c>
      <c r="E12585" t="s">
        <v>16755</v>
      </c>
    </row>
    <row r="12586" spans="1:6" x14ac:dyDescent="0.25">
      <c r="A12586" t="str">
        <f>"6128014907"</f>
        <v>6128014907</v>
      </c>
      <c r="B12586" t="s">
        <v>17450</v>
      </c>
      <c r="C12586" t="s">
        <v>7</v>
      </c>
      <c r="D12586" t="s">
        <v>33</v>
      </c>
      <c r="E12586" t="s">
        <v>16755</v>
      </c>
      <c r="F12586" t="s">
        <v>17451</v>
      </c>
    </row>
    <row r="12587" spans="1:6" x14ac:dyDescent="0.25">
      <c r="A12587" t="str">
        <f>"612803657880"</f>
        <v>612803657880</v>
      </c>
      <c r="B12587" t="s">
        <v>17452</v>
      </c>
      <c r="C12587" t="s">
        <v>7</v>
      </c>
      <c r="D12587" t="s">
        <v>14</v>
      </c>
      <c r="E12587" t="s">
        <v>16755</v>
      </c>
    </row>
    <row r="12588" spans="1:6" x14ac:dyDescent="0.25">
      <c r="A12588" t="str">
        <f>"612803738458"</f>
        <v>612803738458</v>
      </c>
      <c r="B12588" t="s">
        <v>17453</v>
      </c>
      <c r="C12588" t="s">
        <v>7</v>
      </c>
      <c r="D12588" t="s">
        <v>14</v>
      </c>
      <c r="E12588" t="s">
        <v>16755</v>
      </c>
    </row>
    <row r="12589" spans="1:6" x14ac:dyDescent="0.25">
      <c r="A12589" t="str">
        <f>"612900997360"</f>
        <v>612900997360</v>
      </c>
      <c r="B12589" t="s">
        <v>17454</v>
      </c>
      <c r="C12589" t="s">
        <v>7</v>
      </c>
      <c r="D12589" t="s">
        <v>14</v>
      </c>
      <c r="E12589" t="s">
        <v>16755</v>
      </c>
    </row>
    <row r="12590" spans="1:6" x14ac:dyDescent="0.25">
      <c r="A12590" t="str">
        <f>"613001829222"</f>
        <v>613001829222</v>
      </c>
      <c r="B12590" t="s">
        <v>17455</v>
      </c>
      <c r="C12590" t="s">
        <v>7</v>
      </c>
      <c r="D12590" t="s">
        <v>12</v>
      </c>
      <c r="E12590" t="s">
        <v>16755</v>
      </c>
    </row>
    <row r="12591" spans="1:6" x14ac:dyDescent="0.25">
      <c r="A12591" t="str">
        <f>"6131002524"</f>
        <v>6131002524</v>
      </c>
      <c r="B12591" t="s">
        <v>17456</v>
      </c>
      <c r="C12591" t="s">
        <v>7</v>
      </c>
      <c r="D12591" t="s">
        <v>14</v>
      </c>
      <c r="E12591" t="s">
        <v>16755</v>
      </c>
      <c r="F12591" t="s">
        <v>17457</v>
      </c>
    </row>
    <row r="12592" spans="1:6" x14ac:dyDescent="0.25">
      <c r="A12592" t="str">
        <f>"613202368701"</f>
        <v>613202368701</v>
      </c>
      <c r="B12592" t="s">
        <v>17458</v>
      </c>
      <c r="C12592" t="s">
        <v>7</v>
      </c>
      <c r="D12592" t="s">
        <v>14</v>
      </c>
      <c r="E12592" t="s">
        <v>16755</v>
      </c>
    </row>
    <row r="12593" spans="1:6" x14ac:dyDescent="0.25">
      <c r="A12593" t="str">
        <f>"613202990905"</f>
        <v>613202990905</v>
      </c>
      <c r="B12593" t="s">
        <v>17459</v>
      </c>
      <c r="C12593" t="s">
        <v>7</v>
      </c>
      <c r="D12593" t="s">
        <v>12</v>
      </c>
      <c r="E12593" t="s">
        <v>16755</v>
      </c>
    </row>
    <row r="12594" spans="1:6" x14ac:dyDescent="0.25">
      <c r="A12594" t="str">
        <f>"613300013094"</f>
        <v>613300013094</v>
      </c>
      <c r="B12594" t="s">
        <v>17460</v>
      </c>
      <c r="C12594" t="s">
        <v>7</v>
      </c>
      <c r="D12594" t="s">
        <v>14</v>
      </c>
      <c r="E12594" t="s">
        <v>16755</v>
      </c>
    </row>
    <row r="12595" spans="1:6" x14ac:dyDescent="0.25">
      <c r="A12595" t="str">
        <f>"613401556820"</f>
        <v>613401556820</v>
      </c>
      <c r="B12595" t="s">
        <v>17461</v>
      </c>
      <c r="C12595" t="s">
        <v>7</v>
      </c>
      <c r="D12595" t="s">
        <v>14</v>
      </c>
      <c r="E12595" t="s">
        <v>16755</v>
      </c>
    </row>
    <row r="12596" spans="1:6" x14ac:dyDescent="0.25">
      <c r="A12596" t="str">
        <f>"613402471713"</f>
        <v>613402471713</v>
      </c>
      <c r="B12596" t="s">
        <v>17462</v>
      </c>
      <c r="C12596" t="s">
        <v>7</v>
      </c>
      <c r="D12596" t="s">
        <v>14</v>
      </c>
      <c r="E12596" t="s">
        <v>16755</v>
      </c>
    </row>
    <row r="12597" spans="1:6" x14ac:dyDescent="0.25">
      <c r="A12597" t="str">
        <f>"613600062166"</f>
        <v>613600062166</v>
      </c>
      <c r="B12597" t="s">
        <v>17463</v>
      </c>
      <c r="C12597" t="s">
        <v>7</v>
      </c>
      <c r="D12597" t="s">
        <v>12</v>
      </c>
      <c r="E12597" t="s">
        <v>16755</v>
      </c>
    </row>
    <row r="12598" spans="1:6" x14ac:dyDescent="0.25">
      <c r="A12598" t="str">
        <f>"613700035504"</f>
        <v>613700035504</v>
      </c>
      <c r="B12598" t="s">
        <v>17464</v>
      </c>
      <c r="C12598" t="s">
        <v>7</v>
      </c>
      <c r="D12598" t="s">
        <v>14</v>
      </c>
      <c r="E12598" t="s">
        <v>16755</v>
      </c>
    </row>
    <row r="12599" spans="1:6" x14ac:dyDescent="0.25">
      <c r="A12599" t="str">
        <f>"613702390720"</f>
        <v>613702390720</v>
      </c>
      <c r="B12599" t="s">
        <v>17465</v>
      </c>
      <c r="C12599" t="s">
        <v>7</v>
      </c>
      <c r="D12599" t="s">
        <v>14</v>
      </c>
      <c r="E12599" t="s">
        <v>16755</v>
      </c>
    </row>
    <row r="12600" spans="1:6" x14ac:dyDescent="0.25">
      <c r="A12600" t="str">
        <f>"610101912278"</f>
        <v>610101912278</v>
      </c>
      <c r="B12600" t="s">
        <v>17466</v>
      </c>
      <c r="C12600" t="s">
        <v>7</v>
      </c>
      <c r="D12600" t="s">
        <v>14</v>
      </c>
      <c r="E12600" t="s">
        <v>16755</v>
      </c>
    </row>
    <row r="12601" spans="1:6" x14ac:dyDescent="0.25">
      <c r="A12601" t="str">
        <f>"6101021456"</f>
        <v>6101021456</v>
      </c>
      <c r="B12601" t="s">
        <v>17467</v>
      </c>
      <c r="C12601" t="s">
        <v>7</v>
      </c>
      <c r="D12601" t="s">
        <v>14</v>
      </c>
      <c r="E12601" t="s">
        <v>16755</v>
      </c>
      <c r="F12601" t="s">
        <v>17468</v>
      </c>
    </row>
    <row r="12602" spans="1:6" x14ac:dyDescent="0.25">
      <c r="A12602" t="str">
        <f>"610105553083"</f>
        <v>610105553083</v>
      </c>
      <c r="B12602" t="s">
        <v>17469</v>
      </c>
      <c r="C12602" t="s">
        <v>7</v>
      </c>
      <c r="D12602" t="s">
        <v>14</v>
      </c>
      <c r="E12602" t="s">
        <v>16755</v>
      </c>
    </row>
    <row r="12603" spans="1:6" x14ac:dyDescent="0.25">
      <c r="A12603" t="str">
        <f>"610110100963"</f>
        <v>610110100963</v>
      </c>
      <c r="B12603" t="s">
        <v>17470</v>
      </c>
      <c r="C12603" t="s">
        <v>7</v>
      </c>
      <c r="D12603" t="s">
        <v>14</v>
      </c>
      <c r="E12603" t="s">
        <v>16755</v>
      </c>
    </row>
    <row r="12604" spans="1:6" x14ac:dyDescent="0.25">
      <c r="A12604" t="str">
        <f>"610202265997"</f>
        <v>610202265997</v>
      </c>
      <c r="B12604" t="s">
        <v>17471</v>
      </c>
      <c r="C12604" t="s">
        <v>7</v>
      </c>
      <c r="D12604" t="s">
        <v>14</v>
      </c>
      <c r="E12604" t="s">
        <v>16755</v>
      </c>
    </row>
    <row r="12605" spans="1:6" x14ac:dyDescent="0.25">
      <c r="A12605" t="str">
        <f>"6102029232"</f>
        <v>6102029232</v>
      </c>
      <c r="B12605" t="s">
        <v>17472</v>
      </c>
      <c r="C12605" t="s">
        <v>7</v>
      </c>
      <c r="D12605" t="s">
        <v>12</v>
      </c>
      <c r="E12605" t="s">
        <v>16755</v>
      </c>
      <c r="F12605" t="s">
        <v>17473</v>
      </c>
    </row>
    <row r="12606" spans="1:6" x14ac:dyDescent="0.25">
      <c r="A12606" t="str">
        <f>"6102059170"</f>
        <v>6102059170</v>
      </c>
      <c r="B12606" t="s">
        <v>17474</v>
      </c>
      <c r="C12606" t="s">
        <v>7</v>
      </c>
      <c r="D12606" t="s">
        <v>12</v>
      </c>
      <c r="E12606" t="s">
        <v>16755</v>
      </c>
      <c r="F12606" t="s">
        <v>17475</v>
      </c>
    </row>
    <row r="12607" spans="1:6" x14ac:dyDescent="0.25">
      <c r="A12607" t="str">
        <f>"6102060828"</f>
        <v>6102060828</v>
      </c>
      <c r="B12607" t="s">
        <v>17476</v>
      </c>
      <c r="C12607" t="s">
        <v>7</v>
      </c>
      <c r="D12607" t="s">
        <v>14</v>
      </c>
      <c r="E12607" t="s">
        <v>16755</v>
      </c>
      <c r="F12607" t="s">
        <v>17420</v>
      </c>
    </row>
    <row r="12608" spans="1:6" x14ac:dyDescent="0.25">
      <c r="A12608" t="str">
        <f>"6102064928"</f>
        <v>6102064928</v>
      </c>
      <c r="B12608" t="s">
        <v>17477</v>
      </c>
      <c r="C12608" t="s">
        <v>7</v>
      </c>
      <c r="D12608" t="s">
        <v>12</v>
      </c>
      <c r="E12608" t="s">
        <v>16755</v>
      </c>
      <c r="F12608" t="s">
        <v>17478</v>
      </c>
    </row>
    <row r="12609" spans="1:6" x14ac:dyDescent="0.25">
      <c r="A12609" t="str">
        <f>"610206723609"</f>
        <v>610206723609</v>
      </c>
      <c r="B12609" t="s">
        <v>17479</v>
      </c>
      <c r="C12609" t="s">
        <v>7</v>
      </c>
      <c r="D12609" t="s">
        <v>14</v>
      </c>
      <c r="E12609" t="s">
        <v>16755</v>
      </c>
    </row>
    <row r="12610" spans="1:6" x14ac:dyDescent="0.25">
      <c r="A12610" t="str">
        <f>"6102078840"</f>
        <v>6102078840</v>
      </c>
      <c r="B12610" t="s">
        <v>17480</v>
      </c>
      <c r="C12610" t="s">
        <v>7</v>
      </c>
      <c r="D12610" t="s">
        <v>674</v>
      </c>
      <c r="E12610" t="s">
        <v>16755</v>
      </c>
      <c r="F12610" t="s">
        <v>17481</v>
      </c>
    </row>
    <row r="12611" spans="1:6" x14ac:dyDescent="0.25">
      <c r="A12611" t="str">
        <f>"6102079900"</f>
        <v>6102079900</v>
      </c>
      <c r="B12611" t="s">
        <v>17482</v>
      </c>
      <c r="C12611" t="s">
        <v>7</v>
      </c>
      <c r="D12611" t="s">
        <v>14</v>
      </c>
      <c r="E12611" t="s">
        <v>16755</v>
      </c>
      <c r="F12611" t="s">
        <v>17483</v>
      </c>
    </row>
    <row r="12612" spans="1:6" x14ac:dyDescent="0.25">
      <c r="A12612" t="str">
        <f>"610303546560"</f>
        <v>610303546560</v>
      </c>
      <c r="B12612" t="s">
        <v>17484</v>
      </c>
      <c r="C12612" t="s">
        <v>7</v>
      </c>
      <c r="D12612" t="s">
        <v>12</v>
      </c>
      <c r="E12612" t="s">
        <v>16755</v>
      </c>
    </row>
    <row r="12613" spans="1:6" x14ac:dyDescent="0.25">
      <c r="A12613" t="str">
        <f>"610601628882"</f>
        <v>610601628882</v>
      </c>
      <c r="B12613" t="s">
        <v>17485</v>
      </c>
      <c r="C12613" t="s">
        <v>7</v>
      </c>
      <c r="D12613" t="s">
        <v>14</v>
      </c>
      <c r="E12613" t="s">
        <v>16755</v>
      </c>
    </row>
    <row r="12614" spans="1:6" x14ac:dyDescent="0.25">
      <c r="A12614" t="str">
        <f>"610601633459"</f>
        <v>610601633459</v>
      </c>
      <c r="B12614" t="s">
        <v>17486</v>
      </c>
      <c r="C12614" t="s">
        <v>7</v>
      </c>
      <c r="D12614" t="s">
        <v>14</v>
      </c>
      <c r="E12614" t="s">
        <v>16755</v>
      </c>
    </row>
    <row r="12615" spans="1:6" x14ac:dyDescent="0.25">
      <c r="A12615" t="str">
        <f>"610602381500"</f>
        <v>610602381500</v>
      </c>
      <c r="B12615" t="s">
        <v>17487</v>
      </c>
      <c r="C12615" t="s">
        <v>7</v>
      </c>
      <c r="D12615" t="s">
        <v>14</v>
      </c>
      <c r="E12615" t="s">
        <v>16755</v>
      </c>
    </row>
    <row r="12616" spans="1:6" x14ac:dyDescent="0.25">
      <c r="A12616" t="str">
        <f>"610602391851"</f>
        <v>610602391851</v>
      </c>
      <c r="B12616" t="s">
        <v>17488</v>
      </c>
      <c r="C12616" t="s">
        <v>7</v>
      </c>
      <c r="D12616" t="s">
        <v>12</v>
      </c>
      <c r="E12616" t="s">
        <v>16755</v>
      </c>
    </row>
    <row r="12617" spans="1:6" x14ac:dyDescent="0.25">
      <c r="A12617" t="str">
        <f>"610701321132"</f>
        <v>610701321132</v>
      </c>
      <c r="B12617" t="s">
        <v>17489</v>
      </c>
      <c r="C12617" t="s">
        <v>7</v>
      </c>
      <c r="D12617" t="s">
        <v>14</v>
      </c>
      <c r="E12617" t="s">
        <v>16755</v>
      </c>
    </row>
    <row r="12618" spans="1:6" x14ac:dyDescent="0.25">
      <c r="A12618" t="str">
        <f>"610702815568"</f>
        <v>610702815568</v>
      </c>
      <c r="B12618" t="s">
        <v>17490</v>
      </c>
      <c r="C12618" t="s">
        <v>7</v>
      </c>
      <c r="D12618" t="s">
        <v>33</v>
      </c>
      <c r="E12618" t="s">
        <v>16755</v>
      </c>
    </row>
    <row r="12619" spans="1:6" x14ac:dyDescent="0.25">
      <c r="A12619" t="str">
        <f>"611200061703"</f>
        <v>611200061703</v>
      </c>
      <c r="B12619" t="s">
        <v>17491</v>
      </c>
      <c r="C12619" t="s">
        <v>7</v>
      </c>
      <c r="D12619" t="s">
        <v>14</v>
      </c>
      <c r="E12619" t="s">
        <v>16755</v>
      </c>
    </row>
    <row r="12620" spans="1:6" x14ac:dyDescent="0.25">
      <c r="A12620" t="str">
        <f>"611203124359"</f>
        <v>611203124359</v>
      </c>
      <c r="B12620" t="s">
        <v>17492</v>
      </c>
      <c r="C12620" t="s">
        <v>7</v>
      </c>
      <c r="D12620" t="s">
        <v>14</v>
      </c>
      <c r="E12620" t="s">
        <v>16755</v>
      </c>
    </row>
    <row r="12621" spans="1:6" x14ac:dyDescent="0.25">
      <c r="A12621" t="str">
        <f>"611203586480"</f>
        <v>611203586480</v>
      </c>
      <c r="B12621" t="s">
        <v>17493</v>
      </c>
      <c r="C12621" t="s">
        <v>7</v>
      </c>
      <c r="D12621" t="s">
        <v>14</v>
      </c>
      <c r="E12621" t="s">
        <v>16755</v>
      </c>
    </row>
    <row r="12622" spans="1:6" x14ac:dyDescent="0.25">
      <c r="A12622" t="str">
        <f>"6113010770"</f>
        <v>6113010770</v>
      </c>
      <c r="B12622" t="s">
        <v>17494</v>
      </c>
      <c r="C12622" t="s">
        <v>7</v>
      </c>
      <c r="D12622" t="s">
        <v>14</v>
      </c>
      <c r="E12622" t="s">
        <v>16755</v>
      </c>
      <c r="F12622" t="s">
        <v>17495</v>
      </c>
    </row>
    <row r="12623" spans="1:6" x14ac:dyDescent="0.25">
      <c r="A12623" t="str">
        <f>"611343965231"</f>
        <v>611343965231</v>
      </c>
      <c r="B12623" t="s">
        <v>17496</v>
      </c>
      <c r="C12623" t="s">
        <v>7</v>
      </c>
      <c r="D12623" t="s">
        <v>12</v>
      </c>
      <c r="E12623" t="s">
        <v>16755</v>
      </c>
    </row>
    <row r="12624" spans="1:6" x14ac:dyDescent="0.25">
      <c r="A12624" t="str">
        <f>"611400055062"</f>
        <v>611400055062</v>
      </c>
      <c r="B12624" t="s">
        <v>17497</v>
      </c>
      <c r="C12624" t="s">
        <v>7</v>
      </c>
      <c r="D12624" t="s">
        <v>146</v>
      </c>
      <c r="E12624" t="s">
        <v>16755</v>
      </c>
    </row>
    <row r="12625" spans="1:6" x14ac:dyDescent="0.25">
      <c r="A12625" t="str">
        <f>"6114007709"</f>
        <v>6114007709</v>
      </c>
      <c r="B12625" t="s">
        <v>12985</v>
      </c>
      <c r="C12625" t="s">
        <v>7</v>
      </c>
      <c r="D12625" t="s">
        <v>14</v>
      </c>
      <c r="E12625" t="s">
        <v>16755</v>
      </c>
      <c r="F12625" t="s">
        <v>17498</v>
      </c>
    </row>
    <row r="12626" spans="1:6" x14ac:dyDescent="0.25">
      <c r="A12626" t="str">
        <f>"611401607020"</f>
        <v>611401607020</v>
      </c>
      <c r="B12626" t="s">
        <v>17499</v>
      </c>
      <c r="C12626" t="s">
        <v>7</v>
      </c>
      <c r="D12626" t="s">
        <v>14</v>
      </c>
      <c r="E12626" t="s">
        <v>16755</v>
      </c>
    </row>
    <row r="12627" spans="1:6" x14ac:dyDescent="0.25">
      <c r="A12627" t="str">
        <f>"611600031206"</f>
        <v>611600031206</v>
      </c>
      <c r="B12627" t="s">
        <v>17500</v>
      </c>
      <c r="C12627" t="s">
        <v>7</v>
      </c>
      <c r="D12627" t="s">
        <v>14</v>
      </c>
      <c r="E12627" t="s">
        <v>16755</v>
      </c>
    </row>
    <row r="12628" spans="1:6" x14ac:dyDescent="0.25">
      <c r="A12628" t="str">
        <f>"611900145846"</f>
        <v>611900145846</v>
      </c>
      <c r="B12628" t="s">
        <v>17501</v>
      </c>
      <c r="C12628" t="s">
        <v>7</v>
      </c>
      <c r="D12628" t="s">
        <v>14</v>
      </c>
      <c r="E12628" t="s">
        <v>16755</v>
      </c>
    </row>
    <row r="12629" spans="1:6" x14ac:dyDescent="0.25">
      <c r="A12629" t="str">
        <f>"612000843906"</f>
        <v>612000843906</v>
      </c>
      <c r="B12629" t="s">
        <v>17502</v>
      </c>
      <c r="C12629" t="s">
        <v>7</v>
      </c>
      <c r="D12629" t="s">
        <v>14</v>
      </c>
      <c r="E12629" t="s">
        <v>16755</v>
      </c>
    </row>
    <row r="12630" spans="1:6" x14ac:dyDescent="0.25">
      <c r="A12630" t="str">
        <f>"612100009204"</f>
        <v>612100009204</v>
      </c>
      <c r="B12630" t="s">
        <v>17503</v>
      </c>
      <c r="C12630" t="s">
        <v>7</v>
      </c>
      <c r="D12630" t="s">
        <v>14</v>
      </c>
      <c r="E12630" t="s">
        <v>16755</v>
      </c>
    </row>
    <row r="12631" spans="1:6" x14ac:dyDescent="0.25">
      <c r="A12631" t="str">
        <f>"612200300329"</f>
        <v>612200300329</v>
      </c>
      <c r="B12631" t="s">
        <v>17504</v>
      </c>
      <c r="C12631" t="s">
        <v>7</v>
      </c>
      <c r="D12631" t="s">
        <v>14</v>
      </c>
      <c r="E12631" t="s">
        <v>16755</v>
      </c>
    </row>
    <row r="12632" spans="1:6" x14ac:dyDescent="0.25">
      <c r="A12632" t="str">
        <f>"612200440037"</f>
        <v>612200440037</v>
      </c>
      <c r="B12632" t="s">
        <v>17505</v>
      </c>
      <c r="C12632" t="s">
        <v>7</v>
      </c>
      <c r="D12632" t="s">
        <v>14</v>
      </c>
      <c r="E12632" t="s">
        <v>16755</v>
      </c>
    </row>
    <row r="12633" spans="1:6" x14ac:dyDescent="0.25">
      <c r="A12633" t="str">
        <f>"6122007420"</f>
        <v>6122007420</v>
      </c>
      <c r="B12633" t="s">
        <v>17506</v>
      </c>
      <c r="C12633" t="s">
        <v>7</v>
      </c>
      <c r="D12633" t="s">
        <v>8</v>
      </c>
      <c r="E12633" t="s">
        <v>16755</v>
      </c>
      <c r="F12633" t="s">
        <v>17507</v>
      </c>
    </row>
    <row r="12634" spans="1:6" x14ac:dyDescent="0.25">
      <c r="A12634" t="str">
        <f>"612200816868"</f>
        <v>612200816868</v>
      </c>
      <c r="B12634" t="s">
        <v>17508</v>
      </c>
      <c r="C12634" t="s">
        <v>7</v>
      </c>
      <c r="D12634" t="s">
        <v>14</v>
      </c>
      <c r="E12634" t="s">
        <v>16755</v>
      </c>
    </row>
    <row r="12635" spans="1:6" x14ac:dyDescent="0.25">
      <c r="A12635" t="str">
        <f>"612201323625"</f>
        <v>612201323625</v>
      </c>
      <c r="B12635" t="s">
        <v>17509</v>
      </c>
      <c r="C12635" t="s">
        <v>7</v>
      </c>
      <c r="D12635" t="s">
        <v>12</v>
      </c>
      <c r="E12635" t="s">
        <v>16755</v>
      </c>
    </row>
    <row r="12636" spans="1:6" x14ac:dyDescent="0.25">
      <c r="A12636" t="str">
        <f>"612201460692"</f>
        <v>612201460692</v>
      </c>
      <c r="B12636" t="s">
        <v>17510</v>
      </c>
      <c r="C12636" t="s">
        <v>7</v>
      </c>
      <c r="D12636" t="s">
        <v>14</v>
      </c>
      <c r="E12636" t="s">
        <v>16755</v>
      </c>
    </row>
    <row r="12637" spans="1:6" x14ac:dyDescent="0.25">
      <c r="A12637" t="str">
        <f>"612300119130"</f>
        <v>612300119130</v>
      </c>
      <c r="B12637" t="s">
        <v>17511</v>
      </c>
      <c r="C12637" t="s">
        <v>7</v>
      </c>
      <c r="D12637" t="s">
        <v>586</v>
      </c>
      <c r="E12637" t="s">
        <v>16755</v>
      </c>
    </row>
    <row r="12638" spans="1:6" x14ac:dyDescent="0.25">
      <c r="A12638" t="str">
        <f>"612309964504"</f>
        <v>612309964504</v>
      </c>
      <c r="B12638" t="s">
        <v>17512</v>
      </c>
      <c r="C12638" t="s">
        <v>7</v>
      </c>
      <c r="D12638" t="s">
        <v>14</v>
      </c>
      <c r="E12638" t="s">
        <v>16755</v>
      </c>
    </row>
    <row r="12639" spans="1:6" x14ac:dyDescent="0.25">
      <c r="A12639" t="str">
        <f>"612600115722"</f>
        <v>612600115722</v>
      </c>
      <c r="B12639" t="s">
        <v>17513</v>
      </c>
      <c r="C12639" t="s">
        <v>7</v>
      </c>
      <c r="D12639" t="s">
        <v>14</v>
      </c>
      <c r="E12639" t="s">
        <v>16755</v>
      </c>
    </row>
    <row r="12640" spans="1:6" x14ac:dyDescent="0.25">
      <c r="A12640" t="str">
        <f>"612602971133"</f>
        <v>612602971133</v>
      </c>
      <c r="B12640" t="s">
        <v>17514</v>
      </c>
      <c r="C12640" t="s">
        <v>7</v>
      </c>
      <c r="D12640" t="s">
        <v>14</v>
      </c>
      <c r="E12640" t="s">
        <v>16755</v>
      </c>
    </row>
    <row r="12641" spans="1:6" x14ac:dyDescent="0.25">
      <c r="A12641" t="str">
        <f>"612704279891"</f>
        <v>612704279891</v>
      </c>
      <c r="B12641" t="s">
        <v>17515</v>
      </c>
      <c r="C12641" t="s">
        <v>7</v>
      </c>
      <c r="D12641" t="s">
        <v>14</v>
      </c>
      <c r="E12641" t="s">
        <v>16755</v>
      </c>
    </row>
    <row r="12642" spans="1:6" x14ac:dyDescent="0.25">
      <c r="A12642" t="str">
        <f>"612801617200"</f>
        <v>612801617200</v>
      </c>
      <c r="B12642" t="s">
        <v>17516</v>
      </c>
      <c r="C12642" t="s">
        <v>7</v>
      </c>
      <c r="D12642" t="s">
        <v>14</v>
      </c>
      <c r="E12642" t="s">
        <v>16755</v>
      </c>
    </row>
    <row r="12643" spans="1:6" x14ac:dyDescent="0.25">
      <c r="A12643" t="str">
        <f>"613000827021"</f>
        <v>613000827021</v>
      </c>
      <c r="B12643" t="s">
        <v>17517</v>
      </c>
      <c r="C12643" t="s">
        <v>7</v>
      </c>
      <c r="D12643" t="s">
        <v>14</v>
      </c>
      <c r="E12643" t="s">
        <v>16755</v>
      </c>
    </row>
    <row r="12644" spans="1:6" x14ac:dyDescent="0.25">
      <c r="A12644" t="str">
        <f>"613207296352"</f>
        <v>613207296352</v>
      </c>
      <c r="B12644" t="s">
        <v>17518</v>
      </c>
      <c r="C12644" t="s">
        <v>7</v>
      </c>
      <c r="D12644" t="s">
        <v>12</v>
      </c>
      <c r="E12644" t="s">
        <v>16755</v>
      </c>
    </row>
    <row r="12645" spans="1:6" x14ac:dyDescent="0.25">
      <c r="A12645" t="str">
        <f>"6133002706"</f>
        <v>6133002706</v>
      </c>
      <c r="B12645" t="s">
        <v>17519</v>
      </c>
      <c r="C12645" t="s">
        <v>7</v>
      </c>
      <c r="D12645" t="s">
        <v>12</v>
      </c>
      <c r="E12645" t="s">
        <v>16755</v>
      </c>
      <c r="F12645" t="s">
        <v>17520</v>
      </c>
    </row>
    <row r="12646" spans="1:6" x14ac:dyDescent="0.25">
      <c r="A12646" t="str">
        <f>"613300290860"</f>
        <v>613300290860</v>
      </c>
      <c r="B12646" t="s">
        <v>17521</v>
      </c>
      <c r="C12646" t="s">
        <v>7</v>
      </c>
      <c r="D12646" t="s">
        <v>14</v>
      </c>
      <c r="E12646" t="s">
        <v>16755</v>
      </c>
    </row>
    <row r="12647" spans="1:6" x14ac:dyDescent="0.25">
      <c r="A12647" t="str">
        <f>"613303437430"</f>
        <v>613303437430</v>
      </c>
      <c r="B12647" t="s">
        <v>17522</v>
      </c>
      <c r="C12647" t="s">
        <v>7</v>
      </c>
      <c r="D12647" t="s">
        <v>14</v>
      </c>
      <c r="E12647" t="s">
        <v>16755</v>
      </c>
    </row>
    <row r="12648" spans="1:6" x14ac:dyDescent="0.25">
      <c r="A12648" t="str">
        <f>"613400003117"</f>
        <v>613400003117</v>
      </c>
      <c r="B12648" t="s">
        <v>17523</v>
      </c>
      <c r="C12648" t="s">
        <v>7</v>
      </c>
      <c r="D12648" t="s">
        <v>14</v>
      </c>
      <c r="E12648" t="s">
        <v>16755</v>
      </c>
    </row>
    <row r="12649" spans="1:6" x14ac:dyDescent="0.25">
      <c r="A12649" t="str">
        <f>"613400036401"</f>
        <v>613400036401</v>
      </c>
      <c r="B12649" t="s">
        <v>17524</v>
      </c>
      <c r="C12649" t="s">
        <v>7</v>
      </c>
      <c r="D12649" t="s">
        <v>14</v>
      </c>
      <c r="E12649" t="s">
        <v>16755</v>
      </c>
    </row>
    <row r="12650" spans="1:6" x14ac:dyDescent="0.25">
      <c r="A12650" t="str">
        <f>"613402540340"</f>
        <v>613402540340</v>
      </c>
      <c r="B12650" t="s">
        <v>17525</v>
      </c>
      <c r="C12650" t="s">
        <v>7</v>
      </c>
      <c r="D12650" t="s">
        <v>14</v>
      </c>
      <c r="E12650" t="s">
        <v>16755</v>
      </c>
    </row>
    <row r="12651" spans="1:6" x14ac:dyDescent="0.25">
      <c r="A12651" t="str">
        <f>"613402636242"</f>
        <v>613402636242</v>
      </c>
      <c r="B12651" t="s">
        <v>17526</v>
      </c>
      <c r="C12651" t="s">
        <v>7</v>
      </c>
      <c r="D12651" t="s">
        <v>14</v>
      </c>
      <c r="E12651" t="s">
        <v>16755</v>
      </c>
    </row>
    <row r="12652" spans="1:6" x14ac:dyDescent="0.25">
      <c r="A12652" t="str">
        <f>"613600395895"</f>
        <v>613600395895</v>
      </c>
      <c r="B12652" t="s">
        <v>17527</v>
      </c>
      <c r="C12652" t="s">
        <v>7</v>
      </c>
      <c r="D12652" t="s">
        <v>12</v>
      </c>
      <c r="E12652" t="s">
        <v>16755</v>
      </c>
    </row>
    <row r="12653" spans="1:6" x14ac:dyDescent="0.25">
      <c r="A12653" t="str">
        <f>"6136009530"</f>
        <v>6136009530</v>
      </c>
      <c r="B12653" t="s">
        <v>17528</v>
      </c>
      <c r="C12653" t="s">
        <v>7</v>
      </c>
      <c r="D12653" t="s">
        <v>14</v>
      </c>
      <c r="E12653" t="s">
        <v>16755</v>
      </c>
      <c r="F12653" t="s">
        <v>17529</v>
      </c>
    </row>
    <row r="12654" spans="1:6" x14ac:dyDescent="0.25">
      <c r="A12654" t="str">
        <f>"6102001276"</f>
        <v>6102001276</v>
      </c>
      <c r="B12654" t="s">
        <v>17530</v>
      </c>
      <c r="C12654" t="s">
        <v>7</v>
      </c>
      <c r="D12654" t="s">
        <v>12</v>
      </c>
      <c r="E12654" t="s">
        <v>16755</v>
      </c>
      <c r="F12654" t="s">
        <v>17531</v>
      </c>
    </row>
    <row r="12655" spans="1:6" x14ac:dyDescent="0.25">
      <c r="A12655" t="str">
        <f>"6102021755"</f>
        <v>6102021755</v>
      </c>
      <c r="B12655" t="s">
        <v>17532</v>
      </c>
      <c r="C12655" t="s">
        <v>7</v>
      </c>
      <c r="D12655" t="s">
        <v>14</v>
      </c>
      <c r="E12655" t="s">
        <v>16755</v>
      </c>
      <c r="F12655" t="s">
        <v>17533</v>
      </c>
    </row>
    <row r="12656" spans="1:6" x14ac:dyDescent="0.25">
      <c r="A12656" t="str">
        <f>"6102042025"</f>
        <v>6102042025</v>
      </c>
      <c r="B12656" t="s">
        <v>17534</v>
      </c>
      <c r="C12656" t="s">
        <v>7</v>
      </c>
      <c r="D12656" t="s">
        <v>12</v>
      </c>
      <c r="E12656" t="s">
        <v>16755</v>
      </c>
      <c r="F12656" t="s">
        <v>17535</v>
      </c>
    </row>
    <row r="12657" spans="1:6" x14ac:dyDescent="0.25">
      <c r="A12657" t="str">
        <f>"6102059886"</f>
        <v>6102059886</v>
      </c>
      <c r="B12657" t="s">
        <v>17536</v>
      </c>
      <c r="C12657" t="s">
        <v>7</v>
      </c>
      <c r="D12657" t="s">
        <v>674</v>
      </c>
      <c r="E12657" t="s">
        <v>16755</v>
      </c>
      <c r="F12657" t="s">
        <v>17537</v>
      </c>
    </row>
    <row r="12658" spans="1:6" x14ac:dyDescent="0.25">
      <c r="A12658" t="str">
        <f>"6102065946"</f>
        <v>6102065946</v>
      </c>
      <c r="B12658" t="s">
        <v>17538</v>
      </c>
      <c r="C12658" t="s">
        <v>7</v>
      </c>
      <c r="D12658" t="s">
        <v>460</v>
      </c>
      <c r="E12658" t="s">
        <v>16755</v>
      </c>
      <c r="F12658" t="s">
        <v>17539</v>
      </c>
    </row>
    <row r="12659" spans="1:6" x14ac:dyDescent="0.25">
      <c r="A12659" t="str">
        <f>"6102068457"</f>
        <v>6102068457</v>
      </c>
      <c r="B12659" t="s">
        <v>17540</v>
      </c>
      <c r="C12659" t="s">
        <v>7</v>
      </c>
      <c r="D12659" t="s">
        <v>33</v>
      </c>
      <c r="E12659" t="s">
        <v>16755</v>
      </c>
      <c r="F12659" t="s">
        <v>17541</v>
      </c>
    </row>
    <row r="12660" spans="1:6" x14ac:dyDescent="0.25">
      <c r="A12660" t="str">
        <f>"6111014112"</f>
        <v>6111014112</v>
      </c>
      <c r="B12660" t="s">
        <v>17542</v>
      </c>
      <c r="C12660" t="s">
        <v>7</v>
      </c>
      <c r="D12660" t="s">
        <v>14</v>
      </c>
      <c r="E12660" t="s">
        <v>16755</v>
      </c>
      <c r="F12660" t="s">
        <v>17543</v>
      </c>
    </row>
    <row r="12661" spans="1:6" x14ac:dyDescent="0.25">
      <c r="A12661" t="str">
        <f>"611407258576"</f>
        <v>611407258576</v>
      </c>
      <c r="B12661" t="s">
        <v>17544</v>
      </c>
      <c r="C12661" t="s">
        <v>7</v>
      </c>
      <c r="D12661" t="s">
        <v>12</v>
      </c>
      <c r="E12661" t="s">
        <v>16755</v>
      </c>
    </row>
    <row r="12662" spans="1:6" x14ac:dyDescent="0.25">
      <c r="A12662" t="str">
        <f>"6118007227"</f>
        <v>6118007227</v>
      </c>
      <c r="B12662" t="s">
        <v>17545</v>
      </c>
      <c r="C12662" t="s">
        <v>7</v>
      </c>
      <c r="D12662" t="s">
        <v>14</v>
      </c>
      <c r="E12662" t="s">
        <v>16755</v>
      </c>
      <c r="F12662" t="s">
        <v>17546</v>
      </c>
    </row>
    <row r="12663" spans="1:6" x14ac:dyDescent="0.25">
      <c r="A12663" t="str">
        <f>"611803510123"</f>
        <v>611803510123</v>
      </c>
      <c r="B12663" t="s">
        <v>17547</v>
      </c>
      <c r="C12663" t="s">
        <v>7</v>
      </c>
      <c r="D12663" t="s">
        <v>14</v>
      </c>
      <c r="E12663" t="s">
        <v>16755</v>
      </c>
    </row>
    <row r="12664" spans="1:6" x14ac:dyDescent="0.25">
      <c r="A12664" t="str">
        <f>"6119005374"</f>
        <v>6119005374</v>
      </c>
      <c r="B12664" t="s">
        <v>17548</v>
      </c>
      <c r="C12664" t="s">
        <v>7</v>
      </c>
      <c r="D12664" t="s">
        <v>12</v>
      </c>
      <c r="E12664" t="s">
        <v>16755</v>
      </c>
      <c r="F12664" t="s">
        <v>17549</v>
      </c>
    </row>
    <row r="12665" spans="1:6" x14ac:dyDescent="0.25">
      <c r="A12665" t="str">
        <f>"612102807495"</f>
        <v>612102807495</v>
      </c>
      <c r="B12665" t="s">
        <v>17550</v>
      </c>
      <c r="C12665" t="s">
        <v>7</v>
      </c>
      <c r="D12665" t="s">
        <v>14</v>
      </c>
      <c r="E12665" t="s">
        <v>16755</v>
      </c>
    </row>
    <row r="12666" spans="1:6" x14ac:dyDescent="0.25">
      <c r="A12666" t="str">
        <f>"612200856807"</f>
        <v>612200856807</v>
      </c>
      <c r="B12666" t="s">
        <v>17551</v>
      </c>
      <c r="C12666" t="s">
        <v>7</v>
      </c>
      <c r="D12666" t="s">
        <v>14</v>
      </c>
      <c r="E12666" t="s">
        <v>16755</v>
      </c>
    </row>
    <row r="12667" spans="1:6" x14ac:dyDescent="0.25">
      <c r="A12667" t="str">
        <f>"6122020848"</f>
        <v>6122020848</v>
      </c>
      <c r="B12667" t="s">
        <v>17552</v>
      </c>
      <c r="C12667" t="s">
        <v>7</v>
      </c>
      <c r="D12667" t="s">
        <v>12</v>
      </c>
      <c r="E12667" t="s">
        <v>16755</v>
      </c>
      <c r="F12667" t="s">
        <v>17553</v>
      </c>
    </row>
    <row r="12668" spans="1:6" x14ac:dyDescent="0.25">
      <c r="A12668" t="str">
        <f>"612202192608"</f>
        <v>612202192608</v>
      </c>
      <c r="B12668" t="s">
        <v>17554</v>
      </c>
      <c r="C12668" t="s">
        <v>7</v>
      </c>
      <c r="D12668" t="s">
        <v>12</v>
      </c>
      <c r="E12668" t="s">
        <v>16755</v>
      </c>
    </row>
    <row r="12669" spans="1:6" x14ac:dyDescent="0.25">
      <c r="A12669" t="str">
        <f>"612203743939"</f>
        <v>612203743939</v>
      </c>
      <c r="B12669" t="s">
        <v>17555</v>
      </c>
      <c r="C12669" t="s">
        <v>7</v>
      </c>
      <c r="D12669" t="s">
        <v>14</v>
      </c>
      <c r="E12669" t="s">
        <v>16755</v>
      </c>
    </row>
    <row r="12670" spans="1:6" x14ac:dyDescent="0.25">
      <c r="A12670" t="str">
        <f>"612401300103"</f>
        <v>612401300103</v>
      </c>
      <c r="B12670" t="s">
        <v>17556</v>
      </c>
      <c r="C12670" t="s">
        <v>7</v>
      </c>
      <c r="D12670" t="s">
        <v>14</v>
      </c>
      <c r="E12670" t="s">
        <v>16755</v>
      </c>
    </row>
    <row r="12671" spans="1:6" x14ac:dyDescent="0.25">
      <c r="A12671" t="str">
        <f>"612401482580"</f>
        <v>612401482580</v>
      </c>
      <c r="B12671" t="s">
        <v>17557</v>
      </c>
      <c r="C12671" t="s">
        <v>7</v>
      </c>
      <c r="D12671" t="s">
        <v>14</v>
      </c>
      <c r="E12671" t="s">
        <v>16755</v>
      </c>
    </row>
    <row r="12672" spans="1:6" x14ac:dyDescent="0.25">
      <c r="A12672" t="str">
        <f>"612505512977"</f>
        <v>612505512977</v>
      </c>
      <c r="B12672" t="s">
        <v>17558</v>
      </c>
      <c r="C12672" t="s">
        <v>7</v>
      </c>
      <c r="D12672" t="s">
        <v>33</v>
      </c>
      <c r="E12672" t="s">
        <v>16755</v>
      </c>
    </row>
    <row r="12673" spans="1:6" x14ac:dyDescent="0.25">
      <c r="A12673" t="str">
        <f>"612600106742"</f>
        <v>612600106742</v>
      </c>
      <c r="B12673" t="s">
        <v>17559</v>
      </c>
      <c r="C12673" t="s">
        <v>7</v>
      </c>
      <c r="D12673" t="s">
        <v>14</v>
      </c>
      <c r="E12673" t="s">
        <v>16755</v>
      </c>
    </row>
    <row r="12674" spans="1:6" x14ac:dyDescent="0.25">
      <c r="A12674" t="str">
        <f>"612600706806"</f>
        <v>612600706806</v>
      </c>
      <c r="B12674" t="s">
        <v>17560</v>
      </c>
      <c r="C12674" t="s">
        <v>7</v>
      </c>
      <c r="D12674" t="s">
        <v>14</v>
      </c>
      <c r="E12674" t="s">
        <v>16755</v>
      </c>
    </row>
    <row r="12675" spans="1:6" x14ac:dyDescent="0.25">
      <c r="A12675" t="str">
        <f>"612603447807"</f>
        <v>612603447807</v>
      </c>
      <c r="B12675" t="s">
        <v>17561</v>
      </c>
      <c r="C12675" t="s">
        <v>7</v>
      </c>
      <c r="D12675" t="s">
        <v>14</v>
      </c>
      <c r="E12675" t="s">
        <v>16755</v>
      </c>
    </row>
    <row r="12676" spans="1:6" x14ac:dyDescent="0.25">
      <c r="A12676" t="str">
        <f>"612603622350"</f>
        <v>612603622350</v>
      </c>
      <c r="B12676" t="s">
        <v>17562</v>
      </c>
      <c r="C12676" t="s">
        <v>7</v>
      </c>
      <c r="D12676" t="s">
        <v>14</v>
      </c>
      <c r="E12676" t="s">
        <v>16755</v>
      </c>
    </row>
    <row r="12677" spans="1:6" x14ac:dyDescent="0.25">
      <c r="A12677" t="str">
        <f>"612900112024"</f>
        <v>612900112024</v>
      </c>
      <c r="B12677" t="s">
        <v>17563</v>
      </c>
      <c r="C12677" t="s">
        <v>7</v>
      </c>
      <c r="D12677" t="s">
        <v>14</v>
      </c>
      <c r="E12677" t="s">
        <v>16755</v>
      </c>
    </row>
    <row r="12678" spans="1:6" x14ac:dyDescent="0.25">
      <c r="A12678" t="str">
        <f>"613070323941"</f>
        <v>613070323941</v>
      </c>
      <c r="B12678" t="s">
        <v>17564</v>
      </c>
      <c r="C12678" t="s">
        <v>7</v>
      </c>
      <c r="D12678" t="s">
        <v>14</v>
      </c>
      <c r="E12678" t="s">
        <v>16755</v>
      </c>
    </row>
    <row r="12679" spans="1:6" x14ac:dyDescent="0.25">
      <c r="A12679" t="str">
        <f>"613300612108"</f>
        <v>613300612108</v>
      </c>
      <c r="B12679" t="s">
        <v>17565</v>
      </c>
      <c r="C12679" t="s">
        <v>7</v>
      </c>
      <c r="D12679" t="s">
        <v>14</v>
      </c>
      <c r="E12679" t="s">
        <v>16755</v>
      </c>
    </row>
    <row r="12680" spans="1:6" x14ac:dyDescent="0.25">
      <c r="A12680" t="str">
        <f>"613402589779"</f>
        <v>613402589779</v>
      </c>
      <c r="B12680" t="s">
        <v>17566</v>
      </c>
      <c r="C12680" t="s">
        <v>7</v>
      </c>
      <c r="D12680" t="s">
        <v>14</v>
      </c>
      <c r="E12680" t="s">
        <v>16755</v>
      </c>
    </row>
    <row r="12681" spans="1:6" x14ac:dyDescent="0.25">
      <c r="A12681" t="str">
        <f>"6136010688"</f>
        <v>6136010688</v>
      </c>
      <c r="B12681" t="s">
        <v>17567</v>
      </c>
      <c r="C12681" t="s">
        <v>7</v>
      </c>
      <c r="D12681" t="s">
        <v>12</v>
      </c>
      <c r="E12681" t="s">
        <v>16755</v>
      </c>
      <c r="F12681" t="s">
        <v>17568</v>
      </c>
    </row>
    <row r="12682" spans="1:6" x14ac:dyDescent="0.25">
      <c r="A12682" t="str">
        <f>"613602562703"</f>
        <v>613602562703</v>
      </c>
      <c r="B12682" t="s">
        <v>17569</v>
      </c>
      <c r="C12682" t="s">
        <v>7</v>
      </c>
      <c r="D12682" t="s">
        <v>14</v>
      </c>
      <c r="E12682" t="s">
        <v>16755</v>
      </c>
    </row>
    <row r="12683" spans="1:6" x14ac:dyDescent="0.25">
      <c r="A12683" t="str">
        <f>"5257210866"</f>
        <v>5257210866</v>
      </c>
      <c r="B12683" t="s">
        <v>871</v>
      </c>
      <c r="C12683" t="s">
        <v>7</v>
      </c>
      <c r="D12683" t="s">
        <v>12</v>
      </c>
      <c r="E12683" t="s">
        <v>17570</v>
      </c>
      <c r="F12683" t="s">
        <v>17571</v>
      </c>
    </row>
    <row r="12684" spans="1:6" x14ac:dyDescent="0.25">
      <c r="A12684" t="str">
        <f>"6200005663"</f>
        <v>6200005663</v>
      </c>
      <c r="B12684" t="s">
        <v>17572</v>
      </c>
      <c r="C12684" t="s">
        <v>7</v>
      </c>
      <c r="D12684" t="s">
        <v>12</v>
      </c>
      <c r="E12684" t="s">
        <v>17570</v>
      </c>
      <c r="F12684" t="s">
        <v>17573</v>
      </c>
    </row>
    <row r="12685" spans="1:6" x14ac:dyDescent="0.25">
      <c r="A12685" t="str">
        <f>"6200013897"</f>
        <v>6200013897</v>
      </c>
      <c r="B12685" t="s">
        <v>17574</v>
      </c>
      <c r="C12685" t="s">
        <v>7</v>
      </c>
      <c r="D12685" t="s">
        <v>33</v>
      </c>
      <c r="E12685" t="s">
        <v>17570</v>
      </c>
      <c r="F12685" t="s">
        <v>17575</v>
      </c>
    </row>
    <row r="12686" spans="1:6" x14ac:dyDescent="0.25">
      <c r="A12686" t="str">
        <f>"620400004182"</f>
        <v>620400004182</v>
      </c>
      <c r="B12686" t="s">
        <v>17576</v>
      </c>
      <c r="C12686" t="s">
        <v>7</v>
      </c>
      <c r="D12686" t="s">
        <v>12</v>
      </c>
      <c r="E12686" t="s">
        <v>17570</v>
      </c>
    </row>
    <row r="12687" spans="1:6" x14ac:dyDescent="0.25">
      <c r="A12687" t="str">
        <f>"620400964383"</f>
        <v>620400964383</v>
      </c>
      <c r="B12687" t="s">
        <v>17577</v>
      </c>
      <c r="C12687" t="s">
        <v>7</v>
      </c>
      <c r="D12687" t="s">
        <v>12</v>
      </c>
      <c r="E12687" t="s">
        <v>17570</v>
      </c>
    </row>
    <row r="12688" spans="1:6" x14ac:dyDescent="0.25">
      <c r="A12688" t="str">
        <f>"620501971789"</f>
        <v>620501971789</v>
      </c>
      <c r="B12688" t="s">
        <v>17578</v>
      </c>
      <c r="C12688" t="s">
        <v>7</v>
      </c>
      <c r="D12688" t="s">
        <v>14</v>
      </c>
      <c r="E12688" t="s">
        <v>17570</v>
      </c>
    </row>
    <row r="12689" spans="1:6" x14ac:dyDescent="0.25">
      <c r="A12689" t="str">
        <f>"6208008377"</f>
        <v>6208008377</v>
      </c>
      <c r="B12689" t="s">
        <v>17579</v>
      </c>
      <c r="C12689" t="s">
        <v>7</v>
      </c>
      <c r="D12689" t="s">
        <v>14</v>
      </c>
      <c r="E12689" t="s">
        <v>17570</v>
      </c>
      <c r="F12689" t="s">
        <v>17580</v>
      </c>
    </row>
    <row r="12690" spans="1:6" x14ac:dyDescent="0.25">
      <c r="A12690" t="str">
        <f>"620804011347"</f>
        <v>620804011347</v>
      </c>
      <c r="B12690" t="s">
        <v>17581</v>
      </c>
      <c r="C12690" t="s">
        <v>7</v>
      </c>
      <c r="D12690" t="s">
        <v>14</v>
      </c>
      <c r="E12690" t="s">
        <v>17570</v>
      </c>
    </row>
    <row r="12691" spans="1:6" x14ac:dyDescent="0.25">
      <c r="A12691" t="str">
        <f>"6215010899"</f>
        <v>6215010899</v>
      </c>
      <c r="B12691" t="s">
        <v>17582</v>
      </c>
      <c r="C12691" t="s">
        <v>7</v>
      </c>
      <c r="D12691" t="s">
        <v>12</v>
      </c>
      <c r="E12691" t="s">
        <v>17570</v>
      </c>
      <c r="F12691" t="s">
        <v>17583</v>
      </c>
    </row>
    <row r="12692" spans="1:6" x14ac:dyDescent="0.25">
      <c r="A12692" t="str">
        <f>"6215027405"</f>
        <v>6215027405</v>
      </c>
      <c r="B12692" t="s">
        <v>17584</v>
      </c>
      <c r="C12692" t="s">
        <v>7</v>
      </c>
      <c r="D12692" t="s">
        <v>14</v>
      </c>
      <c r="E12692" t="s">
        <v>17570</v>
      </c>
      <c r="F12692" t="s">
        <v>17585</v>
      </c>
    </row>
    <row r="12693" spans="1:6" x14ac:dyDescent="0.25">
      <c r="A12693" t="str">
        <f>"6215030380"</f>
        <v>6215030380</v>
      </c>
      <c r="B12693" t="s">
        <v>17586</v>
      </c>
      <c r="C12693" t="s">
        <v>7</v>
      </c>
      <c r="D12693" t="s">
        <v>146</v>
      </c>
      <c r="E12693" t="s">
        <v>17570</v>
      </c>
      <c r="F12693" t="s">
        <v>17587</v>
      </c>
    </row>
    <row r="12694" spans="1:6" x14ac:dyDescent="0.25">
      <c r="A12694" t="str">
        <f>"6215035491"</f>
        <v>6215035491</v>
      </c>
      <c r="B12694" t="s">
        <v>17588</v>
      </c>
      <c r="C12694" t="s">
        <v>7</v>
      </c>
      <c r="D12694" t="s">
        <v>12</v>
      </c>
      <c r="E12694" t="s">
        <v>17570</v>
      </c>
      <c r="F12694" t="s">
        <v>17589</v>
      </c>
    </row>
    <row r="12695" spans="1:6" x14ac:dyDescent="0.25">
      <c r="A12695" t="str">
        <f>"621507888017"</f>
        <v>621507888017</v>
      </c>
      <c r="B12695" t="s">
        <v>17590</v>
      </c>
      <c r="C12695" t="s">
        <v>7</v>
      </c>
      <c r="D12695" t="s">
        <v>12</v>
      </c>
      <c r="E12695" t="s">
        <v>17570</v>
      </c>
    </row>
    <row r="12696" spans="1:6" x14ac:dyDescent="0.25">
      <c r="A12696" t="str">
        <f>"621601276950"</f>
        <v>621601276950</v>
      </c>
      <c r="B12696" t="s">
        <v>17591</v>
      </c>
      <c r="C12696" t="s">
        <v>7</v>
      </c>
      <c r="D12696" t="s">
        <v>14</v>
      </c>
      <c r="E12696" t="s">
        <v>17570</v>
      </c>
    </row>
    <row r="12697" spans="1:6" x14ac:dyDescent="0.25">
      <c r="A12697" t="str">
        <f>"621700297140"</f>
        <v>621700297140</v>
      </c>
      <c r="B12697" t="s">
        <v>17592</v>
      </c>
      <c r="C12697" t="s">
        <v>7</v>
      </c>
      <c r="D12697" t="s">
        <v>14</v>
      </c>
      <c r="E12697" t="s">
        <v>17570</v>
      </c>
    </row>
    <row r="12698" spans="1:6" x14ac:dyDescent="0.25">
      <c r="A12698" t="str">
        <f>"621701606457"</f>
        <v>621701606457</v>
      </c>
      <c r="B12698" t="s">
        <v>17593</v>
      </c>
      <c r="C12698" t="s">
        <v>7</v>
      </c>
      <c r="D12698" t="s">
        <v>674</v>
      </c>
      <c r="E12698" t="s">
        <v>17570</v>
      </c>
    </row>
    <row r="12699" spans="1:6" x14ac:dyDescent="0.25">
      <c r="A12699" t="str">
        <f>"622000637794"</f>
        <v>622000637794</v>
      </c>
      <c r="B12699" t="s">
        <v>17594</v>
      </c>
      <c r="C12699" t="s">
        <v>7</v>
      </c>
      <c r="D12699" t="s">
        <v>12</v>
      </c>
      <c r="E12699" t="s">
        <v>17570</v>
      </c>
    </row>
    <row r="12700" spans="1:6" x14ac:dyDescent="0.25">
      <c r="A12700" t="str">
        <f>"6221000151"</f>
        <v>6221000151</v>
      </c>
      <c r="B12700" t="s">
        <v>17595</v>
      </c>
      <c r="C12700" t="s">
        <v>7</v>
      </c>
      <c r="D12700" t="s">
        <v>14</v>
      </c>
      <c r="E12700" t="s">
        <v>17570</v>
      </c>
      <c r="F12700" t="s">
        <v>17596</v>
      </c>
    </row>
    <row r="12701" spans="1:6" x14ac:dyDescent="0.25">
      <c r="A12701" t="str">
        <f>"622401177801"</f>
        <v>622401177801</v>
      </c>
      <c r="B12701" t="s">
        <v>17597</v>
      </c>
      <c r="C12701" t="s">
        <v>7</v>
      </c>
      <c r="D12701" t="s">
        <v>12</v>
      </c>
      <c r="E12701" t="s">
        <v>17570</v>
      </c>
    </row>
    <row r="12702" spans="1:6" x14ac:dyDescent="0.25">
      <c r="A12702" t="str">
        <f>"622600064471"</f>
        <v>622600064471</v>
      </c>
      <c r="B12702" t="s">
        <v>17598</v>
      </c>
      <c r="C12702" t="s">
        <v>7</v>
      </c>
      <c r="D12702" t="s">
        <v>14</v>
      </c>
      <c r="E12702" t="s">
        <v>17570</v>
      </c>
    </row>
    <row r="12703" spans="1:6" x14ac:dyDescent="0.25">
      <c r="A12703" t="str">
        <f>"622600101860"</f>
        <v>622600101860</v>
      </c>
      <c r="B12703" t="s">
        <v>17599</v>
      </c>
      <c r="C12703" t="s">
        <v>7</v>
      </c>
      <c r="D12703" t="s">
        <v>14</v>
      </c>
      <c r="E12703" t="s">
        <v>17570</v>
      </c>
    </row>
    <row r="12704" spans="1:6" x14ac:dyDescent="0.25">
      <c r="A12704" t="str">
        <f>"622600269581"</f>
        <v>622600269581</v>
      </c>
      <c r="B12704" t="s">
        <v>17600</v>
      </c>
      <c r="C12704" t="s">
        <v>7</v>
      </c>
      <c r="D12704" t="s">
        <v>14</v>
      </c>
      <c r="E12704" t="s">
        <v>17570</v>
      </c>
    </row>
    <row r="12705" spans="1:6" x14ac:dyDescent="0.25">
      <c r="A12705" t="str">
        <f>"622602412325"</f>
        <v>622602412325</v>
      </c>
      <c r="B12705" t="s">
        <v>17601</v>
      </c>
      <c r="C12705" t="s">
        <v>7</v>
      </c>
      <c r="D12705" t="s">
        <v>14</v>
      </c>
      <c r="E12705" t="s">
        <v>17570</v>
      </c>
    </row>
    <row r="12706" spans="1:6" x14ac:dyDescent="0.25">
      <c r="A12706" t="str">
        <f>"6200001517"</f>
        <v>6200001517</v>
      </c>
      <c r="B12706" t="s">
        <v>17602</v>
      </c>
      <c r="C12706" t="s">
        <v>7</v>
      </c>
      <c r="D12706" t="s">
        <v>98</v>
      </c>
      <c r="E12706" t="s">
        <v>17570</v>
      </c>
      <c r="F12706" t="s">
        <v>17603</v>
      </c>
    </row>
    <row r="12707" spans="1:6" x14ac:dyDescent="0.25">
      <c r="A12707" t="str">
        <f>"6200003426"</f>
        <v>6200003426</v>
      </c>
      <c r="B12707" t="s">
        <v>17604</v>
      </c>
      <c r="C12707" t="s">
        <v>7</v>
      </c>
      <c r="D12707" t="s">
        <v>33</v>
      </c>
      <c r="E12707" t="s">
        <v>17570</v>
      </c>
      <c r="F12707" t="s">
        <v>17605</v>
      </c>
    </row>
    <row r="12708" spans="1:6" x14ac:dyDescent="0.25">
      <c r="A12708" t="str">
        <f>"620500541166"</f>
        <v>620500541166</v>
      </c>
      <c r="B12708" t="s">
        <v>17606</v>
      </c>
      <c r="C12708" t="s">
        <v>7</v>
      </c>
      <c r="D12708" t="s">
        <v>14</v>
      </c>
      <c r="E12708" t="s">
        <v>17570</v>
      </c>
    </row>
    <row r="12709" spans="1:6" x14ac:dyDescent="0.25">
      <c r="A12709" t="str">
        <f>"620550377313"</f>
        <v>620550377313</v>
      </c>
      <c r="B12709" t="s">
        <v>17607</v>
      </c>
      <c r="C12709" t="s">
        <v>7</v>
      </c>
      <c r="D12709" t="s">
        <v>12</v>
      </c>
      <c r="E12709" t="s">
        <v>17570</v>
      </c>
    </row>
    <row r="12710" spans="1:6" x14ac:dyDescent="0.25">
      <c r="A12710" t="str">
        <f>"620600003281"</f>
        <v>620600003281</v>
      </c>
      <c r="B12710" t="s">
        <v>17608</v>
      </c>
      <c r="C12710" t="s">
        <v>7</v>
      </c>
      <c r="D12710" t="s">
        <v>14</v>
      </c>
      <c r="E12710" t="s">
        <v>17570</v>
      </c>
    </row>
    <row r="12711" spans="1:6" x14ac:dyDescent="0.25">
      <c r="A12711" t="str">
        <f>"620802354878"</f>
        <v>620802354878</v>
      </c>
      <c r="B12711" t="s">
        <v>17609</v>
      </c>
      <c r="C12711" t="s">
        <v>7</v>
      </c>
      <c r="D12711" t="s">
        <v>14</v>
      </c>
      <c r="E12711" t="s">
        <v>17570</v>
      </c>
    </row>
    <row r="12712" spans="1:6" x14ac:dyDescent="0.25">
      <c r="A12712" t="str">
        <f>"620803201401"</f>
        <v>620803201401</v>
      </c>
      <c r="B12712" t="s">
        <v>17610</v>
      </c>
      <c r="C12712" t="s">
        <v>7</v>
      </c>
      <c r="D12712" t="s">
        <v>14</v>
      </c>
      <c r="E12712" t="s">
        <v>17570</v>
      </c>
    </row>
    <row r="12713" spans="1:6" x14ac:dyDescent="0.25">
      <c r="A12713" t="str">
        <f>"620901053423"</f>
        <v>620901053423</v>
      </c>
      <c r="B12713" t="s">
        <v>17611</v>
      </c>
      <c r="C12713" t="s">
        <v>7</v>
      </c>
      <c r="D12713" t="s">
        <v>14</v>
      </c>
      <c r="E12713" t="s">
        <v>17570</v>
      </c>
    </row>
    <row r="12714" spans="1:6" x14ac:dyDescent="0.25">
      <c r="A12714" t="str">
        <f>"6215024059"</f>
        <v>6215024059</v>
      </c>
      <c r="B12714" t="s">
        <v>17612</v>
      </c>
      <c r="C12714" t="s">
        <v>7</v>
      </c>
      <c r="D12714" t="s">
        <v>14</v>
      </c>
      <c r="E12714" t="s">
        <v>17570</v>
      </c>
      <c r="F12714" t="s">
        <v>17613</v>
      </c>
    </row>
    <row r="12715" spans="1:6" x14ac:dyDescent="0.25">
      <c r="A12715" t="str">
        <f>"621506627816"</f>
        <v>621506627816</v>
      </c>
      <c r="B12715" t="s">
        <v>17614</v>
      </c>
      <c r="C12715" t="s">
        <v>7</v>
      </c>
      <c r="D12715" t="s">
        <v>14</v>
      </c>
      <c r="E12715" t="s">
        <v>17570</v>
      </c>
    </row>
    <row r="12716" spans="1:6" x14ac:dyDescent="0.25">
      <c r="A12716" t="str">
        <f>"620100498646"</f>
        <v>620100498646</v>
      </c>
      <c r="B12716" t="s">
        <v>17615</v>
      </c>
      <c r="C12716" t="s">
        <v>7</v>
      </c>
      <c r="D12716" t="s">
        <v>14</v>
      </c>
      <c r="E12716" t="s">
        <v>17570</v>
      </c>
    </row>
    <row r="12717" spans="1:6" x14ac:dyDescent="0.25">
      <c r="A12717" t="str">
        <f>"620402214883"</f>
        <v>620402214883</v>
      </c>
      <c r="B12717" t="s">
        <v>17616</v>
      </c>
      <c r="C12717" t="s">
        <v>7</v>
      </c>
      <c r="D12717" t="s">
        <v>12</v>
      </c>
      <c r="E12717" t="s">
        <v>17570</v>
      </c>
    </row>
    <row r="12718" spans="1:6" x14ac:dyDescent="0.25">
      <c r="A12718" t="str">
        <f>"620402686484"</f>
        <v>620402686484</v>
      </c>
      <c r="B12718" t="s">
        <v>17617</v>
      </c>
      <c r="C12718" t="s">
        <v>7</v>
      </c>
      <c r="D12718" t="s">
        <v>14</v>
      </c>
      <c r="E12718" t="s">
        <v>17570</v>
      </c>
    </row>
    <row r="12719" spans="1:6" x14ac:dyDescent="0.25">
      <c r="A12719" t="str">
        <f>"620800039052"</f>
        <v>620800039052</v>
      </c>
      <c r="B12719" t="s">
        <v>17618</v>
      </c>
      <c r="C12719" t="s">
        <v>7</v>
      </c>
      <c r="D12719" t="s">
        <v>14</v>
      </c>
      <c r="E12719" t="s">
        <v>17570</v>
      </c>
    </row>
    <row r="12720" spans="1:6" x14ac:dyDescent="0.25">
      <c r="A12720" t="str">
        <f>"620800048032"</f>
        <v>620800048032</v>
      </c>
      <c r="B12720" t="s">
        <v>17619</v>
      </c>
      <c r="C12720" t="s">
        <v>7</v>
      </c>
      <c r="D12720" t="s">
        <v>12</v>
      </c>
      <c r="E12720" t="s">
        <v>17570</v>
      </c>
    </row>
    <row r="12721" spans="1:6" x14ac:dyDescent="0.25">
      <c r="A12721" t="str">
        <f>"620800105717"</f>
        <v>620800105717</v>
      </c>
      <c r="B12721" t="s">
        <v>17620</v>
      </c>
      <c r="C12721" t="s">
        <v>7</v>
      </c>
      <c r="D12721" t="s">
        <v>14</v>
      </c>
      <c r="E12721" t="s">
        <v>17570</v>
      </c>
    </row>
    <row r="12722" spans="1:6" x14ac:dyDescent="0.25">
      <c r="A12722" t="str">
        <f>"620802107893"</f>
        <v>620802107893</v>
      </c>
      <c r="B12722" t="s">
        <v>17621</v>
      </c>
      <c r="C12722" t="s">
        <v>7</v>
      </c>
      <c r="D12722" t="s">
        <v>14</v>
      </c>
      <c r="E12722" t="s">
        <v>17570</v>
      </c>
    </row>
    <row r="12723" spans="1:6" x14ac:dyDescent="0.25">
      <c r="A12723" t="str">
        <f>"621200070888"</f>
        <v>621200070888</v>
      </c>
      <c r="B12723" t="s">
        <v>17622</v>
      </c>
      <c r="C12723" t="s">
        <v>7</v>
      </c>
      <c r="D12723" t="s">
        <v>14</v>
      </c>
      <c r="E12723" t="s">
        <v>17570</v>
      </c>
    </row>
    <row r="12724" spans="1:6" x14ac:dyDescent="0.25">
      <c r="A12724" t="str">
        <f>"621300016490"</f>
        <v>621300016490</v>
      </c>
      <c r="B12724" t="s">
        <v>17623</v>
      </c>
      <c r="C12724" t="s">
        <v>7</v>
      </c>
      <c r="D12724" t="s">
        <v>14</v>
      </c>
      <c r="E12724" t="s">
        <v>17570</v>
      </c>
    </row>
    <row r="12725" spans="1:6" x14ac:dyDescent="0.25">
      <c r="A12725" t="str">
        <f>"621403334039"</f>
        <v>621403334039</v>
      </c>
      <c r="B12725" t="s">
        <v>17624</v>
      </c>
      <c r="C12725" t="s">
        <v>7</v>
      </c>
      <c r="D12725" t="s">
        <v>12</v>
      </c>
      <c r="E12725" t="s">
        <v>17570</v>
      </c>
    </row>
    <row r="12726" spans="1:6" x14ac:dyDescent="0.25">
      <c r="A12726" t="str">
        <f>"6215034258"</f>
        <v>6215034258</v>
      </c>
      <c r="B12726" t="s">
        <v>17625</v>
      </c>
      <c r="C12726" t="s">
        <v>7</v>
      </c>
      <c r="D12726" t="s">
        <v>14</v>
      </c>
      <c r="E12726" t="s">
        <v>17570</v>
      </c>
      <c r="F12726" t="s">
        <v>17626</v>
      </c>
    </row>
    <row r="12727" spans="1:6" x14ac:dyDescent="0.25">
      <c r="A12727" t="str">
        <f>"621506085377"</f>
        <v>621506085377</v>
      </c>
      <c r="B12727" t="s">
        <v>17627</v>
      </c>
      <c r="C12727" t="s">
        <v>7</v>
      </c>
      <c r="D12727" t="s">
        <v>14</v>
      </c>
      <c r="E12727" t="s">
        <v>17570</v>
      </c>
    </row>
    <row r="12728" spans="1:6" x14ac:dyDescent="0.25">
      <c r="A12728" t="str">
        <f>"621509109636"</f>
        <v>621509109636</v>
      </c>
      <c r="B12728" t="s">
        <v>17628</v>
      </c>
      <c r="C12728" t="s">
        <v>7</v>
      </c>
      <c r="D12728" t="s">
        <v>12</v>
      </c>
      <c r="E12728" t="s">
        <v>17570</v>
      </c>
    </row>
    <row r="12729" spans="1:6" x14ac:dyDescent="0.25">
      <c r="A12729" t="str">
        <f>"621800273858"</f>
        <v>621800273858</v>
      </c>
      <c r="B12729" t="s">
        <v>17629</v>
      </c>
      <c r="C12729" t="s">
        <v>7</v>
      </c>
      <c r="D12729" t="s">
        <v>12</v>
      </c>
      <c r="E12729" t="s">
        <v>17570</v>
      </c>
    </row>
    <row r="12730" spans="1:6" x14ac:dyDescent="0.25">
      <c r="A12730" t="str">
        <f>"6220006143"</f>
        <v>6220006143</v>
      </c>
      <c r="B12730" t="s">
        <v>17630</v>
      </c>
      <c r="C12730" t="s">
        <v>7</v>
      </c>
      <c r="D12730" t="s">
        <v>14</v>
      </c>
      <c r="E12730" t="s">
        <v>17570</v>
      </c>
      <c r="F12730" t="s">
        <v>17631</v>
      </c>
    </row>
    <row r="12731" spans="1:6" x14ac:dyDescent="0.25">
      <c r="A12731" t="str">
        <f>"622101239630"</f>
        <v>622101239630</v>
      </c>
      <c r="B12731" t="s">
        <v>17632</v>
      </c>
      <c r="C12731" t="s">
        <v>7</v>
      </c>
      <c r="D12731" t="s">
        <v>12</v>
      </c>
      <c r="E12731" t="s">
        <v>17570</v>
      </c>
    </row>
    <row r="12732" spans="1:6" x14ac:dyDescent="0.25">
      <c r="A12732" t="str">
        <f>"622402006615"</f>
        <v>622402006615</v>
      </c>
      <c r="B12732" t="s">
        <v>17633</v>
      </c>
      <c r="C12732" t="s">
        <v>7</v>
      </c>
      <c r="D12732" t="s">
        <v>14</v>
      </c>
      <c r="E12732" t="s">
        <v>17570</v>
      </c>
    </row>
    <row r="12733" spans="1:6" x14ac:dyDescent="0.25">
      <c r="A12733" t="str">
        <f>"622600000291"</f>
        <v>622600000291</v>
      </c>
      <c r="B12733" t="s">
        <v>17634</v>
      </c>
      <c r="C12733" t="s">
        <v>7</v>
      </c>
      <c r="D12733" t="s">
        <v>14</v>
      </c>
      <c r="E12733" t="s">
        <v>17570</v>
      </c>
    </row>
    <row r="12734" spans="1:6" x14ac:dyDescent="0.25">
      <c r="A12734" t="str">
        <f>"622700326226"</f>
        <v>622700326226</v>
      </c>
      <c r="B12734" t="s">
        <v>17635</v>
      </c>
      <c r="C12734" t="s">
        <v>7</v>
      </c>
      <c r="D12734" t="s">
        <v>12</v>
      </c>
      <c r="E12734" t="s">
        <v>17570</v>
      </c>
    </row>
    <row r="12735" spans="1:6" x14ac:dyDescent="0.25">
      <c r="A12735" t="str">
        <f>"622700631558"</f>
        <v>622700631558</v>
      </c>
      <c r="B12735" t="s">
        <v>17636</v>
      </c>
      <c r="C12735" t="s">
        <v>7</v>
      </c>
      <c r="D12735" t="s">
        <v>14</v>
      </c>
      <c r="E12735" t="s">
        <v>17570</v>
      </c>
    </row>
    <row r="12736" spans="1:6" x14ac:dyDescent="0.25">
      <c r="A12736" t="str">
        <f>"6227007682"</f>
        <v>6227007682</v>
      </c>
      <c r="B12736" t="s">
        <v>17637</v>
      </c>
      <c r="C12736" t="s">
        <v>7</v>
      </c>
      <c r="D12736" t="s">
        <v>146</v>
      </c>
      <c r="E12736" t="s">
        <v>17570</v>
      </c>
      <c r="F12736" t="s">
        <v>17638</v>
      </c>
    </row>
    <row r="12737" spans="1:6" x14ac:dyDescent="0.25">
      <c r="A12737" t="str">
        <f>"622701203403"</f>
        <v>622701203403</v>
      </c>
      <c r="B12737" t="s">
        <v>17639</v>
      </c>
      <c r="C12737" t="s">
        <v>7</v>
      </c>
      <c r="D12737" t="s">
        <v>12</v>
      </c>
      <c r="E12737" t="s">
        <v>17570</v>
      </c>
    </row>
    <row r="12738" spans="1:6" x14ac:dyDescent="0.25">
      <c r="A12738" t="str">
        <f>"622703446391"</f>
        <v>622703446391</v>
      </c>
      <c r="B12738" t="s">
        <v>17640</v>
      </c>
      <c r="C12738" t="s">
        <v>7</v>
      </c>
      <c r="D12738" t="s">
        <v>14</v>
      </c>
      <c r="E12738" t="s">
        <v>17570</v>
      </c>
    </row>
    <row r="12739" spans="1:6" x14ac:dyDescent="0.25">
      <c r="A12739" t="str">
        <f>"622709088858"</f>
        <v>622709088858</v>
      </c>
      <c r="B12739" t="s">
        <v>17641</v>
      </c>
      <c r="C12739" t="s">
        <v>7</v>
      </c>
      <c r="D12739" t="s">
        <v>12</v>
      </c>
      <c r="E12739" t="s">
        <v>17570</v>
      </c>
    </row>
    <row r="12740" spans="1:6" x14ac:dyDescent="0.25">
      <c r="A12740" t="str">
        <f>"6228042016"</f>
        <v>6228042016</v>
      </c>
      <c r="B12740" t="s">
        <v>17642</v>
      </c>
      <c r="C12740" t="s">
        <v>7</v>
      </c>
      <c r="D12740" t="s">
        <v>12</v>
      </c>
      <c r="E12740" t="s">
        <v>17570</v>
      </c>
      <c r="F12740" t="s">
        <v>17643</v>
      </c>
    </row>
    <row r="12741" spans="1:6" x14ac:dyDescent="0.25">
      <c r="A12741" t="str">
        <f>"622813224680"</f>
        <v>622813224680</v>
      </c>
      <c r="B12741" t="s">
        <v>17644</v>
      </c>
      <c r="C12741" t="s">
        <v>7</v>
      </c>
      <c r="D12741" t="s">
        <v>12</v>
      </c>
      <c r="E12741" t="s">
        <v>17570</v>
      </c>
    </row>
    <row r="12742" spans="1:6" x14ac:dyDescent="0.25">
      <c r="A12742" t="str">
        <f>"622900017426"</f>
        <v>622900017426</v>
      </c>
      <c r="B12742" t="s">
        <v>17645</v>
      </c>
      <c r="C12742" t="s">
        <v>7</v>
      </c>
      <c r="D12742" t="s">
        <v>14</v>
      </c>
      <c r="E12742" t="s">
        <v>17570</v>
      </c>
    </row>
    <row r="12743" spans="1:6" x14ac:dyDescent="0.25">
      <c r="A12743" t="str">
        <f>"622900626001"</f>
        <v>622900626001</v>
      </c>
      <c r="B12743" t="s">
        <v>17646</v>
      </c>
      <c r="C12743" t="s">
        <v>7</v>
      </c>
      <c r="D12743" t="s">
        <v>14</v>
      </c>
      <c r="E12743" t="s">
        <v>17570</v>
      </c>
    </row>
    <row r="12744" spans="1:6" x14ac:dyDescent="0.25">
      <c r="A12744" t="str">
        <f>"622902344010"</f>
        <v>622902344010</v>
      </c>
      <c r="B12744" t="s">
        <v>17647</v>
      </c>
      <c r="C12744" t="s">
        <v>7</v>
      </c>
      <c r="D12744" t="s">
        <v>12</v>
      </c>
      <c r="E12744" t="s">
        <v>17570</v>
      </c>
    </row>
    <row r="12745" spans="1:6" x14ac:dyDescent="0.25">
      <c r="A12745" t="str">
        <f>"622906662006"</f>
        <v>622906662006</v>
      </c>
      <c r="B12745" t="s">
        <v>17648</v>
      </c>
      <c r="C12745" t="s">
        <v>7</v>
      </c>
      <c r="D12745" t="s">
        <v>14</v>
      </c>
      <c r="E12745" t="s">
        <v>17570</v>
      </c>
    </row>
    <row r="12746" spans="1:6" x14ac:dyDescent="0.25">
      <c r="A12746" t="str">
        <f>"6229083640"</f>
        <v>6229083640</v>
      </c>
      <c r="B12746" t="s">
        <v>17649</v>
      </c>
      <c r="C12746" t="s">
        <v>7</v>
      </c>
      <c r="D12746" t="s">
        <v>33</v>
      </c>
      <c r="E12746" t="s">
        <v>17570</v>
      </c>
      <c r="F12746" t="s">
        <v>17650</v>
      </c>
    </row>
    <row r="12747" spans="1:6" x14ac:dyDescent="0.25">
      <c r="A12747" t="str">
        <f>"6229086827"</f>
        <v>6229086827</v>
      </c>
      <c r="B12747" t="s">
        <v>17651</v>
      </c>
      <c r="C12747" t="s">
        <v>7</v>
      </c>
      <c r="D12747" t="s">
        <v>14</v>
      </c>
      <c r="E12747" t="s">
        <v>17570</v>
      </c>
      <c r="F12747" t="s">
        <v>17652</v>
      </c>
    </row>
    <row r="12748" spans="1:6" x14ac:dyDescent="0.25">
      <c r="A12748" t="str">
        <f>"6229090414"</f>
        <v>6229090414</v>
      </c>
      <c r="B12748" t="s">
        <v>17653</v>
      </c>
      <c r="C12748" t="s">
        <v>7</v>
      </c>
      <c r="D12748" t="s">
        <v>33</v>
      </c>
      <c r="E12748" t="s">
        <v>17570</v>
      </c>
      <c r="F12748" t="s">
        <v>17654</v>
      </c>
    </row>
    <row r="12749" spans="1:6" x14ac:dyDescent="0.25">
      <c r="A12749" t="str">
        <f>"622910218474"</f>
        <v>622910218474</v>
      </c>
      <c r="B12749" t="s">
        <v>17655</v>
      </c>
      <c r="C12749" t="s">
        <v>7</v>
      </c>
      <c r="D12749" t="s">
        <v>12</v>
      </c>
      <c r="E12749" t="s">
        <v>17570</v>
      </c>
    </row>
    <row r="12750" spans="1:6" x14ac:dyDescent="0.25">
      <c r="A12750" t="str">
        <f>"623003552396"</f>
        <v>623003552396</v>
      </c>
      <c r="B12750" t="s">
        <v>17656</v>
      </c>
      <c r="C12750" t="s">
        <v>7</v>
      </c>
      <c r="D12750" t="s">
        <v>14</v>
      </c>
      <c r="E12750" t="s">
        <v>17570</v>
      </c>
    </row>
    <row r="12751" spans="1:6" x14ac:dyDescent="0.25">
      <c r="A12751" t="str">
        <f>"623003945661"</f>
        <v>623003945661</v>
      </c>
      <c r="B12751" t="s">
        <v>17657</v>
      </c>
      <c r="C12751" t="s">
        <v>7</v>
      </c>
      <c r="D12751" t="s">
        <v>12</v>
      </c>
      <c r="E12751" t="s">
        <v>17570</v>
      </c>
    </row>
    <row r="12752" spans="1:6" x14ac:dyDescent="0.25">
      <c r="A12752" t="str">
        <f>"6230049019"</f>
        <v>6230049019</v>
      </c>
      <c r="B12752" t="s">
        <v>17658</v>
      </c>
      <c r="C12752" t="s">
        <v>7</v>
      </c>
      <c r="D12752" t="s">
        <v>146</v>
      </c>
      <c r="E12752" t="s">
        <v>17570</v>
      </c>
      <c r="F12752" t="s">
        <v>17659</v>
      </c>
    </row>
    <row r="12753" spans="1:6" x14ac:dyDescent="0.25">
      <c r="A12753" t="str">
        <f>"6230063729"</f>
        <v>6230063729</v>
      </c>
      <c r="B12753" t="s">
        <v>17660</v>
      </c>
      <c r="C12753" t="s">
        <v>7</v>
      </c>
      <c r="D12753" t="s">
        <v>14</v>
      </c>
      <c r="E12753" t="s">
        <v>17570</v>
      </c>
      <c r="F12753" t="s">
        <v>17661</v>
      </c>
    </row>
    <row r="12754" spans="1:6" x14ac:dyDescent="0.25">
      <c r="A12754" t="str">
        <f>"623006579773"</f>
        <v>623006579773</v>
      </c>
      <c r="B12754" t="s">
        <v>17662</v>
      </c>
      <c r="C12754" t="s">
        <v>7</v>
      </c>
      <c r="D12754" t="s">
        <v>12</v>
      </c>
      <c r="E12754" t="s">
        <v>17570</v>
      </c>
    </row>
    <row r="12755" spans="1:6" x14ac:dyDescent="0.25">
      <c r="A12755" t="str">
        <f>"6230076453"</f>
        <v>6230076453</v>
      </c>
      <c r="B12755" t="s">
        <v>17663</v>
      </c>
      <c r="C12755" t="s">
        <v>7</v>
      </c>
      <c r="D12755" t="s">
        <v>12</v>
      </c>
      <c r="E12755" t="s">
        <v>17570</v>
      </c>
      <c r="F12755" t="s">
        <v>17664</v>
      </c>
    </row>
    <row r="12756" spans="1:6" x14ac:dyDescent="0.25">
      <c r="A12756" t="str">
        <f>"6230087720"</f>
        <v>6230087720</v>
      </c>
      <c r="B12756" t="s">
        <v>17665</v>
      </c>
      <c r="C12756" t="s">
        <v>7</v>
      </c>
      <c r="D12756" t="s">
        <v>33</v>
      </c>
      <c r="E12756" t="s">
        <v>17570</v>
      </c>
      <c r="F12756" t="s">
        <v>17666</v>
      </c>
    </row>
    <row r="12757" spans="1:6" x14ac:dyDescent="0.25">
      <c r="A12757" t="str">
        <f>"6230097291"</f>
        <v>6230097291</v>
      </c>
      <c r="B12757" t="s">
        <v>17667</v>
      </c>
      <c r="C12757" t="s">
        <v>7</v>
      </c>
      <c r="D12757" t="s">
        <v>33</v>
      </c>
      <c r="E12757" t="s">
        <v>17570</v>
      </c>
      <c r="F12757" t="s">
        <v>17668</v>
      </c>
    </row>
    <row r="12758" spans="1:6" x14ac:dyDescent="0.25">
      <c r="A12758" t="str">
        <f>"6230101741"</f>
        <v>6230101741</v>
      </c>
      <c r="B12758" t="s">
        <v>3120</v>
      </c>
      <c r="C12758" t="s">
        <v>7</v>
      </c>
      <c r="D12758" t="s">
        <v>33</v>
      </c>
      <c r="E12758" t="s">
        <v>17570</v>
      </c>
      <c r="F12758" t="s">
        <v>17669</v>
      </c>
    </row>
    <row r="12759" spans="1:6" x14ac:dyDescent="0.25">
      <c r="A12759" t="str">
        <f>"6230104630"</f>
        <v>6230104630</v>
      </c>
      <c r="B12759" t="s">
        <v>17670</v>
      </c>
      <c r="C12759" t="s">
        <v>7</v>
      </c>
      <c r="D12759" t="s">
        <v>28</v>
      </c>
      <c r="E12759" t="s">
        <v>17570</v>
      </c>
      <c r="F12759" t="s">
        <v>17671</v>
      </c>
    </row>
    <row r="12760" spans="1:6" x14ac:dyDescent="0.25">
      <c r="A12760" t="str">
        <f>"623011515020"</f>
        <v>623011515020</v>
      </c>
      <c r="B12760" t="s">
        <v>17672</v>
      </c>
      <c r="C12760" t="s">
        <v>7</v>
      </c>
      <c r="D12760" t="s">
        <v>12</v>
      </c>
      <c r="E12760" t="s">
        <v>17570</v>
      </c>
    </row>
    <row r="12761" spans="1:6" x14ac:dyDescent="0.25">
      <c r="A12761" t="str">
        <f>"6230117660"</f>
        <v>6230117660</v>
      </c>
      <c r="B12761" t="s">
        <v>17673</v>
      </c>
      <c r="C12761" t="s">
        <v>7</v>
      </c>
      <c r="D12761" t="s">
        <v>33</v>
      </c>
      <c r="E12761" t="s">
        <v>17570</v>
      </c>
      <c r="F12761" t="s">
        <v>17674</v>
      </c>
    </row>
    <row r="12762" spans="1:6" x14ac:dyDescent="0.25">
      <c r="A12762" t="str">
        <f>"623011957572"</f>
        <v>623011957572</v>
      </c>
      <c r="B12762" t="s">
        <v>17675</v>
      </c>
      <c r="C12762" t="s">
        <v>7</v>
      </c>
      <c r="D12762" t="s">
        <v>12</v>
      </c>
      <c r="E12762" t="s">
        <v>17570</v>
      </c>
    </row>
    <row r="12763" spans="1:6" x14ac:dyDescent="0.25">
      <c r="A12763" t="str">
        <f>"6230123488"</f>
        <v>6230123488</v>
      </c>
      <c r="B12763" t="s">
        <v>2216</v>
      </c>
      <c r="C12763" t="s">
        <v>7</v>
      </c>
      <c r="D12763" t="s">
        <v>33</v>
      </c>
      <c r="E12763" t="s">
        <v>17570</v>
      </c>
      <c r="F12763" t="s">
        <v>17676</v>
      </c>
    </row>
    <row r="12764" spans="1:6" x14ac:dyDescent="0.25">
      <c r="A12764" t="str">
        <f>"6230123745"</f>
        <v>6230123745</v>
      </c>
      <c r="B12764" t="s">
        <v>17677</v>
      </c>
      <c r="C12764" t="s">
        <v>7</v>
      </c>
      <c r="D12764" t="s">
        <v>12</v>
      </c>
      <c r="E12764" t="s">
        <v>17570</v>
      </c>
      <c r="F12764" t="s">
        <v>17678</v>
      </c>
    </row>
    <row r="12765" spans="1:6" x14ac:dyDescent="0.25">
      <c r="A12765" t="str">
        <f>"623015489886"</f>
        <v>623015489886</v>
      </c>
      <c r="B12765" t="s">
        <v>17679</v>
      </c>
      <c r="C12765" t="s">
        <v>7</v>
      </c>
      <c r="D12765" t="s">
        <v>12</v>
      </c>
      <c r="E12765" t="s">
        <v>17570</v>
      </c>
    </row>
    <row r="12766" spans="1:6" x14ac:dyDescent="0.25">
      <c r="A12766" t="str">
        <f>"623019251531"</f>
        <v>623019251531</v>
      </c>
      <c r="B12766" t="s">
        <v>17680</v>
      </c>
      <c r="C12766" t="s">
        <v>7</v>
      </c>
      <c r="D12766" t="s">
        <v>12</v>
      </c>
      <c r="E12766" t="s">
        <v>17570</v>
      </c>
    </row>
    <row r="12767" spans="1:6" x14ac:dyDescent="0.25">
      <c r="A12767" t="str">
        <f>"623100408165"</f>
        <v>623100408165</v>
      </c>
      <c r="B12767" t="s">
        <v>17681</v>
      </c>
      <c r="C12767" t="s">
        <v>7</v>
      </c>
      <c r="D12767" t="s">
        <v>14</v>
      </c>
      <c r="E12767" t="s">
        <v>17570</v>
      </c>
    </row>
    <row r="12768" spans="1:6" x14ac:dyDescent="0.25">
      <c r="A12768" t="str">
        <f>"623204857197"</f>
        <v>623204857197</v>
      </c>
      <c r="B12768" t="s">
        <v>17682</v>
      </c>
      <c r="C12768" t="s">
        <v>7</v>
      </c>
      <c r="D12768" t="s">
        <v>12</v>
      </c>
      <c r="E12768" t="s">
        <v>17570</v>
      </c>
    </row>
    <row r="12769" spans="1:6" x14ac:dyDescent="0.25">
      <c r="A12769" t="str">
        <f>"623301926551"</f>
        <v>623301926551</v>
      </c>
      <c r="B12769" t="s">
        <v>17683</v>
      </c>
      <c r="C12769" t="s">
        <v>7</v>
      </c>
      <c r="D12769" t="s">
        <v>14</v>
      </c>
      <c r="E12769" t="s">
        <v>17570</v>
      </c>
    </row>
    <row r="12770" spans="1:6" x14ac:dyDescent="0.25">
      <c r="A12770" t="str">
        <f>"623302059929"</f>
        <v>623302059929</v>
      </c>
      <c r="B12770" t="s">
        <v>17684</v>
      </c>
      <c r="C12770" t="s">
        <v>7</v>
      </c>
      <c r="D12770" t="s">
        <v>14</v>
      </c>
      <c r="E12770" t="s">
        <v>17570</v>
      </c>
    </row>
    <row r="12771" spans="1:6" x14ac:dyDescent="0.25">
      <c r="A12771" t="str">
        <f>"623400574477"</f>
        <v>623400574477</v>
      </c>
      <c r="B12771" t="s">
        <v>17685</v>
      </c>
      <c r="C12771" t="s">
        <v>7</v>
      </c>
      <c r="D12771" t="s">
        <v>12</v>
      </c>
      <c r="E12771" t="s">
        <v>17570</v>
      </c>
    </row>
    <row r="12772" spans="1:6" x14ac:dyDescent="0.25">
      <c r="A12772" t="str">
        <f>"623401051303"</f>
        <v>623401051303</v>
      </c>
      <c r="B12772" t="s">
        <v>17686</v>
      </c>
      <c r="C12772" t="s">
        <v>7</v>
      </c>
      <c r="D12772" t="s">
        <v>14</v>
      </c>
      <c r="E12772" t="s">
        <v>17570</v>
      </c>
    </row>
    <row r="12773" spans="1:6" x14ac:dyDescent="0.25">
      <c r="A12773" t="str">
        <f>"623402990761"</f>
        <v>623402990761</v>
      </c>
      <c r="B12773" t="s">
        <v>17687</v>
      </c>
      <c r="C12773" t="s">
        <v>7</v>
      </c>
      <c r="D12773" t="s">
        <v>98</v>
      </c>
      <c r="E12773" t="s">
        <v>17570</v>
      </c>
    </row>
    <row r="12774" spans="1:6" x14ac:dyDescent="0.25">
      <c r="A12774" t="str">
        <f>"623407343920"</f>
        <v>623407343920</v>
      </c>
      <c r="B12774" t="s">
        <v>17688</v>
      </c>
      <c r="C12774" t="s">
        <v>7</v>
      </c>
      <c r="D12774" t="s">
        <v>12</v>
      </c>
      <c r="E12774" t="s">
        <v>17570</v>
      </c>
    </row>
    <row r="12775" spans="1:6" x14ac:dyDescent="0.25">
      <c r="A12775" t="str">
        <f>"6234084712"</f>
        <v>6234084712</v>
      </c>
      <c r="B12775" t="s">
        <v>17689</v>
      </c>
      <c r="C12775" t="s">
        <v>7</v>
      </c>
      <c r="D12775" t="s">
        <v>12</v>
      </c>
      <c r="E12775" t="s">
        <v>17570</v>
      </c>
      <c r="F12775" t="s">
        <v>17690</v>
      </c>
    </row>
    <row r="12776" spans="1:6" x14ac:dyDescent="0.25">
      <c r="A12776" t="str">
        <f>"6234107134"</f>
        <v>6234107134</v>
      </c>
      <c r="B12776" t="s">
        <v>17691</v>
      </c>
      <c r="C12776" t="s">
        <v>7</v>
      </c>
      <c r="D12776" t="s">
        <v>33</v>
      </c>
      <c r="E12776" t="s">
        <v>17570</v>
      </c>
      <c r="F12776" t="s">
        <v>17692</v>
      </c>
    </row>
    <row r="12777" spans="1:6" x14ac:dyDescent="0.25">
      <c r="A12777" t="str">
        <f>"623411629343"</f>
        <v>623411629343</v>
      </c>
      <c r="B12777" t="s">
        <v>17693</v>
      </c>
      <c r="C12777" t="s">
        <v>7</v>
      </c>
      <c r="D12777" t="s">
        <v>14</v>
      </c>
      <c r="E12777" t="s">
        <v>17570</v>
      </c>
    </row>
    <row r="12778" spans="1:6" x14ac:dyDescent="0.25">
      <c r="A12778" t="str">
        <f>"6234118217"</f>
        <v>6234118217</v>
      </c>
      <c r="B12778" t="s">
        <v>17694</v>
      </c>
      <c r="C12778" t="s">
        <v>7</v>
      </c>
      <c r="D12778" t="s">
        <v>14</v>
      </c>
      <c r="E12778" t="s">
        <v>17570</v>
      </c>
      <c r="F12778" t="s">
        <v>17695</v>
      </c>
    </row>
    <row r="12779" spans="1:6" x14ac:dyDescent="0.25">
      <c r="A12779" t="str">
        <f>"6234156910"</f>
        <v>6234156910</v>
      </c>
      <c r="B12779" t="s">
        <v>17696</v>
      </c>
      <c r="C12779" t="s">
        <v>7</v>
      </c>
      <c r="D12779" t="s">
        <v>33</v>
      </c>
      <c r="E12779" t="s">
        <v>17570</v>
      </c>
      <c r="F12779" t="s">
        <v>17697</v>
      </c>
    </row>
    <row r="12780" spans="1:6" x14ac:dyDescent="0.25">
      <c r="A12780" t="str">
        <f>"622400176668"</f>
        <v>622400176668</v>
      </c>
      <c r="B12780" t="s">
        <v>17698</v>
      </c>
      <c r="C12780" t="s">
        <v>7</v>
      </c>
      <c r="D12780" t="s">
        <v>14</v>
      </c>
      <c r="E12780" t="s">
        <v>17570</v>
      </c>
    </row>
    <row r="12781" spans="1:6" x14ac:dyDescent="0.25">
      <c r="A12781" t="str">
        <f>"6225010520"</f>
        <v>6225010520</v>
      </c>
      <c r="B12781" t="s">
        <v>17699</v>
      </c>
      <c r="C12781" t="s">
        <v>7</v>
      </c>
      <c r="D12781" t="s">
        <v>33</v>
      </c>
      <c r="E12781" t="s">
        <v>17570</v>
      </c>
      <c r="F12781" t="s">
        <v>17700</v>
      </c>
    </row>
    <row r="12782" spans="1:6" x14ac:dyDescent="0.25">
      <c r="A12782" t="str">
        <f>"622501363985"</f>
        <v>622501363985</v>
      </c>
      <c r="B12782" t="s">
        <v>17701</v>
      </c>
      <c r="C12782" t="s">
        <v>7</v>
      </c>
      <c r="D12782" t="s">
        <v>14</v>
      </c>
      <c r="E12782" t="s">
        <v>17570</v>
      </c>
    </row>
    <row r="12783" spans="1:6" x14ac:dyDescent="0.25">
      <c r="A12783" t="str">
        <f>"622503642423"</f>
        <v>622503642423</v>
      </c>
      <c r="B12783" t="s">
        <v>17702</v>
      </c>
      <c r="C12783" t="s">
        <v>7</v>
      </c>
      <c r="D12783" t="s">
        <v>12</v>
      </c>
      <c r="E12783" t="s">
        <v>17570</v>
      </c>
    </row>
    <row r="12784" spans="1:6" x14ac:dyDescent="0.25">
      <c r="A12784" t="str">
        <f>"622660649500"</f>
        <v>622660649500</v>
      </c>
      <c r="B12784" t="s">
        <v>17703</v>
      </c>
      <c r="C12784" t="s">
        <v>7</v>
      </c>
      <c r="D12784" t="s">
        <v>14</v>
      </c>
      <c r="E12784" t="s">
        <v>17570</v>
      </c>
    </row>
    <row r="12785" spans="1:6" x14ac:dyDescent="0.25">
      <c r="A12785" t="str">
        <f>"622701868302"</f>
        <v>622701868302</v>
      </c>
      <c r="B12785" t="s">
        <v>17704</v>
      </c>
      <c r="C12785" t="s">
        <v>7</v>
      </c>
      <c r="D12785" t="s">
        <v>12</v>
      </c>
      <c r="E12785" t="s">
        <v>17570</v>
      </c>
    </row>
    <row r="12786" spans="1:6" x14ac:dyDescent="0.25">
      <c r="A12786" t="str">
        <f>"622709144164"</f>
        <v>622709144164</v>
      </c>
      <c r="B12786" t="s">
        <v>17705</v>
      </c>
      <c r="C12786" t="s">
        <v>7</v>
      </c>
      <c r="D12786" t="s">
        <v>12</v>
      </c>
      <c r="E12786" t="s">
        <v>17570</v>
      </c>
    </row>
    <row r="12787" spans="1:6" x14ac:dyDescent="0.25">
      <c r="A12787" t="str">
        <f>"622800921620"</f>
        <v>622800921620</v>
      </c>
      <c r="B12787" t="s">
        <v>17706</v>
      </c>
      <c r="C12787" t="s">
        <v>7</v>
      </c>
      <c r="D12787" t="s">
        <v>14</v>
      </c>
      <c r="E12787" t="s">
        <v>17570</v>
      </c>
    </row>
    <row r="12788" spans="1:6" x14ac:dyDescent="0.25">
      <c r="A12788" t="str">
        <f>"6228053025"</f>
        <v>6228053025</v>
      </c>
      <c r="B12788" t="s">
        <v>17707</v>
      </c>
      <c r="C12788" t="s">
        <v>7</v>
      </c>
      <c r="D12788" t="s">
        <v>14</v>
      </c>
      <c r="E12788" t="s">
        <v>17570</v>
      </c>
      <c r="F12788" t="s">
        <v>17708</v>
      </c>
    </row>
    <row r="12789" spans="1:6" x14ac:dyDescent="0.25">
      <c r="A12789" t="str">
        <f>"622810238526"</f>
        <v>622810238526</v>
      </c>
      <c r="B12789" t="s">
        <v>17709</v>
      </c>
      <c r="C12789" t="s">
        <v>7</v>
      </c>
      <c r="D12789" t="s">
        <v>14</v>
      </c>
      <c r="E12789" t="s">
        <v>17570</v>
      </c>
    </row>
    <row r="12790" spans="1:6" x14ac:dyDescent="0.25">
      <c r="A12790" t="str">
        <f>"622812100668"</f>
        <v>622812100668</v>
      </c>
      <c r="B12790" t="s">
        <v>17710</v>
      </c>
      <c r="C12790" t="s">
        <v>7</v>
      </c>
      <c r="D12790" t="s">
        <v>12</v>
      </c>
      <c r="E12790" t="s">
        <v>17570</v>
      </c>
    </row>
    <row r="12791" spans="1:6" x14ac:dyDescent="0.25">
      <c r="A12791" t="str">
        <f>"622813210624"</f>
        <v>622813210624</v>
      </c>
      <c r="B12791" t="s">
        <v>17711</v>
      </c>
      <c r="C12791" t="s">
        <v>7</v>
      </c>
      <c r="D12791" t="s">
        <v>12</v>
      </c>
      <c r="E12791" t="s">
        <v>17570</v>
      </c>
    </row>
    <row r="12792" spans="1:6" x14ac:dyDescent="0.25">
      <c r="A12792" t="str">
        <f>"622900043105"</f>
        <v>622900043105</v>
      </c>
      <c r="B12792" t="s">
        <v>17712</v>
      </c>
      <c r="C12792" t="s">
        <v>7</v>
      </c>
      <c r="D12792" t="s">
        <v>12</v>
      </c>
      <c r="E12792" t="s">
        <v>17570</v>
      </c>
    </row>
    <row r="12793" spans="1:6" x14ac:dyDescent="0.25">
      <c r="A12793" t="str">
        <f>"6229010088"</f>
        <v>6229010088</v>
      </c>
      <c r="B12793" t="s">
        <v>17713</v>
      </c>
      <c r="C12793" t="s">
        <v>7</v>
      </c>
      <c r="D12793" t="s">
        <v>14</v>
      </c>
      <c r="E12793" t="s">
        <v>17570</v>
      </c>
      <c r="F12793" t="s">
        <v>17714</v>
      </c>
    </row>
    <row r="12794" spans="1:6" x14ac:dyDescent="0.25">
      <c r="A12794" t="str">
        <f>"6229021058"</f>
        <v>6229021058</v>
      </c>
      <c r="B12794" t="s">
        <v>17715</v>
      </c>
      <c r="C12794" t="s">
        <v>7</v>
      </c>
      <c r="D12794" t="s">
        <v>33</v>
      </c>
      <c r="E12794" t="s">
        <v>17570</v>
      </c>
      <c r="F12794" t="s">
        <v>17716</v>
      </c>
    </row>
    <row r="12795" spans="1:6" x14ac:dyDescent="0.25">
      <c r="A12795" t="str">
        <f>"6229063650"</f>
        <v>6229063650</v>
      </c>
      <c r="B12795" t="s">
        <v>7880</v>
      </c>
      <c r="C12795" t="s">
        <v>7</v>
      </c>
      <c r="D12795" t="s">
        <v>12</v>
      </c>
      <c r="E12795" t="s">
        <v>17570</v>
      </c>
      <c r="F12795" t="s">
        <v>17717</v>
      </c>
    </row>
    <row r="12796" spans="1:6" x14ac:dyDescent="0.25">
      <c r="A12796" t="str">
        <f>"6229100768"</f>
        <v>6229100768</v>
      </c>
      <c r="B12796" t="s">
        <v>17718</v>
      </c>
      <c r="C12796" t="s">
        <v>7</v>
      </c>
      <c r="D12796" t="s">
        <v>14</v>
      </c>
      <c r="E12796" t="s">
        <v>17570</v>
      </c>
      <c r="F12796" t="s">
        <v>17719</v>
      </c>
    </row>
    <row r="12797" spans="1:6" x14ac:dyDescent="0.25">
      <c r="A12797" t="str">
        <f>"6229101345"</f>
        <v>6229101345</v>
      </c>
      <c r="B12797" t="s">
        <v>17720</v>
      </c>
      <c r="C12797" t="s">
        <v>7</v>
      </c>
      <c r="D12797" t="s">
        <v>674</v>
      </c>
      <c r="E12797" t="s">
        <v>17570</v>
      </c>
      <c r="F12797" t="s">
        <v>17721</v>
      </c>
    </row>
    <row r="12798" spans="1:6" x14ac:dyDescent="0.25">
      <c r="A12798" t="str">
        <f>"623000407680"</f>
        <v>623000407680</v>
      </c>
      <c r="B12798" t="s">
        <v>17722</v>
      </c>
      <c r="C12798" t="s">
        <v>7</v>
      </c>
      <c r="D12798" t="s">
        <v>12</v>
      </c>
      <c r="E12798" t="s">
        <v>17570</v>
      </c>
    </row>
    <row r="12799" spans="1:6" x14ac:dyDescent="0.25">
      <c r="A12799" t="str">
        <f>"6230005036"</f>
        <v>6230005036</v>
      </c>
      <c r="B12799" t="s">
        <v>17723</v>
      </c>
      <c r="C12799" t="s">
        <v>7</v>
      </c>
      <c r="D12799" t="s">
        <v>12</v>
      </c>
      <c r="E12799" t="s">
        <v>17570</v>
      </c>
      <c r="F12799" t="s">
        <v>17724</v>
      </c>
    </row>
    <row r="12800" spans="1:6" x14ac:dyDescent="0.25">
      <c r="A12800" t="str">
        <f>"6230030530"</f>
        <v>6230030530</v>
      </c>
      <c r="B12800" t="s">
        <v>17725</v>
      </c>
      <c r="C12800" t="s">
        <v>7</v>
      </c>
      <c r="D12800" t="s">
        <v>12</v>
      </c>
      <c r="E12800" t="s">
        <v>17570</v>
      </c>
      <c r="F12800" t="s">
        <v>17726</v>
      </c>
    </row>
    <row r="12801" spans="1:6" x14ac:dyDescent="0.25">
      <c r="A12801" t="str">
        <f>"6230067804"</f>
        <v>6230067804</v>
      </c>
      <c r="B12801" t="s">
        <v>17727</v>
      </c>
      <c r="C12801" t="s">
        <v>7</v>
      </c>
      <c r="D12801" t="s">
        <v>14</v>
      </c>
      <c r="E12801" t="s">
        <v>17570</v>
      </c>
      <c r="F12801" t="s">
        <v>17728</v>
      </c>
    </row>
    <row r="12802" spans="1:6" x14ac:dyDescent="0.25">
      <c r="A12802" t="str">
        <f>"6230072480"</f>
        <v>6230072480</v>
      </c>
      <c r="B12802" t="s">
        <v>17729</v>
      </c>
      <c r="C12802" t="s">
        <v>7</v>
      </c>
      <c r="D12802" t="s">
        <v>33</v>
      </c>
      <c r="E12802" t="s">
        <v>17570</v>
      </c>
      <c r="F12802" t="s">
        <v>17730</v>
      </c>
    </row>
    <row r="12803" spans="1:6" x14ac:dyDescent="0.25">
      <c r="A12803" t="str">
        <f>"6230105665"</f>
        <v>6230105665</v>
      </c>
      <c r="B12803" t="s">
        <v>17731</v>
      </c>
      <c r="C12803" t="s">
        <v>7</v>
      </c>
      <c r="D12803" t="s">
        <v>33</v>
      </c>
      <c r="E12803" t="s">
        <v>17570</v>
      </c>
      <c r="F12803" t="s">
        <v>17732</v>
      </c>
    </row>
    <row r="12804" spans="1:6" x14ac:dyDescent="0.25">
      <c r="A12804" t="str">
        <f>"6230124900"</f>
        <v>6230124900</v>
      </c>
      <c r="B12804" t="s">
        <v>17733</v>
      </c>
      <c r="C12804" t="s">
        <v>7</v>
      </c>
      <c r="D12804" t="s">
        <v>33</v>
      </c>
      <c r="E12804" t="s">
        <v>17570</v>
      </c>
      <c r="F12804" t="s">
        <v>17734</v>
      </c>
    </row>
    <row r="12805" spans="1:6" x14ac:dyDescent="0.25">
      <c r="A12805" t="str">
        <f>"623016380539"</f>
        <v>623016380539</v>
      </c>
      <c r="B12805" t="s">
        <v>17735</v>
      </c>
      <c r="C12805" t="s">
        <v>7</v>
      </c>
      <c r="D12805" t="s">
        <v>12</v>
      </c>
      <c r="E12805" t="s">
        <v>17570</v>
      </c>
    </row>
    <row r="12806" spans="1:6" x14ac:dyDescent="0.25">
      <c r="A12806" t="str">
        <f>"6231047656"</f>
        <v>6231047656</v>
      </c>
      <c r="B12806" t="s">
        <v>17736</v>
      </c>
      <c r="C12806" t="s">
        <v>7</v>
      </c>
      <c r="D12806" t="s">
        <v>12</v>
      </c>
      <c r="E12806" t="s">
        <v>17570</v>
      </c>
      <c r="F12806" t="s">
        <v>17737</v>
      </c>
    </row>
    <row r="12807" spans="1:6" x14ac:dyDescent="0.25">
      <c r="A12807" t="str">
        <f>"623106489322"</f>
        <v>623106489322</v>
      </c>
      <c r="B12807" t="s">
        <v>17738</v>
      </c>
      <c r="C12807" t="s">
        <v>7</v>
      </c>
      <c r="D12807" t="s">
        <v>14</v>
      </c>
      <c r="E12807" t="s">
        <v>17570</v>
      </c>
    </row>
    <row r="12808" spans="1:6" x14ac:dyDescent="0.25">
      <c r="A12808" t="str">
        <f>"623106564361"</f>
        <v>623106564361</v>
      </c>
      <c r="B12808" t="s">
        <v>17739</v>
      </c>
      <c r="C12808" t="s">
        <v>7</v>
      </c>
      <c r="D12808" t="s">
        <v>12</v>
      </c>
      <c r="E12808" t="s">
        <v>17570</v>
      </c>
    </row>
    <row r="12809" spans="1:6" x14ac:dyDescent="0.25">
      <c r="A12809" t="str">
        <f>"6232006469"</f>
        <v>6232006469</v>
      </c>
      <c r="B12809" t="s">
        <v>17740</v>
      </c>
      <c r="C12809" t="s">
        <v>7</v>
      </c>
      <c r="D12809" t="s">
        <v>12</v>
      </c>
      <c r="E12809" t="s">
        <v>17570</v>
      </c>
      <c r="F12809" t="s">
        <v>17741</v>
      </c>
    </row>
    <row r="12810" spans="1:6" x14ac:dyDescent="0.25">
      <c r="A12810" t="str">
        <f>"623200792982"</f>
        <v>623200792982</v>
      </c>
      <c r="B12810" t="s">
        <v>17742</v>
      </c>
      <c r="C12810" t="s">
        <v>7</v>
      </c>
      <c r="D12810" t="s">
        <v>12</v>
      </c>
      <c r="E12810" t="s">
        <v>17570</v>
      </c>
    </row>
    <row r="12811" spans="1:6" x14ac:dyDescent="0.25">
      <c r="A12811" t="str">
        <f>"6233004577"</f>
        <v>6233004577</v>
      </c>
      <c r="B12811" t="s">
        <v>17743</v>
      </c>
      <c r="C12811" t="s">
        <v>7</v>
      </c>
      <c r="D12811" t="s">
        <v>14</v>
      </c>
      <c r="E12811" t="s">
        <v>17570</v>
      </c>
      <c r="F12811" t="s">
        <v>17744</v>
      </c>
    </row>
    <row r="12812" spans="1:6" x14ac:dyDescent="0.25">
      <c r="A12812" t="str">
        <f>"623400572141"</f>
        <v>623400572141</v>
      </c>
      <c r="B12812" t="s">
        <v>17745</v>
      </c>
      <c r="C12812" t="s">
        <v>7</v>
      </c>
      <c r="D12812" t="s">
        <v>12</v>
      </c>
      <c r="E12812" t="s">
        <v>17570</v>
      </c>
    </row>
    <row r="12813" spans="1:6" x14ac:dyDescent="0.25">
      <c r="A12813" t="str">
        <f>"623400642688"</f>
        <v>623400642688</v>
      </c>
      <c r="B12813" t="s">
        <v>17746</v>
      </c>
      <c r="C12813" t="s">
        <v>7</v>
      </c>
      <c r="D12813" t="s">
        <v>12</v>
      </c>
      <c r="E12813" t="s">
        <v>17570</v>
      </c>
    </row>
    <row r="12814" spans="1:6" x14ac:dyDescent="0.25">
      <c r="A12814" t="str">
        <f>"623401071050"</f>
        <v>623401071050</v>
      </c>
      <c r="B12814" t="s">
        <v>17747</v>
      </c>
      <c r="C12814" t="s">
        <v>7</v>
      </c>
      <c r="D12814" t="s">
        <v>14</v>
      </c>
      <c r="E12814" t="s">
        <v>17570</v>
      </c>
    </row>
    <row r="12815" spans="1:6" x14ac:dyDescent="0.25">
      <c r="A12815" t="str">
        <f>"623402161115"</f>
        <v>623402161115</v>
      </c>
      <c r="B12815" t="s">
        <v>17748</v>
      </c>
      <c r="C12815" t="s">
        <v>7</v>
      </c>
      <c r="D12815" t="s">
        <v>14</v>
      </c>
      <c r="E12815" t="s">
        <v>17570</v>
      </c>
    </row>
    <row r="12816" spans="1:6" x14ac:dyDescent="0.25">
      <c r="A12816" t="str">
        <f>"6234033901"</f>
        <v>6234033901</v>
      </c>
      <c r="B12816" t="s">
        <v>17749</v>
      </c>
      <c r="C12816" t="s">
        <v>7</v>
      </c>
      <c r="D12816" t="s">
        <v>14</v>
      </c>
      <c r="E12816" t="s">
        <v>17570</v>
      </c>
      <c r="F12816" t="s">
        <v>17750</v>
      </c>
    </row>
    <row r="12817" spans="1:6" x14ac:dyDescent="0.25">
      <c r="A12817" t="str">
        <f>"6234059829"</f>
        <v>6234059829</v>
      </c>
      <c r="B12817" t="s">
        <v>17751</v>
      </c>
      <c r="C12817" t="s">
        <v>7</v>
      </c>
      <c r="D12817" t="s">
        <v>12</v>
      </c>
      <c r="E12817" t="s">
        <v>17570</v>
      </c>
      <c r="F12817" t="s">
        <v>17690</v>
      </c>
    </row>
    <row r="12818" spans="1:6" x14ac:dyDescent="0.25">
      <c r="A12818" t="str">
        <f>"623407450417"</f>
        <v>623407450417</v>
      </c>
      <c r="B12818" t="s">
        <v>17752</v>
      </c>
      <c r="C12818" t="s">
        <v>7</v>
      </c>
      <c r="D12818" t="s">
        <v>14</v>
      </c>
      <c r="E12818" t="s">
        <v>17570</v>
      </c>
    </row>
    <row r="12819" spans="1:6" x14ac:dyDescent="0.25">
      <c r="A12819" t="str">
        <f>"6234091798"</f>
        <v>6234091798</v>
      </c>
      <c r="B12819" t="s">
        <v>17753</v>
      </c>
      <c r="C12819" t="s">
        <v>7</v>
      </c>
      <c r="D12819" t="s">
        <v>12</v>
      </c>
      <c r="E12819" t="s">
        <v>17570</v>
      </c>
      <c r="F12819" t="s">
        <v>17754</v>
      </c>
    </row>
    <row r="12820" spans="1:6" x14ac:dyDescent="0.25">
      <c r="A12820" t="str">
        <f>"623410067028"</f>
        <v>623410067028</v>
      </c>
      <c r="B12820" t="s">
        <v>17755</v>
      </c>
      <c r="C12820" t="s">
        <v>7</v>
      </c>
      <c r="D12820" t="s">
        <v>14</v>
      </c>
      <c r="E12820" t="s">
        <v>17570</v>
      </c>
    </row>
    <row r="12821" spans="1:6" x14ac:dyDescent="0.25">
      <c r="A12821" t="str">
        <f>"6234106476"</f>
        <v>6234106476</v>
      </c>
      <c r="B12821" t="s">
        <v>17756</v>
      </c>
      <c r="C12821" t="s">
        <v>7</v>
      </c>
      <c r="D12821" t="s">
        <v>14</v>
      </c>
      <c r="E12821" t="s">
        <v>17570</v>
      </c>
      <c r="F12821" t="s">
        <v>17757</v>
      </c>
    </row>
    <row r="12822" spans="1:6" x14ac:dyDescent="0.25">
      <c r="A12822" t="str">
        <f>"623412079131"</f>
        <v>623412079131</v>
      </c>
      <c r="B12822" t="s">
        <v>17758</v>
      </c>
      <c r="C12822" t="s">
        <v>7</v>
      </c>
      <c r="D12822" t="s">
        <v>12</v>
      </c>
      <c r="E12822" t="s">
        <v>17570</v>
      </c>
    </row>
    <row r="12823" spans="1:6" x14ac:dyDescent="0.25">
      <c r="A12823" t="str">
        <f>"6234147480"</f>
        <v>6234147480</v>
      </c>
      <c r="B12823" t="s">
        <v>17759</v>
      </c>
      <c r="C12823" t="s">
        <v>7</v>
      </c>
      <c r="D12823" t="s">
        <v>33</v>
      </c>
      <c r="E12823" t="s">
        <v>17570</v>
      </c>
      <c r="F12823" t="s">
        <v>17760</v>
      </c>
    </row>
    <row r="12824" spans="1:6" x14ac:dyDescent="0.25">
      <c r="A12824" t="str">
        <f>"6234168458"</f>
        <v>6234168458</v>
      </c>
      <c r="B12824" t="s">
        <v>9616</v>
      </c>
      <c r="C12824" t="s">
        <v>7</v>
      </c>
      <c r="D12824" t="s">
        <v>14</v>
      </c>
      <c r="E12824" t="s">
        <v>17570</v>
      </c>
      <c r="F12824" t="s">
        <v>17761</v>
      </c>
    </row>
    <row r="12825" spans="1:6" x14ac:dyDescent="0.25">
      <c r="A12825" t="str">
        <f>"713220352200"</f>
        <v>713220352200</v>
      </c>
      <c r="B12825" t="s">
        <v>17762</v>
      </c>
      <c r="C12825" t="s">
        <v>7</v>
      </c>
      <c r="D12825" t="s">
        <v>14</v>
      </c>
      <c r="E12825" t="s">
        <v>17570</v>
      </c>
    </row>
    <row r="12826" spans="1:6" x14ac:dyDescent="0.25">
      <c r="A12826" t="str">
        <f>"7743191005"</f>
        <v>7743191005</v>
      </c>
      <c r="B12826" t="s">
        <v>17763</v>
      </c>
      <c r="C12826" t="s">
        <v>7</v>
      </c>
      <c r="D12826" t="s">
        <v>33</v>
      </c>
      <c r="E12826" t="s">
        <v>17570</v>
      </c>
      <c r="F12826" t="s">
        <v>17764</v>
      </c>
    </row>
    <row r="12827" spans="1:6" x14ac:dyDescent="0.25">
      <c r="A12827" t="str">
        <f>"622601336600"</f>
        <v>622601336600</v>
      </c>
      <c r="B12827" t="s">
        <v>17765</v>
      </c>
      <c r="C12827" t="s">
        <v>7</v>
      </c>
      <c r="D12827" t="s">
        <v>12</v>
      </c>
      <c r="E12827" t="s">
        <v>17570</v>
      </c>
    </row>
    <row r="12828" spans="1:6" x14ac:dyDescent="0.25">
      <c r="A12828" t="str">
        <f>"622601425522"</f>
        <v>622601425522</v>
      </c>
      <c r="B12828" t="s">
        <v>17766</v>
      </c>
      <c r="C12828" t="s">
        <v>7</v>
      </c>
      <c r="D12828" t="s">
        <v>12</v>
      </c>
      <c r="E12828" t="s">
        <v>17570</v>
      </c>
    </row>
    <row r="12829" spans="1:6" x14ac:dyDescent="0.25">
      <c r="A12829" t="str">
        <f>"6227004160"</f>
        <v>6227004160</v>
      </c>
      <c r="B12829" t="s">
        <v>17767</v>
      </c>
      <c r="C12829" t="s">
        <v>7</v>
      </c>
      <c r="D12829" t="s">
        <v>14</v>
      </c>
      <c r="E12829" t="s">
        <v>17570</v>
      </c>
      <c r="F12829" t="s">
        <v>17768</v>
      </c>
    </row>
    <row r="12830" spans="1:6" x14ac:dyDescent="0.25">
      <c r="A12830" t="str">
        <f>"622707607730"</f>
        <v>622707607730</v>
      </c>
      <c r="B12830" t="s">
        <v>17769</v>
      </c>
      <c r="C12830" t="s">
        <v>7</v>
      </c>
      <c r="D12830" t="s">
        <v>12</v>
      </c>
      <c r="E12830" t="s">
        <v>17570</v>
      </c>
    </row>
    <row r="12831" spans="1:6" x14ac:dyDescent="0.25">
      <c r="A12831" t="str">
        <f>"622709335465"</f>
        <v>622709335465</v>
      </c>
      <c r="B12831" t="s">
        <v>17770</v>
      </c>
      <c r="C12831" t="s">
        <v>7</v>
      </c>
      <c r="D12831" t="s">
        <v>14</v>
      </c>
      <c r="E12831" t="s">
        <v>17570</v>
      </c>
    </row>
    <row r="12832" spans="1:6" x14ac:dyDescent="0.25">
      <c r="A12832" t="str">
        <f>"6228003112"</f>
        <v>6228003112</v>
      </c>
      <c r="B12832" t="s">
        <v>17771</v>
      </c>
      <c r="C12832" t="s">
        <v>7</v>
      </c>
      <c r="D12832" t="s">
        <v>146</v>
      </c>
      <c r="E12832" t="s">
        <v>17570</v>
      </c>
      <c r="F12832" t="s">
        <v>17772</v>
      </c>
    </row>
    <row r="12833" spans="1:6" x14ac:dyDescent="0.25">
      <c r="A12833" t="str">
        <f>"6228049269"</f>
        <v>6228049269</v>
      </c>
      <c r="B12833" t="s">
        <v>17773</v>
      </c>
      <c r="C12833" t="s">
        <v>7</v>
      </c>
      <c r="D12833" t="s">
        <v>146</v>
      </c>
      <c r="E12833" t="s">
        <v>17570</v>
      </c>
      <c r="F12833" t="s">
        <v>17774</v>
      </c>
    </row>
    <row r="12834" spans="1:6" x14ac:dyDescent="0.25">
      <c r="A12834" t="str">
        <f>"622901526218"</f>
        <v>622901526218</v>
      </c>
      <c r="B12834" t="s">
        <v>17775</v>
      </c>
      <c r="C12834" t="s">
        <v>7</v>
      </c>
      <c r="D12834" t="s">
        <v>12</v>
      </c>
      <c r="E12834" t="s">
        <v>17570</v>
      </c>
    </row>
    <row r="12835" spans="1:6" x14ac:dyDescent="0.25">
      <c r="A12835" t="str">
        <f>"622903172003"</f>
        <v>622903172003</v>
      </c>
      <c r="B12835" t="s">
        <v>17776</v>
      </c>
      <c r="C12835" t="s">
        <v>7</v>
      </c>
      <c r="D12835" t="s">
        <v>12</v>
      </c>
      <c r="E12835" t="s">
        <v>17570</v>
      </c>
    </row>
    <row r="12836" spans="1:6" x14ac:dyDescent="0.25">
      <c r="A12836" t="str">
        <f>"6229034427"</f>
        <v>6229034427</v>
      </c>
      <c r="B12836" t="s">
        <v>17777</v>
      </c>
      <c r="C12836" t="s">
        <v>7</v>
      </c>
      <c r="D12836" t="s">
        <v>14</v>
      </c>
      <c r="E12836" t="s">
        <v>17570</v>
      </c>
      <c r="F12836" t="s">
        <v>17778</v>
      </c>
    </row>
    <row r="12837" spans="1:6" x14ac:dyDescent="0.25">
      <c r="A12837" t="str">
        <f>"622905628820"</f>
        <v>622905628820</v>
      </c>
      <c r="B12837" t="s">
        <v>17779</v>
      </c>
      <c r="C12837" t="s">
        <v>7</v>
      </c>
      <c r="D12837" t="s">
        <v>14</v>
      </c>
      <c r="E12837" t="s">
        <v>17570</v>
      </c>
    </row>
    <row r="12838" spans="1:6" x14ac:dyDescent="0.25">
      <c r="A12838" t="str">
        <f>"6229063065"</f>
        <v>6229063065</v>
      </c>
      <c r="B12838" t="s">
        <v>3984</v>
      </c>
      <c r="C12838" t="s">
        <v>7</v>
      </c>
      <c r="D12838" t="s">
        <v>12</v>
      </c>
      <c r="E12838" t="s">
        <v>17570</v>
      </c>
      <c r="F12838" t="s">
        <v>17664</v>
      </c>
    </row>
    <row r="12839" spans="1:6" x14ac:dyDescent="0.25">
      <c r="A12839" t="str">
        <f>"6229065023"</f>
        <v>6229065023</v>
      </c>
      <c r="B12839" t="s">
        <v>17780</v>
      </c>
      <c r="C12839" t="s">
        <v>7</v>
      </c>
      <c r="D12839" t="s">
        <v>12</v>
      </c>
      <c r="E12839" t="s">
        <v>17570</v>
      </c>
      <c r="F12839" t="s">
        <v>17781</v>
      </c>
    </row>
    <row r="12840" spans="1:6" x14ac:dyDescent="0.25">
      <c r="A12840" t="str">
        <f>"622909703067"</f>
        <v>622909703067</v>
      </c>
      <c r="B12840" t="s">
        <v>17782</v>
      </c>
      <c r="C12840" t="s">
        <v>7</v>
      </c>
      <c r="D12840" t="s">
        <v>12</v>
      </c>
      <c r="E12840" t="s">
        <v>17570</v>
      </c>
    </row>
    <row r="12841" spans="1:6" x14ac:dyDescent="0.25">
      <c r="A12841" t="str">
        <f>"623002366260"</f>
        <v>623002366260</v>
      </c>
      <c r="B12841" t="s">
        <v>17783</v>
      </c>
      <c r="C12841" t="s">
        <v>7</v>
      </c>
      <c r="D12841" t="s">
        <v>12</v>
      </c>
      <c r="E12841" t="s">
        <v>17570</v>
      </c>
    </row>
    <row r="12842" spans="1:6" x14ac:dyDescent="0.25">
      <c r="A12842" t="str">
        <f>"6230029076"</f>
        <v>6230029076</v>
      </c>
      <c r="B12842" t="s">
        <v>17784</v>
      </c>
      <c r="C12842" t="s">
        <v>7</v>
      </c>
      <c r="D12842" t="s">
        <v>33</v>
      </c>
      <c r="E12842" t="s">
        <v>17570</v>
      </c>
      <c r="F12842" t="s">
        <v>17785</v>
      </c>
    </row>
    <row r="12843" spans="1:6" x14ac:dyDescent="0.25">
      <c r="A12843" t="str">
        <f>"6230033139"</f>
        <v>6230033139</v>
      </c>
      <c r="B12843" t="s">
        <v>17786</v>
      </c>
      <c r="C12843" t="s">
        <v>7</v>
      </c>
      <c r="D12843" t="s">
        <v>12</v>
      </c>
      <c r="E12843" t="s">
        <v>17570</v>
      </c>
      <c r="F12843" t="s">
        <v>17787</v>
      </c>
    </row>
    <row r="12844" spans="1:6" x14ac:dyDescent="0.25">
      <c r="A12844" t="str">
        <f>"623004462219"</f>
        <v>623004462219</v>
      </c>
      <c r="B12844" t="s">
        <v>17788</v>
      </c>
      <c r="C12844" t="s">
        <v>7</v>
      </c>
      <c r="D12844" t="s">
        <v>12</v>
      </c>
      <c r="E12844" t="s">
        <v>17570</v>
      </c>
    </row>
    <row r="12845" spans="1:6" x14ac:dyDescent="0.25">
      <c r="A12845" t="str">
        <f>"623004535643"</f>
        <v>623004535643</v>
      </c>
      <c r="B12845" t="s">
        <v>17789</v>
      </c>
      <c r="C12845" t="s">
        <v>7</v>
      </c>
      <c r="D12845" t="s">
        <v>33</v>
      </c>
      <c r="E12845" t="s">
        <v>17570</v>
      </c>
    </row>
    <row r="12846" spans="1:6" x14ac:dyDescent="0.25">
      <c r="A12846" t="str">
        <f>"6230048368"</f>
        <v>6230048368</v>
      </c>
      <c r="B12846" t="s">
        <v>17790</v>
      </c>
      <c r="C12846" t="s">
        <v>7</v>
      </c>
      <c r="D12846" t="s">
        <v>14</v>
      </c>
      <c r="E12846" t="s">
        <v>17570</v>
      </c>
      <c r="F12846" t="s">
        <v>17791</v>
      </c>
    </row>
    <row r="12847" spans="1:6" x14ac:dyDescent="0.25">
      <c r="A12847" t="str">
        <f>"623004939519"</f>
        <v>623004939519</v>
      </c>
      <c r="B12847" t="s">
        <v>17792</v>
      </c>
      <c r="C12847" t="s">
        <v>7</v>
      </c>
      <c r="D12847" t="s">
        <v>12</v>
      </c>
      <c r="E12847" t="s">
        <v>17570</v>
      </c>
    </row>
    <row r="12848" spans="1:6" x14ac:dyDescent="0.25">
      <c r="A12848" t="str">
        <f>"623005423734"</f>
        <v>623005423734</v>
      </c>
      <c r="B12848" t="s">
        <v>17793</v>
      </c>
      <c r="C12848" t="s">
        <v>7</v>
      </c>
      <c r="D12848" t="s">
        <v>12</v>
      </c>
      <c r="E12848" t="s">
        <v>17570</v>
      </c>
    </row>
    <row r="12849" spans="1:6" x14ac:dyDescent="0.25">
      <c r="A12849" t="str">
        <f>"6230070652"</f>
        <v>6230070652</v>
      </c>
      <c r="B12849" t="s">
        <v>1580</v>
      </c>
      <c r="C12849" t="s">
        <v>7</v>
      </c>
      <c r="D12849" t="s">
        <v>12</v>
      </c>
      <c r="E12849" t="s">
        <v>17570</v>
      </c>
      <c r="F12849" t="s">
        <v>17794</v>
      </c>
    </row>
    <row r="12850" spans="1:6" x14ac:dyDescent="0.25">
      <c r="A12850" t="str">
        <f>"6230076608"</f>
        <v>6230076608</v>
      </c>
      <c r="B12850" t="s">
        <v>17795</v>
      </c>
      <c r="C12850" t="s">
        <v>7</v>
      </c>
      <c r="D12850" t="s">
        <v>12</v>
      </c>
      <c r="E12850" t="s">
        <v>17570</v>
      </c>
      <c r="F12850" t="s">
        <v>17796</v>
      </c>
    </row>
    <row r="12851" spans="1:6" x14ac:dyDescent="0.25">
      <c r="A12851" t="str">
        <f>"6230088699"</f>
        <v>6230088699</v>
      </c>
      <c r="B12851" t="s">
        <v>17797</v>
      </c>
      <c r="C12851" t="s">
        <v>7</v>
      </c>
      <c r="D12851" t="s">
        <v>33</v>
      </c>
      <c r="E12851" t="s">
        <v>17570</v>
      </c>
      <c r="F12851" t="s">
        <v>17798</v>
      </c>
    </row>
    <row r="12852" spans="1:6" x14ac:dyDescent="0.25">
      <c r="A12852" t="str">
        <f>"6230091050"</f>
        <v>6230091050</v>
      </c>
      <c r="B12852" t="s">
        <v>17799</v>
      </c>
      <c r="C12852" t="s">
        <v>7</v>
      </c>
      <c r="D12852" t="s">
        <v>146</v>
      </c>
      <c r="E12852" t="s">
        <v>17570</v>
      </c>
      <c r="F12852" t="s">
        <v>17800</v>
      </c>
    </row>
    <row r="12853" spans="1:6" x14ac:dyDescent="0.25">
      <c r="A12853" t="str">
        <f>"6230111820"</f>
        <v>6230111820</v>
      </c>
      <c r="B12853" t="s">
        <v>17801</v>
      </c>
      <c r="C12853" t="s">
        <v>7</v>
      </c>
      <c r="D12853" t="s">
        <v>12</v>
      </c>
      <c r="E12853" t="s">
        <v>17570</v>
      </c>
      <c r="F12853" t="s">
        <v>17664</v>
      </c>
    </row>
    <row r="12854" spans="1:6" x14ac:dyDescent="0.25">
      <c r="A12854" t="str">
        <f>"623011626563"</f>
        <v>623011626563</v>
      </c>
      <c r="B12854" t="s">
        <v>17802</v>
      </c>
      <c r="C12854" t="s">
        <v>7</v>
      </c>
      <c r="D12854" t="s">
        <v>14</v>
      </c>
      <c r="E12854" t="s">
        <v>17570</v>
      </c>
    </row>
    <row r="12855" spans="1:6" x14ac:dyDescent="0.25">
      <c r="A12855" t="str">
        <f>"623011875305"</f>
        <v>623011875305</v>
      </c>
      <c r="B12855" t="s">
        <v>17803</v>
      </c>
      <c r="C12855" t="s">
        <v>7</v>
      </c>
      <c r="D12855" t="s">
        <v>12</v>
      </c>
      <c r="E12855" t="s">
        <v>17570</v>
      </c>
    </row>
    <row r="12856" spans="1:6" x14ac:dyDescent="0.25">
      <c r="A12856" t="str">
        <f>"6230118946"</f>
        <v>6230118946</v>
      </c>
      <c r="B12856" t="s">
        <v>17804</v>
      </c>
      <c r="C12856" t="s">
        <v>7</v>
      </c>
      <c r="D12856" t="s">
        <v>33</v>
      </c>
      <c r="E12856" t="s">
        <v>17570</v>
      </c>
      <c r="F12856" t="s">
        <v>17805</v>
      </c>
    </row>
    <row r="12857" spans="1:6" x14ac:dyDescent="0.25">
      <c r="A12857" t="str">
        <f>"623011938876"</f>
        <v>623011938876</v>
      </c>
      <c r="B12857" t="s">
        <v>17806</v>
      </c>
      <c r="C12857" t="s">
        <v>7</v>
      </c>
      <c r="D12857" t="s">
        <v>12</v>
      </c>
      <c r="E12857" t="s">
        <v>17570</v>
      </c>
    </row>
    <row r="12858" spans="1:6" x14ac:dyDescent="0.25">
      <c r="A12858" t="str">
        <f>"623014836505"</f>
        <v>623014836505</v>
      </c>
      <c r="B12858" t="s">
        <v>17807</v>
      </c>
      <c r="C12858" t="s">
        <v>7</v>
      </c>
      <c r="D12858" t="s">
        <v>14</v>
      </c>
      <c r="E12858" t="s">
        <v>17570</v>
      </c>
    </row>
    <row r="12859" spans="1:6" x14ac:dyDescent="0.25">
      <c r="A12859" t="str">
        <f>"623052091042"</f>
        <v>623052091042</v>
      </c>
      <c r="B12859" t="s">
        <v>17808</v>
      </c>
      <c r="C12859" t="s">
        <v>7</v>
      </c>
      <c r="D12859" t="s">
        <v>14</v>
      </c>
      <c r="E12859" t="s">
        <v>17570</v>
      </c>
    </row>
    <row r="12860" spans="1:6" x14ac:dyDescent="0.25">
      <c r="A12860" t="str">
        <f>"623101276401"</f>
        <v>623101276401</v>
      </c>
      <c r="B12860" t="s">
        <v>17809</v>
      </c>
      <c r="C12860" t="s">
        <v>7</v>
      </c>
      <c r="D12860" t="s">
        <v>12</v>
      </c>
      <c r="E12860" t="s">
        <v>17570</v>
      </c>
    </row>
    <row r="12861" spans="1:6" x14ac:dyDescent="0.25">
      <c r="A12861" t="str">
        <f>"623102948504"</f>
        <v>623102948504</v>
      </c>
      <c r="B12861" t="s">
        <v>17810</v>
      </c>
      <c r="C12861" t="s">
        <v>7</v>
      </c>
      <c r="D12861" t="s">
        <v>12</v>
      </c>
      <c r="E12861" t="s">
        <v>17570</v>
      </c>
    </row>
    <row r="12862" spans="1:6" x14ac:dyDescent="0.25">
      <c r="A12862" t="str">
        <f>"623106175968"</f>
        <v>623106175968</v>
      </c>
      <c r="B12862" t="s">
        <v>17811</v>
      </c>
      <c r="C12862" t="s">
        <v>7</v>
      </c>
      <c r="D12862" t="s">
        <v>14</v>
      </c>
      <c r="E12862" t="s">
        <v>17570</v>
      </c>
    </row>
    <row r="12863" spans="1:6" x14ac:dyDescent="0.25">
      <c r="A12863" t="str">
        <f>"6233007345"</f>
        <v>6233007345</v>
      </c>
      <c r="B12863" t="s">
        <v>17812</v>
      </c>
      <c r="C12863" t="s">
        <v>7</v>
      </c>
      <c r="D12863" t="s">
        <v>14</v>
      </c>
      <c r="E12863" t="s">
        <v>17570</v>
      </c>
      <c r="F12863" t="s">
        <v>17813</v>
      </c>
    </row>
    <row r="12864" spans="1:6" x14ac:dyDescent="0.25">
      <c r="A12864" t="str">
        <f>"623300893374"</f>
        <v>623300893374</v>
      </c>
      <c r="B12864" t="s">
        <v>17814</v>
      </c>
      <c r="C12864" t="s">
        <v>7</v>
      </c>
      <c r="D12864" t="s">
        <v>14</v>
      </c>
      <c r="E12864" t="s">
        <v>17570</v>
      </c>
    </row>
    <row r="12865" spans="1:6" x14ac:dyDescent="0.25">
      <c r="A12865" t="str">
        <f>"623401877749"</f>
        <v>623401877749</v>
      </c>
      <c r="B12865" t="s">
        <v>17815</v>
      </c>
      <c r="C12865" t="s">
        <v>7</v>
      </c>
      <c r="D12865" t="s">
        <v>12</v>
      </c>
      <c r="E12865" t="s">
        <v>17570</v>
      </c>
    </row>
    <row r="12866" spans="1:6" x14ac:dyDescent="0.25">
      <c r="A12866" t="str">
        <f>"6234024512"</f>
        <v>6234024512</v>
      </c>
      <c r="B12866" t="s">
        <v>17816</v>
      </c>
      <c r="C12866" t="s">
        <v>7</v>
      </c>
      <c r="D12866" t="s">
        <v>33</v>
      </c>
      <c r="E12866" t="s">
        <v>17570</v>
      </c>
      <c r="F12866" t="s">
        <v>17817</v>
      </c>
    </row>
    <row r="12867" spans="1:6" x14ac:dyDescent="0.25">
      <c r="A12867" t="str">
        <f>"623403059570"</f>
        <v>623403059570</v>
      </c>
      <c r="B12867" t="s">
        <v>17818</v>
      </c>
      <c r="C12867" t="s">
        <v>7</v>
      </c>
      <c r="D12867" t="s">
        <v>33</v>
      </c>
      <c r="E12867" t="s">
        <v>17570</v>
      </c>
    </row>
    <row r="12868" spans="1:6" x14ac:dyDescent="0.25">
      <c r="A12868" t="str">
        <f>"623403617295"</f>
        <v>623403617295</v>
      </c>
      <c r="B12868" t="s">
        <v>17819</v>
      </c>
      <c r="C12868" t="s">
        <v>7</v>
      </c>
      <c r="D12868" t="s">
        <v>33</v>
      </c>
      <c r="E12868" t="s">
        <v>17570</v>
      </c>
    </row>
    <row r="12869" spans="1:6" x14ac:dyDescent="0.25">
      <c r="A12869" t="str">
        <f>"623406093138"</f>
        <v>623406093138</v>
      </c>
      <c r="B12869" t="s">
        <v>17820</v>
      </c>
      <c r="C12869" t="s">
        <v>7</v>
      </c>
      <c r="D12869" t="s">
        <v>12</v>
      </c>
      <c r="E12869" t="s">
        <v>17570</v>
      </c>
    </row>
    <row r="12870" spans="1:6" x14ac:dyDescent="0.25">
      <c r="A12870" t="str">
        <f>"6234062211"</f>
        <v>6234062211</v>
      </c>
      <c r="B12870" t="s">
        <v>17821</v>
      </c>
      <c r="C12870" t="s">
        <v>7</v>
      </c>
      <c r="D12870" t="s">
        <v>12</v>
      </c>
      <c r="E12870" t="s">
        <v>17570</v>
      </c>
      <c r="F12870" t="s">
        <v>17757</v>
      </c>
    </row>
    <row r="12871" spans="1:6" x14ac:dyDescent="0.25">
      <c r="A12871" t="str">
        <f>"623411536723"</f>
        <v>623411536723</v>
      </c>
      <c r="B12871" t="s">
        <v>17822</v>
      </c>
      <c r="C12871" t="s">
        <v>7</v>
      </c>
      <c r="D12871" t="s">
        <v>14</v>
      </c>
      <c r="E12871" t="s">
        <v>17570</v>
      </c>
    </row>
    <row r="12872" spans="1:6" x14ac:dyDescent="0.25">
      <c r="A12872" t="str">
        <f>"6234175494"</f>
        <v>6234175494</v>
      </c>
      <c r="B12872" t="s">
        <v>17823</v>
      </c>
      <c r="C12872" t="s">
        <v>7</v>
      </c>
      <c r="D12872" t="s">
        <v>33</v>
      </c>
      <c r="E12872" t="s">
        <v>17570</v>
      </c>
      <c r="F12872" t="s">
        <v>17824</v>
      </c>
    </row>
    <row r="12873" spans="1:6" x14ac:dyDescent="0.25">
      <c r="A12873" t="str">
        <f>"6234180896"</f>
        <v>6234180896</v>
      </c>
      <c r="B12873" t="s">
        <v>265</v>
      </c>
      <c r="C12873" t="s">
        <v>7</v>
      </c>
      <c r="D12873" t="s">
        <v>33</v>
      </c>
      <c r="E12873" t="s">
        <v>17570</v>
      </c>
      <c r="F12873" t="s">
        <v>17825</v>
      </c>
    </row>
    <row r="12874" spans="1:6" x14ac:dyDescent="0.25">
      <c r="A12874" t="str">
        <f>"6234184474"</f>
        <v>6234184474</v>
      </c>
      <c r="B12874" t="s">
        <v>17826</v>
      </c>
      <c r="C12874" t="s">
        <v>7</v>
      </c>
      <c r="D12874" t="s">
        <v>8</v>
      </c>
      <c r="E12874" t="s">
        <v>17570</v>
      </c>
      <c r="F12874" t="s">
        <v>17827</v>
      </c>
    </row>
    <row r="12875" spans="1:6" x14ac:dyDescent="0.25">
      <c r="A12875" t="str">
        <f>"6234200253"</f>
        <v>6234200253</v>
      </c>
      <c r="B12875" t="s">
        <v>17828</v>
      </c>
      <c r="C12875" t="s">
        <v>7</v>
      </c>
      <c r="D12875" t="s">
        <v>33</v>
      </c>
      <c r="E12875" t="s">
        <v>17570</v>
      </c>
      <c r="F12875" t="s">
        <v>17829</v>
      </c>
    </row>
    <row r="12876" spans="1:6" x14ac:dyDescent="0.25">
      <c r="A12876" t="str">
        <f>"6200011530"</f>
        <v>6200011530</v>
      </c>
      <c r="B12876" t="s">
        <v>17830</v>
      </c>
      <c r="C12876" t="s">
        <v>7</v>
      </c>
      <c r="D12876" t="s">
        <v>12</v>
      </c>
      <c r="E12876" t="s">
        <v>17570</v>
      </c>
      <c r="F12876" t="s">
        <v>17831</v>
      </c>
    </row>
    <row r="12877" spans="1:6" x14ac:dyDescent="0.25">
      <c r="A12877" t="str">
        <f>"620200277320"</f>
        <v>620200277320</v>
      </c>
      <c r="B12877" t="s">
        <v>17832</v>
      </c>
      <c r="C12877" t="s">
        <v>7</v>
      </c>
      <c r="D12877" t="s">
        <v>14</v>
      </c>
      <c r="E12877" t="s">
        <v>17570</v>
      </c>
    </row>
    <row r="12878" spans="1:6" x14ac:dyDescent="0.25">
      <c r="A12878" t="str">
        <f>"6217003600"</f>
        <v>6217003600</v>
      </c>
      <c r="B12878" t="s">
        <v>17833</v>
      </c>
      <c r="C12878" t="s">
        <v>7</v>
      </c>
      <c r="D12878" t="s">
        <v>14</v>
      </c>
      <c r="E12878" t="s">
        <v>17570</v>
      </c>
      <c r="F12878" t="s">
        <v>17834</v>
      </c>
    </row>
    <row r="12879" spans="1:6" x14ac:dyDescent="0.25">
      <c r="A12879" t="str">
        <f>"622000112807"</f>
        <v>622000112807</v>
      </c>
      <c r="B12879" t="s">
        <v>17835</v>
      </c>
      <c r="C12879" t="s">
        <v>7</v>
      </c>
      <c r="D12879" t="s">
        <v>12</v>
      </c>
      <c r="E12879" t="s">
        <v>17570</v>
      </c>
    </row>
    <row r="12880" spans="1:6" x14ac:dyDescent="0.25">
      <c r="A12880" t="str">
        <f>"622660707208"</f>
        <v>622660707208</v>
      </c>
      <c r="B12880" t="s">
        <v>17836</v>
      </c>
      <c r="C12880" t="s">
        <v>7</v>
      </c>
      <c r="D12880" t="s">
        <v>14</v>
      </c>
      <c r="E12880" t="s">
        <v>17570</v>
      </c>
    </row>
    <row r="12881" spans="1:6" x14ac:dyDescent="0.25">
      <c r="A12881" t="str">
        <f>"622669290007"</f>
        <v>622669290007</v>
      </c>
      <c r="B12881" t="s">
        <v>17837</v>
      </c>
      <c r="C12881" t="s">
        <v>7</v>
      </c>
      <c r="D12881" t="s">
        <v>14</v>
      </c>
      <c r="E12881" t="s">
        <v>17570</v>
      </c>
    </row>
    <row r="12882" spans="1:6" x14ac:dyDescent="0.25">
      <c r="A12882" t="str">
        <f>"6229091922"</f>
        <v>6229091922</v>
      </c>
      <c r="B12882" t="s">
        <v>2204</v>
      </c>
      <c r="C12882" t="s">
        <v>7</v>
      </c>
      <c r="D12882" t="s">
        <v>12</v>
      </c>
      <c r="E12882" t="s">
        <v>17570</v>
      </c>
      <c r="F12882" t="s">
        <v>17838</v>
      </c>
    </row>
    <row r="12883" spans="1:6" x14ac:dyDescent="0.25">
      <c r="A12883" t="str">
        <f>"623000889539"</f>
        <v>623000889539</v>
      </c>
      <c r="B12883" t="s">
        <v>17839</v>
      </c>
      <c r="C12883" t="s">
        <v>7</v>
      </c>
      <c r="D12883" t="s">
        <v>12</v>
      </c>
      <c r="E12883" t="s">
        <v>17570</v>
      </c>
    </row>
    <row r="12884" spans="1:6" x14ac:dyDescent="0.25">
      <c r="A12884" t="str">
        <f>"6230042800"</f>
        <v>6230042800</v>
      </c>
      <c r="B12884" t="s">
        <v>17840</v>
      </c>
      <c r="C12884" t="s">
        <v>7</v>
      </c>
      <c r="D12884" t="s">
        <v>8</v>
      </c>
      <c r="E12884" t="s">
        <v>17570</v>
      </c>
      <c r="F12884" t="s">
        <v>17841</v>
      </c>
    </row>
    <row r="12885" spans="1:6" x14ac:dyDescent="0.25">
      <c r="A12885" t="str">
        <f>"550521428577"</f>
        <v>550521428577</v>
      </c>
      <c r="B12885" t="s">
        <v>17842</v>
      </c>
      <c r="C12885" t="s">
        <v>7</v>
      </c>
      <c r="D12885" t="s">
        <v>12</v>
      </c>
      <c r="E12885" t="s">
        <v>17570</v>
      </c>
    </row>
    <row r="12886" spans="1:6" x14ac:dyDescent="0.25">
      <c r="A12886" t="str">
        <f>"6234042906"</f>
        <v>6234042906</v>
      </c>
      <c r="B12886" t="s">
        <v>17843</v>
      </c>
      <c r="C12886" t="s">
        <v>7</v>
      </c>
      <c r="D12886" t="s">
        <v>12</v>
      </c>
      <c r="E12886" t="s">
        <v>17570</v>
      </c>
      <c r="F12886" t="s">
        <v>17690</v>
      </c>
    </row>
    <row r="12887" spans="1:6" x14ac:dyDescent="0.25">
      <c r="A12887" t="str">
        <f>"5022086032"</f>
        <v>5022086032</v>
      </c>
      <c r="B12887" t="s">
        <v>15356</v>
      </c>
      <c r="C12887" t="s">
        <v>7</v>
      </c>
      <c r="D12887" t="s">
        <v>33</v>
      </c>
      <c r="E12887" t="s">
        <v>17570</v>
      </c>
      <c r="F12887" t="s">
        <v>17844</v>
      </c>
    </row>
    <row r="12888" spans="1:6" x14ac:dyDescent="0.25">
      <c r="A12888" t="str">
        <f>"132000752454"</f>
        <v>132000752454</v>
      </c>
      <c r="B12888" t="s">
        <v>17845</v>
      </c>
      <c r="C12888" t="s">
        <v>7</v>
      </c>
      <c r="D12888" t="s">
        <v>12</v>
      </c>
      <c r="E12888" t="s">
        <v>17570</v>
      </c>
    </row>
    <row r="12889" spans="1:6" x14ac:dyDescent="0.25">
      <c r="A12889" t="str">
        <f>"5018008761"</f>
        <v>5018008761</v>
      </c>
      <c r="B12889" t="s">
        <v>17846</v>
      </c>
      <c r="C12889" t="s">
        <v>7</v>
      </c>
      <c r="D12889" t="s">
        <v>146</v>
      </c>
      <c r="E12889" t="s">
        <v>17570</v>
      </c>
      <c r="F12889" t="s">
        <v>17847</v>
      </c>
    </row>
    <row r="12890" spans="1:6" x14ac:dyDescent="0.25">
      <c r="A12890" t="str">
        <f>"7118020029"</f>
        <v>7118020029</v>
      </c>
      <c r="B12890" t="s">
        <v>5279</v>
      </c>
      <c r="C12890" t="s">
        <v>7</v>
      </c>
      <c r="D12890" t="s">
        <v>33</v>
      </c>
      <c r="E12890" t="s">
        <v>17570</v>
      </c>
      <c r="F12890" t="s">
        <v>17848</v>
      </c>
    </row>
    <row r="12891" spans="1:6" x14ac:dyDescent="0.25">
      <c r="A12891" t="str">
        <f>"132000652153"</f>
        <v>132000652153</v>
      </c>
      <c r="B12891" t="s">
        <v>17849</v>
      </c>
      <c r="C12891" t="s">
        <v>7</v>
      </c>
      <c r="D12891" t="s">
        <v>33</v>
      </c>
      <c r="E12891" t="s">
        <v>17570</v>
      </c>
    </row>
    <row r="12892" spans="1:6" x14ac:dyDescent="0.25">
      <c r="A12892" t="str">
        <f>"592103707822"</f>
        <v>592103707822</v>
      </c>
      <c r="B12892" t="s">
        <v>17850</v>
      </c>
      <c r="C12892" t="s">
        <v>7</v>
      </c>
      <c r="D12892" t="s">
        <v>14</v>
      </c>
      <c r="E12892" t="s">
        <v>17570</v>
      </c>
    </row>
    <row r="12893" spans="1:6" x14ac:dyDescent="0.25">
      <c r="A12893" t="str">
        <f>"391800924834"</f>
        <v>391800924834</v>
      </c>
      <c r="B12893" t="s">
        <v>17851</v>
      </c>
      <c r="C12893" t="s">
        <v>7</v>
      </c>
      <c r="D12893" t="s">
        <v>14</v>
      </c>
      <c r="E12893" t="s">
        <v>17570</v>
      </c>
    </row>
    <row r="12894" spans="1:6" x14ac:dyDescent="0.25">
      <c r="A12894" t="str">
        <f>"5072006297"</f>
        <v>5072006297</v>
      </c>
      <c r="B12894" t="s">
        <v>17852</v>
      </c>
      <c r="C12894" t="s">
        <v>7</v>
      </c>
      <c r="D12894" t="s">
        <v>12</v>
      </c>
      <c r="E12894" t="s">
        <v>17570</v>
      </c>
      <c r="F12894" t="s">
        <v>17853</v>
      </c>
    </row>
    <row r="12895" spans="1:6" x14ac:dyDescent="0.25">
      <c r="A12895" t="str">
        <f>"613602738393"</f>
        <v>613602738393</v>
      </c>
      <c r="B12895" t="s">
        <v>17854</v>
      </c>
      <c r="C12895" t="s">
        <v>7</v>
      </c>
      <c r="D12895" t="s">
        <v>12</v>
      </c>
      <c r="E12895" t="s">
        <v>17570</v>
      </c>
    </row>
    <row r="12896" spans="1:6" x14ac:dyDescent="0.25">
      <c r="A12896" t="str">
        <f>"681101831730"</f>
        <v>681101831730</v>
      </c>
      <c r="B12896" t="s">
        <v>17855</v>
      </c>
      <c r="C12896" t="s">
        <v>7</v>
      </c>
      <c r="D12896" t="s">
        <v>14</v>
      </c>
      <c r="E12896" t="s">
        <v>17570</v>
      </c>
    </row>
    <row r="12897" spans="1:6" x14ac:dyDescent="0.25">
      <c r="A12897" t="str">
        <f>"322702136906"</f>
        <v>322702136906</v>
      </c>
      <c r="B12897" t="s">
        <v>17856</v>
      </c>
      <c r="C12897" t="s">
        <v>7</v>
      </c>
      <c r="D12897" t="s">
        <v>12</v>
      </c>
      <c r="E12897" t="s">
        <v>17570</v>
      </c>
    </row>
    <row r="12898" spans="1:6" x14ac:dyDescent="0.25">
      <c r="A12898" t="str">
        <f>"322702136832"</f>
        <v>322702136832</v>
      </c>
      <c r="B12898" t="s">
        <v>17857</v>
      </c>
      <c r="C12898" t="s">
        <v>7</v>
      </c>
      <c r="D12898" t="s">
        <v>12</v>
      </c>
      <c r="E12898" t="s">
        <v>17570</v>
      </c>
    </row>
    <row r="12899" spans="1:6" x14ac:dyDescent="0.25">
      <c r="A12899" t="str">
        <f>"7720423860"</f>
        <v>7720423860</v>
      </c>
      <c r="B12899" t="s">
        <v>12386</v>
      </c>
      <c r="C12899" t="s">
        <v>7</v>
      </c>
      <c r="D12899" t="s">
        <v>33</v>
      </c>
      <c r="E12899" t="s">
        <v>17570</v>
      </c>
      <c r="F12899" t="s">
        <v>17858</v>
      </c>
    </row>
    <row r="12900" spans="1:6" x14ac:dyDescent="0.25">
      <c r="A12900" t="str">
        <f>"6722024379"</f>
        <v>6722024379</v>
      </c>
      <c r="B12900" t="s">
        <v>17859</v>
      </c>
      <c r="C12900" t="s">
        <v>7</v>
      </c>
      <c r="D12900" t="s">
        <v>189</v>
      </c>
      <c r="E12900" t="s">
        <v>17570</v>
      </c>
      <c r="F12900" t="s">
        <v>17860</v>
      </c>
    </row>
    <row r="12901" spans="1:6" x14ac:dyDescent="0.25">
      <c r="A12901" t="str">
        <f>"9705073741"</f>
        <v>9705073741</v>
      </c>
      <c r="B12901" t="s">
        <v>17861</v>
      </c>
      <c r="C12901" t="s">
        <v>7</v>
      </c>
      <c r="D12901" t="s">
        <v>146</v>
      </c>
      <c r="E12901" t="s">
        <v>17570</v>
      </c>
      <c r="F12901" t="s">
        <v>17862</v>
      </c>
    </row>
    <row r="12902" spans="1:6" x14ac:dyDescent="0.25">
      <c r="A12902" t="str">
        <f>"025504572104"</f>
        <v>025504572104</v>
      </c>
      <c r="B12902" t="s">
        <v>17863</v>
      </c>
      <c r="C12902" t="s">
        <v>7</v>
      </c>
      <c r="D12902" t="s">
        <v>14</v>
      </c>
      <c r="E12902" t="s">
        <v>17864</v>
      </c>
    </row>
    <row r="12903" spans="1:6" x14ac:dyDescent="0.25">
      <c r="A12903" t="str">
        <f>"6311066735"</f>
        <v>6311066735</v>
      </c>
      <c r="B12903" t="s">
        <v>17865</v>
      </c>
      <c r="C12903" t="s">
        <v>7</v>
      </c>
      <c r="D12903" t="s">
        <v>12</v>
      </c>
      <c r="E12903" t="s">
        <v>17864</v>
      </c>
      <c r="F12903" t="s">
        <v>17866</v>
      </c>
    </row>
    <row r="12904" spans="1:6" x14ac:dyDescent="0.25">
      <c r="A12904" t="str">
        <f>"6311072190"</f>
        <v>6311072190</v>
      </c>
      <c r="B12904" t="s">
        <v>17867</v>
      </c>
      <c r="C12904" t="s">
        <v>7</v>
      </c>
      <c r="D12904" t="s">
        <v>33</v>
      </c>
      <c r="E12904" t="s">
        <v>17864</v>
      </c>
      <c r="F12904" t="s">
        <v>17868</v>
      </c>
    </row>
    <row r="12905" spans="1:6" x14ac:dyDescent="0.25">
      <c r="A12905" t="str">
        <f>"631108084902"</f>
        <v>631108084902</v>
      </c>
      <c r="B12905" t="s">
        <v>17869</v>
      </c>
      <c r="C12905" t="s">
        <v>7</v>
      </c>
      <c r="D12905" t="s">
        <v>12</v>
      </c>
      <c r="E12905" t="s">
        <v>17864</v>
      </c>
    </row>
    <row r="12906" spans="1:6" x14ac:dyDescent="0.25">
      <c r="A12906" t="str">
        <f>"6311134600"</f>
        <v>6311134600</v>
      </c>
      <c r="B12906" t="s">
        <v>17870</v>
      </c>
      <c r="C12906" t="s">
        <v>7</v>
      </c>
      <c r="D12906" t="s">
        <v>12</v>
      </c>
      <c r="E12906" t="s">
        <v>17864</v>
      </c>
      <c r="F12906" t="s">
        <v>17871</v>
      </c>
    </row>
    <row r="12907" spans="1:6" x14ac:dyDescent="0.25">
      <c r="A12907" t="str">
        <f>"6311134914"</f>
        <v>6311134914</v>
      </c>
      <c r="B12907" t="s">
        <v>17872</v>
      </c>
      <c r="C12907" t="s">
        <v>7</v>
      </c>
      <c r="D12907" t="s">
        <v>33</v>
      </c>
      <c r="E12907" t="s">
        <v>17864</v>
      </c>
      <c r="F12907" t="s">
        <v>17873</v>
      </c>
    </row>
    <row r="12908" spans="1:6" x14ac:dyDescent="0.25">
      <c r="A12908" t="str">
        <f>"6311145497"</f>
        <v>6311145497</v>
      </c>
      <c r="B12908" t="s">
        <v>17874</v>
      </c>
      <c r="C12908" t="s">
        <v>7</v>
      </c>
      <c r="D12908" t="s">
        <v>12</v>
      </c>
      <c r="E12908" t="s">
        <v>17864</v>
      </c>
      <c r="F12908" t="s">
        <v>17875</v>
      </c>
    </row>
    <row r="12909" spans="1:6" x14ac:dyDescent="0.25">
      <c r="A12909" t="str">
        <f>"6311156481"</f>
        <v>6311156481</v>
      </c>
      <c r="B12909" t="s">
        <v>17876</v>
      </c>
      <c r="C12909" t="s">
        <v>7</v>
      </c>
      <c r="D12909" t="s">
        <v>12</v>
      </c>
      <c r="E12909" t="s">
        <v>17864</v>
      </c>
      <c r="F12909" t="s">
        <v>17877</v>
      </c>
    </row>
    <row r="12910" spans="1:6" x14ac:dyDescent="0.25">
      <c r="A12910" t="str">
        <f>"6311164154"</f>
        <v>6311164154</v>
      </c>
      <c r="B12910" t="s">
        <v>17878</v>
      </c>
      <c r="C12910" t="s">
        <v>7</v>
      </c>
      <c r="D12910" t="s">
        <v>33</v>
      </c>
      <c r="E12910" t="s">
        <v>17864</v>
      </c>
      <c r="F12910" t="s">
        <v>17879</v>
      </c>
    </row>
    <row r="12911" spans="1:6" x14ac:dyDescent="0.25">
      <c r="A12911" t="str">
        <f>"6311171419"</f>
        <v>6311171419</v>
      </c>
      <c r="B12911" t="s">
        <v>17880</v>
      </c>
      <c r="C12911" t="s">
        <v>7</v>
      </c>
      <c r="D12911" t="s">
        <v>12</v>
      </c>
      <c r="E12911" t="s">
        <v>17864</v>
      </c>
      <c r="F12911" t="s">
        <v>17881</v>
      </c>
    </row>
    <row r="12912" spans="1:6" x14ac:dyDescent="0.25">
      <c r="A12912" t="str">
        <f>"6311171440"</f>
        <v>6311171440</v>
      </c>
      <c r="B12912" t="s">
        <v>17882</v>
      </c>
      <c r="C12912" t="s">
        <v>7</v>
      </c>
      <c r="D12912" t="s">
        <v>12</v>
      </c>
      <c r="E12912" t="s">
        <v>17864</v>
      </c>
      <c r="F12912" t="s">
        <v>17883</v>
      </c>
    </row>
    <row r="12913" spans="1:6" x14ac:dyDescent="0.25">
      <c r="A12913" t="str">
        <f>"6311171465"</f>
        <v>6311171465</v>
      </c>
      <c r="B12913" t="s">
        <v>17884</v>
      </c>
      <c r="C12913" t="s">
        <v>7</v>
      </c>
      <c r="D12913" t="s">
        <v>12</v>
      </c>
      <c r="E12913" t="s">
        <v>17864</v>
      </c>
      <c r="F12913" t="s">
        <v>17883</v>
      </c>
    </row>
    <row r="12914" spans="1:6" x14ac:dyDescent="0.25">
      <c r="A12914" t="str">
        <f>"6311174836"</f>
        <v>6311174836</v>
      </c>
      <c r="B12914" t="s">
        <v>17885</v>
      </c>
      <c r="C12914" t="s">
        <v>7</v>
      </c>
      <c r="D12914" t="s">
        <v>12</v>
      </c>
      <c r="E12914" t="s">
        <v>17864</v>
      </c>
      <c r="F12914" t="s">
        <v>17886</v>
      </c>
    </row>
    <row r="12915" spans="1:6" x14ac:dyDescent="0.25">
      <c r="A12915" t="str">
        <f>"6311190242"</f>
        <v>6311190242</v>
      </c>
      <c r="B12915" t="s">
        <v>6958</v>
      </c>
      <c r="C12915" t="s">
        <v>7</v>
      </c>
      <c r="D12915" t="s">
        <v>12</v>
      </c>
      <c r="E12915" t="s">
        <v>17864</v>
      </c>
      <c r="F12915" t="s">
        <v>17887</v>
      </c>
    </row>
    <row r="12916" spans="1:6" x14ac:dyDescent="0.25">
      <c r="A12916" t="str">
        <f>"6311191430"</f>
        <v>6311191430</v>
      </c>
      <c r="B12916" t="s">
        <v>17888</v>
      </c>
      <c r="C12916" t="s">
        <v>7</v>
      </c>
      <c r="D12916" t="s">
        <v>12</v>
      </c>
      <c r="E12916" t="s">
        <v>17864</v>
      </c>
      <c r="F12916" t="s">
        <v>17887</v>
      </c>
    </row>
    <row r="12917" spans="1:6" x14ac:dyDescent="0.25">
      <c r="A12917" t="str">
        <f>"6311193331"</f>
        <v>6311193331</v>
      </c>
      <c r="B12917" t="s">
        <v>3271</v>
      </c>
      <c r="C12917" t="s">
        <v>7</v>
      </c>
      <c r="D12917" t="s">
        <v>12</v>
      </c>
      <c r="E12917" t="s">
        <v>17864</v>
      </c>
      <c r="F12917" t="s">
        <v>17889</v>
      </c>
    </row>
    <row r="12918" spans="1:6" x14ac:dyDescent="0.25">
      <c r="A12918" t="str">
        <f>"6311997766"</f>
        <v>6311997766</v>
      </c>
      <c r="B12918" t="s">
        <v>17890</v>
      </c>
      <c r="C12918" t="s">
        <v>7</v>
      </c>
      <c r="D12918" t="s">
        <v>463</v>
      </c>
      <c r="E12918" t="s">
        <v>17864</v>
      </c>
      <c r="F12918" t="s">
        <v>17891</v>
      </c>
    </row>
    <row r="12919" spans="1:6" x14ac:dyDescent="0.25">
      <c r="A12919" t="str">
        <f>"631200028392"</f>
        <v>631200028392</v>
      </c>
      <c r="B12919" t="s">
        <v>17892</v>
      </c>
      <c r="C12919" t="s">
        <v>7</v>
      </c>
      <c r="D12919" t="s">
        <v>14</v>
      </c>
      <c r="E12919" t="s">
        <v>17864</v>
      </c>
    </row>
    <row r="12920" spans="1:6" x14ac:dyDescent="0.25">
      <c r="A12920" t="str">
        <f>"631200063044"</f>
        <v>631200063044</v>
      </c>
      <c r="B12920" t="s">
        <v>17893</v>
      </c>
      <c r="C12920" t="s">
        <v>7</v>
      </c>
      <c r="D12920" t="s">
        <v>14</v>
      </c>
      <c r="E12920" t="s">
        <v>17864</v>
      </c>
    </row>
    <row r="12921" spans="1:6" x14ac:dyDescent="0.25">
      <c r="A12921" t="str">
        <f>"631202699068"</f>
        <v>631202699068</v>
      </c>
      <c r="B12921" t="s">
        <v>17894</v>
      </c>
      <c r="C12921" t="s">
        <v>7</v>
      </c>
      <c r="D12921" t="s">
        <v>14</v>
      </c>
      <c r="E12921" t="s">
        <v>17864</v>
      </c>
    </row>
    <row r="12922" spans="1:6" x14ac:dyDescent="0.25">
      <c r="A12922" t="str">
        <f>"6312055920"</f>
        <v>6312055920</v>
      </c>
      <c r="B12922" t="s">
        <v>17895</v>
      </c>
      <c r="C12922" t="s">
        <v>7</v>
      </c>
      <c r="D12922" t="s">
        <v>12</v>
      </c>
      <c r="E12922" t="s">
        <v>17864</v>
      </c>
      <c r="F12922" t="s">
        <v>17896</v>
      </c>
    </row>
    <row r="12923" spans="1:6" x14ac:dyDescent="0.25">
      <c r="A12923" t="str">
        <f>"6312077955"</f>
        <v>6312077955</v>
      </c>
      <c r="B12923" t="s">
        <v>17897</v>
      </c>
      <c r="C12923" t="s">
        <v>7</v>
      </c>
      <c r="D12923" t="s">
        <v>14</v>
      </c>
      <c r="E12923" t="s">
        <v>17864</v>
      </c>
      <c r="F12923" t="s">
        <v>17898</v>
      </c>
    </row>
    <row r="12924" spans="1:6" x14ac:dyDescent="0.25">
      <c r="A12924" t="str">
        <f>"6312104937"</f>
        <v>6312104937</v>
      </c>
      <c r="B12924" t="s">
        <v>17899</v>
      </c>
      <c r="C12924" t="s">
        <v>7</v>
      </c>
      <c r="D12924" t="s">
        <v>14</v>
      </c>
      <c r="E12924" t="s">
        <v>17864</v>
      </c>
      <c r="F12924" t="s">
        <v>17900</v>
      </c>
    </row>
    <row r="12925" spans="1:6" x14ac:dyDescent="0.25">
      <c r="A12925" t="str">
        <f>"6312164291"</f>
        <v>6312164291</v>
      </c>
      <c r="B12925" t="s">
        <v>17901</v>
      </c>
      <c r="C12925" t="s">
        <v>7</v>
      </c>
      <c r="D12925" t="s">
        <v>33</v>
      </c>
      <c r="E12925" t="s">
        <v>17864</v>
      </c>
      <c r="F12925" t="s">
        <v>17902</v>
      </c>
    </row>
    <row r="12926" spans="1:6" x14ac:dyDescent="0.25">
      <c r="A12926" t="str">
        <f>"6312169878"</f>
        <v>6312169878</v>
      </c>
      <c r="B12926" t="s">
        <v>17903</v>
      </c>
      <c r="C12926" t="s">
        <v>7</v>
      </c>
      <c r="D12926" t="s">
        <v>12</v>
      </c>
      <c r="E12926" t="s">
        <v>17864</v>
      </c>
      <c r="F12926" t="s">
        <v>17904</v>
      </c>
    </row>
    <row r="12927" spans="1:6" x14ac:dyDescent="0.25">
      <c r="A12927" t="str">
        <f>"6312192725"</f>
        <v>6312192725</v>
      </c>
      <c r="B12927" t="s">
        <v>17905</v>
      </c>
      <c r="C12927" t="s">
        <v>7</v>
      </c>
      <c r="D12927" t="s">
        <v>14</v>
      </c>
      <c r="E12927" t="s">
        <v>17864</v>
      </c>
      <c r="F12927" t="s">
        <v>17906</v>
      </c>
    </row>
    <row r="12928" spans="1:6" x14ac:dyDescent="0.25">
      <c r="A12928" t="str">
        <f>"6312197804"</f>
        <v>6312197804</v>
      </c>
      <c r="B12928" t="s">
        <v>17907</v>
      </c>
      <c r="C12928" t="s">
        <v>7</v>
      </c>
      <c r="D12928" t="s">
        <v>674</v>
      </c>
      <c r="E12928" t="s">
        <v>17864</v>
      </c>
      <c r="F12928" t="s">
        <v>17908</v>
      </c>
    </row>
    <row r="12929" spans="1:6" x14ac:dyDescent="0.25">
      <c r="A12929" t="str">
        <f>"6312213598"</f>
        <v>6312213598</v>
      </c>
      <c r="B12929" t="s">
        <v>17909</v>
      </c>
      <c r="C12929" t="s">
        <v>7</v>
      </c>
      <c r="D12929" t="s">
        <v>98</v>
      </c>
      <c r="E12929" t="s">
        <v>17864</v>
      </c>
      <c r="F12929" t="s">
        <v>17910</v>
      </c>
    </row>
    <row r="12930" spans="1:6" x14ac:dyDescent="0.25">
      <c r="A12930" t="str">
        <f>"6312222056"</f>
        <v>6312222056</v>
      </c>
      <c r="B12930" t="s">
        <v>17911</v>
      </c>
      <c r="C12930" t="s">
        <v>7</v>
      </c>
      <c r="D12930" t="s">
        <v>33</v>
      </c>
      <c r="E12930" t="s">
        <v>17864</v>
      </c>
      <c r="F12930" t="s">
        <v>17912</v>
      </c>
    </row>
    <row r="12931" spans="1:6" x14ac:dyDescent="0.25">
      <c r="A12931" t="str">
        <f>"631222845616"</f>
        <v>631222845616</v>
      </c>
      <c r="B12931" t="s">
        <v>17913</v>
      </c>
      <c r="C12931" t="s">
        <v>7</v>
      </c>
      <c r="D12931" t="s">
        <v>12</v>
      </c>
      <c r="E12931" t="s">
        <v>17864</v>
      </c>
    </row>
    <row r="12932" spans="1:6" x14ac:dyDescent="0.25">
      <c r="A12932" t="str">
        <f>"631226441406"</f>
        <v>631226441406</v>
      </c>
      <c r="B12932" t="s">
        <v>17914</v>
      </c>
      <c r="C12932" t="s">
        <v>7</v>
      </c>
      <c r="D12932" t="s">
        <v>12</v>
      </c>
      <c r="E12932" t="s">
        <v>17864</v>
      </c>
    </row>
    <row r="12933" spans="1:6" x14ac:dyDescent="0.25">
      <c r="A12933" t="str">
        <f>"631304955024"</f>
        <v>631304955024</v>
      </c>
      <c r="B12933" t="s">
        <v>17915</v>
      </c>
      <c r="C12933" t="s">
        <v>7</v>
      </c>
      <c r="D12933" t="s">
        <v>14</v>
      </c>
      <c r="E12933" t="s">
        <v>17864</v>
      </c>
    </row>
    <row r="12934" spans="1:6" x14ac:dyDescent="0.25">
      <c r="A12934" t="str">
        <f>"6313534675"</f>
        <v>6313534675</v>
      </c>
      <c r="B12934" t="s">
        <v>17916</v>
      </c>
      <c r="C12934" t="s">
        <v>7</v>
      </c>
      <c r="D12934" t="s">
        <v>12</v>
      </c>
      <c r="E12934" t="s">
        <v>17864</v>
      </c>
      <c r="F12934" t="s">
        <v>17917</v>
      </c>
    </row>
    <row r="12935" spans="1:6" x14ac:dyDescent="0.25">
      <c r="A12935" t="str">
        <f>"6313536841"</f>
        <v>6313536841</v>
      </c>
      <c r="B12935" t="s">
        <v>17918</v>
      </c>
      <c r="C12935" t="s">
        <v>7</v>
      </c>
      <c r="D12935" t="s">
        <v>14</v>
      </c>
      <c r="E12935" t="s">
        <v>17864</v>
      </c>
      <c r="F12935" t="s">
        <v>17919</v>
      </c>
    </row>
    <row r="12936" spans="1:6" x14ac:dyDescent="0.25">
      <c r="A12936" t="str">
        <f>"6313547258"</f>
        <v>6313547258</v>
      </c>
      <c r="B12936" t="s">
        <v>17920</v>
      </c>
      <c r="C12936" t="s">
        <v>7</v>
      </c>
      <c r="D12936" t="s">
        <v>12</v>
      </c>
      <c r="E12936" t="s">
        <v>17864</v>
      </c>
      <c r="F12936" t="s">
        <v>17921</v>
      </c>
    </row>
    <row r="12937" spans="1:6" x14ac:dyDescent="0.25">
      <c r="A12937" t="str">
        <f>"6314022493"</f>
        <v>6314022493</v>
      </c>
      <c r="B12937" t="s">
        <v>17922</v>
      </c>
      <c r="C12937" t="s">
        <v>7</v>
      </c>
      <c r="D12937" t="s">
        <v>12</v>
      </c>
      <c r="E12937" t="s">
        <v>17864</v>
      </c>
      <c r="F12937" t="s">
        <v>17923</v>
      </c>
    </row>
    <row r="12938" spans="1:6" x14ac:dyDescent="0.25">
      <c r="A12938" t="str">
        <f>"6314026900"</f>
        <v>6314026900</v>
      </c>
      <c r="B12938" t="s">
        <v>17924</v>
      </c>
      <c r="C12938" t="s">
        <v>7</v>
      </c>
      <c r="D12938" t="s">
        <v>12</v>
      </c>
      <c r="E12938" t="s">
        <v>17864</v>
      </c>
      <c r="F12938" t="s">
        <v>17925</v>
      </c>
    </row>
    <row r="12939" spans="1:6" x14ac:dyDescent="0.25">
      <c r="A12939" t="str">
        <f>"6314039514"</f>
        <v>6314039514</v>
      </c>
      <c r="B12939" t="s">
        <v>17926</v>
      </c>
      <c r="C12939" t="s">
        <v>7</v>
      </c>
      <c r="D12939" t="s">
        <v>14</v>
      </c>
      <c r="E12939" t="s">
        <v>17864</v>
      </c>
      <c r="F12939" t="s">
        <v>17927</v>
      </c>
    </row>
    <row r="12940" spans="1:6" x14ac:dyDescent="0.25">
      <c r="A12940" t="str">
        <f>"631505822240"</f>
        <v>631505822240</v>
      </c>
      <c r="B12940" t="s">
        <v>17928</v>
      </c>
      <c r="C12940" t="s">
        <v>7</v>
      </c>
      <c r="D12940" t="s">
        <v>12</v>
      </c>
      <c r="E12940" t="s">
        <v>17864</v>
      </c>
    </row>
    <row r="12941" spans="1:6" x14ac:dyDescent="0.25">
      <c r="A12941" t="str">
        <f>"6315629259"</f>
        <v>6315629259</v>
      </c>
      <c r="B12941" t="s">
        <v>17929</v>
      </c>
      <c r="C12941" t="s">
        <v>7</v>
      </c>
      <c r="D12941" t="s">
        <v>33</v>
      </c>
      <c r="E12941" t="s">
        <v>17864</v>
      </c>
      <c r="F12941" t="s">
        <v>17930</v>
      </c>
    </row>
    <row r="12942" spans="1:6" x14ac:dyDescent="0.25">
      <c r="A12942" t="str">
        <f>"6316096268"</f>
        <v>6316096268</v>
      </c>
      <c r="B12942" t="s">
        <v>17931</v>
      </c>
      <c r="C12942" t="s">
        <v>7</v>
      </c>
      <c r="D12942" t="s">
        <v>12</v>
      </c>
      <c r="E12942" t="s">
        <v>17864</v>
      </c>
      <c r="F12942" t="s">
        <v>17932</v>
      </c>
    </row>
    <row r="12943" spans="1:6" x14ac:dyDescent="0.25">
      <c r="A12943" t="str">
        <f>"6316192268"</f>
        <v>6316192268</v>
      </c>
      <c r="B12943" t="s">
        <v>17933</v>
      </c>
      <c r="C12943" t="s">
        <v>7</v>
      </c>
      <c r="D12943" t="s">
        <v>33</v>
      </c>
      <c r="E12943" t="s">
        <v>17864</v>
      </c>
      <c r="F12943" t="s">
        <v>17934</v>
      </c>
    </row>
    <row r="12944" spans="1:6" x14ac:dyDescent="0.25">
      <c r="A12944" t="str">
        <f>"6316282722"</f>
        <v>6316282722</v>
      </c>
      <c r="B12944" t="s">
        <v>17935</v>
      </c>
      <c r="C12944" t="s">
        <v>7</v>
      </c>
      <c r="D12944" t="s">
        <v>12</v>
      </c>
      <c r="E12944" t="s">
        <v>17864</v>
      </c>
      <c r="F12944" t="s">
        <v>17936</v>
      </c>
    </row>
    <row r="12945" spans="1:6" x14ac:dyDescent="0.25">
      <c r="A12945" t="str">
        <f>"6317019121"</f>
        <v>6317019121</v>
      </c>
      <c r="B12945" t="s">
        <v>17937</v>
      </c>
      <c r="C12945" t="s">
        <v>7</v>
      </c>
      <c r="D12945" t="s">
        <v>14</v>
      </c>
      <c r="E12945" t="s">
        <v>17864</v>
      </c>
      <c r="F12945" t="s">
        <v>17938</v>
      </c>
    </row>
    <row r="12946" spans="1:6" x14ac:dyDescent="0.25">
      <c r="A12946" t="str">
        <f>"6317103006"</f>
        <v>6317103006</v>
      </c>
      <c r="B12946" t="s">
        <v>11646</v>
      </c>
      <c r="C12946" t="s">
        <v>7</v>
      </c>
      <c r="D12946" t="s">
        <v>12</v>
      </c>
      <c r="E12946" t="s">
        <v>17864</v>
      </c>
      <c r="F12946" t="s">
        <v>17939</v>
      </c>
    </row>
    <row r="12947" spans="1:6" x14ac:dyDescent="0.25">
      <c r="A12947" t="str">
        <f>"6317144242"</f>
        <v>6317144242</v>
      </c>
      <c r="B12947" t="s">
        <v>17940</v>
      </c>
      <c r="C12947" t="s">
        <v>7</v>
      </c>
      <c r="D12947" t="s">
        <v>12</v>
      </c>
      <c r="E12947" t="s">
        <v>17864</v>
      </c>
      <c r="F12947" t="s">
        <v>17941</v>
      </c>
    </row>
    <row r="12948" spans="1:6" x14ac:dyDescent="0.25">
      <c r="A12948" t="str">
        <f>"6317154071"</f>
        <v>6317154071</v>
      </c>
      <c r="B12948" t="s">
        <v>17942</v>
      </c>
      <c r="C12948" t="s">
        <v>7</v>
      </c>
      <c r="D12948" t="s">
        <v>12</v>
      </c>
      <c r="E12948" t="s">
        <v>17864</v>
      </c>
      <c r="F12948" t="s">
        <v>17943</v>
      </c>
    </row>
    <row r="12949" spans="1:6" x14ac:dyDescent="0.25">
      <c r="A12949" t="str">
        <f>"6317168620"</f>
        <v>6317168620</v>
      </c>
      <c r="B12949" t="s">
        <v>2022</v>
      </c>
      <c r="C12949" t="s">
        <v>7</v>
      </c>
      <c r="D12949" t="s">
        <v>189</v>
      </c>
      <c r="E12949" t="s">
        <v>17864</v>
      </c>
      <c r="F12949" t="s">
        <v>17944</v>
      </c>
    </row>
    <row r="12950" spans="1:6" x14ac:dyDescent="0.25">
      <c r="A12950" t="str">
        <f>"027800200702"</f>
        <v>027800200702</v>
      </c>
      <c r="B12950" t="s">
        <v>17945</v>
      </c>
      <c r="C12950" t="s">
        <v>7</v>
      </c>
      <c r="D12950" t="s">
        <v>14</v>
      </c>
      <c r="E12950" t="s">
        <v>17864</v>
      </c>
    </row>
    <row r="12951" spans="1:6" x14ac:dyDescent="0.25">
      <c r="A12951" t="str">
        <f>"6311024742"</f>
        <v>6311024742</v>
      </c>
      <c r="B12951" t="s">
        <v>17946</v>
      </c>
      <c r="C12951" t="s">
        <v>7</v>
      </c>
      <c r="D12951" t="s">
        <v>14</v>
      </c>
      <c r="E12951" t="s">
        <v>17864</v>
      </c>
      <c r="F12951" t="s">
        <v>17947</v>
      </c>
    </row>
    <row r="12952" spans="1:6" x14ac:dyDescent="0.25">
      <c r="A12952" t="str">
        <f>"6311048849"</f>
        <v>6311048849</v>
      </c>
      <c r="B12952" t="s">
        <v>17948</v>
      </c>
      <c r="C12952" t="s">
        <v>7</v>
      </c>
      <c r="D12952" t="s">
        <v>98</v>
      </c>
      <c r="E12952" t="s">
        <v>17864</v>
      </c>
      <c r="F12952" t="s">
        <v>17949</v>
      </c>
    </row>
    <row r="12953" spans="1:6" x14ac:dyDescent="0.25">
      <c r="A12953" t="str">
        <f>"6311058759"</f>
        <v>6311058759</v>
      </c>
      <c r="B12953" t="s">
        <v>17950</v>
      </c>
      <c r="C12953" t="s">
        <v>7</v>
      </c>
      <c r="D12953" t="s">
        <v>12</v>
      </c>
      <c r="E12953" t="s">
        <v>17864</v>
      </c>
      <c r="F12953" t="s">
        <v>17951</v>
      </c>
    </row>
    <row r="12954" spans="1:6" x14ac:dyDescent="0.25">
      <c r="A12954" t="str">
        <f>"6311115968"</f>
        <v>6311115968</v>
      </c>
      <c r="B12954" t="s">
        <v>17952</v>
      </c>
      <c r="C12954" t="s">
        <v>7</v>
      </c>
      <c r="D12954" t="s">
        <v>674</v>
      </c>
      <c r="E12954" t="s">
        <v>17864</v>
      </c>
      <c r="F12954" t="s">
        <v>17953</v>
      </c>
    </row>
    <row r="12955" spans="1:6" x14ac:dyDescent="0.25">
      <c r="A12955" t="str">
        <f>"6311124095"</f>
        <v>6311124095</v>
      </c>
      <c r="B12955" t="s">
        <v>17954</v>
      </c>
      <c r="C12955" t="s">
        <v>7</v>
      </c>
      <c r="D12955" t="s">
        <v>12</v>
      </c>
      <c r="E12955" t="s">
        <v>17864</v>
      </c>
      <c r="F12955" t="s">
        <v>17955</v>
      </c>
    </row>
    <row r="12956" spans="1:6" x14ac:dyDescent="0.25">
      <c r="A12956" t="str">
        <f>"6311151853"</f>
        <v>6311151853</v>
      </c>
      <c r="B12956" t="s">
        <v>17956</v>
      </c>
      <c r="C12956" t="s">
        <v>7</v>
      </c>
      <c r="D12956" t="s">
        <v>674</v>
      </c>
      <c r="E12956" t="s">
        <v>17864</v>
      </c>
      <c r="F12956" t="s">
        <v>17957</v>
      </c>
    </row>
    <row r="12957" spans="1:6" x14ac:dyDescent="0.25">
      <c r="A12957" t="str">
        <f>"6311171426"</f>
        <v>6311171426</v>
      </c>
      <c r="B12957" t="s">
        <v>17958</v>
      </c>
      <c r="C12957" t="s">
        <v>7</v>
      </c>
      <c r="D12957" t="s">
        <v>12</v>
      </c>
      <c r="E12957" t="s">
        <v>17864</v>
      </c>
      <c r="F12957" t="s">
        <v>17881</v>
      </c>
    </row>
    <row r="12958" spans="1:6" x14ac:dyDescent="0.25">
      <c r="A12958" t="str">
        <f>"6311171433"</f>
        <v>6311171433</v>
      </c>
      <c r="B12958" t="s">
        <v>17959</v>
      </c>
      <c r="C12958" t="s">
        <v>7</v>
      </c>
      <c r="D12958" t="s">
        <v>12</v>
      </c>
      <c r="E12958" t="s">
        <v>17864</v>
      </c>
      <c r="F12958" t="s">
        <v>17883</v>
      </c>
    </row>
    <row r="12959" spans="1:6" x14ac:dyDescent="0.25">
      <c r="A12959" t="str">
        <f>"6311171480"</f>
        <v>6311171480</v>
      </c>
      <c r="B12959" t="s">
        <v>17960</v>
      </c>
      <c r="C12959" t="s">
        <v>7</v>
      </c>
      <c r="D12959" t="s">
        <v>12</v>
      </c>
      <c r="E12959" t="s">
        <v>17864</v>
      </c>
      <c r="F12959" t="s">
        <v>17883</v>
      </c>
    </row>
    <row r="12960" spans="1:6" x14ac:dyDescent="0.25">
      <c r="A12960" t="str">
        <f>"6311197311"</f>
        <v>6311197311</v>
      </c>
      <c r="B12960" t="s">
        <v>17961</v>
      </c>
      <c r="C12960" t="s">
        <v>7</v>
      </c>
      <c r="D12960" t="s">
        <v>12</v>
      </c>
      <c r="E12960" t="s">
        <v>17864</v>
      </c>
      <c r="F12960" t="s">
        <v>17962</v>
      </c>
    </row>
    <row r="12961" spans="1:6" x14ac:dyDescent="0.25">
      <c r="A12961" t="str">
        <f>"6312029976"</f>
        <v>6312029976</v>
      </c>
      <c r="B12961" t="s">
        <v>17963</v>
      </c>
      <c r="C12961" t="s">
        <v>7</v>
      </c>
      <c r="D12961" t="s">
        <v>12</v>
      </c>
      <c r="E12961" t="s">
        <v>17864</v>
      </c>
      <c r="F12961" t="s">
        <v>17964</v>
      </c>
    </row>
    <row r="12962" spans="1:6" x14ac:dyDescent="0.25">
      <c r="A12962" t="str">
        <f>"631203613095"</f>
        <v>631203613095</v>
      </c>
      <c r="B12962" t="s">
        <v>17965</v>
      </c>
      <c r="C12962" t="s">
        <v>7</v>
      </c>
      <c r="D12962" t="s">
        <v>12</v>
      </c>
      <c r="E12962" t="s">
        <v>17864</v>
      </c>
    </row>
    <row r="12963" spans="1:6" x14ac:dyDescent="0.25">
      <c r="A12963" t="str">
        <f>"6312067555"</f>
        <v>6312067555</v>
      </c>
      <c r="B12963" t="s">
        <v>17966</v>
      </c>
      <c r="C12963" t="s">
        <v>7</v>
      </c>
      <c r="D12963" t="s">
        <v>12</v>
      </c>
      <c r="E12963" t="s">
        <v>17864</v>
      </c>
      <c r="F12963" t="s">
        <v>17967</v>
      </c>
    </row>
    <row r="12964" spans="1:6" x14ac:dyDescent="0.25">
      <c r="A12964" t="str">
        <f>"6312109780"</f>
        <v>6312109780</v>
      </c>
      <c r="B12964" t="s">
        <v>17968</v>
      </c>
      <c r="C12964" t="s">
        <v>7</v>
      </c>
      <c r="D12964" t="s">
        <v>33</v>
      </c>
      <c r="E12964" t="s">
        <v>17864</v>
      </c>
      <c r="F12964" t="s">
        <v>17969</v>
      </c>
    </row>
    <row r="12965" spans="1:6" x14ac:dyDescent="0.25">
      <c r="A12965" t="str">
        <f>"6312146373"</f>
        <v>6312146373</v>
      </c>
      <c r="B12965" t="s">
        <v>17970</v>
      </c>
      <c r="C12965" t="s">
        <v>7</v>
      </c>
      <c r="D12965" t="s">
        <v>14</v>
      </c>
      <c r="E12965" t="s">
        <v>17864</v>
      </c>
      <c r="F12965" t="s">
        <v>17971</v>
      </c>
    </row>
    <row r="12966" spans="1:6" x14ac:dyDescent="0.25">
      <c r="A12966" t="str">
        <f>"6312147970"</f>
        <v>6312147970</v>
      </c>
      <c r="B12966" t="s">
        <v>17972</v>
      </c>
      <c r="C12966" t="s">
        <v>7</v>
      </c>
      <c r="D12966" t="s">
        <v>14</v>
      </c>
      <c r="E12966" t="s">
        <v>17864</v>
      </c>
      <c r="F12966" t="s">
        <v>17973</v>
      </c>
    </row>
    <row r="12967" spans="1:6" x14ac:dyDescent="0.25">
      <c r="A12967" t="str">
        <f>"6312166179"</f>
        <v>6312166179</v>
      </c>
      <c r="B12967" t="s">
        <v>17974</v>
      </c>
      <c r="C12967" t="s">
        <v>7</v>
      </c>
      <c r="D12967" t="s">
        <v>12</v>
      </c>
      <c r="E12967" t="s">
        <v>17864</v>
      </c>
      <c r="F12967" t="s">
        <v>17975</v>
      </c>
    </row>
    <row r="12968" spans="1:6" x14ac:dyDescent="0.25">
      <c r="A12968" t="str">
        <f>"6312171531"</f>
        <v>6312171531</v>
      </c>
      <c r="B12968" t="s">
        <v>17976</v>
      </c>
      <c r="C12968" t="s">
        <v>7</v>
      </c>
      <c r="D12968" t="s">
        <v>33</v>
      </c>
      <c r="E12968" t="s">
        <v>17864</v>
      </c>
      <c r="F12968" t="s">
        <v>17977</v>
      </c>
    </row>
    <row r="12969" spans="1:6" x14ac:dyDescent="0.25">
      <c r="A12969" t="str">
        <f>"6312184146"</f>
        <v>6312184146</v>
      </c>
      <c r="B12969" t="s">
        <v>17978</v>
      </c>
      <c r="C12969" t="s">
        <v>7</v>
      </c>
      <c r="D12969" t="s">
        <v>12</v>
      </c>
      <c r="E12969" t="s">
        <v>17864</v>
      </c>
      <c r="F12969" t="s">
        <v>17979</v>
      </c>
    </row>
    <row r="12970" spans="1:6" x14ac:dyDescent="0.25">
      <c r="A12970" t="str">
        <f>"631218966287"</f>
        <v>631218966287</v>
      </c>
      <c r="B12970" t="s">
        <v>17980</v>
      </c>
      <c r="C12970" t="s">
        <v>7</v>
      </c>
      <c r="D12970" t="s">
        <v>14</v>
      </c>
      <c r="E12970" t="s">
        <v>17864</v>
      </c>
    </row>
    <row r="12971" spans="1:6" x14ac:dyDescent="0.25">
      <c r="A12971" t="str">
        <f>"6312218740"</f>
        <v>6312218740</v>
      </c>
      <c r="B12971" t="s">
        <v>17981</v>
      </c>
      <c r="C12971" t="s">
        <v>7</v>
      </c>
      <c r="D12971" t="s">
        <v>14</v>
      </c>
      <c r="E12971" t="s">
        <v>17864</v>
      </c>
      <c r="F12971" t="s">
        <v>17982</v>
      </c>
    </row>
    <row r="12972" spans="1:6" x14ac:dyDescent="0.25">
      <c r="A12972" t="str">
        <f>"631223449012"</f>
        <v>631223449012</v>
      </c>
      <c r="B12972" t="s">
        <v>17983</v>
      </c>
      <c r="C12972" t="s">
        <v>7</v>
      </c>
      <c r="D12972" t="s">
        <v>14</v>
      </c>
      <c r="E12972" t="s">
        <v>17864</v>
      </c>
    </row>
    <row r="12973" spans="1:6" x14ac:dyDescent="0.25">
      <c r="A12973" t="str">
        <f>"6313136145"</f>
        <v>6313136145</v>
      </c>
      <c r="B12973" t="s">
        <v>17984</v>
      </c>
      <c r="C12973" t="s">
        <v>7</v>
      </c>
      <c r="D12973" t="s">
        <v>14</v>
      </c>
      <c r="E12973" t="s">
        <v>17864</v>
      </c>
      <c r="F12973" t="s">
        <v>17985</v>
      </c>
    </row>
    <row r="12974" spans="1:6" x14ac:dyDescent="0.25">
      <c r="A12974" t="str">
        <f>"6313548580"</f>
        <v>6313548580</v>
      </c>
      <c r="B12974" t="s">
        <v>17986</v>
      </c>
      <c r="C12974" t="s">
        <v>7</v>
      </c>
      <c r="D12974" t="s">
        <v>33</v>
      </c>
      <c r="E12974" t="s">
        <v>17864</v>
      </c>
      <c r="F12974" t="s">
        <v>17987</v>
      </c>
    </row>
    <row r="12975" spans="1:6" x14ac:dyDescent="0.25">
      <c r="A12975" t="str">
        <f>"6313562859"</f>
        <v>6313562859</v>
      </c>
      <c r="B12975" t="s">
        <v>17988</v>
      </c>
      <c r="C12975" t="s">
        <v>7</v>
      </c>
      <c r="D12975" t="s">
        <v>12</v>
      </c>
      <c r="E12975" t="s">
        <v>17864</v>
      </c>
      <c r="F12975" t="s">
        <v>17989</v>
      </c>
    </row>
    <row r="12976" spans="1:6" x14ac:dyDescent="0.25">
      <c r="A12976" t="str">
        <f>"6313564246"</f>
        <v>6313564246</v>
      </c>
      <c r="B12976" t="s">
        <v>17990</v>
      </c>
      <c r="C12976" t="s">
        <v>7</v>
      </c>
      <c r="D12976" t="s">
        <v>12</v>
      </c>
      <c r="E12976" t="s">
        <v>17864</v>
      </c>
      <c r="F12976" t="s">
        <v>17991</v>
      </c>
    </row>
    <row r="12977" spans="1:6" x14ac:dyDescent="0.25">
      <c r="A12977" t="str">
        <f>"6314018899"</f>
        <v>6314018899</v>
      </c>
      <c r="B12977" t="s">
        <v>17992</v>
      </c>
      <c r="C12977" t="s">
        <v>7</v>
      </c>
      <c r="D12977" t="s">
        <v>12</v>
      </c>
      <c r="E12977" t="s">
        <v>17864</v>
      </c>
      <c r="F12977" t="s">
        <v>17993</v>
      </c>
    </row>
    <row r="12978" spans="1:6" x14ac:dyDescent="0.25">
      <c r="A12978" t="str">
        <f>"6314027808"</f>
        <v>6314027808</v>
      </c>
      <c r="B12978" t="s">
        <v>17994</v>
      </c>
      <c r="C12978" t="s">
        <v>7</v>
      </c>
      <c r="D12978" t="s">
        <v>12</v>
      </c>
      <c r="E12978" t="s">
        <v>17864</v>
      </c>
      <c r="F12978" t="s">
        <v>17995</v>
      </c>
    </row>
    <row r="12979" spans="1:6" x14ac:dyDescent="0.25">
      <c r="A12979" t="str">
        <f>"6314034107"</f>
        <v>6314034107</v>
      </c>
      <c r="B12979" t="s">
        <v>17996</v>
      </c>
      <c r="C12979" t="s">
        <v>7</v>
      </c>
      <c r="D12979" t="s">
        <v>14</v>
      </c>
      <c r="E12979" t="s">
        <v>17864</v>
      </c>
      <c r="F12979" t="s">
        <v>17997</v>
      </c>
    </row>
    <row r="12980" spans="1:6" x14ac:dyDescent="0.25">
      <c r="A12980" t="str">
        <f>"6314040855"</f>
        <v>6314040855</v>
      </c>
      <c r="B12980" t="s">
        <v>17998</v>
      </c>
      <c r="C12980" t="s">
        <v>7</v>
      </c>
      <c r="D12980" t="s">
        <v>14</v>
      </c>
      <c r="E12980" t="s">
        <v>17864</v>
      </c>
      <c r="F12980" t="s">
        <v>17999</v>
      </c>
    </row>
    <row r="12981" spans="1:6" x14ac:dyDescent="0.25">
      <c r="A12981" t="str">
        <f>"631505168958"</f>
        <v>631505168958</v>
      </c>
      <c r="B12981" t="s">
        <v>18000</v>
      </c>
      <c r="C12981" t="s">
        <v>7</v>
      </c>
      <c r="D12981" t="s">
        <v>14</v>
      </c>
      <c r="E12981" t="s">
        <v>17864</v>
      </c>
    </row>
    <row r="12982" spans="1:6" x14ac:dyDescent="0.25">
      <c r="A12982" t="str">
        <f>"631551832700"</f>
        <v>631551832700</v>
      </c>
      <c r="B12982" t="s">
        <v>18001</v>
      </c>
      <c r="C12982" t="s">
        <v>7</v>
      </c>
      <c r="D12982" t="s">
        <v>12</v>
      </c>
      <c r="E12982" t="s">
        <v>17864</v>
      </c>
    </row>
    <row r="12983" spans="1:6" x14ac:dyDescent="0.25">
      <c r="A12983" t="str">
        <f>"6316003425"</f>
        <v>6316003425</v>
      </c>
      <c r="B12983" t="s">
        <v>18002</v>
      </c>
      <c r="C12983" t="s">
        <v>7</v>
      </c>
      <c r="D12983" t="s">
        <v>14</v>
      </c>
      <c r="E12983" t="s">
        <v>17864</v>
      </c>
      <c r="F12983" t="s">
        <v>18003</v>
      </c>
    </row>
    <row r="12984" spans="1:6" x14ac:dyDescent="0.25">
      <c r="A12984" t="str">
        <f>"631601827473"</f>
        <v>631601827473</v>
      </c>
      <c r="B12984" t="s">
        <v>18004</v>
      </c>
      <c r="C12984" t="s">
        <v>7</v>
      </c>
      <c r="D12984" t="s">
        <v>33</v>
      </c>
      <c r="E12984" t="s">
        <v>17864</v>
      </c>
    </row>
    <row r="12985" spans="1:6" x14ac:dyDescent="0.25">
      <c r="A12985" t="str">
        <f>"631602279981"</f>
        <v>631602279981</v>
      </c>
      <c r="B12985" t="s">
        <v>18005</v>
      </c>
      <c r="C12985" t="s">
        <v>7</v>
      </c>
      <c r="D12985" t="s">
        <v>14</v>
      </c>
      <c r="E12985" t="s">
        <v>17864</v>
      </c>
    </row>
    <row r="12986" spans="1:6" x14ac:dyDescent="0.25">
      <c r="A12986" t="str">
        <f>"6316029494"</f>
        <v>6316029494</v>
      </c>
      <c r="B12986" t="s">
        <v>18006</v>
      </c>
      <c r="C12986" t="s">
        <v>7</v>
      </c>
      <c r="D12986" t="s">
        <v>14</v>
      </c>
      <c r="E12986" t="s">
        <v>17864</v>
      </c>
      <c r="F12986" t="s">
        <v>18007</v>
      </c>
    </row>
    <row r="12987" spans="1:6" x14ac:dyDescent="0.25">
      <c r="A12987" t="str">
        <f>"6316073207"</f>
        <v>6316073207</v>
      </c>
      <c r="B12987" t="s">
        <v>18008</v>
      </c>
      <c r="C12987" t="s">
        <v>7</v>
      </c>
      <c r="D12987" t="s">
        <v>12</v>
      </c>
      <c r="E12987" t="s">
        <v>17864</v>
      </c>
      <c r="F12987" t="s">
        <v>18009</v>
      </c>
    </row>
    <row r="12988" spans="1:6" x14ac:dyDescent="0.25">
      <c r="A12988" t="str">
        <f>"6316108107"</f>
        <v>6316108107</v>
      </c>
      <c r="B12988" t="s">
        <v>18010</v>
      </c>
      <c r="C12988" t="s">
        <v>7</v>
      </c>
      <c r="D12988" t="s">
        <v>12</v>
      </c>
      <c r="E12988" t="s">
        <v>17864</v>
      </c>
      <c r="F12988" t="s">
        <v>18011</v>
      </c>
    </row>
    <row r="12989" spans="1:6" x14ac:dyDescent="0.25">
      <c r="A12989" t="str">
        <f>"6316113499"</f>
        <v>6316113499</v>
      </c>
      <c r="B12989" t="s">
        <v>18012</v>
      </c>
      <c r="C12989" t="s">
        <v>7</v>
      </c>
      <c r="D12989" t="s">
        <v>14</v>
      </c>
      <c r="E12989" t="s">
        <v>17864</v>
      </c>
      <c r="F12989" t="s">
        <v>18013</v>
      </c>
    </row>
    <row r="12990" spans="1:6" x14ac:dyDescent="0.25">
      <c r="A12990" t="str">
        <f>"631626108537"</f>
        <v>631626108537</v>
      </c>
      <c r="B12990" t="s">
        <v>18014</v>
      </c>
      <c r="C12990" t="s">
        <v>7</v>
      </c>
      <c r="D12990" t="s">
        <v>12</v>
      </c>
      <c r="E12990" t="s">
        <v>17864</v>
      </c>
    </row>
    <row r="12991" spans="1:6" x14ac:dyDescent="0.25">
      <c r="A12991" t="str">
        <f>"6316269150"</f>
        <v>6316269150</v>
      </c>
      <c r="B12991" t="s">
        <v>18015</v>
      </c>
      <c r="C12991" t="s">
        <v>7</v>
      </c>
      <c r="D12991" t="s">
        <v>33</v>
      </c>
      <c r="E12991" t="s">
        <v>17864</v>
      </c>
      <c r="F12991" t="s">
        <v>18016</v>
      </c>
    </row>
    <row r="12992" spans="1:6" x14ac:dyDescent="0.25">
      <c r="A12992" t="str">
        <f>"6311071397"</f>
        <v>6311071397</v>
      </c>
      <c r="B12992" t="s">
        <v>9560</v>
      </c>
      <c r="C12992" t="s">
        <v>7</v>
      </c>
      <c r="D12992" t="s">
        <v>12</v>
      </c>
      <c r="E12992" t="s">
        <v>17864</v>
      </c>
      <c r="F12992" t="s">
        <v>18017</v>
      </c>
    </row>
    <row r="12993" spans="1:6" x14ac:dyDescent="0.25">
      <c r="A12993" t="str">
        <f>"631107678607"</f>
        <v>631107678607</v>
      </c>
      <c r="B12993" t="s">
        <v>18018</v>
      </c>
      <c r="C12993" t="s">
        <v>7</v>
      </c>
      <c r="D12993" t="s">
        <v>14</v>
      </c>
      <c r="E12993" t="s">
        <v>17864</v>
      </c>
    </row>
    <row r="12994" spans="1:6" x14ac:dyDescent="0.25">
      <c r="A12994" t="str">
        <f>"6311077173"</f>
        <v>6311077173</v>
      </c>
      <c r="B12994" t="s">
        <v>633</v>
      </c>
      <c r="C12994" t="s">
        <v>7</v>
      </c>
      <c r="D12994" t="s">
        <v>12</v>
      </c>
      <c r="E12994" t="s">
        <v>17864</v>
      </c>
      <c r="F12994" t="s">
        <v>18019</v>
      </c>
    </row>
    <row r="12995" spans="1:6" x14ac:dyDescent="0.25">
      <c r="A12995" t="str">
        <f>"6311097490"</f>
        <v>6311097490</v>
      </c>
      <c r="B12995" t="s">
        <v>18020</v>
      </c>
      <c r="C12995" t="s">
        <v>7</v>
      </c>
      <c r="D12995" t="s">
        <v>12</v>
      </c>
      <c r="E12995" t="s">
        <v>17864</v>
      </c>
      <c r="F12995" t="s">
        <v>17875</v>
      </c>
    </row>
    <row r="12996" spans="1:6" x14ac:dyDescent="0.25">
      <c r="A12996" t="str">
        <f>"6311105328"</f>
        <v>6311105328</v>
      </c>
      <c r="B12996" t="s">
        <v>18021</v>
      </c>
      <c r="C12996" t="s">
        <v>7</v>
      </c>
      <c r="D12996" t="s">
        <v>12</v>
      </c>
      <c r="E12996" t="s">
        <v>17864</v>
      </c>
      <c r="F12996" t="s">
        <v>18022</v>
      </c>
    </row>
    <row r="12997" spans="1:6" x14ac:dyDescent="0.25">
      <c r="A12997" t="str">
        <f>"6311148113"</f>
        <v>6311148113</v>
      </c>
      <c r="B12997" t="s">
        <v>18023</v>
      </c>
      <c r="C12997" t="s">
        <v>7</v>
      </c>
      <c r="D12997" t="s">
        <v>146</v>
      </c>
      <c r="E12997" t="s">
        <v>17864</v>
      </c>
      <c r="F12997" t="s">
        <v>18024</v>
      </c>
    </row>
    <row r="12998" spans="1:6" x14ac:dyDescent="0.25">
      <c r="A12998" t="str">
        <f>"6311156844"</f>
        <v>6311156844</v>
      </c>
      <c r="B12998" t="s">
        <v>18025</v>
      </c>
      <c r="C12998" t="s">
        <v>7</v>
      </c>
      <c r="D12998" t="s">
        <v>12</v>
      </c>
      <c r="E12998" t="s">
        <v>17864</v>
      </c>
      <c r="F12998" t="s">
        <v>18026</v>
      </c>
    </row>
    <row r="12999" spans="1:6" x14ac:dyDescent="0.25">
      <c r="A12999" t="str">
        <f>"6311171401"</f>
        <v>6311171401</v>
      </c>
      <c r="B12999" t="s">
        <v>18027</v>
      </c>
      <c r="C12999" t="s">
        <v>7</v>
      </c>
      <c r="D12999" t="s">
        <v>12</v>
      </c>
      <c r="E12999" t="s">
        <v>17864</v>
      </c>
      <c r="F12999" t="s">
        <v>17881</v>
      </c>
    </row>
    <row r="13000" spans="1:6" x14ac:dyDescent="0.25">
      <c r="A13000" t="str">
        <f>"6311171472"</f>
        <v>6311171472</v>
      </c>
      <c r="B13000" t="s">
        <v>18028</v>
      </c>
      <c r="C13000" t="s">
        <v>7</v>
      </c>
      <c r="D13000" t="s">
        <v>12</v>
      </c>
      <c r="E13000" t="s">
        <v>17864</v>
      </c>
      <c r="F13000" t="s">
        <v>17883</v>
      </c>
    </row>
    <row r="13001" spans="1:6" x14ac:dyDescent="0.25">
      <c r="A13001" t="str">
        <f>"6311175396"</f>
        <v>6311175396</v>
      </c>
      <c r="B13001" t="s">
        <v>18029</v>
      </c>
      <c r="C13001" t="s">
        <v>7</v>
      </c>
      <c r="D13001" t="s">
        <v>12</v>
      </c>
      <c r="E13001" t="s">
        <v>17864</v>
      </c>
      <c r="F13001" t="s">
        <v>18030</v>
      </c>
    </row>
    <row r="13002" spans="1:6" x14ac:dyDescent="0.25">
      <c r="A13002" t="str">
        <f>"6311185080"</f>
        <v>6311185080</v>
      </c>
      <c r="B13002" t="s">
        <v>18031</v>
      </c>
      <c r="C13002" t="s">
        <v>7</v>
      </c>
      <c r="D13002" t="s">
        <v>14</v>
      </c>
      <c r="E13002" t="s">
        <v>17864</v>
      </c>
      <c r="F13002" t="s">
        <v>18032</v>
      </c>
    </row>
    <row r="13003" spans="1:6" x14ac:dyDescent="0.25">
      <c r="A13003" t="str">
        <f>"6311190235"</f>
        <v>6311190235</v>
      </c>
      <c r="B13003" t="s">
        <v>18033</v>
      </c>
      <c r="C13003" t="s">
        <v>7</v>
      </c>
      <c r="D13003" t="s">
        <v>12</v>
      </c>
      <c r="E13003" t="s">
        <v>17864</v>
      </c>
      <c r="F13003" t="s">
        <v>17887</v>
      </c>
    </row>
    <row r="13004" spans="1:6" x14ac:dyDescent="0.25">
      <c r="A13004" t="str">
        <f>"6311190309"</f>
        <v>6311190309</v>
      </c>
      <c r="B13004" t="s">
        <v>18034</v>
      </c>
      <c r="C13004" t="s">
        <v>7</v>
      </c>
      <c r="D13004" t="s">
        <v>12</v>
      </c>
      <c r="E13004" t="s">
        <v>17864</v>
      </c>
      <c r="F13004" t="s">
        <v>17887</v>
      </c>
    </row>
    <row r="13005" spans="1:6" x14ac:dyDescent="0.25">
      <c r="A13005" t="str">
        <f>"6311190316"</f>
        <v>6311190316</v>
      </c>
      <c r="B13005" t="s">
        <v>18035</v>
      </c>
      <c r="C13005" t="s">
        <v>7</v>
      </c>
      <c r="D13005" t="s">
        <v>12</v>
      </c>
      <c r="E13005" t="s">
        <v>17864</v>
      </c>
      <c r="F13005" t="s">
        <v>17887</v>
      </c>
    </row>
    <row r="13006" spans="1:6" x14ac:dyDescent="0.25">
      <c r="A13006" t="str">
        <f>"6311192930"</f>
        <v>6311192930</v>
      </c>
      <c r="B13006" t="s">
        <v>18036</v>
      </c>
      <c r="C13006" t="s">
        <v>7</v>
      </c>
      <c r="D13006" t="s">
        <v>12</v>
      </c>
      <c r="E13006" t="s">
        <v>17864</v>
      </c>
      <c r="F13006" t="s">
        <v>17887</v>
      </c>
    </row>
    <row r="13007" spans="1:6" x14ac:dyDescent="0.25">
      <c r="A13007" t="str">
        <f>"631182067614"</f>
        <v>631182067614</v>
      </c>
      <c r="B13007" t="s">
        <v>18037</v>
      </c>
      <c r="C13007" t="s">
        <v>7</v>
      </c>
      <c r="D13007" t="s">
        <v>12</v>
      </c>
      <c r="E13007" t="s">
        <v>17864</v>
      </c>
    </row>
    <row r="13008" spans="1:6" x14ac:dyDescent="0.25">
      <c r="A13008" t="str">
        <f>"631185090756"</f>
        <v>631185090756</v>
      </c>
      <c r="B13008" t="s">
        <v>18038</v>
      </c>
      <c r="C13008" t="s">
        <v>7</v>
      </c>
      <c r="D13008" t="s">
        <v>14</v>
      </c>
      <c r="E13008" t="s">
        <v>17864</v>
      </c>
    </row>
    <row r="13009" spans="1:6" x14ac:dyDescent="0.25">
      <c r="A13009" t="str">
        <f>"631200549966"</f>
        <v>631200549966</v>
      </c>
      <c r="B13009" t="s">
        <v>18039</v>
      </c>
      <c r="C13009" t="s">
        <v>7</v>
      </c>
      <c r="D13009" t="s">
        <v>12</v>
      </c>
      <c r="E13009" t="s">
        <v>17864</v>
      </c>
    </row>
    <row r="13010" spans="1:6" x14ac:dyDescent="0.25">
      <c r="A13010" t="str">
        <f>"6312019110"</f>
        <v>6312019110</v>
      </c>
      <c r="B13010" t="s">
        <v>18040</v>
      </c>
      <c r="C13010" t="s">
        <v>7</v>
      </c>
      <c r="D13010" t="s">
        <v>12</v>
      </c>
      <c r="E13010" t="s">
        <v>17864</v>
      </c>
      <c r="F13010" t="s">
        <v>18041</v>
      </c>
    </row>
    <row r="13011" spans="1:6" x14ac:dyDescent="0.25">
      <c r="A13011" t="str">
        <f>"631202275686"</f>
        <v>631202275686</v>
      </c>
      <c r="B13011" t="s">
        <v>18042</v>
      </c>
      <c r="C13011" t="s">
        <v>7</v>
      </c>
      <c r="D13011" t="s">
        <v>14</v>
      </c>
      <c r="E13011" t="s">
        <v>17864</v>
      </c>
    </row>
    <row r="13012" spans="1:6" x14ac:dyDescent="0.25">
      <c r="A13012" t="str">
        <f>"6312057902"</f>
        <v>6312057902</v>
      </c>
      <c r="B13012" t="s">
        <v>18043</v>
      </c>
      <c r="C13012" t="s">
        <v>7</v>
      </c>
      <c r="D13012" t="s">
        <v>33</v>
      </c>
      <c r="E13012" t="s">
        <v>17864</v>
      </c>
      <c r="F13012" t="s">
        <v>18044</v>
      </c>
    </row>
    <row r="13013" spans="1:6" x14ac:dyDescent="0.25">
      <c r="A13013" t="str">
        <f>"6312104197"</f>
        <v>6312104197</v>
      </c>
      <c r="B13013" t="s">
        <v>18045</v>
      </c>
      <c r="C13013" t="s">
        <v>7</v>
      </c>
      <c r="D13013" t="s">
        <v>12</v>
      </c>
      <c r="E13013" t="s">
        <v>17864</v>
      </c>
      <c r="F13013" t="s">
        <v>18046</v>
      </c>
    </row>
    <row r="13014" spans="1:6" x14ac:dyDescent="0.25">
      <c r="A13014" t="str">
        <f>"6312143630"</f>
        <v>6312143630</v>
      </c>
      <c r="B13014" t="s">
        <v>18047</v>
      </c>
      <c r="C13014" t="s">
        <v>7</v>
      </c>
      <c r="D13014" t="s">
        <v>33</v>
      </c>
      <c r="E13014" t="s">
        <v>17864</v>
      </c>
      <c r="F13014" t="s">
        <v>18048</v>
      </c>
    </row>
    <row r="13015" spans="1:6" x14ac:dyDescent="0.25">
      <c r="A13015" t="str">
        <f>"631216550205"</f>
        <v>631216550205</v>
      </c>
      <c r="B13015" t="s">
        <v>18049</v>
      </c>
      <c r="C13015" t="s">
        <v>7</v>
      </c>
      <c r="D13015" t="s">
        <v>14</v>
      </c>
      <c r="E13015" t="s">
        <v>17864</v>
      </c>
    </row>
    <row r="13016" spans="1:6" x14ac:dyDescent="0.25">
      <c r="A13016" t="str">
        <f>"631217540601"</f>
        <v>631217540601</v>
      </c>
      <c r="B13016" t="s">
        <v>18050</v>
      </c>
      <c r="C13016" t="s">
        <v>7</v>
      </c>
      <c r="D13016" t="s">
        <v>14</v>
      </c>
      <c r="E13016" t="s">
        <v>17864</v>
      </c>
    </row>
    <row r="13017" spans="1:6" x14ac:dyDescent="0.25">
      <c r="A13017" t="str">
        <f>"6312180864"</f>
        <v>6312180864</v>
      </c>
      <c r="B13017" t="s">
        <v>18051</v>
      </c>
      <c r="C13017" t="s">
        <v>7</v>
      </c>
      <c r="D13017" t="s">
        <v>14</v>
      </c>
      <c r="E13017" t="s">
        <v>17864</v>
      </c>
      <c r="F13017" t="s">
        <v>18052</v>
      </c>
    </row>
    <row r="13018" spans="1:6" x14ac:dyDescent="0.25">
      <c r="A13018" t="str">
        <f>"6312201828"</f>
        <v>6312201828</v>
      </c>
      <c r="B13018" t="s">
        <v>18053</v>
      </c>
      <c r="C13018" t="s">
        <v>7</v>
      </c>
      <c r="D13018" t="s">
        <v>12</v>
      </c>
      <c r="E13018" t="s">
        <v>17864</v>
      </c>
      <c r="F13018" t="s">
        <v>18054</v>
      </c>
    </row>
    <row r="13019" spans="1:6" x14ac:dyDescent="0.25">
      <c r="A13019" t="str">
        <f>"631221081647"</f>
        <v>631221081647</v>
      </c>
      <c r="B13019" t="s">
        <v>18055</v>
      </c>
      <c r="C13019" t="s">
        <v>7</v>
      </c>
      <c r="D13019" t="s">
        <v>14</v>
      </c>
      <c r="E13019" t="s">
        <v>17864</v>
      </c>
    </row>
    <row r="13020" spans="1:6" x14ac:dyDescent="0.25">
      <c r="A13020" t="str">
        <f>"6312214182"</f>
        <v>6312214182</v>
      </c>
      <c r="B13020" t="s">
        <v>18056</v>
      </c>
      <c r="C13020" t="s">
        <v>7</v>
      </c>
      <c r="D13020" t="s">
        <v>14</v>
      </c>
      <c r="E13020" t="s">
        <v>17864</v>
      </c>
      <c r="F13020" t="s">
        <v>18057</v>
      </c>
    </row>
    <row r="13021" spans="1:6" x14ac:dyDescent="0.25">
      <c r="A13021" t="str">
        <f>"6312219254"</f>
        <v>6312219254</v>
      </c>
      <c r="B13021" t="s">
        <v>8907</v>
      </c>
      <c r="C13021" t="s">
        <v>7</v>
      </c>
      <c r="D13021" t="s">
        <v>1430</v>
      </c>
      <c r="E13021" t="s">
        <v>17864</v>
      </c>
      <c r="F13021" t="s">
        <v>18058</v>
      </c>
    </row>
    <row r="13022" spans="1:6" x14ac:dyDescent="0.25">
      <c r="A13022" t="str">
        <f>"6312220757"</f>
        <v>6312220757</v>
      </c>
      <c r="B13022" t="s">
        <v>18059</v>
      </c>
      <c r="C13022" t="s">
        <v>7</v>
      </c>
      <c r="D13022" t="s">
        <v>12</v>
      </c>
      <c r="E13022" t="s">
        <v>17864</v>
      </c>
      <c r="F13022" t="s">
        <v>18060</v>
      </c>
    </row>
    <row r="13023" spans="1:6" x14ac:dyDescent="0.25">
      <c r="A13023" t="str">
        <f>"631224487317"</f>
        <v>631224487317</v>
      </c>
      <c r="B13023" t="s">
        <v>18061</v>
      </c>
      <c r="C13023" t="s">
        <v>7</v>
      </c>
      <c r="D13023" t="s">
        <v>14</v>
      </c>
      <c r="E13023" t="s">
        <v>17864</v>
      </c>
    </row>
    <row r="13024" spans="1:6" x14ac:dyDescent="0.25">
      <c r="A13024" t="str">
        <f>"631225775903"</f>
        <v>631225775903</v>
      </c>
      <c r="B13024" t="s">
        <v>18062</v>
      </c>
      <c r="C13024" t="s">
        <v>7</v>
      </c>
      <c r="D13024" t="s">
        <v>12</v>
      </c>
      <c r="E13024" t="s">
        <v>17864</v>
      </c>
    </row>
    <row r="13025" spans="1:6" x14ac:dyDescent="0.25">
      <c r="A13025" t="str">
        <f>"631230971879"</f>
        <v>631230971879</v>
      </c>
      <c r="B13025" t="s">
        <v>18063</v>
      </c>
      <c r="C13025" t="s">
        <v>7</v>
      </c>
      <c r="D13025" t="s">
        <v>14</v>
      </c>
      <c r="E13025" t="s">
        <v>17864</v>
      </c>
    </row>
    <row r="13026" spans="1:6" x14ac:dyDescent="0.25">
      <c r="A13026" t="str">
        <f>"631300074346"</f>
        <v>631300074346</v>
      </c>
      <c r="B13026" t="s">
        <v>18064</v>
      </c>
      <c r="C13026" t="s">
        <v>7</v>
      </c>
      <c r="D13026" t="s">
        <v>14</v>
      </c>
      <c r="E13026" t="s">
        <v>17864</v>
      </c>
    </row>
    <row r="13027" spans="1:6" x14ac:dyDescent="0.25">
      <c r="A13027" t="str">
        <f>"631308329660"</f>
        <v>631308329660</v>
      </c>
      <c r="B13027" t="s">
        <v>18065</v>
      </c>
      <c r="C13027" t="s">
        <v>7</v>
      </c>
      <c r="D13027" t="s">
        <v>12</v>
      </c>
      <c r="E13027" t="s">
        <v>17864</v>
      </c>
    </row>
    <row r="13028" spans="1:6" x14ac:dyDescent="0.25">
      <c r="A13028" t="str">
        <f>"6313171559"</f>
        <v>6313171559</v>
      </c>
      <c r="B13028" t="s">
        <v>18066</v>
      </c>
      <c r="C13028" t="s">
        <v>7</v>
      </c>
      <c r="D13028" t="s">
        <v>12</v>
      </c>
      <c r="E13028" t="s">
        <v>17864</v>
      </c>
      <c r="F13028" t="s">
        <v>18067</v>
      </c>
    </row>
    <row r="13029" spans="1:6" x14ac:dyDescent="0.25">
      <c r="A13029" t="str">
        <f>"6313535083"</f>
        <v>6313535083</v>
      </c>
      <c r="B13029" t="s">
        <v>18068</v>
      </c>
      <c r="C13029" t="s">
        <v>7</v>
      </c>
      <c r="D13029" t="s">
        <v>33</v>
      </c>
      <c r="E13029" t="s">
        <v>17864</v>
      </c>
      <c r="F13029" t="s">
        <v>18069</v>
      </c>
    </row>
    <row r="13030" spans="1:6" x14ac:dyDescent="0.25">
      <c r="A13030" t="str">
        <f>"6313555788"</f>
        <v>6313555788</v>
      </c>
      <c r="B13030" t="s">
        <v>18070</v>
      </c>
      <c r="C13030" t="s">
        <v>7</v>
      </c>
      <c r="D13030" t="s">
        <v>33</v>
      </c>
      <c r="E13030" t="s">
        <v>17864</v>
      </c>
      <c r="F13030" t="s">
        <v>18071</v>
      </c>
    </row>
    <row r="13031" spans="1:6" x14ac:dyDescent="0.25">
      <c r="A13031" t="str">
        <f>"6313556573"</f>
        <v>6313556573</v>
      </c>
      <c r="B13031" t="s">
        <v>3266</v>
      </c>
      <c r="C13031" t="s">
        <v>7</v>
      </c>
      <c r="D13031" t="s">
        <v>12</v>
      </c>
      <c r="E13031" t="s">
        <v>17864</v>
      </c>
      <c r="F13031" t="s">
        <v>18072</v>
      </c>
    </row>
    <row r="13032" spans="1:6" x14ac:dyDescent="0.25">
      <c r="A13032" t="str">
        <f>"6313563700"</f>
        <v>6313563700</v>
      </c>
      <c r="B13032" t="s">
        <v>18073</v>
      </c>
      <c r="C13032" t="s">
        <v>7</v>
      </c>
      <c r="D13032" t="s">
        <v>14</v>
      </c>
      <c r="E13032" t="s">
        <v>17864</v>
      </c>
      <c r="F13032" t="s">
        <v>18074</v>
      </c>
    </row>
    <row r="13033" spans="1:6" x14ac:dyDescent="0.25">
      <c r="A13033" t="str">
        <f>"6314028209"</f>
        <v>6314028209</v>
      </c>
      <c r="B13033" t="s">
        <v>18075</v>
      </c>
      <c r="C13033" t="s">
        <v>7</v>
      </c>
      <c r="D13033" t="s">
        <v>33</v>
      </c>
      <c r="E13033" t="s">
        <v>17864</v>
      </c>
      <c r="F13033" t="s">
        <v>18076</v>
      </c>
    </row>
    <row r="13034" spans="1:6" x14ac:dyDescent="0.25">
      <c r="A13034" t="str">
        <f>"6314036785"</f>
        <v>6314036785</v>
      </c>
      <c r="B13034" t="s">
        <v>18077</v>
      </c>
      <c r="C13034" t="s">
        <v>7</v>
      </c>
      <c r="D13034" t="s">
        <v>14</v>
      </c>
      <c r="E13034" t="s">
        <v>17864</v>
      </c>
      <c r="F13034" t="s">
        <v>18078</v>
      </c>
    </row>
    <row r="13035" spans="1:6" x14ac:dyDescent="0.25">
      <c r="A13035" t="str">
        <f>"6314039507"</f>
        <v>6314039507</v>
      </c>
      <c r="B13035" t="s">
        <v>18079</v>
      </c>
      <c r="C13035" t="s">
        <v>7</v>
      </c>
      <c r="D13035" t="s">
        <v>12</v>
      </c>
      <c r="E13035" t="s">
        <v>17864</v>
      </c>
      <c r="F13035" t="s">
        <v>18080</v>
      </c>
    </row>
    <row r="13036" spans="1:6" x14ac:dyDescent="0.25">
      <c r="A13036" t="str">
        <f>"631404646164"</f>
        <v>631404646164</v>
      </c>
      <c r="B13036" t="s">
        <v>18081</v>
      </c>
      <c r="C13036" t="s">
        <v>7</v>
      </c>
      <c r="D13036" t="s">
        <v>12</v>
      </c>
      <c r="E13036" t="s">
        <v>17864</v>
      </c>
    </row>
    <row r="13037" spans="1:6" x14ac:dyDescent="0.25">
      <c r="A13037" t="str">
        <f>"6314048727"</f>
        <v>6314048727</v>
      </c>
      <c r="B13037" t="s">
        <v>18082</v>
      </c>
      <c r="C13037" t="s">
        <v>7</v>
      </c>
      <c r="D13037" t="s">
        <v>14</v>
      </c>
      <c r="E13037" t="s">
        <v>17864</v>
      </c>
      <c r="F13037" t="s">
        <v>18083</v>
      </c>
    </row>
    <row r="13038" spans="1:6" x14ac:dyDescent="0.25">
      <c r="A13038" t="str">
        <f>"631407802982"</f>
        <v>631407802982</v>
      </c>
      <c r="B13038" t="s">
        <v>18084</v>
      </c>
      <c r="C13038" t="s">
        <v>7</v>
      </c>
      <c r="D13038" t="s">
        <v>12</v>
      </c>
      <c r="E13038" t="s">
        <v>17864</v>
      </c>
    </row>
    <row r="13039" spans="1:6" x14ac:dyDescent="0.25">
      <c r="A13039" t="str">
        <f>"631503573319"</f>
        <v>631503573319</v>
      </c>
      <c r="B13039" t="s">
        <v>18085</v>
      </c>
      <c r="C13039" t="s">
        <v>7</v>
      </c>
      <c r="D13039" t="s">
        <v>12</v>
      </c>
      <c r="E13039" t="s">
        <v>17864</v>
      </c>
    </row>
    <row r="13040" spans="1:6" x14ac:dyDescent="0.25">
      <c r="A13040" t="str">
        <f>"631551794420"</f>
        <v>631551794420</v>
      </c>
      <c r="B13040" t="s">
        <v>18086</v>
      </c>
      <c r="C13040" t="s">
        <v>7</v>
      </c>
      <c r="D13040" t="s">
        <v>33</v>
      </c>
      <c r="E13040" t="s">
        <v>17864</v>
      </c>
    </row>
    <row r="13041" spans="1:6" x14ac:dyDescent="0.25">
      <c r="A13041" t="str">
        <f>"6315551387"</f>
        <v>6315551387</v>
      </c>
      <c r="B13041" t="s">
        <v>18087</v>
      </c>
      <c r="C13041" t="s">
        <v>7</v>
      </c>
      <c r="D13041" t="s">
        <v>12</v>
      </c>
      <c r="E13041" t="s">
        <v>17864</v>
      </c>
      <c r="F13041" t="s">
        <v>18088</v>
      </c>
    </row>
    <row r="13042" spans="1:6" x14ac:dyDescent="0.25">
      <c r="A13042" t="str">
        <f>"6316068817"</f>
        <v>6316068817</v>
      </c>
      <c r="B13042" t="s">
        <v>18089</v>
      </c>
      <c r="C13042" t="s">
        <v>7</v>
      </c>
      <c r="D13042" t="s">
        <v>12</v>
      </c>
      <c r="E13042" t="s">
        <v>17864</v>
      </c>
      <c r="F13042" t="s">
        <v>18090</v>
      </c>
    </row>
    <row r="13043" spans="1:6" x14ac:dyDescent="0.25">
      <c r="A13043" t="str">
        <f>"6316150532"</f>
        <v>6316150532</v>
      </c>
      <c r="B13043" t="s">
        <v>18091</v>
      </c>
      <c r="C13043" t="s">
        <v>7</v>
      </c>
      <c r="D13043" t="s">
        <v>33</v>
      </c>
      <c r="E13043" t="s">
        <v>17864</v>
      </c>
      <c r="F13043" t="s">
        <v>18092</v>
      </c>
    </row>
    <row r="13044" spans="1:6" x14ac:dyDescent="0.25">
      <c r="A13044" t="str">
        <f>"6316192814"</f>
        <v>6316192814</v>
      </c>
      <c r="B13044" t="s">
        <v>12566</v>
      </c>
      <c r="C13044" t="s">
        <v>7</v>
      </c>
      <c r="D13044" t="s">
        <v>12</v>
      </c>
      <c r="E13044" t="s">
        <v>17864</v>
      </c>
      <c r="F13044" t="s">
        <v>18093</v>
      </c>
    </row>
    <row r="13045" spans="1:6" x14ac:dyDescent="0.25">
      <c r="A13045" t="str">
        <f>"6316247365"</f>
        <v>6316247365</v>
      </c>
      <c r="B13045" t="s">
        <v>18094</v>
      </c>
      <c r="C13045" t="s">
        <v>7</v>
      </c>
      <c r="D13045" t="s">
        <v>14</v>
      </c>
      <c r="E13045" t="s">
        <v>17864</v>
      </c>
      <c r="F13045" t="s">
        <v>18095</v>
      </c>
    </row>
    <row r="13046" spans="1:6" x14ac:dyDescent="0.25">
      <c r="A13046" t="str">
        <f>"631625241462"</f>
        <v>631625241462</v>
      </c>
      <c r="B13046" t="s">
        <v>18096</v>
      </c>
      <c r="C13046" t="s">
        <v>7</v>
      </c>
      <c r="D13046" t="s">
        <v>14</v>
      </c>
      <c r="E13046" t="s">
        <v>17864</v>
      </c>
    </row>
    <row r="13047" spans="1:6" x14ac:dyDescent="0.25">
      <c r="A13047" t="str">
        <f>"6316268326"</f>
        <v>6316268326</v>
      </c>
      <c r="B13047" t="s">
        <v>18097</v>
      </c>
      <c r="C13047" t="s">
        <v>7</v>
      </c>
      <c r="D13047" t="s">
        <v>12</v>
      </c>
      <c r="E13047" t="s">
        <v>17864</v>
      </c>
      <c r="F13047" t="s">
        <v>18098</v>
      </c>
    </row>
    <row r="13048" spans="1:6" x14ac:dyDescent="0.25">
      <c r="A13048" t="str">
        <f>"631627011626"</f>
        <v>631627011626</v>
      </c>
      <c r="B13048" t="s">
        <v>18099</v>
      </c>
      <c r="C13048" t="s">
        <v>7</v>
      </c>
      <c r="D13048" t="s">
        <v>33</v>
      </c>
      <c r="E13048" t="s">
        <v>17864</v>
      </c>
    </row>
    <row r="13049" spans="1:6" x14ac:dyDescent="0.25">
      <c r="A13049" t="str">
        <f>"6316289380"</f>
        <v>6316289380</v>
      </c>
      <c r="B13049" t="s">
        <v>18100</v>
      </c>
      <c r="C13049" t="s">
        <v>7</v>
      </c>
      <c r="D13049" t="s">
        <v>12</v>
      </c>
      <c r="E13049" t="s">
        <v>17864</v>
      </c>
      <c r="F13049" t="s">
        <v>18101</v>
      </c>
    </row>
    <row r="13050" spans="1:6" x14ac:dyDescent="0.25">
      <c r="A13050" t="str">
        <f>"6317137848"</f>
        <v>6317137848</v>
      </c>
      <c r="B13050" t="s">
        <v>354</v>
      </c>
      <c r="C13050" t="s">
        <v>7</v>
      </c>
      <c r="D13050" t="s">
        <v>12</v>
      </c>
      <c r="E13050" t="s">
        <v>17864</v>
      </c>
      <c r="F13050" t="s">
        <v>18102</v>
      </c>
    </row>
    <row r="13051" spans="1:6" x14ac:dyDescent="0.25">
      <c r="A13051" t="str">
        <f>"6317151546"</f>
        <v>6317151546</v>
      </c>
      <c r="B13051" t="s">
        <v>18103</v>
      </c>
      <c r="C13051" t="s">
        <v>7</v>
      </c>
      <c r="D13051" t="s">
        <v>33</v>
      </c>
      <c r="E13051" t="s">
        <v>17864</v>
      </c>
      <c r="F13051" t="s">
        <v>18104</v>
      </c>
    </row>
    <row r="13052" spans="1:6" x14ac:dyDescent="0.25">
      <c r="A13052" t="str">
        <f>"6317153159"</f>
        <v>6317153159</v>
      </c>
      <c r="B13052" t="s">
        <v>18105</v>
      </c>
      <c r="C13052" t="s">
        <v>7</v>
      </c>
      <c r="D13052" t="s">
        <v>33</v>
      </c>
      <c r="E13052" t="s">
        <v>17864</v>
      </c>
      <c r="F13052" t="s">
        <v>18106</v>
      </c>
    </row>
    <row r="13053" spans="1:6" x14ac:dyDescent="0.25">
      <c r="A13053" t="str">
        <f>"6317154064"</f>
        <v>6317154064</v>
      </c>
      <c r="B13053" t="s">
        <v>18107</v>
      </c>
      <c r="C13053" t="s">
        <v>7</v>
      </c>
      <c r="D13053" t="s">
        <v>12</v>
      </c>
      <c r="E13053" t="s">
        <v>17864</v>
      </c>
      <c r="F13053" t="s">
        <v>17943</v>
      </c>
    </row>
    <row r="13054" spans="1:6" x14ac:dyDescent="0.25">
      <c r="A13054" t="str">
        <f>"6317154096"</f>
        <v>6317154096</v>
      </c>
      <c r="B13054" t="s">
        <v>18108</v>
      </c>
      <c r="C13054" t="s">
        <v>7</v>
      </c>
      <c r="D13054" t="s">
        <v>12</v>
      </c>
      <c r="E13054" t="s">
        <v>17864</v>
      </c>
      <c r="F13054" t="s">
        <v>17943</v>
      </c>
    </row>
    <row r="13055" spans="1:6" x14ac:dyDescent="0.25">
      <c r="A13055" t="str">
        <f>"6317158774"</f>
        <v>6317158774</v>
      </c>
      <c r="B13055" t="s">
        <v>18109</v>
      </c>
      <c r="C13055" t="s">
        <v>7</v>
      </c>
      <c r="D13055" t="s">
        <v>33</v>
      </c>
      <c r="E13055" t="s">
        <v>17864</v>
      </c>
      <c r="F13055" t="s">
        <v>18110</v>
      </c>
    </row>
    <row r="13056" spans="1:6" x14ac:dyDescent="0.25">
      <c r="A13056" t="str">
        <f>"6317163767"</f>
        <v>6317163767</v>
      </c>
      <c r="B13056" t="s">
        <v>18111</v>
      </c>
      <c r="C13056" t="s">
        <v>7</v>
      </c>
      <c r="D13056" t="s">
        <v>33</v>
      </c>
      <c r="E13056" t="s">
        <v>17864</v>
      </c>
      <c r="F13056" t="s">
        <v>18112</v>
      </c>
    </row>
    <row r="13057" spans="1:6" x14ac:dyDescent="0.25">
      <c r="A13057" t="str">
        <f>"6318060933"</f>
        <v>6318060933</v>
      </c>
      <c r="B13057" t="s">
        <v>18113</v>
      </c>
      <c r="C13057" t="s">
        <v>7</v>
      </c>
      <c r="D13057" t="s">
        <v>12</v>
      </c>
      <c r="E13057" t="s">
        <v>17864</v>
      </c>
      <c r="F13057" t="s">
        <v>18114</v>
      </c>
    </row>
    <row r="13058" spans="1:6" x14ac:dyDescent="0.25">
      <c r="A13058" t="str">
        <f>"6318060958"</f>
        <v>6318060958</v>
      </c>
      <c r="B13058" t="s">
        <v>18115</v>
      </c>
      <c r="C13058" t="s">
        <v>7</v>
      </c>
      <c r="D13058" t="s">
        <v>12</v>
      </c>
      <c r="E13058" t="s">
        <v>17864</v>
      </c>
      <c r="F13058" t="s">
        <v>18114</v>
      </c>
    </row>
    <row r="13059" spans="1:6" x14ac:dyDescent="0.25">
      <c r="A13059" t="str">
        <f>"6318061951"</f>
        <v>6318061951</v>
      </c>
      <c r="B13059" t="s">
        <v>18116</v>
      </c>
      <c r="C13059" t="s">
        <v>7</v>
      </c>
      <c r="D13059" t="s">
        <v>33</v>
      </c>
      <c r="E13059" t="s">
        <v>17864</v>
      </c>
      <c r="F13059" t="s">
        <v>18117</v>
      </c>
    </row>
    <row r="13060" spans="1:6" x14ac:dyDescent="0.25">
      <c r="A13060" t="str">
        <f>"6318064790"</f>
        <v>6318064790</v>
      </c>
      <c r="B13060" t="s">
        <v>7080</v>
      </c>
      <c r="C13060" t="s">
        <v>7</v>
      </c>
      <c r="D13060" t="s">
        <v>33</v>
      </c>
      <c r="E13060" t="s">
        <v>17864</v>
      </c>
      <c r="F13060" t="s">
        <v>18118</v>
      </c>
    </row>
    <row r="13061" spans="1:6" x14ac:dyDescent="0.25">
      <c r="A13061" t="str">
        <f>"6318066011"</f>
        <v>6318066011</v>
      </c>
      <c r="B13061" t="s">
        <v>18119</v>
      </c>
      <c r="C13061" t="s">
        <v>7</v>
      </c>
      <c r="D13061" t="s">
        <v>12</v>
      </c>
      <c r="E13061" t="s">
        <v>17864</v>
      </c>
      <c r="F13061" t="s">
        <v>18120</v>
      </c>
    </row>
    <row r="13062" spans="1:6" x14ac:dyDescent="0.25">
      <c r="A13062" t="str">
        <f>"6318122717"</f>
        <v>6318122717</v>
      </c>
      <c r="B13062" t="s">
        <v>18121</v>
      </c>
      <c r="C13062" t="s">
        <v>7</v>
      </c>
      <c r="D13062" t="s">
        <v>12</v>
      </c>
      <c r="E13062" t="s">
        <v>17864</v>
      </c>
      <c r="F13062" t="s">
        <v>18122</v>
      </c>
    </row>
    <row r="13063" spans="1:6" x14ac:dyDescent="0.25">
      <c r="A13063" t="str">
        <f>"631816840717"</f>
        <v>631816840717</v>
      </c>
      <c r="B13063" t="s">
        <v>18123</v>
      </c>
      <c r="C13063" t="s">
        <v>7</v>
      </c>
      <c r="D13063" t="s">
        <v>14</v>
      </c>
      <c r="E13063" t="s">
        <v>17864</v>
      </c>
    </row>
    <row r="13064" spans="1:6" x14ac:dyDescent="0.25">
      <c r="A13064" t="str">
        <f>"631900367432"</f>
        <v>631900367432</v>
      </c>
      <c r="B13064" t="s">
        <v>18124</v>
      </c>
      <c r="C13064" t="s">
        <v>7</v>
      </c>
      <c r="D13064" t="s">
        <v>12</v>
      </c>
      <c r="E13064" t="s">
        <v>17864</v>
      </c>
    </row>
    <row r="13065" spans="1:6" x14ac:dyDescent="0.25">
      <c r="A13065" t="str">
        <f>"631901786500"</f>
        <v>631901786500</v>
      </c>
      <c r="B13065" t="s">
        <v>18125</v>
      </c>
      <c r="C13065" t="s">
        <v>7</v>
      </c>
      <c r="D13065" t="s">
        <v>12</v>
      </c>
      <c r="E13065" t="s">
        <v>17864</v>
      </c>
    </row>
    <row r="13066" spans="1:6" x14ac:dyDescent="0.25">
      <c r="A13066" t="str">
        <f>"6319060894"</f>
        <v>6319060894</v>
      </c>
      <c r="B13066" t="s">
        <v>18126</v>
      </c>
      <c r="C13066" t="s">
        <v>7</v>
      </c>
      <c r="D13066" t="s">
        <v>12</v>
      </c>
      <c r="E13066" t="s">
        <v>17864</v>
      </c>
      <c r="F13066" t="s">
        <v>18127</v>
      </c>
    </row>
    <row r="13067" spans="1:6" x14ac:dyDescent="0.25">
      <c r="A13067" t="str">
        <f>"631907322367"</f>
        <v>631907322367</v>
      </c>
      <c r="B13067" t="s">
        <v>18128</v>
      </c>
      <c r="C13067" t="s">
        <v>7</v>
      </c>
      <c r="D13067" t="s">
        <v>12</v>
      </c>
      <c r="E13067" t="s">
        <v>17864</v>
      </c>
    </row>
    <row r="13068" spans="1:6" x14ac:dyDescent="0.25">
      <c r="A13068" t="str">
        <f>"631909376745"</f>
        <v>631909376745</v>
      </c>
      <c r="B13068" t="s">
        <v>18129</v>
      </c>
      <c r="C13068" t="s">
        <v>7</v>
      </c>
      <c r="D13068" t="s">
        <v>12</v>
      </c>
      <c r="E13068" t="s">
        <v>17864</v>
      </c>
    </row>
    <row r="13069" spans="1:6" x14ac:dyDescent="0.25">
      <c r="A13069" t="str">
        <f>"631918305250"</f>
        <v>631918305250</v>
      </c>
      <c r="B13069" t="s">
        <v>18130</v>
      </c>
      <c r="C13069" t="s">
        <v>7</v>
      </c>
      <c r="D13069" t="s">
        <v>14</v>
      </c>
      <c r="E13069" t="s">
        <v>17864</v>
      </c>
    </row>
    <row r="13070" spans="1:6" x14ac:dyDescent="0.25">
      <c r="A13070" t="str">
        <f>"6319214167"</f>
        <v>6319214167</v>
      </c>
      <c r="B13070" t="s">
        <v>18131</v>
      </c>
      <c r="C13070" t="s">
        <v>7</v>
      </c>
      <c r="D13070" t="s">
        <v>12</v>
      </c>
      <c r="E13070" t="s">
        <v>17864</v>
      </c>
      <c r="F13070" t="s">
        <v>18132</v>
      </c>
    </row>
    <row r="13071" spans="1:6" x14ac:dyDescent="0.25">
      <c r="A13071" t="str">
        <f>"6319216774"</f>
        <v>6319216774</v>
      </c>
      <c r="B13071" t="s">
        <v>18133</v>
      </c>
      <c r="C13071" t="s">
        <v>7</v>
      </c>
      <c r="D13071" t="s">
        <v>33</v>
      </c>
      <c r="E13071" t="s">
        <v>17864</v>
      </c>
      <c r="F13071" t="s">
        <v>18134</v>
      </c>
    </row>
    <row r="13072" spans="1:6" x14ac:dyDescent="0.25">
      <c r="A13072" t="str">
        <f>"6319249000"</f>
        <v>6319249000</v>
      </c>
      <c r="B13072" t="s">
        <v>18135</v>
      </c>
      <c r="C13072" t="s">
        <v>7</v>
      </c>
      <c r="D13072" t="s">
        <v>12</v>
      </c>
      <c r="E13072" t="s">
        <v>17864</v>
      </c>
      <c r="F13072" t="s">
        <v>18136</v>
      </c>
    </row>
    <row r="13073" spans="1:6" x14ac:dyDescent="0.25">
      <c r="A13073" t="str">
        <f>"6319252236"</f>
        <v>6319252236</v>
      </c>
      <c r="B13073" t="s">
        <v>18137</v>
      </c>
      <c r="C13073" t="s">
        <v>7</v>
      </c>
      <c r="D13073" t="s">
        <v>12</v>
      </c>
      <c r="E13073" t="s">
        <v>17864</v>
      </c>
      <c r="F13073" t="s">
        <v>18138</v>
      </c>
    </row>
    <row r="13074" spans="1:6" x14ac:dyDescent="0.25">
      <c r="A13074" t="str">
        <f>"631930319517"</f>
        <v>631930319517</v>
      </c>
      <c r="B13074" t="s">
        <v>18139</v>
      </c>
      <c r="C13074" t="s">
        <v>7</v>
      </c>
      <c r="D13074" t="s">
        <v>14</v>
      </c>
      <c r="E13074" t="s">
        <v>17864</v>
      </c>
    </row>
    <row r="13075" spans="1:6" x14ac:dyDescent="0.25">
      <c r="A13075" t="str">
        <f>"631931007408"</f>
        <v>631931007408</v>
      </c>
      <c r="B13075" t="s">
        <v>18140</v>
      </c>
      <c r="C13075" t="s">
        <v>7</v>
      </c>
      <c r="D13075" t="s">
        <v>14</v>
      </c>
      <c r="E13075" t="s">
        <v>17864</v>
      </c>
    </row>
    <row r="13076" spans="1:6" x14ac:dyDescent="0.25">
      <c r="A13076" t="str">
        <f>"6319712772"</f>
        <v>6319712772</v>
      </c>
      <c r="B13076" t="s">
        <v>13198</v>
      </c>
      <c r="C13076" t="s">
        <v>7</v>
      </c>
      <c r="D13076" t="s">
        <v>98</v>
      </c>
      <c r="E13076" t="s">
        <v>17864</v>
      </c>
      <c r="F13076" t="s">
        <v>18141</v>
      </c>
    </row>
    <row r="13077" spans="1:6" x14ac:dyDescent="0.25">
      <c r="A13077" t="str">
        <f>"6319725267"</f>
        <v>6319725267</v>
      </c>
      <c r="B13077" t="s">
        <v>18142</v>
      </c>
      <c r="C13077" t="s">
        <v>7</v>
      </c>
      <c r="D13077" t="s">
        <v>12</v>
      </c>
      <c r="E13077" t="s">
        <v>17864</v>
      </c>
      <c r="F13077" t="s">
        <v>18143</v>
      </c>
    </row>
    <row r="13078" spans="1:6" x14ac:dyDescent="0.25">
      <c r="A13078" t="str">
        <f>"6320001572"</f>
        <v>6320001572</v>
      </c>
      <c r="B13078" t="s">
        <v>18144</v>
      </c>
      <c r="C13078" t="s">
        <v>7</v>
      </c>
      <c r="D13078" t="s">
        <v>14</v>
      </c>
      <c r="E13078" t="s">
        <v>17864</v>
      </c>
      <c r="F13078" t="s">
        <v>18145</v>
      </c>
    </row>
    <row r="13079" spans="1:6" x14ac:dyDescent="0.25">
      <c r="A13079" t="str">
        <f>"6320046277"</f>
        <v>6320046277</v>
      </c>
      <c r="B13079" t="s">
        <v>17840</v>
      </c>
      <c r="C13079" t="s">
        <v>7</v>
      </c>
      <c r="D13079" t="s">
        <v>12</v>
      </c>
      <c r="E13079" t="s">
        <v>17864</v>
      </c>
      <c r="F13079" t="s">
        <v>18146</v>
      </c>
    </row>
    <row r="13080" spans="1:6" x14ac:dyDescent="0.25">
      <c r="A13080" t="str">
        <f>"6320080246"</f>
        <v>6320080246</v>
      </c>
      <c r="B13080" t="s">
        <v>18147</v>
      </c>
      <c r="C13080" t="s">
        <v>7</v>
      </c>
      <c r="D13080" t="s">
        <v>14</v>
      </c>
      <c r="E13080" t="s">
        <v>17864</v>
      </c>
      <c r="F13080" t="s">
        <v>18148</v>
      </c>
    </row>
    <row r="13081" spans="1:6" x14ac:dyDescent="0.25">
      <c r="A13081" t="str">
        <f>"6321075658"</f>
        <v>6321075658</v>
      </c>
      <c r="B13081" t="s">
        <v>18149</v>
      </c>
      <c r="C13081" t="s">
        <v>7</v>
      </c>
      <c r="D13081" t="s">
        <v>14</v>
      </c>
      <c r="E13081" t="s">
        <v>17864</v>
      </c>
      <c r="F13081" t="s">
        <v>18150</v>
      </c>
    </row>
    <row r="13082" spans="1:6" x14ac:dyDescent="0.25">
      <c r="A13082" t="str">
        <f>"6321124263"</f>
        <v>6321124263</v>
      </c>
      <c r="B13082" t="s">
        <v>18151</v>
      </c>
      <c r="C13082" t="s">
        <v>7</v>
      </c>
      <c r="D13082" t="s">
        <v>33</v>
      </c>
      <c r="E13082" t="s">
        <v>17864</v>
      </c>
      <c r="F13082" t="s">
        <v>18152</v>
      </c>
    </row>
    <row r="13083" spans="1:6" x14ac:dyDescent="0.25">
      <c r="A13083" t="str">
        <f>"6321169810"</f>
        <v>6321169810</v>
      </c>
      <c r="B13083" t="s">
        <v>18153</v>
      </c>
      <c r="C13083" t="s">
        <v>7</v>
      </c>
      <c r="D13083" t="s">
        <v>14</v>
      </c>
      <c r="E13083" t="s">
        <v>17864</v>
      </c>
      <c r="F13083" t="s">
        <v>18154</v>
      </c>
    </row>
    <row r="13084" spans="1:6" x14ac:dyDescent="0.25">
      <c r="A13084" t="str">
        <f>"6321261527"</f>
        <v>6321261527</v>
      </c>
      <c r="B13084" t="s">
        <v>18155</v>
      </c>
      <c r="C13084" t="s">
        <v>7</v>
      </c>
      <c r="D13084" t="s">
        <v>12</v>
      </c>
      <c r="E13084" t="s">
        <v>17864</v>
      </c>
      <c r="F13084" t="s">
        <v>18156</v>
      </c>
    </row>
    <row r="13085" spans="1:6" x14ac:dyDescent="0.25">
      <c r="A13085" t="str">
        <f>"6321272247"</f>
        <v>6321272247</v>
      </c>
      <c r="B13085" t="s">
        <v>18157</v>
      </c>
      <c r="C13085" t="s">
        <v>7</v>
      </c>
      <c r="D13085" t="s">
        <v>12</v>
      </c>
      <c r="E13085" t="s">
        <v>17864</v>
      </c>
      <c r="F13085" t="s">
        <v>18158</v>
      </c>
    </row>
    <row r="13086" spans="1:6" x14ac:dyDescent="0.25">
      <c r="A13086" t="str">
        <f>"632127469018"</f>
        <v>632127469018</v>
      </c>
      <c r="B13086" t="s">
        <v>18159</v>
      </c>
      <c r="C13086" t="s">
        <v>7</v>
      </c>
      <c r="D13086" t="s">
        <v>14</v>
      </c>
      <c r="E13086" t="s">
        <v>17864</v>
      </c>
    </row>
    <row r="13087" spans="1:6" x14ac:dyDescent="0.25">
      <c r="A13087" t="str">
        <f>"6321280424"</f>
        <v>6321280424</v>
      </c>
      <c r="B13087" t="s">
        <v>18160</v>
      </c>
      <c r="C13087" t="s">
        <v>7</v>
      </c>
      <c r="D13087" t="s">
        <v>12</v>
      </c>
      <c r="E13087" t="s">
        <v>17864</v>
      </c>
      <c r="F13087" t="s">
        <v>18161</v>
      </c>
    </row>
    <row r="13088" spans="1:6" x14ac:dyDescent="0.25">
      <c r="A13088" t="str">
        <f>"6321303978"</f>
        <v>6321303978</v>
      </c>
      <c r="B13088" t="s">
        <v>18162</v>
      </c>
      <c r="C13088" t="s">
        <v>7</v>
      </c>
      <c r="D13088" t="s">
        <v>33</v>
      </c>
      <c r="E13088" t="s">
        <v>17864</v>
      </c>
      <c r="F13088" t="s">
        <v>18163</v>
      </c>
    </row>
    <row r="13089" spans="1:6" x14ac:dyDescent="0.25">
      <c r="A13089" t="str">
        <f>"6321319030"</f>
        <v>6321319030</v>
      </c>
      <c r="B13089" t="s">
        <v>18164</v>
      </c>
      <c r="C13089" t="s">
        <v>7</v>
      </c>
      <c r="D13089" t="s">
        <v>33</v>
      </c>
      <c r="E13089" t="s">
        <v>17864</v>
      </c>
      <c r="F13089" t="s">
        <v>18165</v>
      </c>
    </row>
    <row r="13090" spans="1:6" x14ac:dyDescent="0.25">
      <c r="A13090" t="str">
        <f>"6321413770"</f>
        <v>6321413770</v>
      </c>
      <c r="B13090" t="s">
        <v>18166</v>
      </c>
      <c r="C13090" t="s">
        <v>7</v>
      </c>
      <c r="D13090" t="s">
        <v>33</v>
      </c>
      <c r="E13090" t="s">
        <v>17864</v>
      </c>
      <c r="F13090" t="s">
        <v>18167</v>
      </c>
    </row>
    <row r="13091" spans="1:6" x14ac:dyDescent="0.25">
      <c r="A13091" t="str">
        <f>"6321415287"</f>
        <v>6321415287</v>
      </c>
      <c r="B13091" t="s">
        <v>18168</v>
      </c>
      <c r="C13091" t="s">
        <v>7</v>
      </c>
      <c r="D13091" t="s">
        <v>33</v>
      </c>
      <c r="E13091" t="s">
        <v>17864</v>
      </c>
      <c r="F13091" t="s">
        <v>18169</v>
      </c>
    </row>
    <row r="13092" spans="1:6" x14ac:dyDescent="0.25">
      <c r="A13092" t="str">
        <f>"6321416058"</f>
        <v>6321416058</v>
      </c>
      <c r="B13092" t="s">
        <v>18170</v>
      </c>
      <c r="C13092" t="s">
        <v>7</v>
      </c>
      <c r="D13092" t="s">
        <v>98</v>
      </c>
      <c r="E13092" t="s">
        <v>17864</v>
      </c>
      <c r="F13092" t="s">
        <v>18171</v>
      </c>
    </row>
    <row r="13093" spans="1:6" x14ac:dyDescent="0.25">
      <c r="A13093" t="str">
        <f>"6321427324"</f>
        <v>6321427324</v>
      </c>
      <c r="B13093" t="s">
        <v>1516</v>
      </c>
      <c r="C13093" t="s">
        <v>7</v>
      </c>
      <c r="D13093" t="s">
        <v>33</v>
      </c>
      <c r="E13093" t="s">
        <v>17864</v>
      </c>
      <c r="F13093" t="s">
        <v>18172</v>
      </c>
    </row>
    <row r="13094" spans="1:6" x14ac:dyDescent="0.25">
      <c r="A13094" t="str">
        <f>"6321433254"</f>
        <v>6321433254</v>
      </c>
      <c r="B13094" t="s">
        <v>18173</v>
      </c>
      <c r="C13094" t="s">
        <v>7</v>
      </c>
      <c r="D13094" t="s">
        <v>14</v>
      </c>
      <c r="E13094" t="s">
        <v>17864</v>
      </c>
      <c r="F13094" t="s">
        <v>18174</v>
      </c>
    </row>
    <row r="13095" spans="1:6" x14ac:dyDescent="0.25">
      <c r="A13095" t="str">
        <f>"6321457833"</f>
        <v>6321457833</v>
      </c>
      <c r="B13095" t="s">
        <v>18175</v>
      </c>
      <c r="C13095" t="s">
        <v>7</v>
      </c>
      <c r="D13095" t="s">
        <v>463</v>
      </c>
      <c r="E13095" t="s">
        <v>17864</v>
      </c>
      <c r="F13095" t="s">
        <v>18176</v>
      </c>
    </row>
    <row r="13096" spans="1:6" x14ac:dyDescent="0.25">
      <c r="A13096" t="str">
        <f>"6321468698"</f>
        <v>6321468698</v>
      </c>
      <c r="B13096" t="s">
        <v>18177</v>
      </c>
      <c r="C13096" t="s">
        <v>7</v>
      </c>
      <c r="D13096" t="s">
        <v>33</v>
      </c>
      <c r="E13096" t="s">
        <v>17864</v>
      </c>
      <c r="F13096" t="s">
        <v>18178</v>
      </c>
    </row>
    <row r="13097" spans="1:6" x14ac:dyDescent="0.25">
      <c r="A13097" t="str">
        <f>"6321469324"</f>
        <v>6321469324</v>
      </c>
      <c r="B13097" t="s">
        <v>18179</v>
      </c>
      <c r="C13097" t="s">
        <v>7</v>
      </c>
      <c r="D13097" t="s">
        <v>12</v>
      </c>
      <c r="E13097" t="s">
        <v>17864</v>
      </c>
      <c r="F13097" t="s">
        <v>18180</v>
      </c>
    </row>
    <row r="13098" spans="1:6" x14ac:dyDescent="0.25">
      <c r="A13098" t="str">
        <f>"632147399175"</f>
        <v>632147399175</v>
      </c>
      <c r="B13098" t="s">
        <v>18181</v>
      </c>
      <c r="C13098" t="s">
        <v>7</v>
      </c>
      <c r="D13098" t="s">
        <v>14</v>
      </c>
      <c r="E13098" t="s">
        <v>17864</v>
      </c>
    </row>
    <row r="13099" spans="1:6" x14ac:dyDescent="0.25">
      <c r="A13099" t="str">
        <f>"632201592620"</f>
        <v>632201592620</v>
      </c>
      <c r="B13099" t="s">
        <v>18182</v>
      </c>
      <c r="C13099" t="s">
        <v>7</v>
      </c>
      <c r="D13099" t="s">
        <v>12</v>
      </c>
      <c r="E13099" t="s">
        <v>17864</v>
      </c>
    </row>
    <row r="13100" spans="1:6" x14ac:dyDescent="0.25">
      <c r="A13100" t="str">
        <f>"6322025346"</f>
        <v>6322025346</v>
      </c>
      <c r="B13100" t="s">
        <v>18183</v>
      </c>
      <c r="C13100" t="s">
        <v>7</v>
      </c>
      <c r="D13100" t="s">
        <v>33</v>
      </c>
      <c r="E13100" t="s">
        <v>17864</v>
      </c>
      <c r="F13100" t="s">
        <v>18184</v>
      </c>
    </row>
    <row r="13101" spans="1:6" x14ac:dyDescent="0.25">
      <c r="A13101" t="str">
        <f>"6322038384"</f>
        <v>6322038384</v>
      </c>
      <c r="B13101" t="s">
        <v>18185</v>
      </c>
      <c r="C13101" t="s">
        <v>7</v>
      </c>
      <c r="D13101" t="s">
        <v>12</v>
      </c>
      <c r="E13101" t="s">
        <v>17864</v>
      </c>
      <c r="F13101" t="s">
        <v>18186</v>
      </c>
    </row>
    <row r="13102" spans="1:6" x14ac:dyDescent="0.25">
      <c r="A13102" t="str">
        <f>"6324010673"</f>
        <v>6324010673</v>
      </c>
      <c r="B13102" t="s">
        <v>18187</v>
      </c>
      <c r="C13102" t="s">
        <v>7</v>
      </c>
      <c r="D13102" t="s">
        <v>33</v>
      </c>
      <c r="E13102" t="s">
        <v>17864</v>
      </c>
      <c r="F13102" t="s">
        <v>18188</v>
      </c>
    </row>
    <row r="13103" spans="1:6" x14ac:dyDescent="0.25">
      <c r="A13103" t="str">
        <f>"632401618160"</f>
        <v>632401618160</v>
      </c>
      <c r="B13103" t="s">
        <v>18189</v>
      </c>
      <c r="C13103" t="s">
        <v>7</v>
      </c>
      <c r="D13103" t="s">
        <v>14</v>
      </c>
      <c r="E13103" t="s">
        <v>17864</v>
      </c>
    </row>
    <row r="13104" spans="1:6" x14ac:dyDescent="0.25">
      <c r="A13104" t="str">
        <f>"6324019901"</f>
        <v>6324019901</v>
      </c>
      <c r="B13104" t="s">
        <v>18190</v>
      </c>
      <c r="C13104" t="s">
        <v>7</v>
      </c>
      <c r="D13104" t="s">
        <v>33</v>
      </c>
      <c r="E13104" t="s">
        <v>17864</v>
      </c>
      <c r="F13104" t="s">
        <v>18191</v>
      </c>
    </row>
    <row r="13105" spans="1:6" x14ac:dyDescent="0.25">
      <c r="A13105" t="str">
        <f>"6324083760"</f>
        <v>6324083760</v>
      </c>
      <c r="B13105" t="s">
        <v>18192</v>
      </c>
      <c r="C13105" t="s">
        <v>7</v>
      </c>
      <c r="D13105" t="s">
        <v>33</v>
      </c>
      <c r="E13105" t="s">
        <v>17864</v>
      </c>
      <c r="F13105" t="s">
        <v>18193</v>
      </c>
    </row>
    <row r="13106" spans="1:6" x14ac:dyDescent="0.25">
      <c r="A13106" t="str">
        <f>"6324102243"</f>
        <v>6324102243</v>
      </c>
      <c r="B13106" t="s">
        <v>18194</v>
      </c>
      <c r="C13106" t="s">
        <v>7</v>
      </c>
      <c r="D13106" t="s">
        <v>12</v>
      </c>
      <c r="E13106" t="s">
        <v>17864</v>
      </c>
      <c r="F13106" t="s">
        <v>18195</v>
      </c>
    </row>
    <row r="13107" spans="1:6" x14ac:dyDescent="0.25">
      <c r="A13107" t="str">
        <f>"632500246185"</f>
        <v>632500246185</v>
      </c>
      <c r="B13107" t="s">
        <v>18196</v>
      </c>
      <c r="C13107" t="s">
        <v>7</v>
      </c>
      <c r="D13107" t="s">
        <v>12</v>
      </c>
      <c r="E13107" t="s">
        <v>17864</v>
      </c>
    </row>
    <row r="13108" spans="1:6" x14ac:dyDescent="0.25">
      <c r="A13108" t="str">
        <f>"6325028049"</f>
        <v>6325028049</v>
      </c>
      <c r="B13108" t="s">
        <v>18197</v>
      </c>
      <c r="C13108" t="s">
        <v>7</v>
      </c>
      <c r="D13108" t="s">
        <v>14</v>
      </c>
      <c r="E13108" t="s">
        <v>17864</v>
      </c>
      <c r="F13108" t="s">
        <v>18198</v>
      </c>
    </row>
    <row r="13109" spans="1:6" x14ac:dyDescent="0.25">
      <c r="A13109" t="str">
        <f>"6325035279"</f>
        <v>6325035279</v>
      </c>
      <c r="B13109" t="s">
        <v>18199</v>
      </c>
      <c r="C13109" t="s">
        <v>7</v>
      </c>
      <c r="D13109" t="s">
        <v>14</v>
      </c>
      <c r="E13109" t="s">
        <v>17864</v>
      </c>
      <c r="F13109" t="s">
        <v>18200</v>
      </c>
    </row>
    <row r="13110" spans="1:6" x14ac:dyDescent="0.25">
      <c r="A13110" t="str">
        <f>"6325057603"</f>
        <v>6325057603</v>
      </c>
      <c r="B13110" t="s">
        <v>18201</v>
      </c>
      <c r="C13110" t="s">
        <v>7</v>
      </c>
      <c r="D13110" t="s">
        <v>12</v>
      </c>
      <c r="E13110" t="s">
        <v>17864</v>
      </c>
      <c r="F13110" t="s">
        <v>18202</v>
      </c>
    </row>
    <row r="13111" spans="1:6" x14ac:dyDescent="0.25">
      <c r="A13111" t="str">
        <f>"6325064336"</f>
        <v>6325064336</v>
      </c>
      <c r="B13111" t="s">
        <v>18203</v>
      </c>
      <c r="C13111" t="s">
        <v>7</v>
      </c>
      <c r="D13111" t="s">
        <v>33</v>
      </c>
      <c r="E13111" t="s">
        <v>17864</v>
      </c>
      <c r="F13111" t="s">
        <v>18204</v>
      </c>
    </row>
    <row r="13112" spans="1:6" x14ac:dyDescent="0.25">
      <c r="A13112" t="str">
        <f>"632506557331"</f>
        <v>632506557331</v>
      </c>
      <c r="B13112" t="s">
        <v>18205</v>
      </c>
      <c r="C13112" t="s">
        <v>7</v>
      </c>
      <c r="D13112" t="s">
        <v>14</v>
      </c>
      <c r="E13112" t="s">
        <v>17864</v>
      </c>
    </row>
    <row r="13113" spans="1:6" x14ac:dyDescent="0.25">
      <c r="A13113" t="str">
        <f>"6325075881"</f>
        <v>6325075881</v>
      </c>
      <c r="B13113" t="s">
        <v>18206</v>
      </c>
      <c r="C13113" t="s">
        <v>7</v>
      </c>
      <c r="D13113" t="s">
        <v>14</v>
      </c>
      <c r="E13113" t="s">
        <v>17864</v>
      </c>
      <c r="F13113" t="s">
        <v>18207</v>
      </c>
    </row>
    <row r="13114" spans="1:6" x14ac:dyDescent="0.25">
      <c r="A13114" t="str">
        <f>"632512261808"</f>
        <v>632512261808</v>
      </c>
      <c r="B13114" t="s">
        <v>18208</v>
      </c>
      <c r="C13114" t="s">
        <v>7</v>
      </c>
      <c r="D13114" t="s">
        <v>12</v>
      </c>
      <c r="E13114" t="s">
        <v>17864</v>
      </c>
    </row>
    <row r="13115" spans="1:6" x14ac:dyDescent="0.25">
      <c r="A13115" t="str">
        <f>"632516799065"</f>
        <v>632516799065</v>
      </c>
      <c r="B13115" t="s">
        <v>18209</v>
      </c>
      <c r="C13115" t="s">
        <v>7</v>
      </c>
      <c r="D13115" t="s">
        <v>14</v>
      </c>
      <c r="E13115" t="s">
        <v>17864</v>
      </c>
    </row>
    <row r="13116" spans="1:6" x14ac:dyDescent="0.25">
      <c r="A13116" t="str">
        <f>"632520714699"</f>
        <v>632520714699</v>
      </c>
      <c r="B13116" t="s">
        <v>18210</v>
      </c>
      <c r="C13116" t="s">
        <v>7</v>
      </c>
      <c r="D13116" t="s">
        <v>14</v>
      </c>
      <c r="E13116" t="s">
        <v>17864</v>
      </c>
    </row>
    <row r="13117" spans="1:6" x14ac:dyDescent="0.25">
      <c r="A13117" t="str">
        <f>"632526635605"</f>
        <v>632526635605</v>
      </c>
      <c r="B13117" t="s">
        <v>18211</v>
      </c>
      <c r="C13117" t="s">
        <v>7</v>
      </c>
      <c r="D13117" t="s">
        <v>14</v>
      </c>
      <c r="E13117" t="s">
        <v>17864</v>
      </c>
    </row>
    <row r="13118" spans="1:6" x14ac:dyDescent="0.25">
      <c r="A13118" t="str">
        <f>"6330088974"</f>
        <v>6330088974</v>
      </c>
      <c r="B13118" t="s">
        <v>18212</v>
      </c>
      <c r="C13118" t="s">
        <v>7</v>
      </c>
      <c r="D13118" t="s">
        <v>33</v>
      </c>
      <c r="E13118" t="s">
        <v>17864</v>
      </c>
      <c r="F13118" t="s">
        <v>18213</v>
      </c>
    </row>
    <row r="13119" spans="1:6" x14ac:dyDescent="0.25">
      <c r="A13119" t="str">
        <f>"6330092473"</f>
        <v>6330092473</v>
      </c>
      <c r="B13119" t="s">
        <v>18214</v>
      </c>
      <c r="C13119" t="s">
        <v>7</v>
      </c>
      <c r="D13119" t="s">
        <v>33</v>
      </c>
      <c r="E13119" t="s">
        <v>17864</v>
      </c>
      <c r="F13119" t="s">
        <v>18215</v>
      </c>
    </row>
    <row r="13120" spans="1:6" x14ac:dyDescent="0.25">
      <c r="A13120" t="str">
        <f>"633011511343"</f>
        <v>633011511343</v>
      </c>
      <c r="B13120" t="s">
        <v>18216</v>
      </c>
      <c r="C13120" t="s">
        <v>7</v>
      </c>
      <c r="D13120" t="s">
        <v>14</v>
      </c>
      <c r="E13120" t="s">
        <v>17864</v>
      </c>
    </row>
    <row r="13121" spans="1:6" x14ac:dyDescent="0.25">
      <c r="A13121" t="str">
        <f>"633034773899"</f>
        <v>633034773899</v>
      </c>
      <c r="B13121" t="s">
        <v>18217</v>
      </c>
      <c r="C13121" t="s">
        <v>7</v>
      </c>
      <c r="D13121" t="s">
        <v>14</v>
      </c>
      <c r="E13121" t="s">
        <v>17864</v>
      </c>
    </row>
    <row r="13122" spans="1:6" x14ac:dyDescent="0.25">
      <c r="A13122" t="str">
        <f>"633500045025"</f>
        <v>633500045025</v>
      </c>
      <c r="B13122" t="s">
        <v>18218</v>
      </c>
      <c r="C13122" t="s">
        <v>7</v>
      </c>
      <c r="D13122" t="s">
        <v>14</v>
      </c>
      <c r="E13122" t="s">
        <v>17864</v>
      </c>
    </row>
    <row r="13123" spans="1:6" x14ac:dyDescent="0.25">
      <c r="A13123" t="str">
        <f>"633500129370"</f>
        <v>633500129370</v>
      </c>
      <c r="B13123" t="s">
        <v>18219</v>
      </c>
      <c r="C13123" t="s">
        <v>7</v>
      </c>
      <c r="D13123" t="s">
        <v>14</v>
      </c>
      <c r="E13123" t="s">
        <v>17864</v>
      </c>
    </row>
    <row r="13124" spans="1:6" x14ac:dyDescent="0.25">
      <c r="A13124" t="str">
        <f>"633514495754"</f>
        <v>633514495754</v>
      </c>
      <c r="B13124" t="s">
        <v>18220</v>
      </c>
      <c r="C13124" t="s">
        <v>7</v>
      </c>
      <c r="D13124" t="s">
        <v>14</v>
      </c>
      <c r="E13124" t="s">
        <v>17864</v>
      </c>
    </row>
    <row r="13125" spans="1:6" x14ac:dyDescent="0.25">
      <c r="A13125" t="str">
        <f>"634500134125"</f>
        <v>634500134125</v>
      </c>
      <c r="B13125" t="s">
        <v>18221</v>
      </c>
      <c r="C13125" t="s">
        <v>7</v>
      </c>
      <c r="D13125" t="s">
        <v>14</v>
      </c>
      <c r="E13125" t="s">
        <v>17864</v>
      </c>
    </row>
    <row r="13126" spans="1:6" x14ac:dyDescent="0.25">
      <c r="A13126" t="str">
        <f>"6350028476"</f>
        <v>6350028476</v>
      </c>
      <c r="B13126" t="s">
        <v>18222</v>
      </c>
      <c r="C13126" t="s">
        <v>7</v>
      </c>
      <c r="D13126" t="s">
        <v>12</v>
      </c>
      <c r="E13126" t="s">
        <v>17864</v>
      </c>
      <c r="F13126" t="s">
        <v>18223</v>
      </c>
    </row>
    <row r="13127" spans="1:6" x14ac:dyDescent="0.25">
      <c r="A13127" t="str">
        <f>"635003670960"</f>
        <v>635003670960</v>
      </c>
      <c r="B13127" t="s">
        <v>18224</v>
      </c>
      <c r="C13127" t="s">
        <v>7</v>
      </c>
      <c r="D13127" t="s">
        <v>12</v>
      </c>
      <c r="E13127" t="s">
        <v>17864</v>
      </c>
    </row>
    <row r="13128" spans="1:6" x14ac:dyDescent="0.25">
      <c r="A13128" t="str">
        <f>"635009394731"</f>
        <v>635009394731</v>
      </c>
      <c r="B13128" t="s">
        <v>18225</v>
      </c>
      <c r="C13128" t="s">
        <v>7</v>
      </c>
      <c r="D13128" t="s">
        <v>14</v>
      </c>
      <c r="E13128" t="s">
        <v>17864</v>
      </c>
    </row>
    <row r="13129" spans="1:6" x14ac:dyDescent="0.25">
      <c r="A13129" t="str">
        <f>"6317154603"</f>
        <v>6317154603</v>
      </c>
      <c r="B13129" t="s">
        <v>18226</v>
      </c>
      <c r="C13129" t="s">
        <v>7</v>
      </c>
      <c r="D13129" t="s">
        <v>14</v>
      </c>
      <c r="E13129" t="s">
        <v>17864</v>
      </c>
      <c r="F13129" t="s">
        <v>18227</v>
      </c>
    </row>
    <row r="13130" spans="1:6" x14ac:dyDescent="0.25">
      <c r="A13130" t="str">
        <f>"6317161590"</f>
        <v>6317161590</v>
      </c>
      <c r="B13130" t="s">
        <v>18228</v>
      </c>
      <c r="C13130" t="s">
        <v>7</v>
      </c>
      <c r="D13130" t="s">
        <v>14</v>
      </c>
      <c r="E13130" t="s">
        <v>17864</v>
      </c>
      <c r="F13130" t="s">
        <v>18229</v>
      </c>
    </row>
    <row r="13131" spans="1:6" x14ac:dyDescent="0.25">
      <c r="A13131" t="str">
        <f>"6318006326"</f>
        <v>6318006326</v>
      </c>
      <c r="B13131" t="s">
        <v>18230</v>
      </c>
      <c r="C13131" t="s">
        <v>7</v>
      </c>
      <c r="D13131" t="s">
        <v>12</v>
      </c>
      <c r="E13131" t="s">
        <v>17864</v>
      </c>
      <c r="F13131" t="s">
        <v>18231</v>
      </c>
    </row>
    <row r="13132" spans="1:6" x14ac:dyDescent="0.25">
      <c r="A13132" t="str">
        <f>"631803914810"</f>
        <v>631803914810</v>
      </c>
      <c r="B13132" t="s">
        <v>18232</v>
      </c>
      <c r="C13132" t="s">
        <v>7</v>
      </c>
      <c r="D13132" t="s">
        <v>12</v>
      </c>
      <c r="E13132" t="s">
        <v>17864</v>
      </c>
    </row>
    <row r="13133" spans="1:6" x14ac:dyDescent="0.25">
      <c r="A13133" t="str">
        <f>"6318046495"</f>
        <v>6318046495</v>
      </c>
      <c r="B13133" t="s">
        <v>18233</v>
      </c>
      <c r="C13133" t="s">
        <v>7</v>
      </c>
      <c r="D13133" t="s">
        <v>33</v>
      </c>
      <c r="E13133" t="s">
        <v>17864</v>
      </c>
      <c r="F13133" t="s">
        <v>18234</v>
      </c>
    </row>
    <row r="13134" spans="1:6" x14ac:dyDescent="0.25">
      <c r="A13134" t="str">
        <f>"6318060919"</f>
        <v>6318060919</v>
      </c>
      <c r="B13134" t="s">
        <v>18235</v>
      </c>
      <c r="C13134" t="s">
        <v>7</v>
      </c>
      <c r="D13134" t="s">
        <v>12</v>
      </c>
      <c r="E13134" t="s">
        <v>17864</v>
      </c>
      <c r="F13134" t="s">
        <v>18114</v>
      </c>
    </row>
    <row r="13135" spans="1:6" x14ac:dyDescent="0.25">
      <c r="A13135" t="str">
        <f>"6318070473"</f>
        <v>6318070473</v>
      </c>
      <c r="B13135" t="s">
        <v>18236</v>
      </c>
      <c r="C13135" t="s">
        <v>7</v>
      </c>
      <c r="D13135" t="s">
        <v>33</v>
      </c>
      <c r="E13135" t="s">
        <v>17864</v>
      </c>
      <c r="F13135" t="s">
        <v>18237</v>
      </c>
    </row>
    <row r="13136" spans="1:6" x14ac:dyDescent="0.25">
      <c r="A13136" t="str">
        <f>"631808615394"</f>
        <v>631808615394</v>
      </c>
      <c r="B13136" t="s">
        <v>18238</v>
      </c>
      <c r="C13136" t="s">
        <v>7</v>
      </c>
      <c r="D13136" t="s">
        <v>98</v>
      </c>
      <c r="E13136" t="s">
        <v>17864</v>
      </c>
    </row>
    <row r="13137" spans="1:6" x14ac:dyDescent="0.25">
      <c r="A13137" t="str">
        <f>"6318129977"</f>
        <v>6318129977</v>
      </c>
      <c r="B13137" t="s">
        <v>18239</v>
      </c>
      <c r="C13137" t="s">
        <v>7</v>
      </c>
      <c r="D13137" t="s">
        <v>12</v>
      </c>
      <c r="E13137" t="s">
        <v>17864</v>
      </c>
      <c r="F13137" t="s">
        <v>18240</v>
      </c>
    </row>
    <row r="13138" spans="1:6" x14ac:dyDescent="0.25">
      <c r="A13138" t="str">
        <f>"6318134825"</f>
        <v>6318134825</v>
      </c>
      <c r="B13138" t="s">
        <v>18241</v>
      </c>
      <c r="C13138" t="s">
        <v>7</v>
      </c>
      <c r="D13138" t="s">
        <v>12</v>
      </c>
      <c r="E13138" t="s">
        <v>17864</v>
      </c>
      <c r="F13138" t="s">
        <v>18242</v>
      </c>
    </row>
    <row r="13139" spans="1:6" x14ac:dyDescent="0.25">
      <c r="A13139" t="str">
        <f>"6318143548"</f>
        <v>6318143548</v>
      </c>
      <c r="B13139" t="s">
        <v>18243</v>
      </c>
      <c r="C13139" t="s">
        <v>7</v>
      </c>
      <c r="D13139" t="s">
        <v>12</v>
      </c>
      <c r="E13139" t="s">
        <v>17864</v>
      </c>
      <c r="F13139" t="s">
        <v>18244</v>
      </c>
    </row>
    <row r="13140" spans="1:6" x14ac:dyDescent="0.25">
      <c r="A13140" t="str">
        <f>"6318152214"</f>
        <v>6318152214</v>
      </c>
      <c r="B13140" t="s">
        <v>18245</v>
      </c>
      <c r="C13140" t="s">
        <v>7</v>
      </c>
      <c r="D13140" t="s">
        <v>189</v>
      </c>
      <c r="E13140" t="s">
        <v>17864</v>
      </c>
      <c r="F13140" t="s">
        <v>18246</v>
      </c>
    </row>
    <row r="13141" spans="1:6" x14ac:dyDescent="0.25">
      <c r="A13141" t="str">
        <f>"6318221524"</f>
        <v>6318221524</v>
      </c>
      <c r="B13141" t="s">
        <v>18247</v>
      </c>
      <c r="C13141" t="s">
        <v>7</v>
      </c>
      <c r="D13141" t="s">
        <v>12</v>
      </c>
      <c r="E13141" t="s">
        <v>17864</v>
      </c>
      <c r="F13141" t="s">
        <v>18248</v>
      </c>
    </row>
    <row r="13142" spans="1:6" x14ac:dyDescent="0.25">
      <c r="A13142" t="str">
        <f>"6318231603"</f>
        <v>6318231603</v>
      </c>
      <c r="B13142" t="s">
        <v>18249</v>
      </c>
      <c r="C13142" t="s">
        <v>7</v>
      </c>
      <c r="D13142" t="s">
        <v>33</v>
      </c>
      <c r="E13142" t="s">
        <v>17864</v>
      </c>
      <c r="F13142" t="s">
        <v>18250</v>
      </c>
    </row>
    <row r="13143" spans="1:6" x14ac:dyDescent="0.25">
      <c r="A13143" t="str">
        <f>"6318237059"</f>
        <v>6318237059</v>
      </c>
      <c r="B13143" t="s">
        <v>14511</v>
      </c>
      <c r="C13143" t="s">
        <v>7</v>
      </c>
      <c r="D13143" t="s">
        <v>12</v>
      </c>
      <c r="E13143" t="s">
        <v>17864</v>
      </c>
      <c r="F13143" t="s">
        <v>18251</v>
      </c>
    </row>
    <row r="13144" spans="1:6" x14ac:dyDescent="0.25">
      <c r="A13144" t="str">
        <f>"631904910441"</f>
        <v>631904910441</v>
      </c>
      <c r="B13144" t="s">
        <v>18252</v>
      </c>
      <c r="C13144" t="s">
        <v>7</v>
      </c>
      <c r="D13144" t="s">
        <v>14</v>
      </c>
      <c r="E13144" t="s">
        <v>17864</v>
      </c>
    </row>
    <row r="13145" spans="1:6" x14ac:dyDescent="0.25">
      <c r="A13145" t="str">
        <f>"631905226629"</f>
        <v>631905226629</v>
      </c>
      <c r="B13145" t="s">
        <v>18253</v>
      </c>
      <c r="C13145" t="s">
        <v>7</v>
      </c>
      <c r="D13145" t="s">
        <v>14</v>
      </c>
      <c r="E13145" t="s">
        <v>17864</v>
      </c>
    </row>
    <row r="13146" spans="1:6" x14ac:dyDescent="0.25">
      <c r="A13146" t="str">
        <f>"6319084359"</f>
        <v>6319084359</v>
      </c>
      <c r="B13146" t="s">
        <v>18254</v>
      </c>
      <c r="C13146" t="s">
        <v>7</v>
      </c>
      <c r="D13146" t="s">
        <v>12</v>
      </c>
      <c r="E13146" t="s">
        <v>17864</v>
      </c>
      <c r="F13146" t="s">
        <v>18026</v>
      </c>
    </row>
    <row r="13147" spans="1:6" x14ac:dyDescent="0.25">
      <c r="A13147" t="str">
        <f>"6319181070"</f>
        <v>6319181070</v>
      </c>
      <c r="B13147" t="s">
        <v>18255</v>
      </c>
      <c r="C13147" t="s">
        <v>7</v>
      </c>
      <c r="D13147" t="s">
        <v>33</v>
      </c>
      <c r="E13147" t="s">
        <v>17864</v>
      </c>
      <c r="F13147" t="s">
        <v>18256</v>
      </c>
    </row>
    <row r="13148" spans="1:6" x14ac:dyDescent="0.25">
      <c r="A13148" t="str">
        <f>"6319205807"</f>
        <v>6319205807</v>
      </c>
      <c r="B13148" t="s">
        <v>18257</v>
      </c>
      <c r="C13148" t="s">
        <v>7</v>
      </c>
      <c r="D13148" t="s">
        <v>33</v>
      </c>
      <c r="E13148" t="s">
        <v>17864</v>
      </c>
      <c r="F13148" t="s">
        <v>18258</v>
      </c>
    </row>
    <row r="13149" spans="1:6" x14ac:dyDescent="0.25">
      <c r="A13149" t="str">
        <f>"6319207480"</f>
        <v>6319207480</v>
      </c>
      <c r="B13149" t="s">
        <v>18259</v>
      </c>
      <c r="C13149" t="s">
        <v>7</v>
      </c>
      <c r="D13149" t="s">
        <v>33</v>
      </c>
      <c r="E13149" t="s">
        <v>17864</v>
      </c>
      <c r="F13149" t="s">
        <v>18260</v>
      </c>
    </row>
    <row r="13150" spans="1:6" x14ac:dyDescent="0.25">
      <c r="A13150" t="str">
        <f>"6319212508"</f>
        <v>6319212508</v>
      </c>
      <c r="B13150" t="s">
        <v>18261</v>
      </c>
      <c r="C13150" t="s">
        <v>7</v>
      </c>
      <c r="D13150" t="s">
        <v>14</v>
      </c>
      <c r="E13150" t="s">
        <v>17864</v>
      </c>
      <c r="F13150" t="s">
        <v>18262</v>
      </c>
    </row>
    <row r="13151" spans="1:6" x14ac:dyDescent="0.25">
      <c r="A13151" t="str">
        <f>"6319238055"</f>
        <v>6319238055</v>
      </c>
      <c r="B13151" t="s">
        <v>18263</v>
      </c>
      <c r="C13151" t="s">
        <v>7</v>
      </c>
      <c r="D13151" t="s">
        <v>14</v>
      </c>
      <c r="E13151" t="s">
        <v>17864</v>
      </c>
      <c r="F13151" t="s">
        <v>18264</v>
      </c>
    </row>
    <row r="13152" spans="1:6" x14ac:dyDescent="0.25">
      <c r="A13152" t="str">
        <f>"6319260854"</f>
        <v>6319260854</v>
      </c>
      <c r="B13152" t="s">
        <v>18265</v>
      </c>
      <c r="C13152" t="s">
        <v>7</v>
      </c>
      <c r="D13152" t="s">
        <v>33</v>
      </c>
      <c r="E13152" t="s">
        <v>17864</v>
      </c>
      <c r="F13152" t="s">
        <v>18266</v>
      </c>
    </row>
    <row r="13153" spans="1:6" x14ac:dyDescent="0.25">
      <c r="A13153" t="str">
        <f>"631940008824"</f>
        <v>631940008824</v>
      </c>
      <c r="B13153" t="s">
        <v>18267</v>
      </c>
      <c r="C13153" t="s">
        <v>7</v>
      </c>
      <c r="D13153" t="s">
        <v>14</v>
      </c>
      <c r="E13153" t="s">
        <v>17864</v>
      </c>
    </row>
    <row r="13154" spans="1:6" x14ac:dyDescent="0.25">
      <c r="A13154" t="str">
        <f>"6319703739"</f>
        <v>6319703739</v>
      </c>
      <c r="B13154" t="s">
        <v>18268</v>
      </c>
      <c r="C13154" t="s">
        <v>7</v>
      </c>
      <c r="D13154" t="s">
        <v>33</v>
      </c>
      <c r="E13154" t="s">
        <v>17864</v>
      </c>
      <c r="F13154" t="s">
        <v>18269</v>
      </c>
    </row>
    <row r="13155" spans="1:6" x14ac:dyDescent="0.25">
      <c r="A13155" t="str">
        <f>"6320047841"</f>
        <v>6320047841</v>
      </c>
      <c r="B13155" t="s">
        <v>18270</v>
      </c>
      <c r="C13155" t="s">
        <v>7</v>
      </c>
      <c r="D13155" t="s">
        <v>33</v>
      </c>
      <c r="E13155" t="s">
        <v>17864</v>
      </c>
      <c r="F13155" t="s">
        <v>18271</v>
      </c>
    </row>
    <row r="13156" spans="1:6" x14ac:dyDescent="0.25">
      <c r="A13156" t="str">
        <f>"6320066354"</f>
        <v>6320066354</v>
      </c>
      <c r="B13156" t="s">
        <v>18272</v>
      </c>
      <c r="C13156" t="s">
        <v>7</v>
      </c>
      <c r="D13156" t="s">
        <v>12</v>
      </c>
      <c r="E13156" t="s">
        <v>17864</v>
      </c>
      <c r="F13156" t="s">
        <v>18273</v>
      </c>
    </row>
    <row r="13157" spans="1:6" x14ac:dyDescent="0.25">
      <c r="A13157" t="str">
        <f>"6320069475"</f>
        <v>6320069475</v>
      </c>
      <c r="B13157" t="s">
        <v>6097</v>
      </c>
      <c r="C13157" t="s">
        <v>7</v>
      </c>
      <c r="D13157" t="s">
        <v>33</v>
      </c>
      <c r="E13157" t="s">
        <v>17864</v>
      </c>
      <c r="F13157" t="s">
        <v>18274</v>
      </c>
    </row>
    <row r="13158" spans="1:6" x14ac:dyDescent="0.25">
      <c r="A13158" t="str">
        <f>"6320072887"</f>
        <v>6320072887</v>
      </c>
      <c r="B13158" t="s">
        <v>18275</v>
      </c>
      <c r="C13158" t="s">
        <v>7</v>
      </c>
      <c r="D13158" t="s">
        <v>33</v>
      </c>
      <c r="E13158" t="s">
        <v>17864</v>
      </c>
      <c r="F13158" t="s">
        <v>18276</v>
      </c>
    </row>
    <row r="13159" spans="1:6" x14ac:dyDescent="0.25">
      <c r="A13159" t="str">
        <f>"6320077701"</f>
        <v>6320077701</v>
      </c>
      <c r="B13159" t="s">
        <v>18277</v>
      </c>
      <c r="C13159" t="s">
        <v>7</v>
      </c>
      <c r="D13159" t="s">
        <v>14</v>
      </c>
      <c r="E13159" t="s">
        <v>17864</v>
      </c>
      <c r="F13159" t="s">
        <v>18278</v>
      </c>
    </row>
    <row r="13160" spans="1:6" x14ac:dyDescent="0.25">
      <c r="A13160" t="str">
        <f>"632100623287"</f>
        <v>632100623287</v>
      </c>
      <c r="B13160" t="s">
        <v>18279</v>
      </c>
      <c r="C13160" t="s">
        <v>7</v>
      </c>
      <c r="D13160" t="s">
        <v>14</v>
      </c>
      <c r="E13160" t="s">
        <v>17864</v>
      </c>
    </row>
    <row r="13161" spans="1:6" x14ac:dyDescent="0.25">
      <c r="A13161" t="str">
        <f>"632101220234"</f>
        <v>632101220234</v>
      </c>
      <c r="B13161" t="s">
        <v>18280</v>
      </c>
      <c r="C13161" t="s">
        <v>7</v>
      </c>
      <c r="D13161" t="s">
        <v>12</v>
      </c>
      <c r="E13161" t="s">
        <v>17864</v>
      </c>
    </row>
    <row r="13162" spans="1:6" x14ac:dyDescent="0.25">
      <c r="A13162" t="str">
        <f>"6321018547"</f>
        <v>6321018547</v>
      </c>
      <c r="B13162" t="s">
        <v>18281</v>
      </c>
      <c r="C13162" t="s">
        <v>7</v>
      </c>
      <c r="D13162" t="s">
        <v>12</v>
      </c>
      <c r="E13162" t="s">
        <v>17864</v>
      </c>
      <c r="F13162" t="s">
        <v>18282</v>
      </c>
    </row>
    <row r="13163" spans="1:6" x14ac:dyDescent="0.25">
      <c r="A13163" t="str">
        <f>"6321035630"</f>
        <v>6321035630</v>
      </c>
      <c r="B13163" t="s">
        <v>16007</v>
      </c>
      <c r="C13163" t="s">
        <v>7</v>
      </c>
      <c r="D13163" t="s">
        <v>14</v>
      </c>
      <c r="E13163" t="s">
        <v>17864</v>
      </c>
      <c r="F13163" t="s">
        <v>18154</v>
      </c>
    </row>
    <row r="13164" spans="1:6" x14ac:dyDescent="0.25">
      <c r="A13164" t="str">
        <f>"632104766328"</f>
        <v>632104766328</v>
      </c>
      <c r="B13164" t="s">
        <v>18283</v>
      </c>
      <c r="C13164" t="s">
        <v>7</v>
      </c>
      <c r="D13164" t="s">
        <v>12</v>
      </c>
      <c r="E13164" t="s">
        <v>17864</v>
      </c>
    </row>
    <row r="13165" spans="1:6" x14ac:dyDescent="0.25">
      <c r="A13165" t="str">
        <f>"6321051752"</f>
        <v>6321051752</v>
      </c>
      <c r="B13165" t="s">
        <v>18284</v>
      </c>
      <c r="C13165" t="s">
        <v>7</v>
      </c>
      <c r="D13165" t="s">
        <v>12</v>
      </c>
      <c r="E13165" t="s">
        <v>17864</v>
      </c>
      <c r="F13165" t="s">
        <v>18285</v>
      </c>
    </row>
    <row r="13166" spans="1:6" x14ac:dyDescent="0.25">
      <c r="A13166" t="str">
        <f>"6321109522"</f>
        <v>6321109522</v>
      </c>
      <c r="B13166" t="s">
        <v>18286</v>
      </c>
      <c r="C13166" t="s">
        <v>7</v>
      </c>
      <c r="D13166" t="s">
        <v>14</v>
      </c>
      <c r="E13166" t="s">
        <v>17864</v>
      </c>
      <c r="F13166" t="s">
        <v>18287</v>
      </c>
    </row>
    <row r="13167" spans="1:6" x14ac:dyDescent="0.25">
      <c r="A13167" t="str">
        <f>"632115601649"</f>
        <v>632115601649</v>
      </c>
      <c r="B13167" t="s">
        <v>18288</v>
      </c>
      <c r="C13167" t="s">
        <v>7</v>
      </c>
      <c r="D13167" t="s">
        <v>14</v>
      </c>
      <c r="E13167" t="s">
        <v>17864</v>
      </c>
    </row>
    <row r="13168" spans="1:6" x14ac:dyDescent="0.25">
      <c r="A13168" t="str">
        <f>"6321160261"</f>
        <v>6321160261</v>
      </c>
      <c r="B13168" t="s">
        <v>18289</v>
      </c>
      <c r="C13168" t="s">
        <v>7</v>
      </c>
      <c r="D13168" t="s">
        <v>12</v>
      </c>
      <c r="E13168" t="s">
        <v>17864</v>
      </c>
      <c r="F13168" t="s">
        <v>18290</v>
      </c>
    </row>
    <row r="13169" spans="1:6" x14ac:dyDescent="0.25">
      <c r="A13169" t="str">
        <f>"632121700158"</f>
        <v>632121700158</v>
      </c>
      <c r="B13169" t="s">
        <v>18291</v>
      </c>
      <c r="C13169" t="s">
        <v>7</v>
      </c>
      <c r="D13169" t="s">
        <v>14</v>
      </c>
      <c r="E13169" t="s">
        <v>17864</v>
      </c>
    </row>
    <row r="13170" spans="1:6" x14ac:dyDescent="0.25">
      <c r="A13170" t="str">
        <f>"632127687680"</f>
        <v>632127687680</v>
      </c>
      <c r="B13170" t="s">
        <v>18292</v>
      </c>
      <c r="C13170" t="s">
        <v>7</v>
      </c>
      <c r="D13170" t="s">
        <v>12</v>
      </c>
      <c r="E13170" t="s">
        <v>17864</v>
      </c>
    </row>
    <row r="13171" spans="1:6" x14ac:dyDescent="0.25">
      <c r="A13171" t="str">
        <f>"632130063392"</f>
        <v>632130063392</v>
      </c>
      <c r="B13171" t="s">
        <v>18293</v>
      </c>
      <c r="C13171" t="s">
        <v>7</v>
      </c>
      <c r="D13171" t="s">
        <v>14</v>
      </c>
      <c r="E13171" t="s">
        <v>17864</v>
      </c>
    </row>
    <row r="13172" spans="1:6" x14ac:dyDescent="0.25">
      <c r="A13172" t="str">
        <f>"6321308038"</f>
        <v>6321308038</v>
      </c>
      <c r="B13172" t="s">
        <v>18294</v>
      </c>
      <c r="C13172" t="s">
        <v>7</v>
      </c>
      <c r="D13172" t="s">
        <v>12</v>
      </c>
      <c r="E13172" t="s">
        <v>17864</v>
      </c>
      <c r="F13172" t="s">
        <v>18295</v>
      </c>
    </row>
    <row r="13173" spans="1:6" x14ac:dyDescent="0.25">
      <c r="A13173" t="str">
        <f>"632130868887"</f>
        <v>632130868887</v>
      </c>
      <c r="B13173" t="s">
        <v>18296</v>
      </c>
      <c r="C13173" t="s">
        <v>7</v>
      </c>
      <c r="D13173" t="s">
        <v>14</v>
      </c>
      <c r="E13173" t="s">
        <v>17864</v>
      </c>
    </row>
    <row r="13174" spans="1:6" x14ac:dyDescent="0.25">
      <c r="A13174" t="str">
        <f>"632138347029"</f>
        <v>632138347029</v>
      </c>
      <c r="B13174" t="s">
        <v>18297</v>
      </c>
      <c r="C13174" t="s">
        <v>7</v>
      </c>
      <c r="D13174" t="s">
        <v>14</v>
      </c>
      <c r="E13174" t="s">
        <v>17864</v>
      </c>
    </row>
    <row r="13175" spans="1:6" x14ac:dyDescent="0.25">
      <c r="A13175" t="str">
        <f>"6321389157"</f>
        <v>6321389157</v>
      </c>
      <c r="B13175" t="s">
        <v>10227</v>
      </c>
      <c r="C13175" t="s">
        <v>7</v>
      </c>
      <c r="D13175" t="s">
        <v>8</v>
      </c>
      <c r="E13175" t="s">
        <v>17864</v>
      </c>
      <c r="F13175" t="s">
        <v>18298</v>
      </c>
    </row>
    <row r="13176" spans="1:6" x14ac:dyDescent="0.25">
      <c r="A13176" t="str">
        <f>"6321421308"</f>
        <v>6321421308</v>
      </c>
      <c r="B13176" t="s">
        <v>18299</v>
      </c>
      <c r="C13176" t="s">
        <v>7</v>
      </c>
      <c r="D13176" t="s">
        <v>12</v>
      </c>
      <c r="E13176" t="s">
        <v>17864</v>
      </c>
      <c r="F13176" t="s">
        <v>18300</v>
      </c>
    </row>
    <row r="13177" spans="1:6" x14ac:dyDescent="0.25">
      <c r="A13177" t="str">
        <f>"6321451574"</f>
        <v>6321451574</v>
      </c>
      <c r="B13177" t="s">
        <v>265</v>
      </c>
      <c r="C13177" t="s">
        <v>7</v>
      </c>
      <c r="D13177" t="s">
        <v>33</v>
      </c>
      <c r="E13177" t="s">
        <v>17864</v>
      </c>
      <c r="F13177" t="s">
        <v>18301</v>
      </c>
    </row>
    <row r="13178" spans="1:6" x14ac:dyDescent="0.25">
      <c r="A13178" t="str">
        <f>"6321458315"</f>
        <v>6321458315</v>
      </c>
      <c r="B13178" t="s">
        <v>18302</v>
      </c>
      <c r="C13178" t="s">
        <v>7</v>
      </c>
      <c r="D13178" t="s">
        <v>12</v>
      </c>
      <c r="E13178" t="s">
        <v>17864</v>
      </c>
      <c r="F13178" t="s">
        <v>18303</v>
      </c>
    </row>
    <row r="13179" spans="1:6" x14ac:dyDescent="0.25">
      <c r="A13179" t="str">
        <f>"632146099250"</f>
        <v>632146099250</v>
      </c>
      <c r="B13179" t="s">
        <v>18304</v>
      </c>
      <c r="C13179" t="s">
        <v>7</v>
      </c>
      <c r="D13179" t="s">
        <v>14</v>
      </c>
      <c r="E13179" t="s">
        <v>17864</v>
      </c>
    </row>
    <row r="13180" spans="1:6" x14ac:dyDescent="0.25">
      <c r="A13180" t="str">
        <f>"632202923459"</f>
        <v>632202923459</v>
      </c>
      <c r="B13180" t="s">
        <v>18305</v>
      </c>
      <c r="C13180" t="s">
        <v>7</v>
      </c>
      <c r="D13180" t="s">
        <v>12</v>
      </c>
      <c r="E13180" t="s">
        <v>17864</v>
      </c>
    </row>
    <row r="13181" spans="1:6" x14ac:dyDescent="0.25">
      <c r="A13181" t="str">
        <f>"6322033026"</f>
        <v>6322033026</v>
      </c>
      <c r="B13181" t="s">
        <v>10092</v>
      </c>
      <c r="C13181" t="s">
        <v>7</v>
      </c>
      <c r="D13181" t="s">
        <v>33</v>
      </c>
      <c r="E13181" t="s">
        <v>17864</v>
      </c>
      <c r="F13181" t="s">
        <v>18306</v>
      </c>
    </row>
    <row r="13182" spans="1:6" x14ac:dyDescent="0.25">
      <c r="A13182" t="str">
        <f>"632209343457"</f>
        <v>632209343457</v>
      </c>
      <c r="B13182" t="s">
        <v>18307</v>
      </c>
      <c r="C13182" t="s">
        <v>7</v>
      </c>
      <c r="D13182" t="s">
        <v>14</v>
      </c>
      <c r="E13182" t="s">
        <v>17864</v>
      </c>
    </row>
    <row r="13183" spans="1:6" x14ac:dyDescent="0.25">
      <c r="A13183" t="str">
        <f>"632301213636"</f>
        <v>632301213636</v>
      </c>
      <c r="B13183" t="s">
        <v>18308</v>
      </c>
      <c r="C13183" t="s">
        <v>7</v>
      </c>
      <c r="D13183" t="s">
        <v>14</v>
      </c>
      <c r="E13183" t="s">
        <v>17864</v>
      </c>
    </row>
    <row r="13184" spans="1:6" x14ac:dyDescent="0.25">
      <c r="A13184" t="str">
        <f>"6323061298"</f>
        <v>6323061298</v>
      </c>
      <c r="B13184" t="s">
        <v>18309</v>
      </c>
      <c r="C13184" t="s">
        <v>7</v>
      </c>
      <c r="D13184" t="s">
        <v>14</v>
      </c>
      <c r="E13184" t="s">
        <v>17864</v>
      </c>
      <c r="F13184" t="s">
        <v>18310</v>
      </c>
    </row>
    <row r="13185" spans="1:6" x14ac:dyDescent="0.25">
      <c r="A13185" t="str">
        <f>"632311868215"</f>
        <v>632311868215</v>
      </c>
      <c r="B13185" t="s">
        <v>18311</v>
      </c>
      <c r="C13185" t="s">
        <v>7</v>
      </c>
      <c r="D13185" t="s">
        <v>14</v>
      </c>
      <c r="E13185" t="s">
        <v>17864</v>
      </c>
    </row>
    <row r="13186" spans="1:6" x14ac:dyDescent="0.25">
      <c r="A13186" t="str">
        <f>"632402589459"</f>
        <v>632402589459</v>
      </c>
      <c r="B13186" t="s">
        <v>18312</v>
      </c>
      <c r="C13186" t="s">
        <v>7</v>
      </c>
      <c r="D13186" t="s">
        <v>12</v>
      </c>
      <c r="E13186" t="s">
        <v>17864</v>
      </c>
    </row>
    <row r="13187" spans="1:6" x14ac:dyDescent="0.25">
      <c r="A13187" t="str">
        <f>"632403139565"</f>
        <v>632403139565</v>
      </c>
      <c r="B13187" t="s">
        <v>18313</v>
      </c>
      <c r="C13187" t="s">
        <v>7</v>
      </c>
      <c r="D13187" t="s">
        <v>33</v>
      </c>
      <c r="E13187" t="s">
        <v>17864</v>
      </c>
    </row>
    <row r="13188" spans="1:6" x14ac:dyDescent="0.25">
      <c r="A13188" t="str">
        <f>"6324066475"</f>
        <v>6324066475</v>
      </c>
      <c r="B13188" t="s">
        <v>18314</v>
      </c>
      <c r="C13188" t="s">
        <v>7</v>
      </c>
      <c r="D13188" t="s">
        <v>12</v>
      </c>
      <c r="E13188" t="s">
        <v>17864</v>
      </c>
      <c r="F13188" t="s">
        <v>18315</v>
      </c>
    </row>
    <row r="13189" spans="1:6" x14ac:dyDescent="0.25">
      <c r="A13189" t="str">
        <f>"6324090051"</f>
        <v>6324090051</v>
      </c>
      <c r="B13189" t="s">
        <v>18316</v>
      </c>
      <c r="C13189" t="s">
        <v>7</v>
      </c>
      <c r="D13189" t="s">
        <v>12</v>
      </c>
      <c r="E13189" t="s">
        <v>17864</v>
      </c>
      <c r="F13189" t="s">
        <v>18317</v>
      </c>
    </row>
    <row r="13190" spans="1:6" x14ac:dyDescent="0.25">
      <c r="A13190" t="str">
        <f>"6324090742"</f>
        <v>6324090742</v>
      </c>
      <c r="B13190" t="s">
        <v>18318</v>
      </c>
      <c r="C13190" t="s">
        <v>7</v>
      </c>
      <c r="D13190" t="s">
        <v>14</v>
      </c>
      <c r="E13190" t="s">
        <v>17864</v>
      </c>
      <c r="F13190" t="s">
        <v>18319</v>
      </c>
    </row>
    <row r="13191" spans="1:6" x14ac:dyDescent="0.25">
      <c r="A13191" t="str">
        <f>"6324097875"</f>
        <v>6324097875</v>
      </c>
      <c r="B13191" t="s">
        <v>18320</v>
      </c>
      <c r="C13191" t="s">
        <v>7</v>
      </c>
      <c r="D13191" t="s">
        <v>33</v>
      </c>
      <c r="E13191" t="s">
        <v>17864</v>
      </c>
      <c r="F13191" t="s">
        <v>18321</v>
      </c>
    </row>
    <row r="13192" spans="1:6" x14ac:dyDescent="0.25">
      <c r="A13192" t="str">
        <f>"632413480608"</f>
        <v>632413480608</v>
      </c>
      <c r="B13192" t="s">
        <v>18322</v>
      </c>
      <c r="C13192" t="s">
        <v>7</v>
      </c>
      <c r="D13192" t="s">
        <v>14</v>
      </c>
      <c r="E13192" t="s">
        <v>17864</v>
      </c>
    </row>
    <row r="13193" spans="1:6" x14ac:dyDescent="0.25">
      <c r="A13193" t="str">
        <f>"6325005771"</f>
        <v>6325005771</v>
      </c>
      <c r="B13193" t="s">
        <v>18323</v>
      </c>
      <c r="C13193" t="s">
        <v>7</v>
      </c>
      <c r="D13193" t="s">
        <v>14</v>
      </c>
      <c r="E13193" t="s">
        <v>17864</v>
      </c>
      <c r="F13193" t="s">
        <v>18324</v>
      </c>
    </row>
    <row r="13194" spans="1:6" x14ac:dyDescent="0.25">
      <c r="A13194" t="str">
        <f>"632504930702"</f>
        <v>632504930702</v>
      </c>
      <c r="B13194" t="s">
        <v>18325</v>
      </c>
      <c r="C13194" t="s">
        <v>7</v>
      </c>
      <c r="D13194" t="s">
        <v>14</v>
      </c>
      <c r="E13194" t="s">
        <v>17864</v>
      </c>
    </row>
    <row r="13195" spans="1:6" x14ac:dyDescent="0.25">
      <c r="A13195" t="str">
        <f>"6325064343"</f>
        <v>6325064343</v>
      </c>
      <c r="B13195" t="s">
        <v>18326</v>
      </c>
      <c r="C13195" t="s">
        <v>7</v>
      </c>
      <c r="D13195" t="s">
        <v>12</v>
      </c>
      <c r="E13195" t="s">
        <v>17864</v>
      </c>
      <c r="F13195" t="s">
        <v>18204</v>
      </c>
    </row>
    <row r="13196" spans="1:6" x14ac:dyDescent="0.25">
      <c r="A13196" t="str">
        <f>"632523347038"</f>
        <v>632523347038</v>
      </c>
      <c r="B13196" t="s">
        <v>18327</v>
      </c>
      <c r="C13196" t="s">
        <v>7</v>
      </c>
      <c r="D13196" t="s">
        <v>12</v>
      </c>
      <c r="E13196" t="s">
        <v>17864</v>
      </c>
    </row>
    <row r="13197" spans="1:6" x14ac:dyDescent="0.25">
      <c r="A13197" t="str">
        <f>"632525210127"</f>
        <v>632525210127</v>
      </c>
      <c r="B13197" t="s">
        <v>18328</v>
      </c>
      <c r="C13197" t="s">
        <v>7</v>
      </c>
      <c r="D13197" t="s">
        <v>12</v>
      </c>
      <c r="E13197" t="s">
        <v>17864</v>
      </c>
    </row>
    <row r="13198" spans="1:6" x14ac:dyDescent="0.25">
      <c r="A13198" t="str">
        <f>"633001227407"</f>
        <v>633001227407</v>
      </c>
      <c r="B13198" t="s">
        <v>18329</v>
      </c>
      <c r="C13198" t="s">
        <v>7</v>
      </c>
      <c r="D13198" t="s">
        <v>14</v>
      </c>
      <c r="E13198" t="s">
        <v>17864</v>
      </c>
    </row>
    <row r="13199" spans="1:6" x14ac:dyDescent="0.25">
      <c r="A13199" t="str">
        <f>"6330012823"</f>
        <v>6330012823</v>
      </c>
      <c r="B13199" t="s">
        <v>18330</v>
      </c>
      <c r="C13199" t="s">
        <v>7</v>
      </c>
      <c r="D13199" t="s">
        <v>463</v>
      </c>
      <c r="E13199" t="s">
        <v>17864</v>
      </c>
      <c r="F13199" t="s">
        <v>18331</v>
      </c>
    </row>
    <row r="13200" spans="1:6" x14ac:dyDescent="0.25">
      <c r="A13200" t="str">
        <f>"6330015782"</f>
        <v>6330015782</v>
      </c>
      <c r="B13200" t="s">
        <v>18332</v>
      </c>
      <c r="C13200" t="s">
        <v>7</v>
      </c>
      <c r="D13200" t="s">
        <v>12</v>
      </c>
      <c r="E13200" t="s">
        <v>17864</v>
      </c>
      <c r="F13200" t="s">
        <v>18333</v>
      </c>
    </row>
    <row r="13201" spans="1:6" x14ac:dyDescent="0.25">
      <c r="A13201" t="str">
        <f>"633002263623"</f>
        <v>633002263623</v>
      </c>
      <c r="B13201" t="s">
        <v>18334</v>
      </c>
      <c r="C13201" t="s">
        <v>7</v>
      </c>
      <c r="D13201" t="s">
        <v>12</v>
      </c>
      <c r="E13201" t="s">
        <v>17864</v>
      </c>
    </row>
    <row r="13202" spans="1:6" x14ac:dyDescent="0.25">
      <c r="A13202" t="str">
        <f>"6330084659"</f>
        <v>6330084659</v>
      </c>
      <c r="B13202" t="s">
        <v>18335</v>
      </c>
      <c r="C13202" t="s">
        <v>7</v>
      </c>
      <c r="D13202" t="s">
        <v>33</v>
      </c>
      <c r="E13202" t="s">
        <v>17864</v>
      </c>
      <c r="F13202" t="s">
        <v>18336</v>
      </c>
    </row>
    <row r="13203" spans="1:6" x14ac:dyDescent="0.25">
      <c r="A13203" t="str">
        <f>"6330087032"</f>
        <v>6330087032</v>
      </c>
      <c r="B13203" t="s">
        <v>18337</v>
      </c>
      <c r="C13203" t="s">
        <v>7</v>
      </c>
      <c r="D13203" t="s">
        <v>14</v>
      </c>
      <c r="E13203" t="s">
        <v>17864</v>
      </c>
      <c r="F13203" t="s">
        <v>18338</v>
      </c>
    </row>
    <row r="13204" spans="1:6" x14ac:dyDescent="0.25">
      <c r="A13204" t="str">
        <f>"6330088780"</f>
        <v>6330088780</v>
      </c>
      <c r="B13204" t="s">
        <v>18339</v>
      </c>
      <c r="C13204" t="s">
        <v>7</v>
      </c>
      <c r="D13204" t="s">
        <v>98</v>
      </c>
      <c r="E13204" t="s">
        <v>17864</v>
      </c>
      <c r="F13204" t="s">
        <v>18340</v>
      </c>
    </row>
    <row r="13205" spans="1:6" x14ac:dyDescent="0.25">
      <c r="A13205" t="str">
        <f>"6330103598"</f>
        <v>6330103598</v>
      </c>
      <c r="B13205" t="s">
        <v>7620</v>
      </c>
      <c r="C13205" t="s">
        <v>7</v>
      </c>
      <c r="D13205" t="s">
        <v>33</v>
      </c>
      <c r="E13205" t="s">
        <v>17864</v>
      </c>
      <c r="F13205" t="s">
        <v>18341</v>
      </c>
    </row>
    <row r="13206" spans="1:6" x14ac:dyDescent="0.25">
      <c r="A13206" t="str">
        <f>"633035287316"</f>
        <v>633035287316</v>
      </c>
      <c r="B13206" t="s">
        <v>18342</v>
      </c>
      <c r="C13206" t="s">
        <v>7</v>
      </c>
      <c r="D13206" t="s">
        <v>14</v>
      </c>
      <c r="E13206" t="s">
        <v>17864</v>
      </c>
    </row>
    <row r="13207" spans="1:6" x14ac:dyDescent="0.25">
      <c r="A13207" t="str">
        <f>"633038223889"</f>
        <v>633038223889</v>
      </c>
      <c r="B13207" t="s">
        <v>18343</v>
      </c>
      <c r="C13207" t="s">
        <v>7</v>
      </c>
      <c r="D13207" t="s">
        <v>12</v>
      </c>
      <c r="E13207" t="s">
        <v>17864</v>
      </c>
    </row>
    <row r="13208" spans="1:6" x14ac:dyDescent="0.25">
      <c r="A13208" t="str">
        <f>"633041077758"</f>
        <v>633041077758</v>
      </c>
      <c r="B13208" t="s">
        <v>18344</v>
      </c>
      <c r="C13208" t="s">
        <v>7</v>
      </c>
      <c r="D13208" t="s">
        <v>14</v>
      </c>
      <c r="E13208" t="s">
        <v>17864</v>
      </c>
    </row>
    <row r="13209" spans="1:6" x14ac:dyDescent="0.25">
      <c r="A13209" t="str">
        <f>"633500189605"</f>
        <v>633500189605</v>
      </c>
      <c r="B13209" t="s">
        <v>18345</v>
      </c>
      <c r="C13209" t="s">
        <v>7</v>
      </c>
      <c r="D13209" t="s">
        <v>14</v>
      </c>
      <c r="E13209" t="s">
        <v>17864</v>
      </c>
    </row>
    <row r="13210" spans="1:6" x14ac:dyDescent="0.25">
      <c r="A13210" t="str">
        <f>"6340006184"</f>
        <v>6340006184</v>
      </c>
      <c r="B13210" t="s">
        <v>18346</v>
      </c>
      <c r="C13210" t="s">
        <v>7</v>
      </c>
      <c r="D13210" t="s">
        <v>14</v>
      </c>
      <c r="E13210" t="s">
        <v>17864</v>
      </c>
      <c r="F13210" t="s">
        <v>18347</v>
      </c>
    </row>
    <row r="13211" spans="1:6" x14ac:dyDescent="0.25">
      <c r="A13211" t="str">
        <f>"634000951778"</f>
        <v>634000951778</v>
      </c>
      <c r="B13211" t="s">
        <v>18348</v>
      </c>
      <c r="C13211" t="s">
        <v>7</v>
      </c>
      <c r="D13211" t="s">
        <v>12</v>
      </c>
      <c r="E13211" t="s">
        <v>17864</v>
      </c>
    </row>
    <row r="13212" spans="1:6" x14ac:dyDescent="0.25">
      <c r="A13212" t="str">
        <f>"634501995279"</f>
        <v>634501995279</v>
      </c>
      <c r="B13212" t="s">
        <v>18349</v>
      </c>
      <c r="C13212" t="s">
        <v>7</v>
      </c>
      <c r="D13212" t="s">
        <v>14</v>
      </c>
      <c r="E13212" t="s">
        <v>17864</v>
      </c>
    </row>
    <row r="13213" spans="1:6" x14ac:dyDescent="0.25">
      <c r="A13213" t="str">
        <f>"634502005407"</f>
        <v>634502005407</v>
      </c>
      <c r="B13213" t="s">
        <v>18350</v>
      </c>
      <c r="C13213" t="s">
        <v>7</v>
      </c>
      <c r="D13213" t="s">
        <v>14</v>
      </c>
      <c r="E13213" t="s">
        <v>17864</v>
      </c>
    </row>
    <row r="13214" spans="1:6" x14ac:dyDescent="0.25">
      <c r="A13214" t="str">
        <f>"6345031770"</f>
        <v>6345031770</v>
      </c>
      <c r="B13214" t="s">
        <v>18351</v>
      </c>
      <c r="C13214" t="s">
        <v>7</v>
      </c>
      <c r="D13214" t="s">
        <v>14</v>
      </c>
      <c r="E13214" t="s">
        <v>17864</v>
      </c>
      <c r="F13214" t="s">
        <v>18352</v>
      </c>
    </row>
    <row r="13215" spans="1:6" x14ac:dyDescent="0.25">
      <c r="A13215" t="str">
        <f>"6318026273"</f>
        <v>6318026273</v>
      </c>
      <c r="B13215" t="s">
        <v>18353</v>
      </c>
      <c r="C13215" t="s">
        <v>7</v>
      </c>
      <c r="D13215" t="s">
        <v>33</v>
      </c>
      <c r="E13215" t="s">
        <v>17864</v>
      </c>
      <c r="F13215" t="s">
        <v>18354</v>
      </c>
    </row>
    <row r="13216" spans="1:6" x14ac:dyDescent="0.25">
      <c r="A13216" t="str">
        <f>"6318034690"</f>
        <v>6318034690</v>
      </c>
      <c r="B13216" t="s">
        <v>18355</v>
      </c>
      <c r="C13216" t="s">
        <v>7</v>
      </c>
      <c r="D13216" t="s">
        <v>33</v>
      </c>
      <c r="E13216" t="s">
        <v>17864</v>
      </c>
      <c r="F13216" t="s">
        <v>18356</v>
      </c>
    </row>
    <row r="13217" spans="1:6" x14ac:dyDescent="0.25">
      <c r="A13217" t="str">
        <f>"631805898200"</f>
        <v>631805898200</v>
      </c>
      <c r="B13217" t="s">
        <v>18357</v>
      </c>
      <c r="C13217" t="s">
        <v>7</v>
      </c>
      <c r="D13217" t="s">
        <v>14</v>
      </c>
      <c r="E13217" t="s">
        <v>17864</v>
      </c>
    </row>
    <row r="13218" spans="1:6" x14ac:dyDescent="0.25">
      <c r="A13218" t="str">
        <f>"6318060235"</f>
        <v>6318060235</v>
      </c>
      <c r="B13218" t="s">
        <v>18358</v>
      </c>
      <c r="C13218" t="s">
        <v>7</v>
      </c>
      <c r="D13218" t="s">
        <v>14</v>
      </c>
      <c r="E13218" t="s">
        <v>17864</v>
      </c>
      <c r="F13218" t="s">
        <v>18359</v>
      </c>
    </row>
    <row r="13219" spans="1:6" x14ac:dyDescent="0.25">
      <c r="A13219" t="str">
        <f>"6318060965"</f>
        <v>6318060965</v>
      </c>
      <c r="B13219" t="s">
        <v>15294</v>
      </c>
      <c r="C13219" t="s">
        <v>7</v>
      </c>
      <c r="D13219" t="s">
        <v>12</v>
      </c>
      <c r="E13219" t="s">
        <v>17864</v>
      </c>
      <c r="F13219" t="s">
        <v>18114</v>
      </c>
    </row>
    <row r="13220" spans="1:6" x14ac:dyDescent="0.25">
      <c r="A13220" t="str">
        <f>"6318061327"</f>
        <v>6318061327</v>
      </c>
      <c r="B13220" t="s">
        <v>18360</v>
      </c>
      <c r="C13220" t="s">
        <v>7</v>
      </c>
      <c r="D13220" t="s">
        <v>12</v>
      </c>
      <c r="E13220" t="s">
        <v>17864</v>
      </c>
      <c r="F13220" t="s">
        <v>18114</v>
      </c>
    </row>
    <row r="13221" spans="1:6" x14ac:dyDescent="0.25">
      <c r="A13221" t="str">
        <f>"6318069622"</f>
        <v>6318069622</v>
      </c>
      <c r="B13221" t="s">
        <v>18361</v>
      </c>
      <c r="C13221" t="s">
        <v>7</v>
      </c>
      <c r="D13221" t="s">
        <v>12</v>
      </c>
      <c r="E13221" t="s">
        <v>17864</v>
      </c>
      <c r="F13221" t="s">
        <v>18362</v>
      </c>
    </row>
    <row r="13222" spans="1:6" x14ac:dyDescent="0.25">
      <c r="A13222" t="str">
        <f>"6318076235"</f>
        <v>6318076235</v>
      </c>
      <c r="B13222" t="s">
        <v>18363</v>
      </c>
      <c r="C13222" t="s">
        <v>7</v>
      </c>
      <c r="D13222" t="s">
        <v>14</v>
      </c>
      <c r="E13222" t="s">
        <v>17864</v>
      </c>
      <c r="F13222" t="s">
        <v>18364</v>
      </c>
    </row>
    <row r="13223" spans="1:6" x14ac:dyDescent="0.25">
      <c r="A13223" t="str">
        <f>"6318121784"</f>
        <v>6318121784</v>
      </c>
      <c r="B13223" t="s">
        <v>9508</v>
      </c>
      <c r="C13223" t="s">
        <v>7</v>
      </c>
      <c r="D13223" t="s">
        <v>12</v>
      </c>
      <c r="E13223" t="s">
        <v>17864</v>
      </c>
      <c r="F13223" t="s">
        <v>18365</v>
      </c>
    </row>
    <row r="13224" spans="1:6" x14ac:dyDescent="0.25">
      <c r="A13224" t="str">
        <f>"6319070042"</f>
        <v>6319070042</v>
      </c>
      <c r="B13224" t="s">
        <v>18366</v>
      </c>
      <c r="C13224" t="s">
        <v>7</v>
      </c>
      <c r="D13224" t="s">
        <v>12</v>
      </c>
      <c r="E13224" t="s">
        <v>17864</v>
      </c>
      <c r="F13224" t="s">
        <v>18367</v>
      </c>
    </row>
    <row r="13225" spans="1:6" x14ac:dyDescent="0.25">
      <c r="A13225" t="str">
        <f>"6319077190"</f>
        <v>6319077190</v>
      </c>
      <c r="B13225" t="s">
        <v>18368</v>
      </c>
      <c r="C13225" t="s">
        <v>7</v>
      </c>
      <c r="D13225" t="s">
        <v>14</v>
      </c>
      <c r="E13225" t="s">
        <v>17864</v>
      </c>
      <c r="F13225" t="s">
        <v>18369</v>
      </c>
    </row>
    <row r="13226" spans="1:6" x14ac:dyDescent="0.25">
      <c r="A13226" t="str">
        <f>"6319080241"</f>
        <v>6319080241</v>
      </c>
      <c r="B13226" t="s">
        <v>18370</v>
      </c>
      <c r="C13226" t="s">
        <v>7</v>
      </c>
      <c r="D13226" t="s">
        <v>12</v>
      </c>
      <c r="E13226" t="s">
        <v>17864</v>
      </c>
      <c r="F13226" t="s">
        <v>18371</v>
      </c>
    </row>
    <row r="13227" spans="1:6" x14ac:dyDescent="0.25">
      <c r="A13227" t="str">
        <f>"6319113730"</f>
        <v>6319113730</v>
      </c>
      <c r="B13227" t="s">
        <v>18372</v>
      </c>
      <c r="C13227" t="s">
        <v>7</v>
      </c>
      <c r="D13227" t="s">
        <v>12</v>
      </c>
      <c r="E13227" t="s">
        <v>17864</v>
      </c>
      <c r="F13227" t="s">
        <v>18373</v>
      </c>
    </row>
    <row r="13228" spans="1:6" x14ac:dyDescent="0.25">
      <c r="A13228" t="str">
        <f>"6319137498"</f>
        <v>6319137498</v>
      </c>
      <c r="B13228" t="s">
        <v>18374</v>
      </c>
      <c r="C13228" t="s">
        <v>7</v>
      </c>
      <c r="D13228" t="s">
        <v>33</v>
      </c>
      <c r="E13228" t="s">
        <v>17864</v>
      </c>
      <c r="F13228" t="s">
        <v>18375</v>
      </c>
    </row>
    <row r="13229" spans="1:6" x14ac:dyDescent="0.25">
      <c r="A13229" t="str">
        <f>"631919074006"</f>
        <v>631919074006</v>
      </c>
      <c r="B13229" t="s">
        <v>18376</v>
      </c>
      <c r="C13229" t="s">
        <v>7</v>
      </c>
      <c r="D13229" t="s">
        <v>12</v>
      </c>
      <c r="E13229" t="s">
        <v>17864</v>
      </c>
    </row>
    <row r="13230" spans="1:6" x14ac:dyDescent="0.25">
      <c r="A13230" t="str">
        <f>"631920267267"</f>
        <v>631920267267</v>
      </c>
      <c r="B13230" t="s">
        <v>18377</v>
      </c>
      <c r="C13230" t="s">
        <v>7</v>
      </c>
      <c r="D13230" t="s">
        <v>14</v>
      </c>
      <c r="E13230" t="s">
        <v>17864</v>
      </c>
    </row>
    <row r="13231" spans="1:6" x14ac:dyDescent="0.25">
      <c r="A13231" t="str">
        <f>"6319261551"</f>
        <v>6319261551</v>
      </c>
      <c r="B13231" t="s">
        <v>18378</v>
      </c>
      <c r="C13231" t="s">
        <v>7</v>
      </c>
      <c r="D13231" t="s">
        <v>14</v>
      </c>
      <c r="E13231" t="s">
        <v>17864</v>
      </c>
      <c r="F13231" t="s">
        <v>18379</v>
      </c>
    </row>
    <row r="13232" spans="1:6" x14ac:dyDescent="0.25">
      <c r="A13232" t="str">
        <f>"6320013634"</f>
        <v>6320013634</v>
      </c>
      <c r="B13232" t="s">
        <v>18380</v>
      </c>
      <c r="C13232" t="s">
        <v>7</v>
      </c>
      <c r="D13232" t="s">
        <v>14</v>
      </c>
      <c r="E13232" t="s">
        <v>17864</v>
      </c>
      <c r="F13232" t="s">
        <v>18154</v>
      </c>
    </row>
    <row r="13233" spans="1:6" x14ac:dyDescent="0.25">
      <c r="A13233" t="str">
        <f>"6320014941"</f>
        <v>6320014941</v>
      </c>
      <c r="B13233" t="s">
        <v>18381</v>
      </c>
      <c r="C13233" t="s">
        <v>7</v>
      </c>
      <c r="D13233" t="s">
        <v>189</v>
      </c>
      <c r="E13233" t="s">
        <v>17864</v>
      </c>
      <c r="F13233" t="s">
        <v>18382</v>
      </c>
    </row>
    <row r="13234" spans="1:6" x14ac:dyDescent="0.25">
      <c r="A13234" t="str">
        <f>"6320035268"</f>
        <v>6320035268</v>
      </c>
      <c r="B13234" t="s">
        <v>18383</v>
      </c>
      <c r="C13234" t="s">
        <v>7</v>
      </c>
      <c r="D13234" t="s">
        <v>33</v>
      </c>
      <c r="E13234" t="s">
        <v>17864</v>
      </c>
      <c r="F13234" t="s">
        <v>18384</v>
      </c>
    </row>
    <row r="13235" spans="1:6" x14ac:dyDescent="0.25">
      <c r="A13235" t="str">
        <f>"6320045040"</f>
        <v>6320045040</v>
      </c>
      <c r="B13235" t="s">
        <v>18385</v>
      </c>
      <c r="C13235" t="s">
        <v>7</v>
      </c>
      <c r="D13235" t="s">
        <v>33</v>
      </c>
      <c r="E13235" t="s">
        <v>17864</v>
      </c>
      <c r="F13235" t="s">
        <v>18386</v>
      </c>
    </row>
    <row r="13236" spans="1:6" x14ac:dyDescent="0.25">
      <c r="A13236" t="str">
        <f>"6320067340"</f>
        <v>6320067340</v>
      </c>
      <c r="B13236" t="s">
        <v>18387</v>
      </c>
      <c r="C13236" t="s">
        <v>7</v>
      </c>
      <c r="D13236" t="s">
        <v>14</v>
      </c>
      <c r="E13236" t="s">
        <v>17864</v>
      </c>
      <c r="F13236" t="s">
        <v>18388</v>
      </c>
    </row>
    <row r="13237" spans="1:6" x14ac:dyDescent="0.25">
      <c r="A13237" t="str">
        <f>"6320077853"</f>
        <v>6320077853</v>
      </c>
      <c r="B13237" t="s">
        <v>18389</v>
      </c>
      <c r="C13237" t="s">
        <v>7</v>
      </c>
      <c r="D13237" t="s">
        <v>189</v>
      </c>
      <c r="E13237" t="s">
        <v>17864</v>
      </c>
      <c r="F13237" t="s">
        <v>18390</v>
      </c>
    </row>
    <row r="13238" spans="1:6" x14ac:dyDescent="0.25">
      <c r="A13238" t="str">
        <f>"632100238655"</f>
        <v>632100238655</v>
      </c>
      <c r="B13238" t="s">
        <v>18391</v>
      </c>
      <c r="C13238" t="s">
        <v>7</v>
      </c>
      <c r="D13238" t="s">
        <v>189</v>
      </c>
      <c r="E13238" t="s">
        <v>17864</v>
      </c>
    </row>
    <row r="13239" spans="1:6" x14ac:dyDescent="0.25">
      <c r="A13239" t="str">
        <f>"6321067760"</f>
        <v>6321067760</v>
      </c>
      <c r="B13239" t="s">
        <v>18392</v>
      </c>
      <c r="C13239" t="s">
        <v>7</v>
      </c>
      <c r="D13239" t="s">
        <v>12</v>
      </c>
      <c r="E13239" t="s">
        <v>17864</v>
      </c>
      <c r="F13239" t="s">
        <v>18393</v>
      </c>
    </row>
    <row r="13240" spans="1:6" x14ac:dyDescent="0.25">
      <c r="A13240" t="str">
        <f>"6321082662"</f>
        <v>6321082662</v>
      </c>
      <c r="B13240" t="s">
        <v>18394</v>
      </c>
      <c r="C13240" t="s">
        <v>7</v>
      </c>
      <c r="D13240" t="s">
        <v>14</v>
      </c>
      <c r="E13240" t="s">
        <v>17864</v>
      </c>
      <c r="F13240" t="s">
        <v>18395</v>
      </c>
    </row>
    <row r="13241" spans="1:6" x14ac:dyDescent="0.25">
      <c r="A13241" t="str">
        <f>"6321085751"</f>
        <v>6321085751</v>
      </c>
      <c r="B13241" t="s">
        <v>18396</v>
      </c>
      <c r="C13241" t="s">
        <v>7</v>
      </c>
      <c r="D13241" t="s">
        <v>14</v>
      </c>
      <c r="E13241" t="s">
        <v>17864</v>
      </c>
      <c r="F13241" t="s">
        <v>18397</v>
      </c>
    </row>
    <row r="13242" spans="1:6" x14ac:dyDescent="0.25">
      <c r="A13242" t="str">
        <f>"632117461122"</f>
        <v>632117461122</v>
      </c>
      <c r="B13242" t="s">
        <v>18398</v>
      </c>
      <c r="C13242" t="s">
        <v>7</v>
      </c>
      <c r="D13242" t="s">
        <v>12</v>
      </c>
      <c r="E13242" t="s">
        <v>17864</v>
      </c>
    </row>
    <row r="13243" spans="1:6" x14ac:dyDescent="0.25">
      <c r="A13243" t="str">
        <f>"6321197342"</f>
        <v>6321197342</v>
      </c>
      <c r="B13243" t="s">
        <v>18399</v>
      </c>
      <c r="C13243" t="s">
        <v>7</v>
      </c>
      <c r="D13243" t="s">
        <v>12</v>
      </c>
      <c r="E13243" t="s">
        <v>17864</v>
      </c>
      <c r="F13243" t="s">
        <v>18400</v>
      </c>
    </row>
    <row r="13244" spans="1:6" x14ac:dyDescent="0.25">
      <c r="A13244" t="str">
        <f>"632124566704"</f>
        <v>632124566704</v>
      </c>
      <c r="B13244" t="s">
        <v>18401</v>
      </c>
      <c r="C13244" t="s">
        <v>7</v>
      </c>
      <c r="D13244" t="s">
        <v>12</v>
      </c>
      <c r="E13244" t="s">
        <v>17864</v>
      </c>
    </row>
    <row r="13245" spans="1:6" x14ac:dyDescent="0.25">
      <c r="A13245" t="str">
        <f>"6321249368"</f>
        <v>6321249368</v>
      </c>
      <c r="B13245" t="s">
        <v>18402</v>
      </c>
      <c r="C13245" t="s">
        <v>7</v>
      </c>
      <c r="D13245" t="s">
        <v>14</v>
      </c>
      <c r="E13245" t="s">
        <v>17864</v>
      </c>
      <c r="F13245" t="s">
        <v>18403</v>
      </c>
    </row>
    <row r="13246" spans="1:6" x14ac:dyDescent="0.25">
      <c r="A13246" t="str">
        <f>"6321305527"</f>
        <v>6321305527</v>
      </c>
      <c r="B13246" t="s">
        <v>14806</v>
      </c>
      <c r="C13246" t="s">
        <v>7</v>
      </c>
      <c r="D13246" t="s">
        <v>12</v>
      </c>
      <c r="E13246" t="s">
        <v>17864</v>
      </c>
      <c r="F13246" t="s">
        <v>18404</v>
      </c>
    </row>
    <row r="13247" spans="1:6" x14ac:dyDescent="0.25">
      <c r="A13247" t="str">
        <f>"632135532827"</f>
        <v>632135532827</v>
      </c>
      <c r="B13247" t="s">
        <v>18405</v>
      </c>
      <c r="C13247" t="s">
        <v>7</v>
      </c>
      <c r="D13247" t="s">
        <v>14</v>
      </c>
      <c r="E13247" t="s">
        <v>17864</v>
      </c>
    </row>
    <row r="13248" spans="1:6" x14ac:dyDescent="0.25">
      <c r="A13248" t="str">
        <f>"6321358825"</f>
        <v>6321358825</v>
      </c>
      <c r="B13248" t="s">
        <v>18406</v>
      </c>
      <c r="C13248" t="s">
        <v>7</v>
      </c>
      <c r="D13248" t="s">
        <v>8</v>
      </c>
      <c r="E13248" t="s">
        <v>17864</v>
      </c>
      <c r="F13248" t="s">
        <v>18407</v>
      </c>
    </row>
    <row r="13249" spans="1:6" x14ac:dyDescent="0.25">
      <c r="A13249" t="str">
        <f>"632136189271"</f>
        <v>632136189271</v>
      </c>
      <c r="B13249" t="s">
        <v>18408</v>
      </c>
      <c r="C13249" t="s">
        <v>7</v>
      </c>
      <c r="D13249" t="s">
        <v>12</v>
      </c>
      <c r="E13249" t="s">
        <v>17864</v>
      </c>
    </row>
    <row r="13250" spans="1:6" x14ac:dyDescent="0.25">
      <c r="A13250" t="str">
        <f>"6321399934"</f>
        <v>6321399934</v>
      </c>
      <c r="B13250" t="s">
        <v>18409</v>
      </c>
      <c r="C13250" t="s">
        <v>7</v>
      </c>
      <c r="D13250" t="s">
        <v>33</v>
      </c>
      <c r="E13250" t="s">
        <v>17864</v>
      </c>
      <c r="F13250" t="s">
        <v>18410</v>
      </c>
    </row>
    <row r="13251" spans="1:6" x14ac:dyDescent="0.25">
      <c r="A13251" t="str">
        <f>"6321414251"</f>
        <v>6321414251</v>
      </c>
      <c r="B13251" t="s">
        <v>18411</v>
      </c>
      <c r="C13251" t="s">
        <v>7</v>
      </c>
      <c r="D13251" t="s">
        <v>674</v>
      </c>
      <c r="E13251" t="s">
        <v>17864</v>
      </c>
      <c r="F13251" t="s">
        <v>18412</v>
      </c>
    </row>
    <row r="13252" spans="1:6" x14ac:dyDescent="0.25">
      <c r="A13252" t="str">
        <f>"6321422703"</f>
        <v>6321422703</v>
      </c>
      <c r="B13252" t="s">
        <v>18413</v>
      </c>
      <c r="C13252" t="s">
        <v>7</v>
      </c>
      <c r="D13252" t="s">
        <v>146</v>
      </c>
      <c r="E13252" t="s">
        <v>17864</v>
      </c>
      <c r="F13252" t="s">
        <v>18306</v>
      </c>
    </row>
    <row r="13253" spans="1:6" x14ac:dyDescent="0.25">
      <c r="A13253" t="str">
        <f>"6321431377"</f>
        <v>6321431377</v>
      </c>
      <c r="B13253" t="s">
        <v>18414</v>
      </c>
      <c r="C13253" t="s">
        <v>7</v>
      </c>
      <c r="D13253" t="s">
        <v>14</v>
      </c>
      <c r="E13253" t="s">
        <v>17864</v>
      </c>
      <c r="F13253" t="s">
        <v>18415</v>
      </c>
    </row>
    <row r="13254" spans="1:6" x14ac:dyDescent="0.25">
      <c r="A13254" t="str">
        <f>"6321432028"</f>
        <v>6321432028</v>
      </c>
      <c r="B13254" t="s">
        <v>18416</v>
      </c>
      <c r="C13254" t="s">
        <v>7</v>
      </c>
      <c r="D13254" t="s">
        <v>14</v>
      </c>
      <c r="E13254" t="s">
        <v>17864</v>
      </c>
      <c r="F13254" t="s">
        <v>18417</v>
      </c>
    </row>
    <row r="13255" spans="1:6" x14ac:dyDescent="0.25">
      <c r="A13255" t="str">
        <f>"6321442812"</f>
        <v>6321442812</v>
      </c>
      <c r="B13255" t="s">
        <v>18418</v>
      </c>
      <c r="C13255" t="s">
        <v>7</v>
      </c>
      <c r="D13255" t="s">
        <v>14</v>
      </c>
      <c r="E13255" t="s">
        <v>17864</v>
      </c>
      <c r="F13255" t="s">
        <v>18419</v>
      </c>
    </row>
    <row r="13256" spans="1:6" x14ac:dyDescent="0.25">
      <c r="A13256" t="str">
        <f>"6321458322"</f>
        <v>6321458322</v>
      </c>
      <c r="B13256" t="s">
        <v>18420</v>
      </c>
      <c r="C13256" t="s">
        <v>7</v>
      </c>
      <c r="D13256" t="s">
        <v>12</v>
      </c>
      <c r="E13256" t="s">
        <v>17864</v>
      </c>
      <c r="F13256" t="s">
        <v>18303</v>
      </c>
    </row>
    <row r="13257" spans="1:6" x14ac:dyDescent="0.25">
      <c r="A13257" t="str">
        <f>"6323030980"</f>
        <v>6323030980</v>
      </c>
      <c r="B13257" t="s">
        <v>18421</v>
      </c>
      <c r="C13257" t="s">
        <v>7</v>
      </c>
      <c r="D13257" t="s">
        <v>12</v>
      </c>
      <c r="E13257" t="s">
        <v>17864</v>
      </c>
      <c r="F13257" t="s">
        <v>18422</v>
      </c>
    </row>
    <row r="13258" spans="1:6" x14ac:dyDescent="0.25">
      <c r="A13258" t="str">
        <f>"632313212450"</f>
        <v>632313212450</v>
      </c>
      <c r="B13258" t="s">
        <v>18423</v>
      </c>
      <c r="C13258" t="s">
        <v>7</v>
      </c>
      <c r="D13258" t="s">
        <v>12</v>
      </c>
      <c r="E13258" t="s">
        <v>17864</v>
      </c>
    </row>
    <row r="13259" spans="1:6" x14ac:dyDescent="0.25">
      <c r="A13259" t="str">
        <f>"6324067126"</f>
        <v>6324067126</v>
      </c>
      <c r="B13259" t="s">
        <v>18424</v>
      </c>
      <c r="C13259" t="s">
        <v>7</v>
      </c>
      <c r="D13259" t="s">
        <v>14</v>
      </c>
      <c r="E13259" t="s">
        <v>17864</v>
      </c>
      <c r="F13259" t="s">
        <v>18425</v>
      </c>
    </row>
    <row r="13260" spans="1:6" x14ac:dyDescent="0.25">
      <c r="A13260" t="str">
        <f>"6324092852"</f>
        <v>6324092852</v>
      </c>
      <c r="B13260" t="s">
        <v>18426</v>
      </c>
      <c r="C13260" t="s">
        <v>7</v>
      </c>
      <c r="D13260" t="s">
        <v>33</v>
      </c>
      <c r="E13260" t="s">
        <v>17864</v>
      </c>
      <c r="F13260" t="s">
        <v>18427</v>
      </c>
    </row>
    <row r="13261" spans="1:6" x14ac:dyDescent="0.25">
      <c r="A13261" t="str">
        <f>"6324112690"</f>
        <v>6324112690</v>
      </c>
      <c r="B13261" t="s">
        <v>18428</v>
      </c>
      <c r="C13261" t="s">
        <v>7</v>
      </c>
      <c r="D13261" t="s">
        <v>33</v>
      </c>
      <c r="E13261" t="s">
        <v>17864</v>
      </c>
      <c r="F13261" t="s">
        <v>18429</v>
      </c>
    </row>
    <row r="13262" spans="1:6" x14ac:dyDescent="0.25">
      <c r="A13262" t="str">
        <f>"6325050799"</f>
        <v>6325050799</v>
      </c>
      <c r="B13262" t="s">
        <v>18430</v>
      </c>
      <c r="C13262" t="s">
        <v>7</v>
      </c>
      <c r="D13262" t="s">
        <v>12</v>
      </c>
      <c r="E13262" t="s">
        <v>17864</v>
      </c>
      <c r="F13262" t="s">
        <v>18431</v>
      </c>
    </row>
    <row r="13263" spans="1:6" x14ac:dyDescent="0.25">
      <c r="A13263" t="str">
        <f>"632511906965"</f>
        <v>632511906965</v>
      </c>
      <c r="B13263" t="s">
        <v>18432</v>
      </c>
      <c r="C13263" t="s">
        <v>7</v>
      </c>
      <c r="D13263" t="s">
        <v>14</v>
      </c>
      <c r="E13263" t="s">
        <v>17864</v>
      </c>
    </row>
    <row r="13264" spans="1:6" x14ac:dyDescent="0.25">
      <c r="A13264" t="str">
        <f>"632512255716"</f>
        <v>632512255716</v>
      </c>
      <c r="B13264" t="s">
        <v>18433</v>
      </c>
      <c r="C13264" t="s">
        <v>7</v>
      </c>
      <c r="D13264" t="s">
        <v>14</v>
      </c>
      <c r="E13264" t="s">
        <v>17864</v>
      </c>
    </row>
    <row r="13265" spans="1:6" x14ac:dyDescent="0.25">
      <c r="A13265" t="str">
        <f>"632524081905"</f>
        <v>632524081905</v>
      </c>
      <c r="B13265" t="s">
        <v>18434</v>
      </c>
      <c r="C13265" t="s">
        <v>7</v>
      </c>
      <c r="D13265" t="s">
        <v>12</v>
      </c>
      <c r="E13265" t="s">
        <v>17864</v>
      </c>
    </row>
    <row r="13266" spans="1:6" x14ac:dyDescent="0.25">
      <c r="A13266" t="str">
        <f>"6330086550"</f>
        <v>6330086550</v>
      </c>
      <c r="B13266" t="s">
        <v>18435</v>
      </c>
      <c r="C13266" t="s">
        <v>7</v>
      </c>
      <c r="D13266" t="s">
        <v>12</v>
      </c>
      <c r="E13266" t="s">
        <v>17864</v>
      </c>
      <c r="F13266" t="s">
        <v>18436</v>
      </c>
    </row>
    <row r="13267" spans="1:6" x14ac:dyDescent="0.25">
      <c r="A13267" t="str">
        <f>"6330086568"</f>
        <v>6330086568</v>
      </c>
      <c r="B13267" t="s">
        <v>18437</v>
      </c>
      <c r="C13267" t="s">
        <v>7</v>
      </c>
      <c r="D13267" t="s">
        <v>12</v>
      </c>
      <c r="E13267" t="s">
        <v>17864</v>
      </c>
      <c r="F13267" t="s">
        <v>18438</v>
      </c>
    </row>
    <row r="13268" spans="1:6" x14ac:dyDescent="0.25">
      <c r="A13268" t="str">
        <f>"6330103478"</f>
        <v>6330103478</v>
      </c>
      <c r="B13268" t="s">
        <v>3750</v>
      </c>
      <c r="C13268" t="s">
        <v>7</v>
      </c>
      <c r="D13268" t="s">
        <v>14</v>
      </c>
      <c r="E13268" t="s">
        <v>17864</v>
      </c>
      <c r="F13268" t="s">
        <v>18439</v>
      </c>
    </row>
    <row r="13269" spans="1:6" x14ac:dyDescent="0.25">
      <c r="A13269" t="str">
        <f>"6330104369"</f>
        <v>6330104369</v>
      </c>
      <c r="B13269" t="s">
        <v>510</v>
      </c>
      <c r="C13269" t="s">
        <v>7</v>
      </c>
      <c r="D13269" t="s">
        <v>33</v>
      </c>
      <c r="E13269" t="s">
        <v>17864</v>
      </c>
      <c r="F13269" t="s">
        <v>18341</v>
      </c>
    </row>
    <row r="13270" spans="1:6" x14ac:dyDescent="0.25">
      <c r="A13270" t="str">
        <f>"633510916673"</f>
        <v>633510916673</v>
      </c>
      <c r="B13270" t="s">
        <v>18440</v>
      </c>
      <c r="C13270" t="s">
        <v>7</v>
      </c>
      <c r="D13270" t="s">
        <v>14</v>
      </c>
      <c r="E13270" t="s">
        <v>17864</v>
      </c>
    </row>
    <row r="13271" spans="1:6" x14ac:dyDescent="0.25">
      <c r="A13271" t="str">
        <f>"634500270061"</f>
        <v>634500270061</v>
      </c>
      <c r="B13271" t="s">
        <v>18441</v>
      </c>
      <c r="C13271" t="s">
        <v>7</v>
      </c>
      <c r="D13271" t="s">
        <v>14</v>
      </c>
      <c r="E13271" t="s">
        <v>17864</v>
      </c>
    </row>
    <row r="13272" spans="1:6" x14ac:dyDescent="0.25">
      <c r="A13272" t="str">
        <f>"635703476180"</f>
        <v>635703476180</v>
      </c>
      <c r="B13272" t="s">
        <v>18442</v>
      </c>
      <c r="C13272" t="s">
        <v>7</v>
      </c>
      <c r="D13272" t="s">
        <v>14</v>
      </c>
      <c r="E13272" t="s">
        <v>17864</v>
      </c>
    </row>
    <row r="13273" spans="1:6" x14ac:dyDescent="0.25">
      <c r="A13273" t="str">
        <f>"636201856905"</f>
        <v>636201856905</v>
      </c>
      <c r="B13273" t="s">
        <v>18443</v>
      </c>
      <c r="C13273" t="s">
        <v>7</v>
      </c>
      <c r="D13273" t="s">
        <v>14</v>
      </c>
      <c r="E13273" t="s">
        <v>17864</v>
      </c>
    </row>
    <row r="13274" spans="1:6" x14ac:dyDescent="0.25">
      <c r="A13274" t="str">
        <f>"636501670250"</f>
        <v>636501670250</v>
      </c>
      <c r="B13274" t="s">
        <v>18444</v>
      </c>
      <c r="C13274" t="s">
        <v>7</v>
      </c>
      <c r="D13274" t="s">
        <v>14</v>
      </c>
      <c r="E13274" t="s">
        <v>17864</v>
      </c>
    </row>
    <row r="13275" spans="1:6" x14ac:dyDescent="0.25">
      <c r="A13275" t="str">
        <f>"6367041595"</f>
        <v>6367041595</v>
      </c>
      <c r="B13275" t="s">
        <v>5837</v>
      </c>
      <c r="C13275" t="s">
        <v>7</v>
      </c>
      <c r="D13275" t="s">
        <v>33</v>
      </c>
      <c r="E13275" t="s">
        <v>17864</v>
      </c>
      <c r="F13275" t="s">
        <v>18445</v>
      </c>
    </row>
    <row r="13276" spans="1:6" x14ac:dyDescent="0.25">
      <c r="A13276" t="str">
        <f>"636704992693"</f>
        <v>636704992693</v>
      </c>
      <c r="B13276" t="s">
        <v>18446</v>
      </c>
      <c r="C13276" t="s">
        <v>7</v>
      </c>
      <c r="D13276" t="s">
        <v>14</v>
      </c>
      <c r="E13276" t="s">
        <v>17864</v>
      </c>
    </row>
    <row r="13277" spans="1:6" x14ac:dyDescent="0.25">
      <c r="A13277" t="str">
        <f>"6372008811"</f>
        <v>6372008811</v>
      </c>
      <c r="B13277" t="s">
        <v>18447</v>
      </c>
      <c r="C13277" t="s">
        <v>7</v>
      </c>
      <c r="D13277" t="s">
        <v>14</v>
      </c>
      <c r="E13277" t="s">
        <v>17864</v>
      </c>
      <c r="F13277" t="s">
        <v>18448</v>
      </c>
    </row>
    <row r="13278" spans="1:6" x14ac:dyDescent="0.25">
      <c r="A13278" t="str">
        <f>"637205793856"</f>
        <v>637205793856</v>
      </c>
      <c r="B13278" t="s">
        <v>18449</v>
      </c>
      <c r="C13278" t="s">
        <v>7</v>
      </c>
      <c r="D13278" t="s">
        <v>14</v>
      </c>
      <c r="E13278" t="s">
        <v>17864</v>
      </c>
    </row>
    <row r="13279" spans="1:6" x14ac:dyDescent="0.25">
      <c r="A13279" t="str">
        <f>"637591605254"</f>
        <v>637591605254</v>
      </c>
      <c r="B13279" t="s">
        <v>18450</v>
      </c>
      <c r="C13279" t="s">
        <v>7</v>
      </c>
      <c r="D13279" t="s">
        <v>12</v>
      </c>
      <c r="E13279" t="s">
        <v>17864</v>
      </c>
    </row>
    <row r="13280" spans="1:6" x14ac:dyDescent="0.25">
      <c r="A13280" t="str">
        <f>"6376027773"</f>
        <v>6376027773</v>
      </c>
      <c r="B13280" t="s">
        <v>18451</v>
      </c>
      <c r="C13280" t="s">
        <v>7</v>
      </c>
      <c r="D13280" t="s">
        <v>14</v>
      </c>
      <c r="E13280" t="s">
        <v>17864</v>
      </c>
      <c r="F13280" t="s">
        <v>18452</v>
      </c>
    </row>
    <row r="13281" spans="1:6" x14ac:dyDescent="0.25">
      <c r="A13281" t="str">
        <f>"6379000498"</f>
        <v>6379000498</v>
      </c>
      <c r="B13281" t="s">
        <v>18453</v>
      </c>
      <c r="C13281" t="s">
        <v>7</v>
      </c>
      <c r="D13281" t="s">
        <v>33</v>
      </c>
      <c r="E13281" t="s">
        <v>17864</v>
      </c>
      <c r="F13281" t="s">
        <v>18454</v>
      </c>
    </row>
    <row r="13282" spans="1:6" x14ac:dyDescent="0.25">
      <c r="A13282" t="str">
        <f>"638200320819"</f>
        <v>638200320819</v>
      </c>
      <c r="B13282" t="s">
        <v>18455</v>
      </c>
      <c r="C13282" t="s">
        <v>7</v>
      </c>
      <c r="D13282" t="s">
        <v>14</v>
      </c>
      <c r="E13282" t="s">
        <v>17864</v>
      </c>
    </row>
    <row r="13283" spans="1:6" x14ac:dyDescent="0.25">
      <c r="A13283" t="str">
        <f>"6382076225"</f>
        <v>6382076225</v>
      </c>
      <c r="B13283" t="s">
        <v>18456</v>
      </c>
      <c r="C13283" t="s">
        <v>7</v>
      </c>
      <c r="D13283" t="s">
        <v>14</v>
      </c>
      <c r="E13283" t="s">
        <v>17864</v>
      </c>
      <c r="F13283" t="s">
        <v>18457</v>
      </c>
    </row>
    <row r="13284" spans="1:6" x14ac:dyDescent="0.25">
      <c r="A13284" t="str">
        <f>"6382077130"</f>
        <v>6382077130</v>
      </c>
      <c r="B13284" t="s">
        <v>6501</v>
      </c>
      <c r="C13284" t="s">
        <v>7</v>
      </c>
      <c r="D13284" t="s">
        <v>33</v>
      </c>
      <c r="E13284" t="s">
        <v>17864</v>
      </c>
      <c r="F13284" t="s">
        <v>18458</v>
      </c>
    </row>
    <row r="13285" spans="1:6" x14ac:dyDescent="0.25">
      <c r="A13285" t="str">
        <f>"6382082010"</f>
        <v>6382082010</v>
      </c>
      <c r="B13285" t="s">
        <v>18459</v>
      </c>
      <c r="C13285" t="s">
        <v>7</v>
      </c>
      <c r="D13285" t="s">
        <v>98</v>
      </c>
      <c r="E13285" t="s">
        <v>17864</v>
      </c>
      <c r="F13285" t="s">
        <v>18460</v>
      </c>
    </row>
    <row r="13286" spans="1:6" x14ac:dyDescent="0.25">
      <c r="A13286" t="str">
        <f>"6382097779"</f>
        <v>6382097779</v>
      </c>
      <c r="B13286" t="s">
        <v>18461</v>
      </c>
      <c r="C13286" t="s">
        <v>7</v>
      </c>
      <c r="D13286" t="s">
        <v>33</v>
      </c>
      <c r="E13286" t="s">
        <v>17864</v>
      </c>
      <c r="F13286" t="s">
        <v>18462</v>
      </c>
    </row>
    <row r="13287" spans="1:6" x14ac:dyDescent="0.25">
      <c r="A13287" t="str">
        <f>"6382098275"</f>
        <v>6382098275</v>
      </c>
      <c r="B13287" t="s">
        <v>18463</v>
      </c>
      <c r="C13287" t="s">
        <v>7</v>
      </c>
      <c r="D13287" t="s">
        <v>33</v>
      </c>
      <c r="E13287" t="s">
        <v>17864</v>
      </c>
      <c r="F13287" t="s">
        <v>18464</v>
      </c>
    </row>
    <row r="13288" spans="1:6" x14ac:dyDescent="0.25">
      <c r="A13288" t="str">
        <f>"6382106952"</f>
        <v>6382106952</v>
      </c>
      <c r="B13288" t="s">
        <v>18465</v>
      </c>
      <c r="C13288" t="s">
        <v>7</v>
      </c>
      <c r="D13288" t="s">
        <v>8</v>
      </c>
      <c r="E13288" t="s">
        <v>17864</v>
      </c>
      <c r="F13288" t="s">
        <v>18466</v>
      </c>
    </row>
    <row r="13289" spans="1:6" x14ac:dyDescent="0.25">
      <c r="A13289" t="str">
        <f>"641401693878"</f>
        <v>641401693878</v>
      </c>
      <c r="B13289" t="s">
        <v>18467</v>
      </c>
      <c r="C13289" t="s">
        <v>7</v>
      </c>
      <c r="D13289" t="s">
        <v>14</v>
      </c>
      <c r="E13289" t="s">
        <v>17864</v>
      </c>
    </row>
    <row r="13290" spans="1:6" x14ac:dyDescent="0.25">
      <c r="A13290" t="str">
        <f>"644500102514"</f>
        <v>644500102514</v>
      </c>
      <c r="B13290" t="s">
        <v>18468</v>
      </c>
      <c r="C13290" t="s">
        <v>7</v>
      </c>
      <c r="D13290" t="s">
        <v>14</v>
      </c>
      <c r="E13290" t="s">
        <v>17864</v>
      </c>
    </row>
    <row r="13291" spans="1:6" x14ac:dyDescent="0.25">
      <c r="A13291" t="str">
        <f>"560300349700"</f>
        <v>560300349700</v>
      </c>
      <c r="B13291" t="s">
        <v>18469</v>
      </c>
      <c r="C13291" t="s">
        <v>7</v>
      </c>
      <c r="D13291" t="s">
        <v>12</v>
      </c>
      <c r="E13291" t="s">
        <v>17864</v>
      </c>
    </row>
    <row r="13292" spans="1:6" x14ac:dyDescent="0.25">
      <c r="A13292" t="str">
        <f>"635000854790"</f>
        <v>635000854790</v>
      </c>
      <c r="B13292" t="s">
        <v>18470</v>
      </c>
      <c r="C13292" t="s">
        <v>7</v>
      </c>
      <c r="D13292" t="s">
        <v>14</v>
      </c>
      <c r="E13292" t="s">
        <v>17864</v>
      </c>
    </row>
    <row r="13293" spans="1:6" x14ac:dyDescent="0.25">
      <c r="A13293" t="str">
        <f>"635003258500"</f>
        <v>635003258500</v>
      </c>
      <c r="B13293" t="s">
        <v>18471</v>
      </c>
      <c r="C13293" t="s">
        <v>7</v>
      </c>
      <c r="D13293" t="s">
        <v>14</v>
      </c>
      <c r="E13293" t="s">
        <v>17864</v>
      </c>
    </row>
    <row r="13294" spans="1:6" x14ac:dyDescent="0.25">
      <c r="A13294" t="str">
        <f>"635007129551"</f>
        <v>635007129551</v>
      </c>
      <c r="B13294" t="s">
        <v>18472</v>
      </c>
      <c r="C13294" t="s">
        <v>7</v>
      </c>
      <c r="D13294" t="s">
        <v>12</v>
      </c>
      <c r="E13294" t="s">
        <v>17864</v>
      </c>
    </row>
    <row r="13295" spans="1:6" x14ac:dyDescent="0.25">
      <c r="A13295" t="str">
        <f>"635785863500"</f>
        <v>635785863500</v>
      </c>
      <c r="B13295" t="s">
        <v>18473</v>
      </c>
      <c r="C13295" t="s">
        <v>7</v>
      </c>
      <c r="D13295" t="s">
        <v>12</v>
      </c>
      <c r="E13295" t="s">
        <v>17864</v>
      </c>
    </row>
    <row r="13296" spans="1:6" x14ac:dyDescent="0.25">
      <c r="A13296" t="str">
        <f>"636200964584"</f>
        <v>636200964584</v>
      </c>
      <c r="B13296" t="s">
        <v>18474</v>
      </c>
      <c r="C13296" t="s">
        <v>7</v>
      </c>
      <c r="D13296" t="s">
        <v>14</v>
      </c>
      <c r="E13296" t="s">
        <v>17864</v>
      </c>
    </row>
    <row r="13297" spans="1:6" x14ac:dyDescent="0.25">
      <c r="A13297" t="str">
        <f>"636201579296"</f>
        <v>636201579296</v>
      </c>
      <c r="B13297" t="s">
        <v>18475</v>
      </c>
      <c r="C13297" t="s">
        <v>7</v>
      </c>
      <c r="D13297" t="s">
        <v>14</v>
      </c>
      <c r="E13297" t="s">
        <v>17864</v>
      </c>
    </row>
    <row r="13298" spans="1:6" x14ac:dyDescent="0.25">
      <c r="A13298" t="str">
        <f>"636701504147"</f>
        <v>636701504147</v>
      </c>
      <c r="B13298" t="s">
        <v>18476</v>
      </c>
      <c r="C13298" t="s">
        <v>7</v>
      </c>
      <c r="D13298" t="s">
        <v>14</v>
      </c>
      <c r="E13298" t="s">
        <v>17864</v>
      </c>
    </row>
    <row r="13299" spans="1:6" x14ac:dyDescent="0.25">
      <c r="A13299" t="str">
        <f>"637200089389"</f>
        <v>637200089389</v>
      </c>
      <c r="B13299" t="s">
        <v>18477</v>
      </c>
      <c r="C13299" t="s">
        <v>7</v>
      </c>
      <c r="D13299" t="s">
        <v>14</v>
      </c>
      <c r="E13299" t="s">
        <v>17864</v>
      </c>
    </row>
    <row r="13300" spans="1:6" x14ac:dyDescent="0.25">
      <c r="A13300" t="str">
        <f>"6374006288"</f>
        <v>6374006288</v>
      </c>
      <c r="B13300" t="s">
        <v>1928</v>
      </c>
      <c r="C13300" t="s">
        <v>7</v>
      </c>
      <c r="D13300" t="s">
        <v>14</v>
      </c>
      <c r="E13300" t="s">
        <v>17864</v>
      </c>
      <c r="F13300" t="s">
        <v>18478</v>
      </c>
    </row>
    <row r="13301" spans="1:6" x14ac:dyDescent="0.25">
      <c r="A13301" t="str">
        <f>"6376010709"</f>
        <v>6376010709</v>
      </c>
      <c r="B13301" t="s">
        <v>18479</v>
      </c>
      <c r="C13301" t="s">
        <v>7</v>
      </c>
      <c r="D13301" t="s">
        <v>12</v>
      </c>
      <c r="E13301" t="s">
        <v>17864</v>
      </c>
      <c r="F13301" t="s">
        <v>18480</v>
      </c>
    </row>
    <row r="13302" spans="1:6" x14ac:dyDescent="0.25">
      <c r="A13302" t="str">
        <f>"6376030487"</f>
        <v>6376030487</v>
      </c>
      <c r="B13302" t="s">
        <v>18481</v>
      </c>
      <c r="C13302" t="s">
        <v>7</v>
      </c>
      <c r="D13302" t="s">
        <v>14</v>
      </c>
      <c r="E13302" t="s">
        <v>17864</v>
      </c>
      <c r="F13302" t="s">
        <v>18482</v>
      </c>
    </row>
    <row r="13303" spans="1:6" x14ac:dyDescent="0.25">
      <c r="A13303" t="str">
        <f>"637606123030"</f>
        <v>637606123030</v>
      </c>
      <c r="B13303" t="s">
        <v>18483</v>
      </c>
      <c r="C13303" t="s">
        <v>7</v>
      </c>
      <c r="D13303" t="s">
        <v>14</v>
      </c>
      <c r="E13303" t="s">
        <v>17864</v>
      </c>
    </row>
    <row r="13304" spans="1:6" x14ac:dyDescent="0.25">
      <c r="A13304" t="str">
        <f>"637701421679"</f>
        <v>637701421679</v>
      </c>
      <c r="B13304" t="s">
        <v>18484</v>
      </c>
      <c r="C13304" t="s">
        <v>7</v>
      </c>
      <c r="D13304" t="s">
        <v>14</v>
      </c>
      <c r="E13304" t="s">
        <v>17864</v>
      </c>
    </row>
    <row r="13305" spans="1:6" x14ac:dyDescent="0.25">
      <c r="A13305" t="str">
        <f>"637770529881"</f>
        <v>637770529881</v>
      </c>
      <c r="B13305" t="s">
        <v>18485</v>
      </c>
      <c r="C13305" t="s">
        <v>7</v>
      </c>
      <c r="D13305" t="s">
        <v>14</v>
      </c>
      <c r="E13305" t="s">
        <v>17864</v>
      </c>
    </row>
    <row r="13306" spans="1:6" x14ac:dyDescent="0.25">
      <c r="A13306" t="str">
        <f>"638140118098"</f>
        <v>638140118098</v>
      </c>
      <c r="B13306" t="s">
        <v>18486</v>
      </c>
      <c r="C13306" t="s">
        <v>7</v>
      </c>
      <c r="D13306" t="s">
        <v>14</v>
      </c>
      <c r="E13306" t="s">
        <v>17864</v>
      </c>
    </row>
    <row r="13307" spans="1:6" x14ac:dyDescent="0.25">
      <c r="A13307" t="str">
        <f>"6382034899"</f>
        <v>6382034899</v>
      </c>
      <c r="B13307" t="s">
        <v>18487</v>
      </c>
      <c r="C13307" t="s">
        <v>7</v>
      </c>
      <c r="D13307" t="s">
        <v>12</v>
      </c>
      <c r="E13307" t="s">
        <v>17864</v>
      </c>
      <c r="F13307" t="s">
        <v>18488</v>
      </c>
    </row>
    <row r="13308" spans="1:6" x14ac:dyDescent="0.25">
      <c r="A13308" t="str">
        <f>"638206314307"</f>
        <v>638206314307</v>
      </c>
      <c r="B13308" t="s">
        <v>18489</v>
      </c>
      <c r="C13308" t="s">
        <v>7</v>
      </c>
      <c r="D13308" t="s">
        <v>14</v>
      </c>
      <c r="E13308" t="s">
        <v>17864</v>
      </c>
    </row>
    <row r="13309" spans="1:6" x14ac:dyDescent="0.25">
      <c r="A13309" t="str">
        <f>"638209616306"</f>
        <v>638209616306</v>
      </c>
      <c r="B13309" t="s">
        <v>18490</v>
      </c>
      <c r="C13309" t="s">
        <v>7</v>
      </c>
      <c r="D13309" t="s">
        <v>28</v>
      </c>
      <c r="E13309" t="s">
        <v>17864</v>
      </c>
    </row>
    <row r="13310" spans="1:6" x14ac:dyDescent="0.25">
      <c r="A13310" t="str">
        <f>"6382098300"</f>
        <v>6382098300</v>
      </c>
      <c r="B13310" t="s">
        <v>18491</v>
      </c>
      <c r="C13310" t="s">
        <v>7</v>
      </c>
      <c r="D13310" t="s">
        <v>33</v>
      </c>
      <c r="E13310" t="s">
        <v>17864</v>
      </c>
      <c r="F13310" t="s">
        <v>18492</v>
      </c>
    </row>
    <row r="13311" spans="1:6" x14ac:dyDescent="0.25">
      <c r="A13311" t="str">
        <f>"6382105483"</f>
        <v>6382105483</v>
      </c>
      <c r="B13311" t="s">
        <v>18493</v>
      </c>
      <c r="C13311" t="s">
        <v>7</v>
      </c>
      <c r="D13311" t="s">
        <v>189</v>
      </c>
      <c r="E13311" t="s">
        <v>17864</v>
      </c>
      <c r="F13311" t="s">
        <v>18494</v>
      </c>
    </row>
    <row r="13312" spans="1:6" x14ac:dyDescent="0.25">
      <c r="A13312" t="str">
        <f>"732900825246"</f>
        <v>732900825246</v>
      </c>
      <c r="B13312" t="s">
        <v>18495</v>
      </c>
      <c r="C13312" t="s">
        <v>7</v>
      </c>
      <c r="D13312" t="s">
        <v>14</v>
      </c>
      <c r="E13312" t="s">
        <v>17864</v>
      </c>
    </row>
    <row r="13313" spans="1:6" x14ac:dyDescent="0.25">
      <c r="A13313" t="str">
        <f>"7325117822"</f>
        <v>7325117822</v>
      </c>
      <c r="B13313" t="s">
        <v>18496</v>
      </c>
      <c r="C13313" t="s">
        <v>7</v>
      </c>
      <c r="D13313" t="s">
        <v>12</v>
      </c>
      <c r="E13313" t="s">
        <v>17864</v>
      </c>
      <c r="F13313" t="s">
        <v>18497</v>
      </c>
    </row>
    <row r="13314" spans="1:6" x14ac:dyDescent="0.25">
      <c r="A13314" t="str">
        <f>"6311058621"</f>
        <v>6311058621</v>
      </c>
      <c r="B13314" t="s">
        <v>18498</v>
      </c>
      <c r="C13314" t="s">
        <v>7</v>
      </c>
      <c r="D13314" t="s">
        <v>12</v>
      </c>
      <c r="E13314" t="s">
        <v>17864</v>
      </c>
      <c r="F13314" t="s">
        <v>18499</v>
      </c>
    </row>
    <row r="13315" spans="1:6" x14ac:dyDescent="0.25">
      <c r="A13315" t="str">
        <f>"6311098600"</f>
        <v>6311098600</v>
      </c>
      <c r="B13315" t="s">
        <v>18500</v>
      </c>
      <c r="C13315" t="s">
        <v>7</v>
      </c>
      <c r="D13315" t="s">
        <v>14</v>
      </c>
      <c r="E13315" t="s">
        <v>17864</v>
      </c>
      <c r="F13315" t="s">
        <v>18501</v>
      </c>
    </row>
    <row r="13316" spans="1:6" x14ac:dyDescent="0.25">
      <c r="A13316" t="str">
        <f>"6311110825"</f>
        <v>6311110825</v>
      </c>
      <c r="B13316" t="s">
        <v>18502</v>
      </c>
      <c r="C13316" t="s">
        <v>7</v>
      </c>
      <c r="D13316" t="s">
        <v>33</v>
      </c>
      <c r="E13316" t="s">
        <v>17864</v>
      </c>
      <c r="F13316" t="s">
        <v>17953</v>
      </c>
    </row>
    <row r="13317" spans="1:6" x14ac:dyDescent="0.25">
      <c r="A13317" t="str">
        <f>"6311171458"</f>
        <v>6311171458</v>
      </c>
      <c r="B13317" t="s">
        <v>18503</v>
      </c>
      <c r="C13317" t="s">
        <v>7</v>
      </c>
      <c r="D13317" t="s">
        <v>12</v>
      </c>
      <c r="E13317" t="s">
        <v>17864</v>
      </c>
      <c r="F13317" t="s">
        <v>17883</v>
      </c>
    </row>
    <row r="13318" spans="1:6" x14ac:dyDescent="0.25">
      <c r="A13318" t="str">
        <f>"6311184665"</f>
        <v>6311184665</v>
      </c>
      <c r="B13318" t="s">
        <v>18504</v>
      </c>
      <c r="C13318" t="s">
        <v>7</v>
      </c>
      <c r="D13318" t="s">
        <v>12</v>
      </c>
      <c r="E13318" t="s">
        <v>17864</v>
      </c>
      <c r="F13318" t="s">
        <v>18505</v>
      </c>
    </row>
    <row r="13319" spans="1:6" x14ac:dyDescent="0.25">
      <c r="A13319" t="str">
        <f>"6311190411"</f>
        <v>6311190411</v>
      </c>
      <c r="B13319" t="s">
        <v>543</v>
      </c>
      <c r="C13319" t="s">
        <v>7</v>
      </c>
      <c r="D13319" t="s">
        <v>12</v>
      </c>
      <c r="E13319" t="s">
        <v>17864</v>
      </c>
      <c r="F13319" t="s">
        <v>17887</v>
      </c>
    </row>
    <row r="13320" spans="1:6" x14ac:dyDescent="0.25">
      <c r="A13320" t="str">
        <f>"631184600066"</f>
        <v>631184600066</v>
      </c>
      <c r="B13320" t="s">
        <v>18506</v>
      </c>
      <c r="C13320" t="s">
        <v>7</v>
      </c>
      <c r="D13320" t="s">
        <v>14</v>
      </c>
      <c r="E13320" t="s">
        <v>17864</v>
      </c>
    </row>
    <row r="13321" spans="1:6" x14ac:dyDescent="0.25">
      <c r="A13321" t="str">
        <f>"6312165104"</f>
        <v>6312165104</v>
      </c>
      <c r="B13321" t="s">
        <v>18507</v>
      </c>
      <c r="C13321" t="s">
        <v>7</v>
      </c>
      <c r="D13321" t="s">
        <v>98</v>
      </c>
      <c r="E13321" t="s">
        <v>17864</v>
      </c>
      <c r="F13321" t="s">
        <v>18508</v>
      </c>
    </row>
    <row r="13322" spans="1:6" x14ac:dyDescent="0.25">
      <c r="A13322" t="str">
        <f>"631300243594"</f>
        <v>631300243594</v>
      </c>
      <c r="B13322" t="s">
        <v>18509</v>
      </c>
      <c r="C13322" t="s">
        <v>7</v>
      </c>
      <c r="D13322" t="s">
        <v>14</v>
      </c>
      <c r="E13322" t="s">
        <v>17864</v>
      </c>
    </row>
    <row r="13323" spans="1:6" x14ac:dyDescent="0.25">
      <c r="A13323" t="str">
        <f>"631303445359"</f>
        <v>631303445359</v>
      </c>
      <c r="B13323" t="s">
        <v>18510</v>
      </c>
      <c r="C13323" t="s">
        <v>7</v>
      </c>
      <c r="D13323" t="s">
        <v>14</v>
      </c>
      <c r="E13323" t="s">
        <v>17864</v>
      </c>
    </row>
    <row r="13324" spans="1:6" x14ac:dyDescent="0.25">
      <c r="A13324" t="str">
        <f>"6314036680"</f>
        <v>6314036680</v>
      </c>
      <c r="B13324" t="s">
        <v>18511</v>
      </c>
      <c r="C13324" t="s">
        <v>7</v>
      </c>
      <c r="D13324" t="s">
        <v>12</v>
      </c>
      <c r="E13324" t="s">
        <v>17864</v>
      </c>
      <c r="F13324" t="s">
        <v>17923</v>
      </c>
    </row>
    <row r="13325" spans="1:6" x14ac:dyDescent="0.25">
      <c r="A13325" t="str">
        <f>"6316193455"</f>
        <v>6316193455</v>
      </c>
      <c r="B13325" t="s">
        <v>18512</v>
      </c>
      <c r="C13325" t="s">
        <v>7</v>
      </c>
      <c r="D13325" t="s">
        <v>12</v>
      </c>
      <c r="E13325" t="s">
        <v>17864</v>
      </c>
      <c r="F13325" t="s">
        <v>18513</v>
      </c>
    </row>
    <row r="13326" spans="1:6" x14ac:dyDescent="0.25">
      <c r="A13326" t="str">
        <f>"6316221600"</f>
        <v>6316221600</v>
      </c>
      <c r="B13326" t="s">
        <v>18514</v>
      </c>
      <c r="C13326" t="s">
        <v>7</v>
      </c>
      <c r="D13326" t="s">
        <v>33</v>
      </c>
      <c r="E13326" t="s">
        <v>17864</v>
      </c>
      <c r="F13326" t="s">
        <v>18515</v>
      </c>
    </row>
    <row r="13327" spans="1:6" x14ac:dyDescent="0.25">
      <c r="A13327" t="str">
        <f>"6318188940"</f>
        <v>6318188940</v>
      </c>
      <c r="B13327" t="s">
        <v>18516</v>
      </c>
      <c r="C13327" t="s">
        <v>7</v>
      </c>
      <c r="D13327" t="s">
        <v>33</v>
      </c>
      <c r="E13327" t="s">
        <v>17864</v>
      </c>
      <c r="F13327" t="s">
        <v>18517</v>
      </c>
    </row>
    <row r="13328" spans="1:6" x14ac:dyDescent="0.25">
      <c r="A13328" t="str">
        <f>"631919415922"</f>
        <v>631919415922</v>
      </c>
      <c r="B13328" t="s">
        <v>18518</v>
      </c>
      <c r="C13328" t="s">
        <v>7</v>
      </c>
      <c r="D13328" t="s">
        <v>33</v>
      </c>
      <c r="E13328" t="s">
        <v>17864</v>
      </c>
    </row>
    <row r="13329" spans="1:6" x14ac:dyDescent="0.25">
      <c r="A13329" t="str">
        <f>"6319256640"</f>
        <v>6319256640</v>
      </c>
      <c r="B13329" t="s">
        <v>18519</v>
      </c>
      <c r="C13329" t="s">
        <v>7</v>
      </c>
      <c r="D13329" t="s">
        <v>33</v>
      </c>
      <c r="E13329" t="s">
        <v>17864</v>
      </c>
      <c r="F13329" t="s">
        <v>18520</v>
      </c>
    </row>
    <row r="13330" spans="1:6" x14ac:dyDescent="0.25">
      <c r="A13330" t="str">
        <f>"6319721368"</f>
        <v>6319721368</v>
      </c>
      <c r="B13330" t="s">
        <v>18521</v>
      </c>
      <c r="C13330" t="s">
        <v>7</v>
      </c>
      <c r="D13330" t="s">
        <v>146</v>
      </c>
      <c r="E13330" t="s">
        <v>17864</v>
      </c>
      <c r="F13330" t="s">
        <v>18522</v>
      </c>
    </row>
    <row r="13331" spans="1:6" x14ac:dyDescent="0.25">
      <c r="A13331" t="str">
        <f>"6320010545"</f>
        <v>6320010545</v>
      </c>
      <c r="B13331" t="s">
        <v>18523</v>
      </c>
      <c r="C13331" t="s">
        <v>7</v>
      </c>
      <c r="D13331" t="s">
        <v>98</v>
      </c>
      <c r="E13331" t="s">
        <v>17864</v>
      </c>
      <c r="F13331" t="s">
        <v>18524</v>
      </c>
    </row>
    <row r="13332" spans="1:6" x14ac:dyDescent="0.25">
      <c r="A13332" t="str">
        <f>"6320076923"</f>
        <v>6320076923</v>
      </c>
      <c r="B13332" t="s">
        <v>18525</v>
      </c>
      <c r="C13332" t="s">
        <v>7</v>
      </c>
      <c r="D13332" t="s">
        <v>33</v>
      </c>
      <c r="E13332" t="s">
        <v>17864</v>
      </c>
      <c r="F13332" t="s">
        <v>18526</v>
      </c>
    </row>
    <row r="13333" spans="1:6" x14ac:dyDescent="0.25">
      <c r="A13333" t="str">
        <f>"632122220235"</f>
        <v>632122220235</v>
      </c>
      <c r="B13333" t="s">
        <v>18527</v>
      </c>
      <c r="C13333" t="s">
        <v>7</v>
      </c>
      <c r="D13333" t="s">
        <v>14</v>
      </c>
      <c r="E13333" t="s">
        <v>17864</v>
      </c>
    </row>
    <row r="13334" spans="1:6" x14ac:dyDescent="0.25">
      <c r="A13334" t="str">
        <f>"632130617636"</f>
        <v>632130617636</v>
      </c>
      <c r="B13334" t="s">
        <v>18528</v>
      </c>
      <c r="C13334" t="s">
        <v>7</v>
      </c>
      <c r="D13334" t="s">
        <v>12</v>
      </c>
      <c r="E13334" t="s">
        <v>17864</v>
      </c>
    </row>
    <row r="13335" spans="1:6" x14ac:dyDescent="0.25">
      <c r="A13335" t="str">
        <f>"632150277508"</f>
        <v>632150277508</v>
      </c>
      <c r="B13335" t="s">
        <v>18529</v>
      </c>
      <c r="C13335" t="s">
        <v>7</v>
      </c>
      <c r="D13335" t="s">
        <v>14</v>
      </c>
      <c r="E13335" t="s">
        <v>17864</v>
      </c>
    </row>
    <row r="13336" spans="1:6" x14ac:dyDescent="0.25">
      <c r="A13336" t="str">
        <f>"632209292322"</f>
        <v>632209292322</v>
      </c>
      <c r="B13336" t="s">
        <v>18530</v>
      </c>
      <c r="C13336" t="s">
        <v>7</v>
      </c>
      <c r="D13336" t="s">
        <v>14</v>
      </c>
      <c r="E13336" t="s">
        <v>17864</v>
      </c>
    </row>
    <row r="13337" spans="1:6" x14ac:dyDescent="0.25">
      <c r="A13337" t="str">
        <f>"6324076610"</f>
        <v>6324076610</v>
      </c>
      <c r="B13337" t="s">
        <v>18531</v>
      </c>
      <c r="C13337" t="s">
        <v>7</v>
      </c>
      <c r="D13337" t="s">
        <v>14</v>
      </c>
      <c r="E13337" t="s">
        <v>17864</v>
      </c>
      <c r="F13337" t="s">
        <v>18532</v>
      </c>
    </row>
    <row r="13338" spans="1:6" x14ac:dyDescent="0.25">
      <c r="A13338" t="str">
        <f>"6325065450"</f>
        <v>6325065450</v>
      </c>
      <c r="B13338" t="s">
        <v>3838</v>
      </c>
      <c r="C13338" t="s">
        <v>7</v>
      </c>
      <c r="D13338" t="s">
        <v>14</v>
      </c>
      <c r="E13338" t="s">
        <v>17864</v>
      </c>
      <c r="F13338" t="s">
        <v>18533</v>
      </c>
    </row>
    <row r="13339" spans="1:6" x14ac:dyDescent="0.25">
      <c r="A13339" t="str">
        <f>"632516174803"</f>
        <v>632516174803</v>
      </c>
      <c r="B13339" t="s">
        <v>18534</v>
      </c>
      <c r="C13339" t="s">
        <v>7</v>
      </c>
      <c r="D13339" t="s">
        <v>14</v>
      </c>
      <c r="E13339" t="s">
        <v>17864</v>
      </c>
    </row>
    <row r="13340" spans="1:6" x14ac:dyDescent="0.25">
      <c r="A13340" t="str">
        <f>"632516196405"</f>
        <v>632516196405</v>
      </c>
      <c r="B13340" t="s">
        <v>18535</v>
      </c>
      <c r="C13340" t="s">
        <v>7</v>
      </c>
      <c r="D13340" t="s">
        <v>14</v>
      </c>
      <c r="E13340" t="s">
        <v>17864</v>
      </c>
    </row>
    <row r="13341" spans="1:6" x14ac:dyDescent="0.25">
      <c r="A13341" t="str">
        <f>"6330005897"</f>
        <v>6330005897</v>
      </c>
      <c r="B13341" t="s">
        <v>18536</v>
      </c>
      <c r="C13341" t="s">
        <v>7</v>
      </c>
      <c r="D13341" t="s">
        <v>14</v>
      </c>
      <c r="E13341" t="s">
        <v>17864</v>
      </c>
      <c r="F13341" t="s">
        <v>18537</v>
      </c>
    </row>
    <row r="13342" spans="1:6" x14ac:dyDescent="0.25">
      <c r="A13342" t="str">
        <f>"6330086712"</f>
        <v>6330086712</v>
      </c>
      <c r="B13342" t="s">
        <v>18428</v>
      </c>
      <c r="C13342" t="s">
        <v>7</v>
      </c>
      <c r="D13342" t="s">
        <v>12</v>
      </c>
      <c r="E13342" t="s">
        <v>17864</v>
      </c>
      <c r="F13342" t="s">
        <v>18538</v>
      </c>
    </row>
    <row r="13343" spans="1:6" x14ac:dyDescent="0.25">
      <c r="A13343" t="str">
        <f>"634000066283"</f>
        <v>634000066283</v>
      </c>
      <c r="B13343" t="s">
        <v>18539</v>
      </c>
      <c r="C13343" t="s">
        <v>7</v>
      </c>
      <c r="D13343" t="s">
        <v>14</v>
      </c>
      <c r="E13343" t="s">
        <v>17864</v>
      </c>
    </row>
    <row r="13344" spans="1:6" x14ac:dyDescent="0.25">
      <c r="A13344" t="str">
        <f>"635009688058"</f>
        <v>635009688058</v>
      </c>
      <c r="B13344" t="s">
        <v>18540</v>
      </c>
      <c r="C13344" t="s">
        <v>7</v>
      </c>
      <c r="D13344" t="s">
        <v>14</v>
      </c>
      <c r="E13344" t="s">
        <v>17864</v>
      </c>
    </row>
    <row r="13345" spans="1:6" x14ac:dyDescent="0.25">
      <c r="A13345" t="str">
        <f>"638202367837"</f>
        <v>638202367837</v>
      </c>
      <c r="B13345" t="s">
        <v>18541</v>
      </c>
      <c r="C13345" t="s">
        <v>7</v>
      </c>
      <c r="D13345" t="s">
        <v>33</v>
      </c>
      <c r="E13345" t="s">
        <v>17864</v>
      </c>
    </row>
    <row r="13346" spans="1:6" x14ac:dyDescent="0.25">
      <c r="A13346" t="str">
        <f>"636200078353"</f>
        <v>636200078353</v>
      </c>
      <c r="B13346" t="s">
        <v>18542</v>
      </c>
      <c r="C13346" t="s">
        <v>7</v>
      </c>
      <c r="D13346" t="s">
        <v>14</v>
      </c>
      <c r="E13346" t="s">
        <v>17864</v>
      </c>
    </row>
    <row r="13347" spans="1:6" x14ac:dyDescent="0.25">
      <c r="A13347" t="str">
        <f>"636300007589"</f>
        <v>636300007589</v>
      </c>
      <c r="B13347" t="s">
        <v>18543</v>
      </c>
      <c r="C13347" t="s">
        <v>7</v>
      </c>
      <c r="D13347" t="s">
        <v>14</v>
      </c>
      <c r="E13347" t="s">
        <v>17864</v>
      </c>
    </row>
    <row r="13348" spans="1:6" x14ac:dyDescent="0.25">
      <c r="A13348" t="str">
        <f>"636500041724"</f>
        <v>636500041724</v>
      </c>
      <c r="B13348" t="s">
        <v>18544</v>
      </c>
      <c r="C13348" t="s">
        <v>7</v>
      </c>
      <c r="D13348" t="s">
        <v>14</v>
      </c>
      <c r="E13348" t="s">
        <v>17864</v>
      </c>
    </row>
    <row r="13349" spans="1:6" x14ac:dyDescent="0.25">
      <c r="A13349" t="str">
        <f>"636700168421"</f>
        <v>636700168421</v>
      </c>
      <c r="B13349" t="s">
        <v>18545</v>
      </c>
      <c r="C13349" t="s">
        <v>7</v>
      </c>
      <c r="D13349" t="s">
        <v>14</v>
      </c>
      <c r="E13349" t="s">
        <v>17864</v>
      </c>
    </row>
    <row r="13350" spans="1:6" x14ac:dyDescent="0.25">
      <c r="A13350" t="str">
        <f>"6367032375"</f>
        <v>6367032375</v>
      </c>
      <c r="B13350" t="s">
        <v>18546</v>
      </c>
      <c r="C13350" t="s">
        <v>7</v>
      </c>
      <c r="D13350" t="s">
        <v>33</v>
      </c>
      <c r="E13350" t="s">
        <v>17864</v>
      </c>
      <c r="F13350" t="s">
        <v>18547</v>
      </c>
    </row>
    <row r="13351" spans="1:6" x14ac:dyDescent="0.25">
      <c r="A13351" t="str">
        <f>"6367043313"</f>
        <v>6367043313</v>
      </c>
      <c r="B13351" t="s">
        <v>18548</v>
      </c>
      <c r="C13351" t="s">
        <v>7</v>
      </c>
      <c r="D13351" t="s">
        <v>14</v>
      </c>
      <c r="E13351" t="s">
        <v>17864</v>
      </c>
      <c r="F13351" t="s">
        <v>18549</v>
      </c>
    </row>
    <row r="13352" spans="1:6" x14ac:dyDescent="0.25">
      <c r="A13352" t="str">
        <f>"6372005560"</f>
        <v>6372005560</v>
      </c>
      <c r="B13352" t="s">
        <v>18550</v>
      </c>
      <c r="C13352" t="s">
        <v>7</v>
      </c>
      <c r="D13352" t="s">
        <v>12</v>
      </c>
      <c r="E13352" t="s">
        <v>17864</v>
      </c>
      <c r="F13352" t="s">
        <v>18551</v>
      </c>
    </row>
    <row r="13353" spans="1:6" x14ac:dyDescent="0.25">
      <c r="A13353" t="str">
        <f>"6372021989"</f>
        <v>6372021989</v>
      </c>
      <c r="B13353" t="s">
        <v>18552</v>
      </c>
      <c r="C13353" t="s">
        <v>7</v>
      </c>
      <c r="D13353" t="s">
        <v>14</v>
      </c>
      <c r="E13353" t="s">
        <v>17864</v>
      </c>
      <c r="F13353" t="s">
        <v>18553</v>
      </c>
    </row>
    <row r="13354" spans="1:6" x14ac:dyDescent="0.25">
      <c r="A13354" t="str">
        <f>"6376004102"</f>
        <v>6376004102</v>
      </c>
      <c r="B13354" t="s">
        <v>18554</v>
      </c>
      <c r="C13354" t="s">
        <v>7</v>
      </c>
      <c r="D13354" t="s">
        <v>12</v>
      </c>
      <c r="E13354" t="s">
        <v>17864</v>
      </c>
      <c r="F13354" t="s">
        <v>18555</v>
      </c>
    </row>
    <row r="13355" spans="1:6" x14ac:dyDescent="0.25">
      <c r="A13355" t="str">
        <f>"6376021563"</f>
        <v>6376021563</v>
      </c>
      <c r="B13355" t="s">
        <v>4490</v>
      </c>
      <c r="C13355" t="s">
        <v>7</v>
      </c>
      <c r="D13355" t="s">
        <v>33</v>
      </c>
      <c r="E13355" t="s">
        <v>17864</v>
      </c>
      <c r="F13355" t="s">
        <v>18556</v>
      </c>
    </row>
    <row r="13356" spans="1:6" x14ac:dyDescent="0.25">
      <c r="A13356" t="str">
        <f>"637603639853"</f>
        <v>637603639853</v>
      </c>
      <c r="B13356" t="s">
        <v>18557</v>
      </c>
      <c r="C13356" t="s">
        <v>7</v>
      </c>
      <c r="D13356" t="s">
        <v>14</v>
      </c>
      <c r="E13356" t="s">
        <v>17864</v>
      </c>
    </row>
    <row r="13357" spans="1:6" x14ac:dyDescent="0.25">
      <c r="A13357" t="str">
        <f>"637720704930"</f>
        <v>637720704930</v>
      </c>
      <c r="B13357" t="s">
        <v>18558</v>
      </c>
      <c r="C13357" t="s">
        <v>7</v>
      </c>
      <c r="D13357" t="s">
        <v>14</v>
      </c>
      <c r="E13357" t="s">
        <v>17864</v>
      </c>
    </row>
    <row r="13358" spans="1:6" x14ac:dyDescent="0.25">
      <c r="A13358" t="str">
        <f>"6382004319"</f>
        <v>6382004319</v>
      </c>
      <c r="B13358" t="s">
        <v>18559</v>
      </c>
      <c r="C13358" t="s">
        <v>7</v>
      </c>
      <c r="D13358" t="s">
        <v>14</v>
      </c>
      <c r="E13358" t="s">
        <v>17864</v>
      </c>
      <c r="F13358" t="s">
        <v>18560</v>
      </c>
    </row>
    <row r="13359" spans="1:6" x14ac:dyDescent="0.25">
      <c r="A13359" t="str">
        <f>"6382030439"</f>
        <v>6382030439</v>
      </c>
      <c r="B13359" t="s">
        <v>18561</v>
      </c>
      <c r="C13359" t="s">
        <v>7</v>
      </c>
      <c r="D13359" t="s">
        <v>14</v>
      </c>
      <c r="E13359" t="s">
        <v>17864</v>
      </c>
      <c r="F13359" t="s">
        <v>18562</v>
      </c>
    </row>
    <row r="13360" spans="1:6" x14ac:dyDescent="0.25">
      <c r="A13360" t="str">
        <f>"6382067189"</f>
        <v>6382067189</v>
      </c>
      <c r="B13360" t="s">
        <v>1386</v>
      </c>
      <c r="C13360" t="s">
        <v>7</v>
      </c>
      <c r="D13360" t="s">
        <v>12</v>
      </c>
      <c r="E13360" t="s">
        <v>17864</v>
      </c>
      <c r="F13360" t="s">
        <v>18563</v>
      </c>
    </row>
    <row r="13361" spans="1:6" x14ac:dyDescent="0.25">
      <c r="A13361" t="str">
        <f>"6382095637"</f>
        <v>6382095637</v>
      </c>
      <c r="B13361" t="s">
        <v>18564</v>
      </c>
      <c r="C13361" t="s">
        <v>7</v>
      </c>
      <c r="D13361" t="s">
        <v>12</v>
      </c>
      <c r="E13361" t="s">
        <v>17864</v>
      </c>
      <c r="F13361" t="s">
        <v>18565</v>
      </c>
    </row>
    <row r="13362" spans="1:6" x14ac:dyDescent="0.25">
      <c r="A13362" t="str">
        <f>"6382097761"</f>
        <v>6382097761</v>
      </c>
      <c r="B13362" t="s">
        <v>18566</v>
      </c>
      <c r="C13362" t="s">
        <v>7</v>
      </c>
      <c r="D13362" t="s">
        <v>33</v>
      </c>
      <c r="E13362" t="s">
        <v>17864</v>
      </c>
      <c r="F13362" t="s">
        <v>18567</v>
      </c>
    </row>
    <row r="13363" spans="1:6" x14ac:dyDescent="0.25">
      <c r="A13363" t="str">
        <f>"638400402353"</f>
        <v>638400402353</v>
      </c>
      <c r="B13363" t="s">
        <v>18568</v>
      </c>
      <c r="C13363" t="s">
        <v>7</v>
      </c>
      <c r="D13363" t="s">
        <v>14</v>
      </c>
      <c r="E13363" t="s">
        <v>17864</v>
      </c>
    </row>
    <row r="13364" spans="1:6" x14ac:dyDescent="0.25">
      <c r="A13364" t="str">
        <f>"6385002285"</f>
        <v>6385002285</v>
      </c>
      <c r="B13364" t="s">
        <v>18569</v>
      </c>
      <c r="C13364" t="s">
        <v>7</v>
      </c>
      <c r="D13364" t="s">
        <v>14</v>
      </c>
      <c r="E13364" t="s">
        <v>17864</v>
      </c>
      <c r="F13364" t="s">
        <v>18570</v>
      </c>
    </row>
    <row r="13365" spans="1:6" x14ac:dyDescent="0.25">
      <c r="A13365" t="str">
        <f>"638500797070"</f>
        <v>638500797070</v>
      </c>
      <c r="B13365" t="s">
        <v>18571</v>
      </c>
      <c r="C13365" t="s">
        <v>7</v>
      </c>
      <c r="D13365" t="s">
        <v>14</v>
      </c>
      <c r="E13365" t="s">
        <v>17864</v>
      </c>
    </row>
    <row r="13366" spans="1:6" x14ac:dyDescent="0.25">
      <c r="A13366" t="str">
        <f>"6453105316"</f>
        <v>6453105316</v>
      </c>
      <c r="B13366" t="s">
        <v>18572</v>
      </c>
      <c r="C13366" t="s">
        <v>7</v>
      </c>
      <c r="D13366" t="s">
        <v>33</v>
      </c>
      <c r="E13366" t="s">
        <v>17864</v>
      </c>
      <c r="F13366" t="s">
        <v>18573</v>
      </c>
    </row>
    <row r="13367" spans="1:6" x14ac:dyDescent="0.25">
      <c r="A13367" t="str">
        <f>"380602194899"</f>
        <v>380602194899</v>
      </c>
      <c r="B13367" t="s">
        <v>18574</v>
      </c>
      <c r="C13367" t="s">
        <v>7</v>
      </c>
      <c r="D13367" t="s">
        <v>12</v>
      </c>
      <c r="E13367" t="s">
        <v>17864</v>
      </c>
    </row>
    <row r="13368" spans="1:6" x14ac:dyDescent="0.25">
      <c r="A13368" t="str">
        <f>"5610117030"</f>
        <v>5610117030</v>
      </c>
      <c r="B13368" t="s">
        <v>18575</v>
      </c>
      <c r="C13368" t="s">
        <v>7</v>
      </c>
      <c r="D13368" t="s">
        <v>12</v>
      </c>
      <c r="E13368" t="s">
        <v>17864</v>
      </c>
      <c r="F13368" t="s">
        <v>18576</v>
      </c>
    </row>
    <row r="13369" spans="1:6" x14ac:dyDescent="0.25">
      <c r="A13369" t="str">
        <f>"561802546782"</f>
        <v>561802546782</v>
      </c>
      <c r="B13369" t="s">
        <v>18577</v>
      </c>
      <c r="C13369" t="s">
        <v>7</v>
      </c>
      <c r="D13369" t="s">
        <v>14</v>
      </c>
      <c r="E13369" t="s">
        <v>17864</v>
      </c>
    </row>
    <row r="13370" spans="1:6" x14ac:dyDescent="0.25">
      <c r="A13370" t="str">
        <f>"7816739712"</f>
        <v>7816739712</v>
      </c>
      <c r="B13370" t="s">
        <v>18578</v>
      </c>
      <c r="C13370" t="s">
        <v>7</v>
      </c>
      <c r="D13370" t="s">
        <v>14</v>
      </c>
      <c r="E13370" t="s">
        <v>17864</v>
      </c>
      <c r="F13370" t="s">
        <v>18579</v>
      </c>
    </row>
    <row r="13371" spans="1:6" x14ac:dyDescent="0.25">
      <c r="A13371" t="str">
        <f>"380202578971"</f>
        <v>380202578971</v>
      </c>
      <c r="B13371" t="s">
        <v>18580</v>
      </c>
      <c r="C13371" t="s">
        <v>7</v>
      </c>
      <c r="D13371" t="s">
        <v>14</v>
      </c>
      <c r="E13371" t="s">
        <v>17864</v>
      </c>
    </row>
    <row r="13372" spans="1:6" x14ac:dyDescent="0.25">
      <c r="A13372" t="str">
        <f>"7327039680"</f>
        <v>7327039680</v>
      </c>
      <c r="B13372" t="s">
        <v>18581</v>
      </c>
      <c r="C13372" t="s">
        <v>7</v>
      </c>
      <c r="D13372" t="s">
        <v>33</v>
      </c>
      <c r="E13372" t="s">
        <v>17864</v>
      </c>
      <c r="F13372" t="s">
        <v>18582</v>
      </c>
    </row>
    <row r="13373" spans="1:6" x14ac:dyDescent="0.25">
      <c r="A13373" t="str">
        <f>"590300261565"</f>
        <v>590300261565</v>
      </c>
      <c r="B13373" t="s">
        <v>18583</v>
      </c>
      <c r="C13373" t="s">
        <v>7</v>
      </c>
      <c r="D13373" t="s">
        <v>14</v>
      </c>
      <c r="E13373" t="s">
        <v>17864</v>
      </c>
    </row>
    <row r="13374" spans="1:6" x14ac:dyDescent="0.25">
      <c r="A13374" t="str">
        <f>"860213834900"</f>
        <v>860213834900</v>
      </c>
      <c r="B13374" t="s">
        <v>18584</v>
      </c>
      <c r="C13374" t="s">
        <v>7</v>
      </c>
      <c r="D13374" t="s">
        <v>33</v>
      </c>
      <c r="E13374" t="s">
        <v>17864</v>
      </c>
    </row>
    <row r="13375" spans="1:6" x14ac:dyDescent="0.25">
      <c r="A13375" t="str">
        <f>"720600010210"</f>
        <v>720600010210</v>
      </c>
      <c r="B13375" t="s">
        <v>18585</v>
      </c>
      <c r="C13375" t="s">
        <v>7</v>
      </c>
      <c r="D13375" t="s">
        <v>14</v>
      </c>
      <c r="E13375" t="s">
        <v>17864</v>
      </c>
    </row>
    <row r="13376" spans="1:6" x14ac:dyDescent="0.25">
      <c r="A13376" t="str">
        <f>"665909149347"</f>
        <v>665909149347</v>
      </c>
      <c r="B13376" t="s">
        <v>18586</v>
      </c>
      <c r="C13376" t="s">
        <v>7</v>
      </c>
      <c r="D13376" t="s">
        <v>14</v>
      </c>
      <c r="E13376" t="s">
        <v>17864</v>
      </c>
    </row>
    <row r="13377" spans="1:6" x14ac:dyDescent="0.25">
      <c r="A13377" t="str">
        <f>"245729150205"</f>
        <v>245729150205</v>
      </c>
      <c r="B13377" t="s">
        <v>18587</v>
      </c>
      <c r="C13377" t="s">
        <v>7</v>
      </c>
      <c r="D13377" t="s">
        <v>14</v>
      </c>
      <c r="E13377" t="s">
        <v>18588</v>
      </c>
    </row>
    <row r="13378" spans="1:6" x14ac:dyDescent="0.25">
      <c r="A13378" t="str">
        <f>"701400111108"</f>
        <v>701400111108</v>
      </c>
      <c r="B13378" t="s">
        <v>18589</v>
      </c>
      <c r="C13378" t="s">
        <v>7</v>
      </c>
      <c r="D13378" t="s">
        <v>12</v>
      </c>
      <c r="E13378" t="s">
        <v>18588</v>
      </c>
    </row>
    <row r="13379" spans="1:6" x14ac:dyDescent="0.25">
      <c r="A13379" t="str">
        <f>"7729671401"</f>
        <v>7729671401</v>
      </c>
      <c r="B13379" t="s">
        <v>18590</v>
      </c>
      <c r="C13379" t="s">
        <v>7</v>
      </c>
      <c r="D13379" t="s">
        <v>12</v>
      </c>
      <c r="E13379" t="s">
        <v>18588</v>
      </c>
      <c r="F13379" t="s">
        <v>18591</v>
      </c>
    </row>
    <row r="13380" spans="1:6" x14ac:dyDescent="0.25">
      <c r="A13380" t="str">
        <f>"202900423625"</f>
        <v>202900423625</v>
      </c>
      <c r="B13380" t="s">
        <v>18592</v>
      </c>
      <c r="C13380" t="s">
        <v>7</v>
      </c>
      <c r="D13380" t="s">
        <v>14</v>
      </c>
      <c r="E13380" t="s">
        <v>18588</v>
      </c>
    </row>
    <row r="13381" spans="1:6" x14ac:dyDescent="0.25">
      <c r="A13381" t="str">
        <f>"362300278896"</f>
        <v>362300278896</v>
      </c>
      <c r="B13381" t="s">
        <v>18593</v>
      </c>
      <c r="C13381" t="s">
        <v>7</v>
      </c>
      <c r="D13381" t="s">
        <v>14</v>
      </c>
      <c r="E13381" t="s">
        <v>18588</v>
      </c>
    </row>
    <row r="13382" spans="1:6" x14ac:dyDescent="0.25">
      <c r="A13382" t="str">
        <f>"6325066260"</f>
        <v>6325066260</v>
      </c>
      <c r="B13382" t="s">
        <v>18594</v>
      </c>
      <c r="C13382" t="s">
        <v>7</v>
      </c>
      <c r="D13382" t="s">
        <v>463</v>
      </c>
      <c r="E13382" t="s">
        <v>18588</v>
      </c>
      <c r="F13382" t="s">
        <v>18595</v>
      </c>
    </row>
    <row r="13383" spans="1:6" x14ac:dyDescent="0.25">
      <c r="A13383" t="str">
        <f>"641301916802"</f>
        <v>641301916802</v>
      </c>
      <c r="B13383" t="s">
        <v>18596</v>
      </c>
      <c r="C13383" t="s">
        <v>7</v>
      </c>
      <c r="D13383" t="s">
        <v>14</v>
      </c>
      <c r="E13383" t="s">
        <v>18588</v>
      </c>
    </row>
    <row r="13384" spans="1:6" x14ac:dyDescent="0.25">
      <c r="A13384" t="str">
        <f>"641400121532"</f>
        <v>641400121532</v>
      </c>
      <c r="B13384" t="s">
        <v>18597</v>
      </c>
      <c r="C13384" t="s">
        <v>7</v>
      </c>
      <c r="D13384" t="s">
        <v>14</v>
      </c>
      <c r="E13384" t="s">
        <v>18588</v>
      </c>
    </row>
    <row r="13385" spans="1:6" x14ac:dyDescent="0.25">
      <c r="A13385" t="str">
        <f>"641500017535"</f>
        <v>641500017535</v>
      </c>
      <c r="B13385" t="s">
        <v>18598</v>
      </c>
      <c r="C13385" t="s">
        <v>7</v>
      </c>
      <c r="D13385" t="s">
        <v>14</v>
      </c>
      <c r="E13385" t="s">
        <v>18588</v>
      </c>
    </row>
    <row r="13386" spans="1:6" x14ac:dyDescent="0.25">
      <c r="A13386" t="str">
        <f>"641500102685"</f>
        <v>641500102685</v>
      </c>
      <c r="B13386" t="s">
        <v>18599</v>
      </c>
      <c r="C13386" t="s">
        <v>7</v>
      </c>
      <c r="D13386" t="s">
        <v>14</v>
      </c>
      <c r="E13386" t="s">
        <v>18588</v>
      </c>
    </row>
    <row r="13387" spans="1:6" x14ac:dyDescent="0.25">
      <c r="A13387" t="str">
        <f>"641511360624"</f>
        <v>641511360624</v>
      </c>
      <c r="B13387" t="s">
        <v>18600</v>
      </c>
      <c r="C13387" t="s">
        <v>7</v>
      </c>
      <c r="D13387" t="s">
        <v>14</v>
      </c>
      <c r="E13387" t="s">
        <v>18588</v>
      </c>
    </row>
    <row r="13388" spans="1:6" x14ac:dyDescent="0.25">
      <c r="A13388" t="str">
        <f>"641901798702"</f>
        <v>641901798702</v>
      </c>
      <c r="B13388" t="s">
        <v>18601</v>
      </c>
      <c r="C13388" t="s">
        <v>7</v>
      </c>
      <c r="D13388" t="s">
        <v>12</v>
      </c>
      <c r="E13388" t="s">
        <v>18588</v>
      </c>
    </row>
    <row r="13389" spans="1:6" x14ac:dyDescent="0.25">
      <c r="A13389" t="str">
        <f>"642101498451"</f>
        <v>642101498451</v>
      </c>
      <c r="B13389" t="s">
        <v>18602</v>
      </c>
      <c r="C13389" t="s">
        <v>7</v>
      </c>
      <c r="D13389" t="s">
        <v>14</v>
      </c>
      <c r="E13389" t="s">
        <v>18588</v>
      </c>
    </row>
    <row r="13390" spans="1:6" x14ac:dyDescent="0.25">
      <c r="A13390" t="str">
        <f>"642628954999"</f>
        <v>642628954999</v>
      </c>
      <c r="B13390" t="s">
        <v>18603</v>
      </c>
      <c r="C13390" t="s">
        <v>7</v>
      </c>
      <c r="D13390" t="s">
        <v>14</v>
      </c>
      <c r="E13390" t="s">
        <v>18588</v>
      </c>
    </row>
    <row r="13391" spans="1:6" x14ac:dyDescent="0.25">
      <c r="A13391" t="str">
        <f>"6432018246"</f>
        <v>6432018246</v>
      </c>
      <c r="B13391" t="s">
        <v>18604</v>
      </c>
      <c r="C13391" t="s">
        <v>7</v>
      </c>
      <c r="D13391" t="s">
        <v>189</v>
      </c>
      <c r="E13391" t="s">
        <v>18588</v>
      </c>
      <c r="F13391" t="s">
        <v>18605</v>
      </c>
    </row>
    <row r="13392" spans="1:6" x14ac:dyDescent="0.25">
      <c r="A13392" t="str">
        <f>"643300003401"</f>
        <v>643300003401</v>
      </c>
      <c r="B13392" t="s">
        <v>18606</v>
      </c>
      <c r="C13392" t="s">
        <v>7</v>
      </c>
      <c r="D13392" t="s">
        <v>14</v>
      </c>
      <c r="E13392" t="s">
        <v>18588</v>
      </c>
    </row>
    <row r="13393" spans="1:6" x14ac:dyDescent="0.25">
      <c r="A13393" t="str">
        <f>"643301211362"</f>
        <v>643301211362</v>
      </c>
      <c r="B13393" t="s">
        <v>18607</v>
      </c>
      <c r="C13393" t="s">
        <v>7</v>
      </c>
      <c r="D13393" t="s">
        <v>12</v>
      </c>
      <c r="E13393" t="s">
        <v>18588</v>
      </c>
    </row>
    <row r="13394" spans="1:6" x14ac:dyDescent="0.25">
      <c r="A13394" t="str">
        <f>"6438905935"</f>
        <v>6438905935</v>
      </c>
      <c r="B13394" t="s">
        <v>13036</v>
      </c>
      <c r="C13394" t="s">
        <v>7</v>
      </c>
      <c r="D13394" t="s">
        <v>14</v>
      </c>
      <c r="E13394" t="s">
        <v>18588</v>
      </c>
      <c r="F13394" t="s">
        <v>18608</v>
      </c>
    </row>
    <row r="13395" spans="1:6" x14ac:dyDescent="0.25">
      <c r="A13395" t="str">
        <f>"643900326034"</f>
        <v>643900326034</v>
      </c>
      <c r="B13395" t="s">
        <v>18609</v>
      </c>
      <c r="C13395" t="s">
        <v>7</v>
      </c>
      <c r="D13395" t="s">
        <v>14</v>
      </c>
      <c r="E13395" t="s">
        <v>18588</v>
      </c>
    </row>
    <row r="13396" spans="1:6" x14ac:dyDescent="0.25">
      <c r="A13396" t="str">
        <f>"643900378667"</f>
        <v>643900378667</v>
      </c>
      <c r="B13396" t="s">
        <v>18610</v>
      </c>
      <c r="C13396" t="s">
        <v>7</v>
      </c>
      <c r="D13396" t="s">
        <v>14</v>
      </c>
      <c r="E13396" t="s">
        <v>18588</v>
      </c>
    </row>
    <row r="13397" spans="1:6" x14ac:dyDescent="0.25">
      <c r="A13397" t="str">
        <f>"643900504015"</f>
        <v>643900504015</v>
      </c>
      <c r="B13397" t="s">
        <v>18611</v>
      </c>
      <c r="C13397" t="s">
        <v>7</v>
      </c>
      <c r="D13397" t="s">
        <v>14</v>
      </c>
      <c r="E13397" t="s">
        <v>18588</v>
      </c>
    </row>
    <row r="13398" spans="1:6" x14ac:dyDescent="0.25">
      <c r="A13398" t="str">
        <f>"6439075010"</f>
        <v>6439075010</v>
      </c>
      <c r="B13398" t="s">
        <v>18612</v>
      </c>
      <c r="C13398" t="s">
        <v>7</v>
      </c>
      <c r="D13398" t="s">
        <v>14</v>
      </c>
      <c r="E13398" t="s">
        <v>18588</v>
      </c>
      <c r="F13398" t="s">
        <v>18613</v>
      </c>
    </row>
    <row r="13399" spans="1:6" x14ac:dyDescent="0.25">
      <c r="A13399" t="str">
        <f>"6439078082"</f>
        <v>6439078082</v>
      </c>
      <c r="B13399" t="s">
        <v>18614</v>
      </c>
      <c r="C13399" t="s">
        <v>7</v>
      </c>
      <c r="D13399" t="s">
        <v>674</v>
      </c>
      <c r="E13399" t="s">
        <v>18588</v>
      </c>
      <c r="F13399" t="s">
        <v>18615</v>
      </c>
    </row>
    <row r="13400" spans="1:6" x14ac:dyDescent="0.25">
      <c r="A13400" t="str">
        <f>"6439092947"</f>
        <v>6439092947</v>
      </c>
      <c r="B13400" t="s">
        <v>18616</v>
      </c>
      <c r="C13400" t="s">
        <v>7</v>
      </c>
      <c r="D13400" t="s">
        <v>33</v>
      </c>
      <c r="E13400" t="s">
        <v>18588</v>
      </c>
      <c r="F13400" t="s">
        <v>18617</v>
      </c>
    </row>
    <row r="13401" spans="1:6" x14ac:dyDescent="0.25">
      <c r="A13401" t="str">
        <f>"643909849303"</f>
        <v>643909849303</v>
      </c>
      <c r="B13401" t="s">
        <v>18618</v>
      </c>
      <c r="C13401" t="s">
        <v>7</v>
      </c>
      <c r="D13401" t="s">
        <v>14</v>
      </c>
      <c r="E13401" t="s">
        <v>18588</v>
      </c>
    </row>
    <row r="13402" spans="1:6" x14ac:dyDescent="0.25">
      <c r="A13402" t="str">
        <f>"643910962303"</f>
        <v>643910962303</v>
      </c>
      <c r="B13402" t="s">
        <v>18619</v>
      </c>
      <c r="C13402" t="s">
        <v>7</v>
      </c>
      <c r="D13402" t="s">
        <v>33</v>
      </c>
      <c r="E13402" t="s">
        <v>18588</v>
      </c>
    </row>
    <row r="13403" spans="1:6" x14ac:dyDescent="0.25">
      <c r="A13403" t="str">
        <f>"643914830139"</f>
        <v>643914830139</v>
      </c>
      <c r="B13403" t="s">
        <v>18620</v>
      </c>
      <c r="C13403" t="s">
        <v>7</v>
      </c>
      <c r="D13403" t="s">
        <v>14</v>
      </c>
      <c r="E13403" t="s">
        <v>18588</v>
      </c>
    </row>
    <row r="13404" spans="1:6" x14ac:dyDescent="0.25">
      <c r="A13404" t="str">
        <f>"643921525506"</f>
        <v>643921525506</v>
      </c>
      <c r="B13404" t="s">
        <v>18621</v>
      </c>
      <c r="C13404" t="s">
        <v>7</v>
      </c>
      <c r="D13404" t="s">
        <v>14</v>
      </c>
      <c r="E13404" t="s">
        <v>18588</v>
      </c>
    </row>
    <row r="13405" spans="1:6" x14ac:dyDescent="0.25">
      <c r="A13405" t="str">
        <f>"643966797002"</f>
        <v>643966797002</v>
      </c>
      <c r="B13405" t="s">
        <v>18622</v>
      </c>
      <c r="C13405" t="s">
        <v>7</v>
      </c>
      <c r="D13405" t="s">
        <v>14</v>
      </c>
      <c r="E13405" t="s">
        <v>18588</v>
      </c>
    </row>
    <row r="13406" spans="1:6" x14ac:dyDescent="0.25">
      <c r="A13406" t="str">
        <f>"643969676670"</f>
        <v>643969676670</v>
      </c>
      <c r="B13406" t="s">
        <v>18623</v>
      </c>
      <c r="C13406" t="s">
        <v>7</v>
      </c>
      <c r="D13406" t="s">
        <v>14</v>
      </c>
      <c r="E13406" t="s">
        <v>18588</v>
      </c>
    </row>
    <row r="13407" spans="1:6" x14ac:dyDescent="0.25">
      <c r="A13407" t="str">
        <f>"644003064611"</f>
        <v>644003064611</v>
      </c>
      <c r="B13407" t="s">
        <v>18624</v>
      </c>
      <c r="C13407" t="s">
        <v>7</v>
      </c>
      <c r="D13407" t="s">
        <v>14</v>
      </c>
      <c r="E13407" t="s">
        <v>18588</v>
      </c>
    </row>
    <row r="13408" spans="1:6" x14ac:dyDescent="0.25">
      <c r="A13408" t="str">
        <f>"644105648310"</f>
        <v>644105648310</v>
      </c>
      <c r="B13408" t="s">
        <v>18625</v>
      </c>
      <c r="C13408" t="s">
        <v>7</v>
      </c>
      <c r="D13408" t="s">
        <v>14</v>
      </c>
      <c r="E13408" t="s">
        <v>18588</v>
      </c>
    </row>
    <row r="13409" spans="1:6" x14ac:dyDescent="0.25">
      <c r="A13409" t="str">
        <f>"644106106616"</f>
        <v>644106106616</v>
      </c>
      <c r="B13409" t="s">
        <v>18626</v>
      </c>
      <c r="C13409" t="s">
        <v>7</v>
      </c>
      <c r="D13409" t="s">
        <v>12</v>
      </c>
      <c r="E13409" t="s">
        <v>18588</v>
      </c>
    </row>
    <row r="13410" spans="1:6" x14ac:dyDescent="0.25">
      <c r="A13410" t="str">
        <f>"644201193898"</f>
        <v>644201193898</v>
      </c>
      <c r="B13410" t="s">
        <v>18627</v>
      </c>
      <c r="C13410" t="s">
        <v>7</v>
      </c>
      <c r="D13410" t="s">
        <v>14</v>
      </c>
      <c r="E13410" t="s">
        <v>18588</v>
      </c>
    </row>
    <row r="13411" spans="1:6" x14ac:dyDescent="0.25">
      <c r="A13411" t="str">
        <f>"6443000145"</f>
        <v>6443000145</v>
      </c>
      <c r="B13411" t="s">
        <v>18628</v>
      </c>
      <c r="C13411" t="s">
        <v>7</v>
      </c>
      <c r="D13411" t="s">
        <v>14</v>
      </c>
      <c r="E13411" t="s">
        <v>18588</v>
      </c>
      <c r="F13411" t="s">
        <v>18629</v>
      </c>
    </row>
    <row r="13412" spans="1:6" x14ac:dyDescent="0.25">
      <c r="A13412" t="str">
        <f>"644402169510"</f>
        <v>644402169510</v>
      </c>
      <c r="B13412" t="s">
        <v>18630</v>
      </c>
      <c r="C13412" t="s">
        <v>7</v>
      </c>
      <c r="D13412" t="s">
        <v>14</v>
      </c>
      <c r="E13412" t="s">
        <v>18588</v>
      </c>
    </row>
    <row r="13413" spans="1:6" x14ac:dyDescent="0.25">
      <c r="A13413" t="str">
        <f>"641097314139"</f>
        <v>641097314139</v>
      </c>
      <c r="B13413" t="s">
        <v>18631</v>
      </c>
      <c r="C13413" t="s">
        <v>7</v>
      </c>
      <c r="D13413" t="s">
        <v>14</v>
      </c>
      <c r="E13413" t="s">
        <v>18588</v>
      </c>
    </row>
    <row r="13414" spans="1:6" x14ac:dyDescent="0.25">
      <c r="A13414" t="str">
        <f>"641101785077"</f>
        <v>641101785077</v>
      </c>
      <c r="B13414" t="s">
        <v>18632</v>
      </c>
      <c r="C13414" t="s">
        <v>7</v>
      </c>
      <c r="D13414" t="s">
        <v>98</v>
      </c>
      <c r="E13414" t="s">
        <v>18588</v>
      </c>
    </row>
    <row r="13415" spans="1:6" x14ac:dyDescent="0.25">
      <c r="A13415" t="str">
        <f>"641200766886"</f>
        <v>641200766886</v>
      </c>
      <c r="B13415" t="s">
        <v>18633</v>
      </c>
      <c r="C13415" t="s">
        <v>7</v>
      </c>
      <c r="D13415" t="s">
        <v>33</v>
      </c>
      <c r="E13415" t="s">
        <v>18588</v>
      </c>
    </row>
    <row r="13416" spans="1:6" x14ac:dyDescent="0.25">
      <c r="A13416" t="str">
        <f>"641301860701"</f>
        <v>641301860701</v>
      </c>
      <c r="B13416" t="s">
        <v>18634</v>
      </c>
      <c r="C13416" t="s">
        <v>7</v>
      </c>
      <c r="D13416" t="s">
        <v>14</v>
      </c>
      <c r="E13416" t="s">
        <v>18588</v>
      </c>
    </row>
    <row r="13417" spans="1:6" x14ac:dyDescent="0.25">
      <c r="A13417" t="str">
        <f>"641305657764"</f>
        <v>641305657764</v>
      </c>
      <c r="B13417" t="s">
        <v>18635</v>
      </c>
      <c r="C13417" t="s">
        <v>7</v>
      </c>
      <c r="D13417" t="s">
        <v>14</v>
      </c>
      <c r="E13417" t="s">
        <v>18588</v>
      </c>
    </row>
    <row r="13418" spans="1:6" x14ac:dyDescent="0.25">
      <c r="A13418" t="str">
        <f>"6414005188"</f>
        <v>6414005188</v>
      </c>
      <c r="B13418" t="s">
        <v>18636</v>
      </c>
      <c r="C13418" t="s">
        <v>7</v>
      </c>
      <c r="D13418" t="s">
        <v>14</v>
      </c>
      <c r="E13418" t="s">
        <v>18588</v>
      </c>
      <c r="F13418" t="s">
        <v>18637</v>
      </c>
    </row>
    <row r="13419" spans="1:6" x14ac:dyDescent="0.25">
      <c r="A13419" t="str">
        <f>"6415902864"</f>
        <v>6415902864</v>
      </c>
      <c r="B13419" t="s">
        <v>18638</v>
      </c>
      <c r="C13419" t="s">
        <v>7</v>
      </c>
      <c r="D13419" t="s">
        <v>14</v>
      </c>
      <c r="E13419" t="s">
        <v>18588</v>
      </c>
      <c r="F13419" t="s">
        <v>18639</v>
      </c>
    </row>
    <row r="13420" spans="1:6" x14ac:dyDescent="0.25">
      <c r="A13420" t="str">
        <f>"643100013843"</f>
        <v>643100013843</v>
      </c>
      <c r="B13420" t="s">
        <v>18640</v>
      </c>
      <c r="C13420" t="s">
        <v>7</v>
      </c>
      <c r="D13420" t="s">
        <v>14</v>
      </c>
      <c r="E13420" t="s">
        <v>18588</v>
      </c>
    </row>
    <row r="13421" spans="1:6" x14ac:dyDescent="0.25">
      <c r="A13421" t="str">
        <f>"6432017997"</f>
        <v>6432017997</v>
      </c>
      <c r="B13421" t="s">
        <v>18641</v>
      </c>
      <c r="C13421" t="s">
        <v>7</v>
      </c>
      <c r="D13421" t="s">
        <v>14</v>
      </c>
      <c r="E13421" t="s">
        <v>18588</v>
      </c>
      <c r="F13421" t="s">
        <v>18642</v>
      </c>
    </row>
    <row r="13422" spans="1:6" x14ac:dyDescent="0.25">
      <c r="A13422" t="str">
        <f>"6432512342"</f>
        <v>6432512342</v>
      </c>
      <c r="B13422" t="s">
        <v>18643</v>
      </c>
      <c r="C13422" t="s">
        <v>7</v>
      </c>
      <c r="D13422" t="s">
        <v>14</v>
      </c>
      <c r="E13422" t="s">
        <v>18588</v>
      </c>
      <c r="F13422" t="s">
        <v>18644</v>
      </c>
    </row>
    <row r="13423" spans="1:6" x14ac:dyDescent="0.25">
      <c r="A13423" t="str">
        <f>"643301762627"</f>
        <v>643301762627</v>
      </c>
      <c r="B13423" t="s">
        <v>18645</v>
      </c>
      <c r="C13423" t="s">
        <v>7</v>
      </c>
      <c r="D13423" t="s">
        <v>14</v>
      </c>
      <c r="E13423" t="s">
        <v>18588</v>
      </c>
    </row>
    <row r="13424" spans="1:6" x14ac:dyDescent="0.25">
      <c r="A13424" t="str">
        <f>"6434013719"</f>
        <v>6434013719</v>
      </c>
      <c r="B13424" t="s">
        <v>18646</v>
      </c>
      <c r="C13424" t="s">
        <v>7</v>
      </c>
      <c r="D13424" t="s">
        <v>14</v>
      </c>
      <c r="E13424" t="s">
        <v>18588</v>
      </c>
      <c r="F13424" t="s">
        <v>18647</v>
      </c>
    </row>
    <row r="13425" spans="1:6" x14ac:dyDescent="0.25">
      <c r="A13425" t="str">
        <f>"643800095633"</f>
        <v>643800095633</v>
      </c>
      <c r="B13425" t="s">
        <v>18648</v>
      </c>
      <c r="C13425" t="s">
        <v>7</v>
      </c>
      <c r="D13425" t="s">
        <v>14</v>
      </c>
      <c r="E13425" t="s">
        <v>18588</v>
      </c>
    </row>
    <row r="13426" spans="1:6" x14ac:dyDescent="0.25">
      <c r="A13426" t="str">
        <f>"643800354824"</f>
        <v>643800354824</v>
      </c>
      <c r="B13426" t="s">
        <v>18649</v>
      </c>
      <c r="C13426" t="s">
        <v>7</v>
      </c>
      <c r="D13426" t="s">
        <v>14</v>
      </c>
      <c r="E13426" t="s">
        <v>18588</v>
      </c>
    </row>
    <row r="13427" spans="1:6" x14ac:dyDescent="0.25">
      <c r="A13427" t="str">
        <f>"6439049589"</f>
        <v>6439049589</v>
      </c>
      <c r="B13427" t="s">
        <v>18650</v>
      </c>
      <c r="C13427" t="s">
        <v>7</v>
      </c>
      <c r="D13427" t="s">
        <v>14</v>
      </c>
      <c r="E13427" t="s">
        <v>18588</v>
      </c>
      <c r="F13427" t="s">
        <v>18651</v>
      </c>
    </row>
    <row r="13428" spans="1:6" x14ac:dyDescent="0.25">
      <c r="A13428" t="str">
        <f>"6439066270"</f>
        <v>6439066270</v>
      </c>
      <c r="B13428" t="s">
        <v>18652</v>
      </c>
      <c r="C13428" t="s">
        <v>7</v>
      </c>
      <c r="D13428" t="s">
        <v>33</v>
      </c>
      <c r="E13428" t="s">
        <v>18588</v>
      </c>
      <c r="F13428" t="s">
        <v>18653</v>
      </c>
    </row>
    <row r="13429" spans="1:6" x14ac:dyDescent="0.25">
      <c r="A13429" t="str">
        <f>"6439103532"</f>
        <v>6439103532</v>
      </c>
      <c r="B13429" t="s">
        <v>18654</v>
      </c>
      <c r="C13429" t="s">
        <v>7</v>
      </c>
      <c r="D13429" t="s">
        <v>14</v>
      </c>
      <c r="E13429" t="s">
        <v>18588</v>
      </c>
      <c r="F13429" t="s">
        <v>18655</v>
      </c>
    </row>
    <row r="13430" spans="1:6" x14ac:dyDescent="0.25">
      <c r="A13430" t="str">
        <f>"6439103797"</f>
        <v>6439103797</v>
      </c>
      <c r="B13430" t="s">
        <v>14096</v>
      </c>
      <c r="C13430" t="s">
        <v>7</v>
      </c>
      <c r="D13430" t="s">
        <v>33</v>
      </c>
      <c r="E13430" t="s">
        <v>18588</v>
      </c>
      <c r="F13430" t="s">
        <v>18656</v>
      </c>
    </row>
    <row r="13431" spans="1:6" x14ac:dyDescent="0.25">
      <c r="A13431" t="str">
        <f>"643911275906"</f>
        <v>643911275906</v>
      </c>
      <c r="B13431" t="s">
        <v>18657</v>
      </c>
      <c r="C13431" t="s">
        <v>7</v>
      </c>
      <c r="D13431" t="s">
        <v>12</v>
      </c>
      <c r="E13431" t="s">
        <v>18588</v>
      </c>
    </row>
    <row r="13432" spans="1:6" x14ac:dyDescent="0.25">
      <c r="A13432" t="str">
        <f>"643914062279"</f>
        <v>643914062279</v>
      </c>
      <c r="B13432" t="s">
        <v>18658</v>
      </c>
      <c r="C13432" t="s">
        <v>7</v>
      </c>
      <c r="D13432" t="s">
        <v>14</v>
      </c>
      <c r="E13432" t="s">
        <v>18588</v>
      </c>
    </row>
    <row r="13433" spans="1:6" x14ac:dyDescent="0.25">
      <c r="A13433" t="str">
        <f>"643968976744"</f>
        <v>643968976744</v>
      </c>
      <c r="B13433" t="s">
        <v>18659</v>
      </c>
      <c r="C13433" t="s">
        <v>7</v>
      </c>
      <c r="D13433" t="s">
        <v>33</v>
      </c>
      <c r="E13433" t="s">
        <v>18588</v>
      </c>
    </row>
    <row r="13434" spans="1:6" x14ac:dyDescent="0.25">
      <c r="A13434" t="str">
        <f>"644010816510"</f>
        <v>644010816510</v>
      </c>
      <c r="B13434" t="s">
        <v>18660</v>
      </c>
      <c r="C13434" t="s">
        <v>7</v>
      </c>
      <c r="D13434" t="s">
        <v>14</v>
      </c>
      <c r="E13434" t="s">
        <v>18588</v>
      </c>
    </row>
    <row r="13435" spans="1:6" x14ac:dyDescent="0.25">
      <c r="A13435" t="str">
        <f>"644200017963"</f>
        <v>644200017963</v>
      </c>
      <c r="B13435" t="s">
        <v>18661</v>
      </c>
      <c r="C13435" t="s">
        <v>7</v>
      </c>
      <c r="D13435" t="s">
        <v>14</v>
      </c>
      <c r="E13435" t="s">
        <v>18588</v>
      </c>
    </row>
    <row r="13436" spans="1:6" x14ac:dyDescent="0.25">
      <c r="A13436" t="str">
        <f>"643203710564"</f>
        <v>643203710564</v>
      </c>
      <c r="B13436" t="s">
        <v>18662</v>
      </c>
      <c r="C13436" t="s">
        <v>7</v>
      </c>
      <c r="D13436" t="s">
        <v>14</v>
      </c>
      <c r="E13436" t="s">
        <v>18588</v>
      </c>
    </row>
    <row r="13437" spans="1:6" x14ac:dyDescent="0.25">
      <c r="A13437" t="str">
        <f>"643900564504"</f>
        <v>643900564504</v>
      </c>
      <c r="B13437" t="s">
        <v>18663</v>
      </c>
      <c r="C13437" t="s">
        <v>7</v>
      </c>
      <c r="D13437" t="s">
        <v>14</v>
      </c>
      <c r="E13437" t="s">
        <v>18588</v>
      </c>
    </row>
    <row r="13438" spans="1:6" x14ac:dyDescent="0.25">
      <c r="A13438" t="str">
        <f>"6439101327"</f>
        <v>6439101327</v>
      </c>
      <c r="B13438" t="s">
        <v>3810</v>
      </c>
      <c r="C13438" t="s">
        <v>7</v>
      </c>
      <c r="D13438" t="s">
        <v>12</v>
      </c>
      <c r="E13438" t="s">
        <v>18588</v>
      </c>
      <c r="F13438" t="s">
        <v>18664</v>
      </c>
    </row>
    <row r="13439" spans="1:6" x14ac:dyDescent="0.25">
      <c r="A13439" t="str">
        <f>"6445035707"</f>
        <v>6445035707</v>
      </c>
      <c r="B13439" t="s">
        <v>18665</v>
      </c>
      <c r="C13439" t="s">
        <v>7</v>
      </c>
      <c r="D13439" t="s">
        <v>14</v>
      </c>
      <c r="E13439" t="s">
        <v>18588</v>
      </c>
      <c r="F13439" t="s">
        <v>18666</v>
      </c>
    </row>
    <row r="13440" spans="1:6" x14ac:dyDescent="0.25">
      <c r="A13440" t="str">
        <f>"6449077176"</f>
        <v>6449077176</v>
      </c>
      <c r="B13440" t="s">
        <v>18667</v>
      </c>
      <c r="C13440" t="s">
        <v>7</v>
      </c>
      <c r="D13440" t="s">
        <v>33</v>
      </c>
      <c r="E13440" t="s">
        <v>18588</v>
      </c>
      <c r="F13440" t="s">
        <v>18668</v>
      </c>
    </row>
    <row r="13441" spans="1:6" x14ac:dyDescent="0.25">
      <c r="A13441" t="str">
        <f>"6449089799"</f>
        <v>6449089799</v>
      </c>
      <c r="B13441" t="s">
        <v>18669</v>
      </c>
      <c r="C13441" t="s">
        <v>7</v>
      </c>
      <c r="D13441" t="s">
        <v>33</v>
      </c>
      <c r="E13441" t="s">
        <v>18588</v>
      </c>
      <c r="F13441" t="s">
        <v>18670</v>
      </c>
    </row>
    <row r="13442" spans="1:6" x14ac:dyDescent="0.25">
      <c r="A13442" t="str">
        <f>"644909484213"</f>
        <v>644909484213</v>
      </c>
      <c r="B13442" t="s">
        <v>18671</v>
      </c>
      <c r="C13442" t="s">
        <v>7</v>
      </c>
      <c r="D13442" t="s">
        <v>14</v>
      </c>
      <c r="E13442" t="s">
        <v>18588</v>
      </c>
    </row>
    <row r="13443" spans="1:6" x14ac:dyDescent="0.25">
      <c r="A13443" t="str">
        <f>"6449105698"</f>
        <v>6449105698</v>
      </c>
      <c r="B13443" t="s">
        <v>18672</v>
      </c>
      <c r="C13443" t="s">
        <v>7</v>
      </c>
      <c r="D13443" t="s">
        <v>586</v>
      </c>
      <c r="E13443" t="s">
        <v>18588</v>
      </c>
      <c r="F13443" t="s">
        <v>18673</v>
      </c>
    </row>
    <row r="13444" spans="1:6" x14ac:dyDescent="0.25">
      <c r="A13444" t="str">
        <f>"644917970841"</f>
        <v>644917970841</v>
      </c>
      <c r="B13444" t="s">
        <v>18674</v>
      </c>
      <c r="C13444" t="s">
        <v>7</v>
      </c>
      <c r="D13444" t="s">
        <v>12</v>
      </c>
      <c r="E13444" t="s">
        <v>18588</v>
      </c>
    </row>
    <row r="13445" spans="1:6" x14ac:dyDescent="0.25">
      <c r="A13445" t="str">
        <f>"644919302409"</f>
        <v>644919302409</v>
      </c>
      <c r="B13445" t="s">
        <v>18675</v>
      </c>
      <c r="C13445" t="s">
        <v>7</v>
      </c>
      <c r="D13445" t="s">
        <v>14</v>
      </c>
      <c r="E13445" t="s">
        <v>18588</v>
      </c>
    </row>
    <row r="13446" spans="1:6" x14ac:dyDescent="0.25">
      <c r="A13446" t="str">
        <f>"644930854450"</f>
        <v>644930854450</v>
      </c>
      <c r="B13446" t="s">
        <v>18676</v>
      </c>
      <c r="C13446" t="s">
        <v>7</v>
      </c>
      <c r="D13446" t="s">
        <v>14</v>
      </c>
      <c r="E13446" t="s">
        <v>18588</v>
      </c>
    </row>
    <row r="13447" spans="1:6" x14ac:dyDescent="0.25">
      <c r="A13447" t="str">
        <f>"6450049550"</f>
        <v>6450049550</v>
      </c>
      <c r="B13447" t="s">
        <v>18677</v>
      </c>
      <c r="C13447" t="s">
        <v>7</v>
      </c>
      <c r="D13447" t="s">
        <v>12</v>
      </c>
      <c r="E13447" t="s">
        <v>18588</v>
      </c>
      <c r="F13447" t="s">
        <v>18678</v>
      </c>
    </row>
    <row r="13448" spans="1:6" x14ac:dyDescent="0.25">
      <c r="A13448" t="str">
        <f>"6451419652"</f>
        <v>6451419652</v>
      </c>
      <c r="B13448" t="s">
        <v>1159</v>
      </c>
      <c r="C13448" t="s">
        <v>7</v>
      </c>
      <c r="D13448" t="s">
        <v>12</v>
      </c>
      <c r="E13448" t="s">
        <v>18588</v>
      </c>
      <c r="F13448" t="s">
        <v>18679</v>
      </c>
    </row>
    <row r="13449" spans="1:6" x14ac:dyDescent="0.25">
      <c r="A13449" t="str">
        <f>"6453078310"</f>
        <v>6453078310</v>
      </c>
      <c r="B13449" t="s">
        <v>18680</v>
      </c>
      <c r="C13449" t="s">
        <v>7</v>
      </c>
      <c r="D13449" t="s">
        <v>12</v>
      </c>
      <c r="E13449" t="s">
        <v>18588</v>
      </c>
      <c r="F13449" t="s">
        <v>18681</v>
      </c>
    </row>
    <row r="13450" spans="1:6" x14ac:dyDescent="0.25">
      <c r="A13450" t="str">
        <f>"645311724832"</f>
        <v>645311724832</v>
      </c>
      <c r="B13450" t="s">
        <v>18682</v>
      </c>
      <c r="C13450" t="s">
        <v>7</v>
      </c>
      <c r="D13450" t="s">
        <v>14</v>
      </c>
      <c r="E13450" t="s">
        <v>18588</v>
      </c>
    </row>
    <row r="13451" spans="1:6" x14ac:dyDescent="0.25">
      <c r="A13451" t="str">
        <f>"6453170562"</f>
        <v>6453170562</v>
      </c>
      <c r="B13451" t="s">
        <v>1808</v>
      </c>
      <c r="C13451" t="s">
        <v>7</v>
      </c>
      <c r="D13451" t="s">
        <v>189</v>
      </c>
      <c r="E13451" t="s">
        <v>18588</v>
      </c>
      <c r="F13451" t="s">
        <v>18683</v>
      </c>
    </row>
    <row r="13452" spans="1:6" x14ac:dyDescent="0.25">
      <c r="A13452" t="str">
        <f>"645493645702"</f>
        <v>645493645702</v>
      </c>
      <c r="B13452" t="s">
        <v>18684</v>
      </c>
      <c r="C13452" t="s">
        <v>7</v>
      </c>
      <c r="D13452" t="s">
        <v>33</v>
      </c>
      <c r="E13452" t="s">
        <v>18588</v>
      </c>
    </row>
    <row r="13453" spans="1:6" x14ac:dyDescent="0.25">
      <c r="A13453" t="str">
        <f>"640403817421"</f>
        <v>640403817421</v>
      </c>
      <c r="B13453" t="s">
        <v>18685</v>
      </c>
      <c r="C13453" t="s">
        <v>7</v>
      </c>
      <c r="D13453" t="s">
        <v>586</v>
      </c>
      <c r="E13453" t="s">
        <v>18588</v>
      </c>
    </row>
    <row r="13454" spans="1:6" x14ac:dyDescent="0.25">
      <c r="A13454" t="str">
        <f>"640700017403"</f>
        <v>640700017403</v>
      </c>
      <c r="B13454" t="s">
        <v>18686</v>
      </c>
      <c r="C13454" t="s">
        <v>7</v>
      </c>
      <c r="D13454" t="s">
        <v>14</v>
      </c>
      <c r="E13454" t="s">
        <v>18588</v>
      </c>
    </row>
    <row r="13455" spans="1:6" x14ac:dyDescent="0.25">
      <c r="A13455" t="str">
        <f>"6413034228"</f>
        <v>6413034228</v>
      </c>
      <c r="B13455" t="s">
        <v>18687</v>
      </c>
      <c r="C13455" t="s">
        <v>7</v>
      </c>
      <c r="D13455" t="s">
        <v>14</v>
      </c>
      <c r="E13455" t="s">
        <v>18588</v>
      </c>
      <c r="F13455" t="s">
        <v>18688</v>
      </c>
    </row>
    <row r="13456" spans="1:6" x14ac:dyDescent="0.25">
      <c r="A13456" t="str">
        <f>"641401101680"</f>
        <v>641401101680</v>
      </c>
      <c r="B13456" t="s">
        <v>18689</v>
      </c>
      <c r="C13456" t="s">
        <v>7</v>
      </c>
      <c r="D13456" t="s">
        <v>14</v>
      </c>
      <c r="E13456" t="s">
        <v>18588</v>
      </c>
    </row>
    <row r="13457" spans="1:6" x14ac:dyDescent="0.25">
      <c r="A13457" t="str">
        <f>"641524202914"</f>
        <v>641524202914</v>
      </c>
      <c r="B13457" t="s">
        <v>18690</v>
      </c>
      <c r="C13457" t="s">
        <v>7</v>
      </c>
      <c r="D13457" t="s">
        <v>14</v>
      </c>
      <c r="E13457" t="s">
        <v>18588</v>
      </c>
    </row>
    <row r="13458" spans="1:6" x14ac:dyDescent="0.25">
      <c r="A13458" t="str">
        <f>"641800105863"</f>
        <v>641800105863</v>
      </c>
      <c r="B13458" t="s">
        <v>18691</v>
      </c>
      <c r="C13458" t="s">
        <v>7</v>
      </c>
      <c r="D13458" t="s">
        <v>14</v>
      </c>
      <c r="E13458" t="s">
        <v>18588</v>
      </c>
    </row>
    <row r="13459" spans="1:6" x14ac:dyDescent="0.25">
      <c r="A13459" t="str">
        <f>"641901601716"</f>
        <v>641901601716</v>
      </c>
      <c r="B13459" t="s">
        <v>18692</v>
      </c>
      <c r="C13459" t="s">
        <v>7</v>
      </c>
      <c r="D13459" t="s">
        <v>12</v>
      </c>
      <c r="E13459" t="s">
        <v>18588</v>
      </c>
    </row>
    <row r="13460" spans="1:6" x14ac:dyDescent="0.25">
      <c r="A13460" t="str">
        <f>"642101283551"</f>
        <v>642101283551</v>
      </c>
      <c r="B13460" t="s">
        <v>18693</v>
      </c>
      <c r="C13460" t="s">
        <v>7</v>
      </c>
      <c r="D13460" t="s">
        <v>14</v>
      </c>
      <c r="E13460" t="s">
        <v>18588</v>
      </c>
    </row>
    <row r="13461" spans="1:6" x14ac:dyDescent="0.25">
      <c r="A13461" t="str">
        <f>"642300032665"</f>
        <v>642300032665</v>
      </c>
      <c r="B13461" t="s">
        <v>18694</v>
      </c>
      <c r="C13461" t="s">
        <v>7</v>
      </c>
      <c r="D13461" t="s">
        <v>14</v>
      </c>
      <c r="E13461" t="s">
        <v>18588</v>
      </c>
    </row>
    <row r="13462" spans="1:6" x14ac:dyDescent="0.25">
      <c r="A13462" t="str">
        <f>"6432027699"</f>
        <v>6432027699</v>
      </c>
      <c r="B13462" t="s">
        <v>18695</v>
      </c>
      <c r="C13462" t="s">
        <v>7</v>
      </c>
      <c r="D13462" t="s">
        <v>14</v>
      </c>
      <c r="E13462" t="s">
        <v>18588</v>
      </c>
      <c r="F13462" t="s">
        <v>18696</v>
      </c>
    </row>
    <row r="13463" spans="1:6" x14ac:dyDescent="0.25">
      <c r="A13463" t="str">
        <f>"6432029632"</f>
        <v>6432029632</v>
      </c>
      <c r="B13463" t="s">
        <v>18697</v>
      </c>
      <c r="C13463" t="s">
        <v>7</v>
      </c>
      <c r="D13463" t="s">
        <v>14</v>
      </c>
      <c r="E13463" t="s">
        <v>18588</v>
      </c>
      <c r="F13463" t="s">
        <v>18698</v>
      </c>
    </row>
    <row r="13464" spans="1:6" x14ac:dyDescent="0.25">
      <c r="A13464" t="str">
        <f>"643802289031"</f>
        <v>643802289031</v>
      </c>
      <c r="B13464" t="s">
        <v>18699</v>
      </c>
      <c r="C13464" t="s">
        <v>7</v>
      </c>
      <c r="D13464" t="s">
        <v>14</v>
      </c>
      <c r="E13464" t="s">
        <v>18588</v>
      </c>
    </row>
    <row r="13465" spans="1:6" x14ac:dyDescent="0.25">
      <c r="A13465" t="str">
        <f>"6439077297"</f>
        <v>6439077297</v>
      </c>
      <c r="B13465" t="s">
        <v>18700</v>
      </c>
      <c r="C13465" t="s">
        <v>7</v>
      </c>
      <c r="D13465" t="s">
        <v>33</v>
      </c>
      <c r="E13465" t="s">
        <v>18588</v>
      </c>
      <c r="F13465" t="s">
        <v>18701</v>
      </c>
    </row>
    <row r="13466" spans="1:6" x14ac:dyDescent="0.25">
      <c r="A13466" t="str">
        <f>"6439077628"</f>
        <v>6439077628</v>
      </c>
      <c r="B13466" t="s">
        <v>18702</v>
      </c>
      <c r="C13466" t="s">
        <v>7</v>
      </c>
      <c r="D13466" t="s">
        <v>33</v>
      </c>
      <c r="E13466" t="s">
        <v>18588</v>
      </c>
      <c r="F13466" t="s">
        <v>18703</v>
      </c>
    </row>
    <row r="13467" spans="1:6" x14ac:dyDescent="0.25">
      <c r="A13467" t="str">
        <f>"6439079495"</f>
        <v>6439079495</v>
      </c>
      <c r="B13467" t="s">
        <v>18704</v>
      </c>
      <c r="C13467" t="s">
        <v>7</v>
      </c>
      <c r="D13467" t="s">
        <v>12</v>
      </c>
      <c r="E13467" t="s">
        <v>18588</v>
      </c>
      <c r="F13467" t="s">
        <v>18705</v>
      </c>
    </row>
    <row r="13468" spans="1:6" x14ac:dyDescent="0.25">
      <c r="A13468" t="str">
        <f>"6439082106"</f>
        <v>6439082106</v>
      </c>
      <c r="B13468" t="s">
        <v>18706</v>
      </c>
      <c r="C13468" t="s">
        <v>7</v>
      </c>
      <c r="D13468" t="s">
        <v>33</v>
      </c>
      <c r="E13468" t="s">
        <v>18588</v>
      </c>
      <c r="F13468" t="s">
        <v>18707</v>
      </c>
    </row>
    <row r="13469" spans="1:6" x14ac:dyDescent="0.25">
      <c r="A13469" t="str">
        <f>"6439082547"</f>
        <v>6439082547</v>
      </c>
      <c r="B13469" t="s">
        <v>18708</v>
      </c>
      <c r="C13469" t="s">
        <v>7</v>
      </c>
      <c r="D13469" t="s">
        <v>12</v>
      </c>
      <c r="E13469" t="s">
        <v>18588</v>
      </c>
      <c r="F13469" t="s">
        <v>18709</v>
      </c>
    </row>
    <row r="13470" spans="1:6" x14ac:dyDescent="0.25">
      <c r="A13470" t="str">
        <f>"6439087009"</f>
        <v>6439087009</v>
      </c>
      <c r="B13470" t="s">
        <v>18710</v>
      </c>
      <c r="C13470" t="s">
        <v>7</v>
      </c>
      <c r="D13470" t="s">
        <v>33</v>
      </c>
      <c r="E13470" t="s">
        <v>18588</v>
      </c>
      <c r="F13470" t="s">
        <v>18711</v>
      </c>
    </row>
    <row r="13471" spans="1:6" x14ac:dyDescent="0.25">
      <c r="A13471" t="str">
        <f>"6439090957"</f>
        <v>6439090957</v>
      </c>
      <c r="B13471" t="s">
        <v>1957</v>
      </c>
      <c r="C13471" t="s">
        <v>7</v>
      </c>
      <c r="D13471" t="s">
        <v>12</v>
      </c>
      <c r="E13471" t="s">
        <v>18588</v>
      </c>
      <c r="F13471" t="s">
        <v>18712</v>
      </c>
    </row>
    <row r="13472" spans="1:6" x14ac:dyDescent="0.25">
      <c r="A13472" t="str">
        <f>"643909691218"</f>
        <v>643909691218</v>
      </c>
      <c r="B13472" t="s">
        <v>18713</v>
      </c>
      <c r="C13472" t="s">
        <v>7</v>
      </c>
      <c r="D13472" t="s">
        <v>33</v>
      </c>
      <c r="E13472" t="s">
        <v>18588</v>
      </c>
    </row>
    <row r="13473" spans="1:6" x14ac:dyDescent="0.25">
      <c r="A13473" t="str">
        <f>"6439103518"</f>
        <v>6439103518</v>
      </c>
      <c r="B13473" t="s">
        <v>18714</v>
      </c>
      <c r="C13473" t="s">
        <v>7</v>
      </c>
      <c r="D13473" t="s">
        <v>12</v>
      </c>
      <c r="E13473" t="s">
        <v>18588</v>
      </c>
      <c r="F13473" t="s">
        <v>18715</v>
      </c>
    </row>
    <row r="13474" spans="1:6" x14ac:dyDescent="0.25">
      <c r="A13474" t="str">
        <f>"643910428050"</f>
        <v>643910428050</v>
      </c>
      <c r="B13474" t="s">
        <v>18716</v>
      </c>
      <c r="C13474" t="s">
        <v>7</v>
      </c>
      <c r="D13474" t="s">
        <v>14</v>
      </c>
      <c r="E13474" t="s">
        <v>18588</v>
      </c>
    </row>
    <row r="13475" spans="1:6" x14ac:dyDescent="0.25">
      <c r="A13475" t="str">
        <f>"643967858434"</f>
        <v>643967858434</v>
      </c>
      <c r="B13475" t="s">
        <v>18717</v>
      </c>
      <c r="C13475" t="s">
        <v>7</v>
      </c>
      <c r="D13475" t="s">
        <v>8</v>
      </c>
      <c r="E13475" t="s">
        <v>18588</v>
      </c>
    </row>
    <row r="13476" spans="1:6" x14ac:dyDescent="0.25">
      <c r="A13476" t="str">
        <f>"644200643093"</f>
        <v>644200643093</v>
      </c>
      <c r="B13476" t="s">
        <v>18718</v>
      </c>
      <c r="C13476" t="s">
        <v>7</v>
      </c>
      <c r="D13476" t="s">
        <v>14</v>
      </c>
      <c r="E13476" t="s">
        <v>18588</v>
      </c>
    </row>
    <row r="13477" spans="1:6" x14ac:dyDescent="0.25">
      <c r="A13477" t="str">
        <f>"644204418469"</f>
        <v>644204418469</v>
      </c>
      <c r="B13477" t="s">
        <v>18719</v>
      </c>
      <c r="C13477" t="s">
        <v>7</v>
      </c>
      <c r="D13477" t="s">
        <v>12</v>
      </c>
      <c r="E13477" t="s">
        <v>18588</v>
      </c>
    </row>
    <row r="13478" spans="1:6" x14ac:dyDescent="0.25">
      <c r="A13478" t="str">
        <f>"644500171765"</f>
        <v>644500171765</v>
      </c>
      <c r="B13478" t="s">
        <v>18720</v>
      </c>
      <c r="C13478" t="s">
        <v>7</v>
      </c>
      <c r="D13478" t="s">
        <v>14</v>
      </c>
      <c r="E13478" t="s">
        <v>18588</v>
      </c>
    </row>
    <row r="13479" spans="1:6" x14ac:dyDescent="0.25">
      <c r="A13479" t="str">
        <f>"644501926360"</f>
        <v>644501926360</v>
      </c>
      <c r="B13479" t="s">
        <v>18721</v>
      </c>
      <c r="C13479" t="s">
        <v>7</v>
      </c>
      <c r="D13479" t="s">
        <v>14</v>
      </c>
      <c r="E13479" t="s">
        <v>18588</v>
      </c>
    </row>
    <row r="13480" spans="1:6" x14ac:dyDescent="0.25">
      <c r="A13480" t="str">
        <f>"644505815519"</f>
        <v>644505815519</v>
      </c>
      <c r="B13480" t="s">
        <v>18722</v>
      </c>
      <c r="C13480" t="s">
        <v>7</v>
      </c>
      <c r="D13480" t="s">
        <v>14</v>
      </c>
      <c r="E13480" t="s">
        <v>18588</v>
      </c>
    </row>
    <row r="13481" spans="1:6" x14ac:dyDescent="0.25">
      <c r="A13481" t="str">
        <f>"6449000649"</f>
        <v>6449000649</v>
      </c>
      <c r="B13481" t="s">
        <v>18723</v>
      </c>
      <c r="C13481" t="s">
        <v>7</v>
      </c>
      <c r="D13481" t="s">
        <v>12</v>
      </c>
      <c r="E13481" t="s">
        <v>18588</v>
      </c>
      <c r="F13481" t="s">
        <v>18724</v>
      </c>
    </row>
    <row r="13482" spans="1:6" x14ac:dyDescent="0.25">
      <c r="A13482" t="str">
        <f>"644900756180"</f>
        <v>644900756180</v>
      </c>
      <c r="B13482" t="s">
        <v>18725</v>
      </c>
      <c r="C13482" t="s">
        <v>7</v>
      </c>
      <c r="D13482" t="s">
        <v>14</v>
      </c>
      <c r="E13482" t="s">
        <v>18588</v>
      </c>
    </row>
    <row r="13483" spans="1:6" x14ac:dyDescent="0.25">
      <c r="A13483" t="str">
        <f>"6449065452"</f>
        <v>6449065452</v>
      </c>
      <c r="B13483" t="s">
        <v>18726</v>
      </c>
      <c r="C13483" t="s">
        <v>7</v>
      </c>
      <c r="D13483" t="s">
        <v>14</v>
      </c>
      <c r="E13483" t="s">
        <v>18588</v>
      </c>
      <c r="F13483" t="s">
        <v>18727</v>
      </c>
    </row>
    <row r="13484" spans="1:6" x14ac:dyDescent="0.25">
      <c r="A13484" t="str">
        <f>"6449076990"</f>
        <v>6449076990</v>
      </c>
      <c r="B13484" t="s">
        <v>18728</v>
      </c>
      <c r="C13484" t="s">
        <v>7</v>
      </c>
      <c r="D13484" t="s">
        <v>14</v>
      </c>
      <c r="E13484" t="s">
        <v>18588</v>
      </c>
      <c r="F13484" t="s">
        <v>18729</v>
      </c>
    </row>
    <row r="13485" spans="1:6" x14ac:dyDescent="0.25">
      <c r="A13485" t="str">
        <f>"6449092706"</f>
        <v>6449092706</v>
      </c>
      <c r="B13485" t="s">
        <v>18730</v>
      </c>
      <c r="C13485" t="s">
        <v>7</v>
      </c>
      <c r="D13485" t="s">
        <v>12</v>
      </c>
      <c r="E13485" t="s">
        <v>18588</v>
      </c>
      <c r="F13485" t="s">
        <v>18731</v>
      </c>
    </row>
    <row r="13486" spans="1:6" x14ac:dyDescent="0.25">
      <c r="A13486" t="str">
        <f>"6449104359"</f>
        <v>6449104359</v>
      </c>
      <c r="B13486" t="s">
        <v>491</v>
      </c>
      <c r="C13486" t="s">
        <v>7</v>
      </c>
      <c r="D13486" t="s">
        <v>33</v>
      </c>
      <c r="E13486" t="s">
        <v>18588</v>
      </c>
      <c r="F13486" t="s">
        <v>18732</v>
      </c>
    </row>
    <row r="13487" spans="1:6" x14ac:dyDescent="0.25">
      <c r="A13487" t="str">
        <f>"6449110232"</f>
        <v>6449110232</v>
      </c>
      <c r="B13487" t="s">
        <v>18733</v>
      </c>
      <c r="C13487" t="s">
        <v>7</v>
      </c>
      <c r="D13487" t="s">
        <v>12</v>
      </c>
      <c r="E13487" t="s">
        <v>18588</v>
      </c>
      <c r="F13487" t="s">
        <v>18734</v>
      </c>
    </row>
    <row r="13488" spans="1:6" x14ac:dyDescent="0.25">
      <c r="A13488" t="str">
        <f>"6450037837"</f>
        <v>6450037837</v>
      </c>
      <c r="B13488" t="s">
        <v>18735</v>
      </c>
      <c r="C13488" t="s">
        <v>7</v>
      </c>
      <c r="D13488" t="s">
        <v>674</v>
      </c>
      <c r="E13488" t="s">
        <v>18588</v>
      </c>
      <c r="F13488" t="s">
        <v>18736</v>
      </c>
    </row>
    <row r="13489" spans="1:6" x14ac:dyDescent="0.25">
      <c r="A13489" t="str">
        <f>"6450102500"</f>
        <v>6450102500</v>
      </c>
      <c r="B13489" t="s">
        <v>18105</v>
      </c>
      <c r="C13489" t="s">
        <v>7</v>
      </c>
      <c r="D13489" t="s">
        <v>33</v>
      </c>
      <c r="E13489" t="s">
        <v>18588</v>
      </c>
      <c r="F13489" t="s">
        <v>18737</v>
      </c>
    </row>
    <row r="13490" spans="1:6" x14ac:dyDescent="0.25">
      <c r="A13490" t="str">
        <f>"6450104530"</f>
        <v>6450104530</v>
      </c>
      <c r="B13490" t="s">
        <v>18738</v>
      </c>
      <c r="C13490" t="s">
        <v>7</v>
      </c>
      <c r="D13490" t="s">
        <v>14</v>
      </c>
      <c r="E13490" t="s">
        <v>18588</v>
      </c>
      <c r="F13490" t="s">
        <v>18739</v>
      </c>
    </row>
    <row r="13491" spans="1:6" x14ac:dyDescent="0.25">
      <c r="A13491" t="str">
        <f>"6450932950"</f>
        <v>6450932950</v>
      </c>
      <c r="B13491" t="s">
        <v>18740</v>
      </c>
      <c r="C13491" t="s">
        <v>7</v>
      </c>
      <c r="D13491" t="s">
        <v>12</v>
      </c>
      <c r="E13491" t="s">
        <v>18588</v>
      </c>
      <c r="F13491" t="s">
        <v>18741</v>
      </c>
    </row>
    <row r="13492" spans="1:6" x14ac:dyDescent="0.25">
      <c r="A13492" t="str">
        <f>"645100232581"</f>
        <v>645100232581</v>
      </c>
      <c r="B13492" t="s">
        <v>18742</v>
      </c>
      <c r="C13492" t="s">
        <v>7</v>
      </c>
      <c r="D13492" t="s">
        <v>14</v>
      </c>
      <c r="E13492" t="s">
        <v>18588</v>
      </c>
    </row>
    <row r="13493" spans="1:6" x14ac:dyDescent="0.25">
      <c r="A13493" t="str">
        <f>"6451023964"</f>
        <v>6451023964</v>
      </c>
      <c r="B13493" t="s">
        <v>18743</v>
      </c>
      <c r="C13493" t="s">
        <v>7</v>
      </c>
      <c r="D13493" t="s">
        <v>33</v>
      </c>
      <c r="E13493" t="s">
        <v>18588</v>
      </c>
      <c r="F13493" t="s">
        <v>18744</v>
      </c>
    </row>
    <row r="13494" spans="1:6" x14ac:dyDescent="0.25">
      <c r="A13494" t="str">
        <f>"645110201543"</f>
        <v>645110201543</v>
      </c>
      <c r="B13494" t="s">
        <v>18745</v>
      </c>
      <c r="C13494" t="s">
        <v>7</v>
      </c>
      <c r="D13494" t="s">
        <v>12</v>
      </c>
      <c r="E13494" t="s">
        <v>18588</v>
      </c>
    </row>
    <row r="13495" spans="1:6" x14ac:dyDescent="0.25">
      <c r="A13495" t="str">
        <f>"645114661573"</f>
        <v>645114661573</v>
      </c>
      <c r="B13495" t="s">
        <v>18746</v>
      </c>
      <c r="C13495" t="s">
        <v>7</v>
      </c>
      <c r="D13495" t="s">
        <v>14</v>
      </c>
      <c r="E13495" t="s">
        <v>18588</v>
      </c>
    </row>
    <row r="13496" spans="1:6" x14ac:dyDescent="0.25">
      <c r="A13496" t="str">
        <f>"645200225355"</f>
        <v>645200225355</v>
      </c>
      <c r="B13496" t="s">
        <v>18747</v>
      </c>
      <c r="C13496" t="s">
        <v>7</v>
      </c>
      <c r="D13496" t="s">
        <v>14</v>
      </c>
      <c r="E13496" t="s">
        <v>18588</v>
      </c>
    </row>
    <row r="13497" spans="1:6" x14ac:dyDescent="0.25">
      <c r="A13497" t="str">
        <f>"6452064307"</f>
        <v>6452064307</v>
      </c>
      <c r="B13497" t="s">
        <v>18748</v>
      </c>
      <c r="C13497" t="s">
        <v>7</v>
      </c>
      <c r="D13497" t="s">
        <v>33</v>
      </c>
      <c r="E13497" t="s">
        <v>18588</v>
      </c>
      <c r="F13497" t="s">
        <v>18749</v>
      </c>
    </row>
    <row r="13498" spans="1:6" x14ac:dyDescent="0.25">
      <c r="A13498" t="str">
        <f>"6452125101"</f>
        <v>6452125101</v>
      </c>
      <c r="B13498" t="s">
        <v>18750</v>
      </c>
      <c r="C13498" t="s">
        <v>7</v>
      </c>
      <c r="D13498" t="s">
        <v>33</v>
      </c>
      <c r="E13498" t="s">
        <v>18588</v>
      </c>
      <c r="F13498" t="s">
        <v>18751</v>
      </c>
    </row>
    <row r="13499" spans="1:6" x14ac:dyDescent="0.25">
      <c r="A13499" t="str">
        <f>"6452126680"</f>
        <v>6452126680</v>
      </c>
      <c r="B13499" t="s">
        <v>18752</v>
      </c>
      <c r="C13499" t="s">
        <v>7</v>
      </c>
      <c r="D13499" t="s">
        <v>33</v>
      </c>
      <c r="E13499" t="s">
        <v>18588</v>
      </c>
      <c r="F13499" t="s">
        <v>18753</v>
      </c>
    </row>
    <row r="13500" spans="1:6" x14ac:dyDescent="0.25">
      <c r="A13500" t="str">
        <f>"6452128783"</f>
        <v>6452128783</v>
      </c>
      <c r="B13500" t="s">
        <v>18754</v>
      </c>
      <c r="C13500" t="s">
        <v>7</v>
      </c>
      <c r="D13500" t="s">
        <v>14</v>
      </c>
      <c r="E13500" t="s">
        <v>18588</v>
      </c>
      <c r="F13500" t="s">
        <v>18755</v>
      </c>
    </row>
    <row r="13501" spans="1:6" x14ac:dyDescent="0.25">
      <c r="A13501" t="str">
        <f>"6452156131"</f>
        <v>6452156131</v>
      </c>
      <c r="B13501" t="s">
        <v>18756</v>
      </c>
      <c r="C13501" t="s">
        <v>7</v>
      </c>
      <c r="D13501" t="s">
        <v>14</v>
      </c>
      <c r="E13501" t="s">
        <v>18588</v>
      </c>
      <c r="F13501" t="s">
        <v>18757</v>
      </c>
    </row>
    <row r="13502" spans="1:6" x14ac:dyDescent="0.25">
      <c r="A13502" t="str">
        <f>"6452920597"</f>
        <v>6452920597</v>
      </c>
      <c r="B13502" t="s">
        <v>18758</v>
      </c>
      <c r="C13502" t="s">
        <v>7</v>
      </c>
      <c r="D13502" t="s">
        <v>12</v>
      </c>
      <c r="E13502" t="s">
        <v>18588</v>
      </c>
      <c r="F13502" t="s">
        <v>18759</v>
      </c>
    </row>
    <row r="13503" spans="1:6" x14ac:dyDescent="0.25">
      <c r="A13503" t="str">
        <f>"645300152485"</f>
        <v>645300152485</v>
      </c>
      <c r="B13503" t="s">
        <v>18760</v>
      </c>
      <c r="C13503" t="s">
        <v>7</v>
      </c>
      <c r="D13503" t="s">
        <v>14</v>
      </c>
      <c r="E13503" t="s">
        <v>18588</v>
      </c>
    </row>
    <row r="13504" spans="1:6" x14ac:dyDescent="0.25">
      <c r="A13504" t="str">
        <f>"6453004854"</f>
        <v>6453004854</v>
      </c>
      <c r="B13504" t="s">
        <v>18761</v>
      </c>
      <c r="C13504" t="s">
        <v>7</v>
      </c>
      <c r="D13504" t="s">
        <v>12</v>
      </c>
      <c r="E13504" t="s">
        <v>18588</v>
      </c>
      <c r="F13504" t="s">
        <v>18762</v>
      </c>
    </row>
    <row r="13505" spans="1:6" x14ac:dyDescent="0.25">
      <c r="A13505" t="str">
        <f>"6453039945"</f>
        <v>6453039945</v>
      </c>
      <c r="B13505" t="s">
        <v>18763</v>
      </c>
      <c r="C13505" t="s">
        <v>7</v>
      </c>
      <c r="D13505" t="s">
        <v>14</v>
      </c>
      <c r="E13505" t="s">
        <v>18588</v>
      </c>
      <c r="F13505" t="s">
        <v>18764</v>
      </c>
    </row>
    <row r="13506" spans="1:6" x14ac:dyDescent="0.25">
      <c r="A13506" t="str">
        <f>"6453077926"</f>
        <v>6453077926</v>
      </c>
      <c r="B13506" t="s">
        <v>18765</v>
      </c>
      <c r="C13506" t="s">
        <v>7</v>
      </c>
      <c r="D13506" t="s">
        <v>12</v>
      </c>
      <c r="E13506" t="s">
        <v>18588</v>
      </c>
      <c r="F13506" t="s">
        <v>18766</v>
      </c>
    </row>
    <row r="13507" spans="1:6" x14ac:dyDescent="0.25">
      <c r="A13507" t="str">
        <f>"6453141145"</f>
        <v>6453141145</v>
      </c>
      <c r="B13507" t="s">
        <v>18767</v>
      </c>
      <c r="C13507" t="s">
        <v>7</v>
      </c>
      <c r="D13507" t="s">
        <v>33</v>
      </c>
      <c r="E13507" t="s">
        <v>18588</v>
      </c>
      <c r="F13507" t="s">
        <v>18768</v>
      </c>
    </row>
    <row r="13508" spans="1:6" x14ac:dyDescent="0.25">
      <c r="A13508" t="str">
        <f>"645317443700"</f>
        <v>645317443700</v>
      </c>
      <c r="B13508" t="s">
        <v>18769</v>
      </c>
      <c r="C13508" t="s">
        <v>7</v>
      </c>
      <c r="D13508" t="s">
        <v>14</v>
      </c>
      <c r="E13508" t="s">
        <v>18588</v>
      </c>
    </row>
    <row r="13509" spans="1:6" x14ac:dyDescent="0.25">
      <c r="A13509" t="str">
        <f>"6453176780"</f>
        <v>6453176780</v>
      </c>
      <c r="B13509" t="s">
        <v>6782</v>
      </c>
      <c r="C13509" t="s">
        <v>7</v>
      </c>
      <c r="D13509" t="s">
        <v>12</v>
      </c>
      <c r="E13509" t="s">
        <v>18588</v>
      </c>
      <c r="F13509" t="s">
        <v>18770</v>
      </c>
    </row>
    <row r="13510" spans="1:6" x14ac:dyDescent="0.25">
      <c r="A13510" t="str">
        <f>"645318134198"</f>
        <v>645318134198</v>
      </c>
      <c r="B13510" t="s">
        <v>18771</v>
      </c>
      <c r="C13510" t="s">
        <v>7</v>
      </c>
      <c r="D13510" t="s">
        <v>33</v>
      </c>
      <c r="E13510" t="s">
        <v>18588</v>
      </c>
    </row>
    <row r="13511" spans="1:6" x14ac:dyDescent="0.25">
      <c r="A13511" t="str">
        <f>"645408607040"</f>
        <v>645408607040</v>
      </c>
      <c r="B13511" t="s">
        <v>18772</v>
      </c>
      <c r="C13511" t="s">
        <v>7</v>
      </c>
      <c r="D13511" t="s">
        <v>14</v>
      </c>
      <c r="E13511" t="s">
        <v>18588</v>
      </c>
    </row>
    <row r="13512" spans="1:6" x14ac:dyDescent="0.25">
      <c r="A13512" t="str">
        <f>"6454094089"</f>
        <v>6454094089</v>
      </c>
      <c r="B13512" t="s">
        <v>18773</v>
      </c>
      <c r="C13512" t="s">
        <v>7</v>
      </c>
      <c r="D13512" t="s">
        <v>14</v>
      </c>
      <c r="E13512" t="s">
        <v>18588</v>
      </c>
      <c r="F13512" t="s">
        <v>18774</v>
      </c>
    </row>
    <row r="13513" spans="1:6" x14ac:dyDescent="0.25">
      <c r="A13513" t="str">
        <f>"645503132420"</f>
        <v>645503132420</v>
      </c>
      <c r="B13513" t="s">
        <v>18775</v>
      </c>
      <c r="C13513" t="s">
        <v>7</v>
      </c>
      <c r="D13513" t="s">
        <v>14</v>
      </c>
      <c r="E13513" t="s">
        <v>18588</v>
      </c>
    </row>
    <row r="13514" spans="1:6" x14ac:dyDescent="0.25">
      <c r="A13514" t="str">
        <f>"644305545992"</f>
        <v>644305545992</v>
      </c>
      <c r="B13514" t="s">
        <v>18776</v>
      </c>
      <c r="C13514" t="s">
        <v>7</v>
      </c>
      <c r="D13514" t="s">
        <v>14</v>
      </c>
      <c r="E13514" t="s">
        <v>18588</v>
      </c>
    </row>
    <row r="13515" spans="1:6" x14ac:dyDescent="0.25">
      <c r="A13515" t="str">
        <f>"644400005757"</f>
        <v>644400005757</v>
      </c>
      <c r="B13515" t="s">
        <v>18777</v>
      </c>
      <c r="C13515" t="s">
        <v>7</v>
      </c>
      <c r="D13515" t="s">
        <v>14</v>
      </c>
      <c r="E13515" t="s">
        <v>18588</v>
      </c>
    </row>
    <row r="13516" spans="1:6" x14ac:dyDescent="0.25">
      <c r="A13516" t="str">
        <f>"644500084858"</f>
        <v>644500084858</v>
      </c>
      <c r="B13516" t="s">
        <v>18778</v>
      </c>
      <c r="C13516" t="s">
        <v>7</v>
      </c>
      <c r="D13516" t="s">
        <v>14</v>
      </c>
      <c r="E13516" t="s">
        <v>18588</v>
      </c>
    </row>
    <row r="13517" spans="1:6" x14ac:dyDescent="0.25">
      <c r="A13517" t="str">
        <f>"644504668702"</f>
        <v>644504668702</v>
      </c>
      <c r="B13517" t="s">
        <v>18779</v>
      </c>
      <c r="C13517" t="s">
        <v>7</v>
      </c>
      <c r="D13517" t="s">
        <v>14</v>
      </c>
      <c r="E13517" t="s">
        <v>18588</v>
      </c>
    </row>
    <row r="13518" spans="1:6" x14ac:dyDescent="0.25">
      <c r="A13518" t="str">
        <f>"644600159401"</f>
        <v>644600159401</v>
      </c>
      <c r="B13518" t="s">
        <v>18780</v>
      </c>
      <c r="C13518" t="s">
        <v>7</v>
      </c>
      <c r="D13518" t="s">
        <v>14</v>
      </c>
      <c r="E13518" t="s">
        <v>18588</v>
      </c>
    </row>
    <row r="13519" spans="1:6" x14ac:dyDescent="0.25">
      <c r="A13519" t="str">
        <f>"644801516903"</f>
        <v>644801516903</v>
      </c>
      <c r="B13519" t="s">
        <v>18781</v>
      </c>
      <c r="C13519" t="s">
        <v>7</v>
      </c>
      <c r="D13519" t="s">
        <v>14</v>
      </c>
      <c r="E13519" t="s">
        <v>18588</v>
      </c>
    </row>
    <row r="13520" spans="1:6" x14ac:dyDescent="0.25">
      <c r="A13520" t="str">
        <f>"6449040433"</f>
        <v>6449040433</v>
      </c>
      <c r="B13520" t="s">
        <v>18782</v>
      </c>
      <c r="C13520" t="s">
        <v>7</v>
      </c>
      <c r="D13520" t="s">
        <v>33</v>
      </c>
      <c r="E13520" t="s">
        <v>18588</v>
      </c>
      <c r="F13520" t="s">
        <v>18783</v>
      </c>
    </row>
    <row r="13521" spans="1:6" x14ac:dyDescent="0.25">
      <c r="A13521" t="str">
        <f>"6449103203"</f>
        <v>6449103203</v>
      </c>
      <c r="B13521" t="s">
        <v>18784</v>
      </c>
      <c r="C13521" t="s">
        <v>7</v>
      </c>
      <c r="D13521" t="s">
        <v>12</v>
      </c>
      <c r="E13521" t="s">
        <v>18588</v>
      </c>
      <c r="F13521" t="s">
        <v>18785</v>
      </c>
    </row>
    <row r="13522" spans="1:6" x14ac:dyDescent="0.25">
      <c r="A13522" t="str">
        <f>"645001190490"</f>
        <v>645001190490</v>
      </c>
      <c r="B13522" t="s">
        <v>18786</v>
      </c>
      <c r="C13522" t="s">
        <v>7</v>
      </c>
      <c r="D13522" t="s">
        <v>14</v>
      </c>
      <c r="E13522" t="s">
        <v>18588</v>
      </c>
    </row>
    <row r="13523" spans="1:6" x14ac:dyDescent="0.25">
      <c r="A13523" t="str">
        <f>"6450077710"</f>
        <v>6450077710</v>
      </c>
      <c r="B13523" t="s">
        <v>18787</v>
      </c>
      <c r="C13523" t="s">
        <v>7</v>
      </c>
      <c r="D13523" t="s">
        <v>33</v>
      </c>
      <c r="E13523" t="s">
        <v>18588</v>
      </c>
      <c r="F13523" t="s">
        <v>18788</v>
      </c>
    </row>
    <row r="13524" spans="1:6" x14ac:dyDescent="0.25">
      <c r="A13524" t="str">
        <f>"6450111110"</f>
        <v>6450111110</v>
      </c>
      <c r="B13524" t="s">
        <v>18789</v>
      </c>
      <c r="C13524" t="s">
        <v>7</v>
      </c>
      <c r="D13524" t="s">
        <v>14</v>
      </c>
      <c r="E13524" t="s">
        <v>18588</v>
      </c>
      <c r="F13524" t="s">
        <v>18790</v>
      </c>
    </row>
    <row r="13525" spans="1:6" x14ac:dyDescent="0.25">
      <c r="A13525" t="str">
        <f>"6450116895"</f>
        <v>6450116895</v>
      </c>
      <c r="B13525" t="s">
        <v>18791</v>
      </c>
      <c r="C13525" t="s">
        <v>7</v>
      </c>
      <c r="D13525" t="s">
        <v>12</v>
      </c>
      <c r="E13525" t="s">
        <v>18588</v>
      </c>
      <c r="F13525" t="s">
        <v>18792</v>
      </c>
    </row>
    <row r="13526" spans="1:6" x14ac:dyDescent="0.25">
      <c r="A13526" t="str">
        <f>"645053901257"</f>
        <v>645053901257</v>
      </c>
      <c r="B13526" t="s">
        <v>18793</v>
      </c>
      <c r="C13526" t="s">
        <v>7</v>
      </c>
      <c r="D13526" t="s">
        <v>14</v>
      </c>
      <c r="E13526" t="s">
        <v>18588</v>
      </c>
    </row>
    <row r="13527" spans="1:6" x14ac:dyDescent="0.25">
      <c r="A13527" t="str">
        <f>"6450938609"</f>
        <v>6450938609</v>
      </c>
      <c r="B13527" t="s">
        <v>18794</v>
      </c>
      <c r="C13527" t="s">
        <v>7</v>
      </c>
      <c r="D13527" t="s">
        <v>14</v>
      </c>
      <c r="E13527" t="s">
        <v>18588</v>
      </c>
      <c r="F13527" t="s">
        <v>18795</v>
      </c>
    </row>
    <row r="13528" spans="1:6" x14ac:dyDescent="0.25">
      <c r="A13528" t="str">
        <f>"6451002724"</f>
        <v>6451002724</v>
      </c>
      <c r="B13528" t="s">
        <v>18796</v>
      </c>
      <c r="C13528" t="s">
        <v>7</v>
      </c>
      <c r="D13528" t="s">
        <v>12</v>
      </c>
      <c r="E13528" t="s">
        <v>18588</v>
      </c>
      <c r="F13528" t="s">
        <v>18797</v>
      </c>
    </row>
    <row r="13529" spans="1:6" x14ac:dyDescent="0.25">
      <c r="A13529" t="str">
        <f>"645100782000"</f>
        <v>645100782000</v>
      </c>
      <c r="B13529" t="s">
        <v>18798</v>
      </c>
      <c r="C13529" t="s">
        <v>7</v>
      </c>
      <c r="D13529" t="s">
        <v>14</v>
      </c>
      <c r="E13529" t="s">
        <v>18588</v>
      </c>
    </row>
    <row r="13530" spans="1:6" x14ac:dyDescent="0.25">
      <c r="A13530" t="str">
        <f>"645112759950"</f>
        <v>645112759950</v>
      </c>
      <c r="B13530" t="s">
        <v>18799</v>
      </c>
      <c r="C13530" t="s">
        <v>7</v>
      </c>
      <c r="D13530" t="s">
        <v>14</v>
      </c>
      <c r="E13530" t="s">
        <v>18588</v>
      </c>
    </row>
    <row r="13531" spans="1:6" x14ac:dyDescent="0.25">
      <c r="A13531" t="str">
        <f>"645120029203"</f>
        <v>645120029203</v>
      </c>
      <c r="B13531" t="s">
        <v>18800</v>
      </c>
      <c r="C13531" t="s">
        <v>7</v>
      </c>
      <c r="D13531" t="s">
        <v>14</v>
      </c>
      <c r="E13531" t="s">
        <v>18588</v>
      </c>
    </row>
    <row r="13532" spans="1:6" x14ac:dyDescent="0.25">
      <c r="A13532" t="str">
        <f>"6451421027"</f>
        <v>6451421027</v>
      </c>
      <c r="B13532" t="s">
        <v>18801</v>
      </c>
      <c r="C13532" t="s">
        <v>7</v>
      </c>
      <c r="D13532" t="s">
        <v>14</v>
      </c>
      <c r="E13532" t="s">
        <v>18588</v>
      </c>
      <c r="F13532" t="s">
        <v>18802</v>
      </c>
    </row>
    <row r="13533" spans="1:6" x14ac:dyDescent="0.25">
      <c r="A13533" t="str">
        <f>"6451429717"</f>
        <v>6451429717</v>
      </c>
      <c r="B13533" t="s">
        <v>18803</v>
      </c>
      <c r="C13533" t="s">
        <v>7</v>
      </c>
      <c r="D13533" t="s">
        <v>14</v>
      </c>
      <c r="E13533" t="s">
        <v>18588</v>
      </c>
      <c r="F13533" t="s">
        <v>18804</v>
      </c>
    </row>
    <row r="13534" spans="1:6" x14ac:dyDescent="0.25">
      <c r="A13534" t="str">
        <f>"6451433375"</f>
        <v>6451433375</v>
      </c>
      <c r="B13534" t="s">
        <v>18805</v>
      </c>
      <c r="C13534" t="s">
        <v>7</v>
      </c>
      <c r="D13534" t="s">
        <v>14</v>
      </c>
      <c r="E13534" t="s">
        <v>18588</v>
      </c>
      <c r="F13534" t="s">
        <v>18806</v>
      </c>
    </row>
    <row r="13535" spans="1:6" x14ac:dyDescent="0.25">
      <c r="A13535" t="str">
        <f>"645200029488"</f>
        <v>645200029488</v>
      </c>
      <c r="B13535" t="s">
        <v>18807</v>
      </c>
      <c r="C13535" t="s">
        <v>7</v>
      </c>
      <c r="D13535" t="s">
        <v>14</v>
      </c>
      <c r="E13535" t="s">
        <v>18588</v>
      </c>
    </row>
    <row r="13536" spans="1:6" x14ac:dyDescent="0.25">
      <c r="A13536" t="str">
        <f>"6452034165"</f>
        <v>6452034165</v>
      </c>
      <c r="B13536" t="s">
        <v>18808</v>
      </c>
      <c r="C13536" t="s">
        <v>7</v>
      </c>
      <c r="D13536" t="s">
        <v>14</v>
      </c>
      <c r="E13536" t="s">
        <v>18588</v>
      </c>
      <c r="F13536" t="s">
        <v>18809</v>
      </c>
    </row>
    <row r="13537" spans="1:6" x14ac:dyDescent="0.25">
      <c r="A13537" t="str">
        <f>"645206510366"</f>
        <v>645206510366</v>
      </c>
      <c r="B13537" t="s">
        <v>18810</v>
      </c>
      <c r="C13537" t="s">
        <v>7</v>
      </c>
      <c r="D13537" t="s">
        <v>14</v>
      </c>
      <c r="E13537" t="s">
        <v>18588</v>
      </c>
    </row>
    <row r="13538" spans="1:6" x14ac:dyDescent="0.25">
      <c r="A13538" t="str">
        <f>"645207134442"</f>
        <v>645207134442</v>
      </c>
      <c r="B13538" t="s">
        <v>18811</v>
      </c>
      <c r="C13538" t="s">
        <v>7</v>
      </c>
      <c r="D13538" t="s">
        <v>12</v>
      </c>
      <c r="E13538" t="s">
        <v>18588</v>
      </c>
    </row>
    <row r="13539" spans="1:6" x14ac:dyDescent="0.25">
      <c r="A13539" t="str">
        <f>"6452094904"</f>
        <v>6452094904</v>
      </c>
      <c r="B13539" t="s">
        <v>18812</v>
      </c>
      <c r="C13539" t="s">
        <v>7</v>
      </c>
      <c r="D13539" t="s">
        <v>12</v>
      </c>
      <c r="E13539" t="s">
        <v>18588</v>
      </c>
      <c r="F13539" t="s">
        <v>18813</v>
      </c>
    </row>
    <row r="13540" spans="1:6" x14ac:dyDescent="0.25">
      <c r="A13540" t="str">
        <f>"6452121749"</f>
        <v>6452121749</v>
      </c>
      <c r="B13540" t="s">
        <v>18814</v>
      </c>
      <c r="C13540" t="s">
        <v>7</v>
      </c>
      <c r="D13540" t="s">
        <v>14</v>
      </c>
      <c r="E13540" t="s">
        <v>18588</v>
      </c>
      <c r="F13540" t="s">
        <v>18815</v>
      </c>
    </row>
    <row r="13541" spans="1:6" x14ac:dyDescent="0.25">
      <c r="A13541" t="str">
        <f>"6452132300"</f>
        <v>6452132300</v>
      </c>
      <c r="B13541" t="s">
        <v>18816</v>
      </c>
      <c r="C13541" t="s">
        <v>7</v>
      </c>
      <c r="D13541" t="s">
        <v>12</v>
      </c>
      <c r="E13541" t="s">
        <v>18588</v>
      </c>
      <c r="F13541" t="s">
        <v>18817</v>
      </c>
    </row>
    <row r="13542" spans="1:6" x14ac:dyDescent="0.25">
      <c r="A13542" t="str">
        <f>"6452137820"</f>
        <v>6452137820</v>
      </c>
      <c r="B13542" t="s">
        <v>18818</v>
      </c>
      <c r="C13542" t="s">
        <v>7</v>
      </c>
      <c r="D13542" t="s">
        <v>33</v>
      </c>
      <c r="E13542" t="s">
        <v>18588</v>
      </c>
      <c r="F13542" t="s">
        <v>18819</v>
      </c>
    </row>
    <row r="13543" spans="1:6" x14ac:dyDescent="0.25">
      <c r="A13543" t="str">
        <f>"6452145637"</f>
        <v>6452145637</v>
      </c>
      <c r="B13543" t="s">
        <v>18820</v>
      </c>
      <c r="C13543" t="s">
        <v>7</v>
      </c>
      <c r="D13543" t="s">
        <v>146</v>
      </c>
      <c r="E13543" t="s">
        <v>18588</v>
      </c>
      <c r="F13543" t="s">
        <v>18821</v>
      </c>
    </row>
    <row r="13544" spans="1:6" x14ac:dyDescent="0.25">
      <c r="A13544" t="str">
        <f>"6452152521"</f>
        <v>6452152521</v>
      </c>
      <c r="B13544" t="s">
        <v>18822</v>
      </c>
      <c r="C13544" t="s">
        <v>7</v>
      </c>
      <c r="D13544" t="s">
        <v>33</v>
      </c>
      <c r="E13544" t="s">
        <v>18588</v>
      </c>
      <c r="F13544" t="s">
        <v>18823</v>
      </c>
    </row>
    <row r="13545" spans="1:6" x14ac:dyDescent="0.25">
      <c r="A13545" t="str">
        <f>"6452914836"</f>
        <v>6452914836</v>
      </c>
      <c r="B13545" t="s">
        <v>18824</v>
      </c>
      <c r="C13545" t="s">
        <v>7</v>
      </c>
      <c r="D13545" t="s">
        <v>14</v>
      </c>
      <c r="E13545" t="s">
        <v>18588</v>
      </c>
      <c r="F13545" t="s">
        <v>18825</v>
      </c>
    </row>
    <row r="13546" spans="1:6" x14ac:dyDescent="0.25">
      <c r="A13546" t="str">
        <f>"645291946665"</f>
        <v>645291946665</v>
      </c>
      <c r="B13546" t="s">
        <v>18826</v>
      </c>
      <c r="C13546" t="s">
        <v>7</v>
      </c>
      <c r="D13546" t="s">
        <v>14</v>
      </c>
      <c r="E13546" t="s">
        <v>18588</v>
      </c>
    </row>
    <row r="13547" spans="1:6" x14ac:dyDescent="0.25">
      <c r="A13547" t="str">
        <f>"6452946034"</f>
        <v>6452946034</v>
      </c>
      <c r="B13547" t="s">
        <v>18827</v>
      </c>
      <c r="C13547" t="s">
        <v>7</v>
      </c>
      <c r="D13547" t="s">
        <v>33</v>
      </c>
      <c r="E13547" t="s">
        <v>18588</v>
      </c>
      <c r="F13547" t="s">
        <v>18828</v>
      </c>
    </row>
    <row r="13548" spans="1:6" x14ac:dyDescent="0.25">
      <c r="A13548" t="str">
        <f>"645300867148"</f>
        <v>645300867148</v>
      </c>
      <c r="B13548" t="s">
        <v>18829</v>
      </c>
      <c r="C13548" t="s">
        <v>7</v>
      </c>
      <c r="D13548" t="s">
        <v>12</v>
      </c>
      <c r="E13548" t="s">
        <v>18588</v>
      </c>
    </row>
    <row r="13549" spans="1:6" x14ac:dyDescent="0.25">
      <c r="A13549" t="str">
        <f>"645301045158"</f>
        <v>645301045158</v>
      </c>
      <c r="B13549" t="s">
        <v>18830</v>
      </c>
      <c r="C13549" t="s">
        <v>7</v>
      </c>
      <c r="D13549" t="s">
        <v>14</v>
      </c>
      <c r="E13549" t="s">
        <v>18588</v>
      </c>
    </row>
    <row r="13550" spans="1:6" x14ac:dyDescent="0.25">
      <c r="A13550" t="str">
        <f>"6453098348"</f>
        <v>6453098348</v>
      </c>
      <c r="B13550" t="s">
        <v>18831</v>
      </c>
      <c r="C13550" t="s">
        <v>7</v>
      </c>
      <c r="D13550" t="s">
        <v>12</v>
      </c>
      <c r="E13550" t="s">
        <v>18588</v>
      </c>
      <c r="F13550" t="s">
        <v>18832</v>
      </c>
    </row>
    <row r="13551" spans="1:6" x14ac:dyDescent="0.25">
      <c r="A13551" t="str">
        <f>"6453107401"</f>
        <v>6453107401</v>
      </c>
      <c r="B13551" t="s">
        <v>18833</v>
      </c>
      <c r="C13551" t="s">
        <v>7</v>
      </c>
      <c r="D13551" t="s">
        <v>14</v>
      </c>
      <c r="E13551" t="s">
        <v>18588</v>
      </c>
      <c r="F13551" t="s">
        <v>18834</v>
      </c>
    </row>
    <row r="13552" spans="1:6" x14ac:dyDescent="0.25">
      <c r="A13552" t="str">
        <f>"645311129819"</f>
        <v>645311129819</v>
      </c>
      <c r="B13552" t="s">
        <v>18835</v>
      </c>
      <c r="C13552" t="s">
        <v>7</v>
      </c>
      <c r="D13552" t="s">
        <v>463</v>
      </c>
      <c r="E13552" t="s">
        <v>18588</v>
      </c>
    </row>
    <row r="13553" spans="1:6" x14ac:dyDescent="0.25">
      <c r="A13553" t="str">
        <f>"645311506665"</f>
        <v>645311506665</v>
      </c>
      <c r="B13553" t="s">
        <v>18836</v>
      </c>
      <c r="C13553" t="s">
        <v>7</v>
      </c>
      <c r="D13553" t="s">
        <v>12</v>
      </c>
      <c r="E13553" t="s">
        <v>18588</v>
      </c>
    </row>
    <row r="13554" spans="1:6" x14ac:dyDescent="0.25">
      <c r="A13554" t="str">
        <f>"645311889023"</f>
        <v>645311889023</v>
      </c>
      <c r="B13554" t="s">
        <v>18837</v>
      </c>
      <c r="C13554" t="s">
        <v>7</v>
      </c>
      <c r="D13554" t="s">
        <v>14</v>
      </c>
      <c r="E13554" t="s">
        <v>18588</v>
      </c>
    </row>
    <row r="13555" spans="1:6" x14ac:dyDescent="0.25">
      <c r="A13555" t="str">
        <f>"6453131732"</f>
        <v>6453131732</v>
      </c>
      <c r="B13555" t="s">
        <v>18838</v>
      </c>
      <c r="C13555" t="s">
        <v>7</v>
      </c>
      <c r="D13555" t="s">
        <v>33</v>
      </c>
      <c r="E13555" t="s">
        <v>18588</v>
      </c>
      <c r="F13555" t="s">
        <v>18839</v>
      </c>
    </row>
    <row r="13556" spans="1:6" x14ac:dyDescent="0.25">
      <c r="A13556" t="str">
        <f>"6453136508"</f>
        <v>6453136508</v>
      </c>
      <c r="B13556" t="s">
        <v>18840</v>
      </c>
      <c r="C13556" t="s">
        <v>7</v>
      </c>
      <c r="D13556" t="s">
        <v>14</v>
      </c>
      <c r="E13556" t="s">
        <v>18588</v>
      </c>
      <c r="F13556" t="s">
        <v>18841</v>
      </c>
    </row>
    <row r="13557" spans="1:6" x14ac:dyDescent="0.25">
      <c r="A13557" t="str">
        <f>"6453144202"</f>
        <v>6453144202</v>
      </c>
      <c r="B13557" t="s">
        <v>18842</v>
      </c>
      <c r="C13557" t="s">
        <v>7</v>
      </c>
      <c r="D13557" t="s">
        <v>33</v>
      </c>
      <c r="E13557" t="s">
        <v>18588</v>
      </c>
      <c r="F13557" t="s">
        <v>18843</v>
      </c>
    </row>
    <row r="13558" spans="1:6" x14ac:dyDescent="0.25">
      <c r="A13558" t="str">
        <f>"6453145171"</f>
        <v>6453145171</v>
      </c>
      <c r="B13558" t="s">
        <v>18844</v>
      </c>
      <c r="C13558" t="s">
        <v>7</v>
      </c>
      <c r="D13558" t="s">
        <v>33</v>
      </c>
      <c r="E13558" t="s">
        <v>18588</v>
      </c>
      <c r="F13558" t="s">
        <v>18845</v>
      </c>
    </row>
    <row r="13559" spans="1:6" x14ac:dyDescent="0.25">
      <c r="A13559" t="str">
        <f>"6453152002"</f>
        <v>6453152002</v>
      </c>
      <c r="B13559" t="s">
        <v>18846</v>
      </c>
      <c r="C13559" t="s">
        <v>7</v>
      </c>
      <c r="D13559" t="s">
        <v>12</v>
      </c>
      <c r="E13559" t="s">
        <v>18588</v>
      </c>
      <c r="F13559" t="s">
        <v>18847</v>
      </c>
    </row>
    <row r="13560" spans="1:6" x14ac:dyDescent="0.25">
      <c r="A13560" t="str">
        <f>"6453157829"</f>
        <v>6453157829</v>
      </c>
      <c r="B13560" t="s">
        <v>18848</v>
      </c>
      <c r="C13560" t="s">
        <v>7</v>
      </c>
      <c r="D13560" t="s">
        <v>12</v>
      </c>
      <c r="E13560" t="s">
        <v>18588</v>
      </c>
      <c r="F13560" t="s">
        <v>18849</v>
      </c>
    </row>
    <row r="13561" spans="1:6" x14ac:dyDescent="0.25">
      <c r="A13561" t="str">
        <f>"6453171189"</f>
        <v>6453171189</v>
      </c>
      <c r="B13561" t="s">
        <v>18850</v>
      </c>
      <c r="C13561" t="s">
        <v>7</v>
      </c>
      <c r="D13561" t="s">
        <v>12</v>
      </c>
      <c r="E13561" t="s">
        <v>18588</v>
      </c>
      <c r="F13561" t="s">
        <v>18851</v>
      </c>
    </row>
    <row r="13562" spans="1:6" x14ac:dyDescent="0.25">
      <c r="A13562" t="str">
        <f>"645320569164"</f>
        <v>645320569164</v>
      </c>
      <c r="B13562" t="s">
        <v>18852</v>
      </c>
      <c r="C13562" t="s">
        <v>7</v>
      </c>
      <c r="D13562" t="s">
        <v>12</v>
      </c>
      <c r="E13562" t="s">
        <v>18588</v>
      </c>
    </row>
    <row r="13563" spans="1:6" x14ac:dyDescent="0.25">
      <c r="A13563" t="str">
        <f>"645325698519"</f>
        <v>645325698519</v>
      </c>
      <c r="B13563" t="s">
        <v>18853</v>
      </c>
      <c r="C13563" t="s">
        <v>7</v>
      </c>
      <c r="D13563" t="s">
        <v>12</v>
      </c>
      <c r="E13563" t="s">
        <v>18588</v>
      </c>
    </row>
    <row r="13564" spans="1:6" x14ac:dyDescent="0.25">
      <c r="A13564" t="str">
        <f>"645395438458"</f>
        <v>645395438458</v>
      </c>
      <c r="B13564" t="s">
        <v>18854</v>
      </c>
      <c r="C13564" t="s">
        <v>7</v>
      </c>
      <c r="D13564" t="s">
        <v>12</v>
      </c>
      <c r="E13564" t="s">
        <v>18588</v>
      </c>
    </row>
    <row r="13565" spans="1:6" x14ac:dyDescent="0.25">
      <c r="A13565" t="str">
        <f>"645407817703"</f>
        <v>645407817703</v>
      </c>
      <c r="B13565" t="s">
        <v>18855</v>
      </c>
      <c r="C13565" t="s">
        <v>7</v>
      </c>
      <c r="D13565" t="s">
        <v>14</v>
      </c>
      <c r="E13565" t="s">
        <v>18588</v>
      </c>
    </row>
    <row r="13566" spans="1:6" x14ac:dyDescent="0.25">
      <c r="A13566" t="str">
        <f>"645410927270"</f>
        <v>645410927270</v>
      </c>
      <c r="B13566" t="s">
        <v>18856</v>
      </c>
      <c r="C13566" t="s">
        <v>7</v>
      </c>
      <c r="D13566" t="s">
        <v>14</v>
      </c>
      <c r="E13566" t="s">
        <v>18588</v>
      </c>
    </row>
    <row r="13567" spans="1:6" x14ac:dyDescent="0.25">
      <c r="A13567" t="str">
        <f>"6454126559"</f>
        <v>6454126559</v>
      </c>
      <c r="B13567" t="s">
        <v>18857</v>
      </c>
      <c r="C13567" t="s">
        <v>7</v>
      </c>
      <c r="D13567" t="s">
        <v>463</v>
      </c>
      <c r="E13567" t="s">
        <v>18588</v>
      </c>
      <c r="F13567" t="s">
        <v>18858</v>
      </c>
    </row>
    <row r="13568" spans="1:6" x14ac:dyDescent="0.25">
      <c r="A13568" t="str">
        <f>"645500161695"</f>
        <v>645500161695</v>
      </c>
      <c r="B13568" t="s">
        <v>18859</v>
      </c>
      <c r="C13568" t="s">
        <v>7</v>
      </c>
      <c r="D13568" t="s">
        <v>12</v>
      </c>
      <c r="E13568" t="s">
        <v>18588</v>
      </c>
    </row>
    <row r="13569" spans="1:6" x14ac:dyDescent="0.25">
      <c r="A13569" t="str">
        <f>"6455008075"</f>
        <v>6455008075</v>
      </c>
      <c r="B13569" t="s">
        <v>18860</v>
      </c>
      <c r="C13569" t="s">
        <v>7</v>
      </c>
      <c r="D13569" t="s">
        <v>14</v>
      </c>
      <c r="E13569" t="s">
        <v>18588</v>
      </c>
      <c r="F13569" t="s">
        <v>18861</v>
      </c>
    </row>
    <row r="13570" spans="1:6" x14ac:dyDescent="0.25">
      <c r="A13570" t="str">
        <f>"6455059859"</f>
        <v>6455059859</v>
      </c>
      <c r="B13570" t="s">
        <v>18862</v>
      </c>
      <c r="C13570" t="s">
        <v>7</v>
      </c>
      <c r="D13570" t="s">
        <v>33</v>
      </c>
      <c r="E13570" t="s">
        <v>18588</v>
      </c>
      <c r="F13570" t="s">
        <v>18863</v>
      </c>
    </row>
    <row r="13571" spans="1:6" x14ac:dyDescent="0.25">
      <c r="A13571" t="str">
        <f>"6455067560"</f>
        <v>6455067560</v>
      </c>
      <c r="B13571" t="s">
        <v>18864</v>
      </c>
      <c r="C13571" t="s">
        <v>7</v>
      </c>
      <c r="D13571" t="s">
        <v>33</v>
      </c>
      <c r="E13571" t="s">
        <v>18588</v>
      </c>
      <c r="F13571" t="s">
        <v>18865</v>
      </c>
    </row>
    <row r="13572" spans="1:6" x14ac:dyDescent="0.25">
      <c r="A13572" t="str">
        <f>"644308621602"</f>
        <v>644308621602</v>
      </c>
      <c r="B13572" t="s">
        <v>18866</v>
      </c>
      <c r="C13572" t="s">
        <v>7</v>
      </c>
      <c r="D13572" t="s">
        <v>14</v>
      </c>
      <c r="E13572" t="s">
        <v>18588</v>
      </c>
    </row>
    <row r="13573" spans="1:6" x14ac:dyDescent="0.25">
      <c r="A13573" t="str">
        <f>"6445004145"</f>
        <v>6445004145</v>
      </c>
      <c r="B13573" t="s">
        <v>18867</v>
      </c>
      <c r="C13573" t="s">
        <v>7</v>
      </c>
      <c r="D13573" t="s">
        <v>33</v>
      </c>
      <c r="E13573" t="s">
        <v>18588</v>
      </c>
      <c r="F13573" t="s">
        <v>18868</v>
      </c>
    </row>
    <row r="13574" spans="1:6" x14ac:dyDescent="0.25">
      <c r="A13574" t="str">
        <f>"644503096058"</f>
        <v>644503096058</v>
      </c>
      <c r="B13574" t="s">
        <v>18869</v>
      </c>
      <c r="C13574" t="s">
        <v>7</v>
      </c>
      <c r="D13574" t="s">
        <v>14</v>
      </c>
      <c r="E13574" t="s">
        <v>18588</v>
      </c>
    </row>
    <row r="13575" spans="1:6" x14ac:dyDescent="0.25">
      <c r="A13575" t="str">
        <f>"644508431260"</f>
        <v>644508431260</v>
      </c>
      <c r="B13575" t="s">
        <v>18870</v>
      </c>
      <c r="C13575" t="s">
        <v>7</v>
      </c>
      <c r="D13575" t="s">
        <v>14</v>
      </c>
      <c r="E13575" t="s">
        <v>18588</v>
      </c>
    </row>
    <row r="13576" spans="1:6" x14ac:dyDescent="0.25">
      <c r="A13576" t="str">
        <f>"644802526990"</f>
        <v>644802526990</v>
      </c>
      <c r="B13576" t="s">
        <v>18871</v>
      </c>
      <c r="C13576" t="s">
        <v>7</v>
      </c>
      <c r="D13576" t="s">
        <v>14</v>
      </c>
      <c r="E13576" t="s">
        <v>18588</v>
      </c>
    </row>
    <row r="13577" spans="1:6" x14ac:dyDescent="0.25">
      <c r="A13577" t="str">
        <f>"6449008616"</f>
        <v>6449008616</v>
      </c>
      <c r="B13577" t="s">
        <v>18872</v>
      </c>
      <c r="C13577" t="s">
        <v>7</v>
      </c>
      <c r="D13577" t="s">
        <v>14</v>
      </c>
      <c r="E13577" t="s">
        <v>18588</v>
      </c>
      <c r="F13577" t="s">
        <v>18873</v>
      </c>
    </row>
    <row r="13578" spans="1:6" x14ac:dyDescent="0.25">
      <c r="A13578" t="str">
        <f>"644901052910"</f>
        <v>644901052910</v>
      </c>
      <c r="B13578" t="s">
        <v>18874</v>
      </c>
      <c r="C13578" t="s">
        <v>7</v>
      </c>
      <c r="D13578" t="s">
        <v>14</v>
      </c>
      <c r="E13578" t="s">
        <v>18588</v>
      </c>
    </row>
    <row r="13579" spans="1:6" x14ac:dyDescent="0.25">
      <c r="A13579" t="str">
        <f>"644904149980"</f>
        <v>644904149980</v>
      </c>
      <c r="B13579" t="s">
        <v>18875</v>
      </c>
      <c r="C13579" t="s">
        <v>7</v>
      </c>
      <c r="D13579" t="s">
        <v>12</v>
      </c>
      <c r="E13579" t="s">
        <v>18588</v>
      </c>
    </row>
    <row r="13580" spans="1:6" x14ac:dyDescent="0.25">
      <c r="A13580" t="str">
        <f>"6449092417"</f>
        <v>6449092417</v>
      </c>
      <c r="B13580" t="s">
        <v>18876</v>
      </c>
      <c r="C13580" t="s">
        <v>7</v>
      </c>
      <c r="D13580" t="s">
        <v>14</v>
      </c>
      <c r="E13580" t="s">
        <v>18588</v>
      </c>
      <c r="F13580" t="s">
        <v>18877</v>
      </c>
    </row>
    <row r="13581" spans="1:6" x14ac:dyDescent="0.25">
      <c r="A13581" t="str">
        <f>"644909489500"</f>
        <v>644909489500</v>
      </c>
      <c r="B13581" t="s">
        <v>18878</v>
      </c>
      <c r="C13581" t="s">
        <v>7</v>
      </c>
      <c r="D13581" t="s">
        <v>14</v>
      </c>
      <c r="E13581" t="s">
        <v>18588</v>
      </c>
    </row>
    <row r="13582" spans="1:6" x14ac:dyDescent="0.25">
      <c r="A13582" t="str">
        <f>"644910537766"</f>
        <v>644910537766</v>
      </c>
      <c r="B13582" t="s">
        <v>18879</v>
      </c>
      <c r="C13582" t="s">
        <v>7</v>
      </c>
      <c r="D13582" t="s">
        <v>14</v>
      </c>
      <c r="E13582" t="s">
        <v>18588</v>
      </c>
    </row>
    <row r="13583" spans="1:6" x14ac:dyDescent="0.25">
      <c r="A13583" t="str">
        <f>"644911080874"</f>
        <v>644911080874</v>
      </c>
      <c r="B13583" t="s">
        <v>18880</v>
      </c>
      <c r="C13583" t="s">
        <v>7</v>
      </c>
      <c r="D13583" t="s">
        <v>12</v>
      </c>
      <c r="E13583" t="s">
        <v>18588</v>
      </c>
    </row>
    <row r="13584" spans="1:6" x14ac:dyDescent="0.25">
      <c r="A13584" t="str">
        <f>"644923630018"</f>
        <v>644923630018</v>
      </c>
      <c r="B13584" t="s">
        <v>18881</v>
      </c>
      <c r="C13584" t="s">
        <v>7</v>
      </c>
      <c r="D13584" t="s">
        <v>14</v>
      </c>
      <c r="E13584" t="s">
        <v>18588</v>
      </c>
    </row>
    <row r="13585" spans="1:6" x14ac:dyDescent="0.25">
      <c r="A13585" t="str">
        <f>"644925943129"</f>
        <v>644925943129</v>
      </c>
      <c r="B13585" t="s">
        <v>18882</v>
      </c>
      <c r="C13585" t="s">
        <v>7</v>
      </c>
      <c r="D13585" t="s">
        <v>14</v>
      </c>
      <c r="E13585" t="s">
        <v>18588</v>
      </c>
    </row>
    <row r="13586" spans="1:6" x14ac:dyDescent="0.25">
      <c r="A13586" t="str">
        <f>"6450013829"</f>
        <v>6450013829</v>
      </c>
      <c r="B13586" t="s">
        <v>18883</v>
      </c>
      <c r="C13586" t="s">
        <v>7</v>
      </c>
      <c r="D13586" t="s">
        <v>12</v>
      </c>
      <c r="E13586" t="s">
        <v>18588</v>
      </c>
      <c r="F13586" t="s">
        <v>18884</v>
      </c>
    </row>
    <row r="13587" spans="1:6" x14ac:dyDescent="0.25">
      <c r="A13587" t="str">
        <f>"645006648230"</f>
        <v>645006648230</v>
      </c>
      <c r="B13587" t="s">
        <v>18885</v>
      </c>
      <c r="C13587" t="s">
        <v>7</v>
      </c>
      <c r="D13587" t="s">
        <v>14</v>
      </c>
      <c r="E13587" t="s">
        <v>18588</v>
      </c>
    </row>
    <row r="13588" spans="1:6" x14ac:dyDescent="0.25">
      <c r="A13588" t="str">
        <f>"6450098325"</f>
        <v>6450098325</v>
      </c>
      <c r="B13588" t="s">
        <v>18886</v>
      </c>
      <c r="C13588" t="s">
        <v>7</v>
      </c>
      <c r="D13588" t="s">
        <v>14</v>
      </c>
      <c r="E13588" t="s">
        <v>18588</v>
      </c>
      <c r="F13588" t="s">
        <v>18887</v>
      </c>
    </row>
    <row r="13589" spans="1:6" x14ac:dyDescent="0.25">
      <c r="A13589" t="str">
        <f>"645101012807"</f>
        <v>645101012807</v>
      </c>
      <c r="B13589" t="s">
        <v>18888</v>
      </c>
      <c r="C13589" t="s">
        <v>7</v>
      </c>
      <c r="D13589" t="s">
        <v>14</v>
      </c>
      <c r="E13589" t="s">
        <v>18588</v>
      </c>
    </row>
    <row r="13590" spans="1:6" x14ac:dyDescent="0.25">
      <c r="A13590" t="str">
        <f>"6451016491"</f>
        <v>6451016491</v>
      </c>
      <c r="B13590" t="s">
        <v>18889</v>
      </c>
      <c r="C13590" t="s">
        <v>7</v>
      </c>
      <c r="D13590" t="s">
        <v>14</v>
      </c>
      <c r="E13590" t="s">
        <v>18588</v>
      </c>
      <c r="F13590" t="s">
        <v>18890</v>
      </c>
    </row>
    <row r="13591" spans="1:6" x14ac:dyDescent="0.25">
      <c r="A13591" t="str">
        <f>"645101659506"</f>
        <v>645101659506</v>
      </c>
      <c r="B13591" t="s">
        <v>18891</v>
      </c>
      <c r="C13591" t="s">
        <v>7</v>
      </c>
      <c r="D13591" t="s">
        <v>12</v>
      </c>
      <c r="E13591" t="s">
        <v>18588</v>
      </c>
    </row>
    <row r="13592" spans="1:6" x14ac:dyDescent="0.25">
      <c r="A13592" t="str">
        <f>"645108802064"</f>
        <v>645108802064</v>
      </c>
      <c r="B13592" t="s">
        <v>18892</v>
      </c>
      <c r="C13592" t="s">
        <v>7</v>
      </c>
      <c r="D13592" t="s">
        <v>14</v>
      </c>
      <c r="E13592" t="s">
        <v>18588</v>
      </c>
    </row>
    <row r="13593" spans="1:6" x14ac:dyDescent="0.25">
      <c r="A13593" t="str">
        <f>"645108897387"</f>
        <v>645108897387</v>
      </c>
      <c r="B13593" t="s">
        <v>18893</v>
      </c>
      <c r="C13593" t="s">
        <v>7</v>
      </c>
      <c r="D13593" t="s">
        <v>14</v>
      </c>
      <c r="E13593" t="s">
        <v>18588</v>
      </c>
    </row>
    <row r="13594" spans="1:6" x14ac:dyDescent="0.25">
      <c r="A13594" t="str">
        <f>"645110076116"</f>
        <v>645110076116</v>
      </c>
      <c r="B13594" t="s">
        <v>18894</v>
      </c>
      <c r="C13594" t="s">
        <v>7</v>
      </c>
      <c r="D13594" t="s">
        <v>14</v>
      </c>
      <c r="E13594" t="s">
        <v>18588</v>
      </c>
    </row>
    <row r="13595" spans="1:6" x14ac:dyDescent="0.25">
      <c r="A13595" t="str">
        <f>"6451428128"</f>
        <v>6451428128</v>
      </c>
      <c r="B13595" t="s">
        <v>18895</v>
      </c>
      <c r="C13595" t="s">
        <v>7</v>
      </c>
      <c r="D13595" t="s">
        <v>14</v>
      </c>
      <c r="E13595" t="s">
        <v>18588</v>
      </c>
      <c r="F13595" t="s">
        <v>18896</v>
      </c>
    </row>
    <row r="13596" spans="1:6" x14ac:dyDescent="0.25">
      <c r="A13596" t="str">
        <f>"6451433093"</f>
        <v>6451433093</v>
      </c>
      <c r="B13596" t="s">
        <v>18897</v>
      </c>
      <c r="C13596" t="s">
        <v>7</v>
      </c>
      <c r="D13596" t="s">
        <v>33</v>
      </c>
      <c r="E13596" t="s">
        <v>18588</v>
      </c>
      <c r="F13596" t="s">
        <v>18898</v>
      </c>
    </row>
    <row r="13597" spans="1:6" x14ac:dyDescent="0.25">
      <c r="A13597" t="str">
        <f>"645203995000"</f>
        <v>645203995000</v>
      </c>
      <c r="B13597" t="s">
        <v>18899</v>
      </c>
      <c r="C13597" t="s">
        <v>7</v>
      </c>
      <c r="D13597" t="s">
        <v>33</v>
      </c>
      <c r="E13597" t="s">
        <v>18588</v>
      </c>
    </row>
    <row r="13598" spans="1:6" x14ac:dyDescent="0.25">
      <c r="A13598" t="str">
        <f>"6452064314"</f>
        <v>6452064314</v>
      </c>
      <c r="B13598" t="s">
        <v>18900</v>
      </c>
      <c r="C13598" t="s">
        <v>7</v>
      </c>
      <c r="D13598" t="s">
        <v>33</v>
      </c>
      <c r="E13598" t="s">
        <v>18588</v>
      </c>
      <c r="F13598" t="s">
        <v>18901</v>
      </c>
    </row>
    <row r="13599" spans="1:6" x14ac:dyDescent="0.25">
      <c r="A13599" t="str">
        <f>"6452073622"</f>
        <v>6452073622</v>
      </c>
      <c r="B13599" t="s">
        <v>18902</v>
      </c>
      <c r="C13599" t="s">
        <v>7</v>
      </c>
      <c r="D13599" t="s">
        <v>33</v>
      </c>
      <c r="E13599" t="s">
        <v>18588</v>
      </c>
      <c r="F13599" t="s">
        <v>18903</v>
      </c>
    </row>
    <row r="13600" spans="1:6" x14ac:dyDescent="0.25">
      <c r="A13600" t="str">
        <f>"645210356710"</f>
        <v>645210356710</v>
      </c>
      <c r="B13600" t="s">
        <v>18904</v>
      </c>
      <c r="C13600" t="s">
        <v>7</v>
      </c>
      <c r="D13600" t="s">
        <v>14</v>
      </c>
      <c r="E13600" t="s">
        <v>18588</v>
      </c>
    </row>
    <row r="13601" spans="1:6" x14ac:dyDescent="0.25">
      <c r="A13601" t="str">
        <f>"6452119725"</f>
        <v>6452119725</v>
      </c>
      <c r="B13601" t="s">
        <v>18905</v>
      </c>
      <c r="C13601" t="s">
        <v>7</v>
      </c>
      <c r="D13601" t="s">
        <v>12</v>
      </c>
      <c r="E13601" t="s">
        <v>18588</v>
      </c>
      <c r="F13601" t="s">
        <v>18906</v>
      </c>
    </row>
    <row r="13602" spans="1:6" x14ac:dyDescent="0.25">
      <c r="A13602" t="str">
        <f>"6452124394"</f>
        <v>6452124394</v>
      </c>
      <c r="B13602" t="s">
        <v>18907</v>
      </c>
      <c r="C13602" t="s">
        <v>7</v>
      </c>
      <c r="D13602" t="s">
        <v>33</v>
      </c>
      <c r="E13602" t="s">
        <v>18588</v>
      </c>
      <c r="F13602" t="s">
        <v>18908</v>
      </c>
    </row>
    <row r="13603" spans="1:6" x14ac:dyDescent="0.25">
      <c r="A13603" t="str">
        <f>"6452125782"</f>
        <v>6452125782</v>
      </c>
      <c r="B13603" t="s">
        <v>18909</v>
      </c>
      <c r="C13603" t="s">
        <v>7</v>
      </c>
      <c r="D13603" t="s">
        <v>33</v>
      </c>
      <c r="E13603" t="s">
        <v>18588</v>
      </c>
      <c r="F13603" t="s">
        <v>18910</v>
      </c>
    </row>
    <row r="13604" spans="1:6" x14ac:dyDescent="0.25">
      <c r="A13604" t="str">
        <f>"6452129160"</f>
        <v>6452129160</v>
      </c>
      <c r="B13604" t="s">
        <v>18911</v>
      </c>
      <c r="C13604" t="s">
        <v>7</v>
      </c>
      <c r="D13604" t="s">
        <v>12</v>
      </c>
      <c r="E13604" t="s">
        <v>18588</v>
      </c>
      <c r="F13604" t="s">
        <v>18912</v>
      </c>
    </row>
    <row r="13605" spans="1:6" x14ac:dyDescent="0.25">
      <c r="A13605" t="str">
        <f>"6452130782"</f>
        <v>6452130782</v>
      </c>
      <c r="B13605" t="s">
        <v>18913</v>
      </c>
      <c r="C13605" t="s">
        <v>7</v>
      </c>
      <c r="D13605" t="s">
        <v>12</v>
      </c>
      <c r="E13605" t="s">
        <v>18588</v>
      </c>
      <c r="F13605" t="s">
        <v>18914</v>
      </c>
    </row>
    <row r="13606" spans="1:6" x14ac:dyDescent="0.25">
      <c r="A13606" t="str">
        <f>"6452146694"</f>
        <v>6452146694</v>
      </c>
      <c r="B13606" t="s">
        <v>18915</v>
      </c>
      <c r="C13606" t="s">
        <v>7</v>
      </c>
      <c r="D13606" t="s">
        <v>33</v>
      </c>
      <c r="E13606" t="s">
        <v>18588</v>
      </c>
      <c r="F13606" t="s">
        <v>18916</v>
      </c>
    </row>
    <row r="13607" spans="1:6" x14ac:dyDescent="0.25">
      <c r="A13607" t="str">
        <f>"6452149705"</f>
        <v>6452149705</v>
      </c>
      <c r="B13607" t="s">
        <v>18917</v>
      </c>
      <c r="C13607" t="s">
        <v>7</v>
      </c>
      <c r="D13607" t="s">
        <v>12</v>
      </c>
      <c r="E13607" t="s">
        <v>18588</v>
      </c>
      <c r="F13607" t="s">
        <v>18918</v>
      </c>
    </row>
    <row r="13608" spans="1:6" x14ac:dyDescent="0.25">
      <c r="A13608" t="str">
        <f>"6452155650"</f>
        <v>6452155650</v>
      </c>
      <c r="B13608" t="s">
        <v>18919</v>
      </c>
      <c r="C13608" t="s">
        <v>7</v>
      </c>
      <c r="D13608" t="s">
        <v>8</v>
      </c>
      <c r="E13608" t="s">
        <v>18588</v>
      </c>
      <c r="F13608" t="s">
        <v>18920</v>
      </c>
    </row>
    <row r="13609" spans="1:6" x14ac:dyDescent="0.25">
      <c r="A13609" t="str">
        <f>"645306651723"</f>
        <v>645306651723</v>
      </c>
      <c r="B13609" t="s">
        <v>18921</v>
      </c>
      <c r="C13609" t="s">
        <v>7</v>
      </c>
      <c r="D13609" t="s">
        <v>14</v>
      </c>
      <c r="E13609" t="s">
        <v>18588</v>
      </c>
    </row>
    <row r="13610" spans="1:6" x14ac:dyDescent="0.25">
      <c r="A13610" t="str">
        <f>"645307227764"</f>
        <v>645307227764</v>
      </c>
      <c r="B13610" t="s">
        <v>18922</v>
      </c>
      <c r="C13610" t="s">
        <v>7</v>
      </c>
      <c r="D13610" t="s">
        <v>14</v>
      </c>
      <c r="E13610" t="s">
        <v>18588</v>
      </c>
    </row>
    <row r="13611" spans="1:6" x14ac:dyDescent="0.25">
      <c r="A13611" t="str">
        <f>"6453102604"</f>
        <v>6453102604</v>
      </c>
      <c r="B13611" t="s">
        <v>10463</v>
      </c>
      <c r="C13611" t="s">
        <v>7</v>
      </c>
      <c r="D13611" t="s">
        <v>33</v>
      </c>
      <c r="E13611" t="s">
        <v>18588</v>
      </c>
      <c r="F13611" t="s">
        <v>18923</v>
      </c>
    </row>
    <row r="13612" spans="1:6" x14ac:dyDescent="0.25">
      <c r="A13612" t="str">
        <f>"6453148616"</f>
        <v>6453148616</v>
      </c>
      <c r="B13612" t="s">
        <v>18924</v>
      </c>
      <c r="C13612" t="s">
        <v>7</v>
      </c>
      <c r="D13612" t="s">
        <v>12</v>
      </c>
      <c r="E13612" t="s">
        <v>18588</v>
      </c>
      <c r="F13612" t="s">
        <v>18925</v>
      </c>
    </row>
    <row r="13613" spans="1:6" x14ac:dyDescent="0.25">
      <c r="A13613" t="str">
        <f>"6453156769"</f>
        <v>6453156769</v>
      </c>
      <c r="B13613" t="s">
        <v>18926</v>
      </c>
      <c r="C13613" t="s">
        <v>7</v>
      </c>
      <c r="D13613" t="s">
        <v>14</v>
      </c>
      <c r="E13613" t="s">
        <v>18588</v>
      </c>
      <c r="F13613" t="s">
        <v>18927</v>
      </c>
    </row>
    <row r="13614" spans="1:6" x14ac:dyDescent="0.25">
      <c r="A13614" t="str">
        <f>"6453165749"</f>
        <v>6453165749</v>
      </c>
      <c r="B13614" t="s">
        <v>18928</v>
      </c>
      <c r="C13614" t="s">
        <v>7</v>
      </c>
      <c r="D13614" t="s">
        <v>14</v>
      </c>
      <c r="E13614" t="s">
        <v>18588</v>
      </c>
      <c r="F13614" t="s">
        <v>18929</v>
      </c>
    </row>
    <row r="13615" spans="1:6" x14ac:dyDescent="0.25">
      <c r="A13615" t="str">
        <f>"645317080447"</f>
        <v>645317080447</v>
      </c>
      <c r="B13615" t="s">
        <v>18930</v>
      </c>
      <c r="C13615" t="s">
        <v>7</v>
      </c>
      <c r="D13615" t="s">
        <v>14</v>
      </c>
      <c r="E13615" t="s">
        <v>18588</v>
      </c>
    </row>
    <row r="13616" spans="1:6" x14ac:dyDescent="0.25">
      <c r="A13616" t="str">
        <f>"6453177173"</f>
        <v>6453177173</v>
      </c>
      <c r="B13616" t="s">
        <v>18931</v>
      </c>
      <c r="C13616" t="s">
        <v>7</v>
      </c>
      <c r="D13616" t="s">
        <v>33</v>
      </c>
      <c r="E13616" t="s">
        <v>18588</v>
      </c>
      <c r="F13616" t="s">
        <v>18932</v>
      </c>
    </row>
    <row r="13617" spans="1:6" x14ac:dyDescent="0.25">
      <c r="A13617" t="str">
        <f>"645318024639"</f>
        <v>645318024639</v>
      </c>
      <c r="B13617" t="s">
        <v>18933</v>
      </c>
      <c r="C13617" t="s">
        <v>7</v>
      </c>
      <c r="D13617" t="s">
        <v>14</v>
      </c>
      <c r="E13617" t="s">
        <v>18588</v>
      </c>
    </row>
    <row r="13618" spans="1:6" x14ac:dyDescent="0.25">
      <c r="A13618" t="str">
        <f>"645390912040"</f>
        <v>645390912040</v>
      </c>
      <c r="B13618" t="s">
        <v>18934</v>
      </c>
      <c r="C13618" t="s">
        <v>7</v>
      </c>
      <c r="D13618" t="s">
        <v>14</v>
      </c>
      <c r="E13618" t="s">
        <v>18588</v>
      </c>
    </row>
    <row r="13619" spans="1:6" x14ac:dyDescent="0.25">
      <c r="A13619" t="str">
        <f>"6454035284"</f>
        <v>6454035284</v>
      </c>
      <c r="B13619" t="s">
        <v>18935</v>
      </c>
      <c r="C13619" t="s">
        <v>7</v>
      </c>
      <c r="D13619" t="s">
        <v>33</v>
      </c>
      <c r="E13619" t="s">
        <v>18588</v>
      </c>
      <c r="F13619" t="s">
        <v>18936</v>
      </c>
    </row>
    <row r="13620" spans="1:6" x14ac:dyDescent="0.25">
      <c r="A13620" t="str">
        <f>"6454125192"</f>
        <v>6454125192</v>
      </c>
      <c r="B13620" t="s">
        <v>3838</v>
      </c>
      <c r="C13620" t="s">
        <v>7</v>
      </c>
      <c r="D13620" t="s">
        <v>33</v>
      </c>
      <c r="E13620" t="s">
        <v>18588</v>
      </c>
      <c r="F13620" t="s">
        <v>18937</v>
      </c>
    </row>
    <row r="13621" spans="1:6" x14ac:dyDescent="0.25">
      <c r="A13621" t="str">
        <f>"6455051095"</f>
        <v>6455051095</v>
      </c>
      <c r="B13621" t="s">
        <v>18938</v>
      </c>
      <c r="C13621" t="s">
        <v>7</v>
      </c>
      <c r="D13621" t="s">
        <v>12</v>
      </c>
      <c r="E13621" t="s">
        <v>18588</v>
      </c>
      <c r="F13621" t="s">
        <v>18939</v>
      </c>
    </row>
    <row r="13622" spans="1:6" x14ac:dyDescent="0.25">
      <c r="A13622" t="str">
        <f>"6455074159"</f>
        <v>6455074159</v>
      </c>
      <c r="B13622" t="s">
        <v>4141</v>
      </c>
      <c r="C13622" t="s">
        <v>7</v>
      </c>
      <c r="D13622" t="s">
        <v>33</v>
      </c>
      <c r="E13622" t="s">
        <v>18588</v>
      </c>
      <c r="F13622" t="s">
        <v>18940</v>
      </c>
    </row>
    <row r="13623" spans="1:6" x14ac:dyDescent="0.25">
      <c r="A13623" t="str">
        <f>"301300495107"</f>
        <v>301300495107</v>
      </c>
      <c r="B13623" t="s">
        <v>18941</v>
      </c>
      <c r="C13623" t="s">
        <v>7</v>
      </c>
      <c r="D13623" t="s">
        <v>14</v>
      </c>
      <c r="E13623" t="s">
        <v>18588</v>
      </c>
    </row>
    <row r="13624" spans="1:6" x14ac:dyDescent="0.25">
      <c r="A13624" t="str">
        <f>"582001739917"</f>
        <v>582001739917</v>
      </c>
      <c r="B13624" t="s">
        <v>18942</v>
      </c>
      <c r="C13624" t="s">
        <v>7</v>
      </c>
      <c r="D13624" t="s">
        <v>14</v>
      </c>
      <c r="E13624" t="s">
        <v>18588</v>
      </c>
    </row>
    <row r="13625" spans="1:6" x14ac:dyDescent="0.25">
      <c r="A13625" t="str">
        <f>"861900004708"</f>
        <v>861900004708</v>
      </c>
      <c r="B13625" t="s">
        <v>18943</v>
      </c>
      <c r="C13625" t="s">
        <v>7</v>
      </c>
      <c r="D13625" t="s">
        <v>14</v>
      </c>
      <c r="E13625" t="s">
        <v>18588</v>
      </c>
    </row>
    <row r="13626" spans="1:6" x14ac:dyDescent="0.25">
      <c r="A13626" t="str">
        <f>"623012161409"</f>
        <v>623012161409</v>
      </c>
      <c r="B13626" t="s">
        <v>18944</v>
      </c>
      <c r="C13626" t="s">
        <v>7</v>
      </c>
      <c r="D13626" t="s">
        <v>586</v>
      </c>
      <c r="E13626" t="s">
        <v>18945</v>
      </c>
    </row>
    <row r="13627" spans="1:6" x14ac:dyDescent="0.25">
      <c r="A13627" t="str">
        <f>"650105444700"</f>
        <v>650105444700</v>
      </c>
      <c r="B13627" t="s">
        <v>18946</v>
      </c>
      <c r="C13627" t="s">
        <v>7</v>
      </c>
      <c r="D13627" t="s">
        <v>8</v>
      </c>
      <c r="E13627" t="s">
        <v>18945</v>
      </c>
    </row>
    <row r="13628" spans="1:6" x14ac:dyDescent="0.25">
      <c r="A13628" t="str">
        <f>"650111710766"</f>
        <v>650111710766</v>
      </c>
      <c r="B13628" t="s">
        <v>18947</v>
      </c>
      <c r="C13628" t="s">
        <v>7</v>
      </c>
      <c r="D13628" t="s">
        <v>14</v>
      </c>
      <c r="E13628" t="s">
        <v>18945</v>
      </c>
    </row>
    <row r="13629" spans="1:6" x14ac:dyDescent="0.25">
      <c r="A13629" t="str">
        <f>"6501187801"</f>
        <v>6501187801</v>
      </c>
      <c r="B13629" t="s">
        <v>18948</v>
      </c>
      <c r="C13629" t="s">
        <v>7</v>
      </c>
      <c r="D13629" t="s">
        <v>14</v>
      </c>
      <c r="E13629" t="s">
        <v>18945</v>
      </c>
      <c r="F13629" t="s">
        <v>18949</v>
      </c>
    </row>
    <row r="13630" spans="1:6" x14ac:dyDescent="0.25">
      <c r="A13630" t="str">
        <f>"6501304917"</f>
        <v>6501304917</v>
      </c>
      <c r="B13630" t="s">
        <v>18950</v>
      </c>
      <c r="C13630" t="s">
        <v>7</v>
      </c>
      <c r="D13630" t="s">
        <v>8</v>
      </c>
      <c r="E13630" t="s">
        <v>18945</v>
      </c>
      <c r="F13630" t="s">
        <v>18951</v>
      </c>
    </row>
    <row r="13631" spans="1:6" x14ac:dyDescent="0.25">
      <c r="A13631" t="str">
        <f>"650600000106"</f>
        <v>650600000106</v>
      </c>
      <c r="B13631" t="s">
        <v>18952</v>
      </c>
      <c r="C13631" t="s">
        <v>7</v>
      </c>
      <c r="D13631" t="s">
        <v>14</v>
      </c>
      <c r="E13631" t="s">
        <v>18945</v>
      </c>
    </row>
    <row r="13632" spans="1:6" x14ac:dyDescent="0.25">
      <c r="A13632" t="str">
        <f>"6509022350"</f>
        <v>6509022350</v>
      </c>
      <c r="B13632" t="s">
        <v>18953</v>
      </c>
      <c r="C13632" t="s">
        <v>7</v>
      </c>
      <c r="D13632" t="s">
        <v>33</v>
      </c>
      <c r="E13632" t="s">
        <v>18945</v>
      </c>
      <c r="F13632" t="s">
        <v>18954</v>
      </c>
    </row>
    <row r="13633" spans="1:6" x14ac:dyDescent="0.25">
      <c r="A13633" t="str">
        <f>"650903653601"</f>
        <v>650903653601</v>
      </c>
      <c r="B13633" t="s">
        <v>18955</v>
      </c>
      <c r="C13633" t="s">
        <v>7</v>
      </c>
      <c r="D13633" t="s">
        <v>14</v>
      </c>
      <c r="E13633" t="s">
        <v>18945</v>
      </c>
    </row>
    <row r="13634" spans="1:6" x14ac:dyDescent="0.25">
      <c r="A13634" t="str">
        <f>"651400059055"</f>
        <v>651400059055</v>
      </c>
      <c r="B13634" t="s">
        <v>18956</v>
      </c>
      <c r="C13634" t="s">
        <v>7</v>
      </c>
      <c r="D13634" t="s">
        <v>14</v>
      </c>
      <c r="E13634" t="s">
        <v>18945</v>
      </c>
    </row>
    <row r="13635" spans="1:6" x14ac:dyDescent="0.25">
      <c r="A13635" t="str">
        <f>"650100195697"</f>
        <v>650100195697</v>
      </c>
      <c r="B13635" t="s">
        <v>18957</v>
      </c>
      <c r="C13635" t="s">
        <v>7</v>
      </c>
      <c r="D13635" t="s">
        <v>14</v>
      </c>
      <c r="E13635" t="s">
        <v>18945</v>
      </c>
    </row>
    <row r="13636" spans="1:6" x14ac:dyDescent="0.25">
      <c r="A13636" t="str">
        <f>"650106674576"</f>
        <v>650106674576</v>
      </c>
      <c r="B13636" t="s">
        <v>18958</v>
      </c>
      <c r="C13636" t="s">
        <v>7</v>
      </c>
      <c r="D13636" t="s">
        <v>12</v>
      </c>
      <c r="E13636" t="s">
        <v>18945</v>
      </c>
    </row>
    <row r="13637" spans="1:6" x14ac:dyDescent="0.25">
      <c r="A13637" t="str">
        <f>"650108743585"</f>
        <v>650108743585</v>
      </c>
      <c r="B13637" t="s">
        <v>18959</v>
      </c>
      <c r="C13637" t="s">
        <v>7</v>
      </c>
      <c r="D13637" t="s">
        <v>14</v>
      </c>
      <c r="E13637" t="s">
        <v>18945</v>
      </c>
    </row>
    <row r="13638" spans="1:6" x14ac:dyDescent="0.25">
      <c r="A13638" t="str">
        <f>"650115596557"</f>
        <v>650115596557</v>
      </c>
      <c r="B13638" t="s">
        <v>18960</v>
      </c>
      <c r="C13638" t="s">
        <v>7</v>
      </c>
      <c r="D13638" t="s">
        <v>14</v>
      </c>
      <c r="E13638" t="s">
        <v>18945</v>
      </c>
    </row>
    <row r="13639" spans="1:6" x14ac:dyDescent="0.25">
      <c r="A13639" t="str">
        <f>"6501156352"</f>
        <v>6501156352</v>
      </c>
      <c r="B13639" t="s">
        <v>18961</v>
      </c>
      <c r="C13639" t="s">
        <v>7</v>
      </c>
      <c r="D13639" t="s">
        <v>12</v>
      </c>
      <c r="E13639" t="s">
        <v>18945</v>
      </c>
      <c r="F13639" t="s">
        <v>18962</v>
      </c>
    </row>
    <row r="13640" spans="1:6" x14ac:dyDescent="0.25">
      <c r="A13640" t="str">
        <f>"6501213900"</f>
        <v>6501213900</v>
      </c>
      <c r="B13640" t="s">
        <v>18963</v>
      </c>
      <c r="C13640" t="s">
        <v>7</v>
      </c>
      <c r="D13640" t="s">
        <v>33</v>
      </c>
      <c r="E13640" t="s">
        <v>18945</v>
      </c>
      <c r="F13640" t="s">
        <v>18964</v>
      </c>
    </row>
    <row r="13641" spans="1:6" x14ac:dyDescent="0.25">
      <c r="A13641" t="str">
        <f>"6501277300"</f>
        <v>6501277300</v>
      </c>
      <c r="B13641" t="s">
        <v>18965</v>
      </c>
      <c r="C13641" t="s">
        <v>7</v>
      </c>
      <c r="D13641" t="s">
        <v>12</v>
      </c>
      <c r="E13641" t="s">
        <v>18945</v>
      </c>
      <c r="F13641" t="s">
        <v>18966</v>
      </c>
    </row>
    <row r="13642" spans="1:6" x14ac:dyDescent="0.25">
      <c r="A13642" t="str">
        <f>"6501283329"</f>
        <v>6501283329</v>
      </c>
      <c r="B13642" t="s">
        <v>18967</v>
      </c>
      <c r="C13642" t="s">
        <v>7</v>
      </c>
      <c r="D13642" t="s">
        <v>12</v>
      </c>
      <c r="E13642" t="s">
        <v>18945</v>
      </c>
      <c r="F13642" t="s">
        <v>18968</v>
      </c>
    </row>
    <row r="13643" spans="1:6" x14ac:dyDescent="0.25">
      <c r="A13643" t="str">
        <f>"650100589910"</f>
        <v>650100589910</v>
      </c>
      <c r="B13643" t="s">
        <v>18969</v>
      </c>
      <c r="C13643" t="s">
        <v>7</v>
      </c>
      <c r="D13643" t="s">
        <v>14</v>
      </c>
      <c r="E13643" t="s">
        <v>18945</v>
      </c>
    </row>
    <row r="13644" spans="1:6" x14ac:dyDescent="0.25">
      <c r="A13644" t="str">
        <f>"650101944010"</f>
        <v>650101944010</v>
      </c>
      <c r="B13644" t="s">
        <v>18970</v>
      </c>
      <c r="C13644" t="s">
        <v>7</v>
      </c>
      <c r="D13644" t="s">
        <v>14</v>
      </c>
      <c r="E13644" t="s">
        <v>18945</v>
      </c>
    </row>
    <row r="13645" spans="1:6" x14ac:dyDescent="0.25">
      <c r="A13645" t="str">
        <f>"650110525513"</f>
        <v>650110525513</v>
      </c>
      <c r="B13645" t="s">
        <v>18971</v>
      </c>
      <c r="C13645" t="s">
        <v>7</v>
      </c>
      <c r="D13645" t="s">
        <v>12</v>
      </c>
      <c r="E13645" t="s">
        <v>18945</v>
      </c>
    </row>
    <row r="13646" spans="1:6" x14ac:dyDescent="0.25">
      <c r="A13646" t="str">
        <f>"650111199365"</f>
        <v>650111199365</v>
      </c>
      <c r="B13646" t="s">
        <v>18972</v>
      </c>
      <c r="C13646" t="s">
        <v>7</v>
      </c>
      <c r="D13646" t="s">
        <v>12</v>
      </c>
      <c r="E13646" t="s">
        <v>18945</v>
      </c>
    </row>
    <row r="13647" spans="1:6" x14ac:dyDescent="0.25">
      <c r="A13647" t="str">
        <f>"650111208436"</f>
        <v>650111208436</v>
      </c>
      <c r="B13647" t="s">
        <v>18973</v>
      </c>
      <c r="C13647" t="s">
        <v>7</v>
      </c>
      <c r="D13647" t="s">
        <v>14</v>
      </c>
      <c r="E13647" t="s">
        <v>18945</v>
      </c>
    </row>
    <row r="13648" spans="1:6" x14ac:dyDescent="0.25">
      <c r="A13648" t="str">
        <f>"6501144195"</f>
        <v>6501144195</v>
      </c>
      <c r="B13648" t="s">
        <v>18974</v>
      </c>
      <c r="C13648" t="s">
        <v>7</v>
      </c>
      <c r="D13648" t="s">
        <v>14</v>
      </c>
      <c r="E13648" t="s">
        <v>18945</v>
      </c>
      <c r="F13648" t="s">
        <v>18975</v>
      </c>
    </row>
    <row r="13649" spans="1:6" x14ac:dyDescent="0.25">
      <c r="A13649" t="str">
        <f>"650116466688"</f>
        <v>650116466688</v>
      </c>
      <c r="B13649" t="s">
        <v>18976</v>
      </c>
      <c r="C13649" t="s">
        <v>7</v>
      </c>
      <c r="D13649" t="s">
        <v>460</v>
      </c>
      <c r="E13649" t="s">
        <v>18945</v>
      </c>
    </row>
    <row r="13650" spans="1:6" x14ac:dyDescent="0.25">
      <c r="A13650" t="str">
        <f>"650116813660"</f>
        <v>650116813660</v>
      </c>
      <c r="B13650" t="s">
        <v>18977</v>
      </c>
      <c r="C13650" t="s">
        <v>7</v>
      </c>
      <c r="D13650" t="s">
        <v>14</v>
      </c>
      <c r="E13650" t="s">
        <v>18945</v>
      </c>
    </row>
    <row r="13651" spans="1:6" x14ac:dyDescent="0.25">
      <c r="A13651" t="str">
        <f>"6501216065"</f>
        <v>6501216065</v>
      </c>
      <c r="B13651" t="s">
        <v>18978</v>
      </c>
      <c r="C13651" t="s">
        <v>7</v>
      </c>
      <c r="D13651" t="s">
        <v>33</v>
      </c>
      <c r="E13651" t="s">
        <v>18945</v>
      </c>
      <c r="F13651" t="s">
        <v>18979</v>
      </c>
    </row>
    <row r="13652" spans="1:6" x14ac:dyDescent="0.25">
      <c r="A13652" t="str">
        <f>"6500003226"</f>
        <v>6500003226</v>
      </c>
      <c r="B13652" t="s">
        <v>18980</v>
      </c>
      <c r="C13652" t="s">
        <v>7</v>
      </c>
      <c r="D13652" t="s">
        <v>33</v>
      </c>
      <c r="E13652" t="s">
        <v>18945</v>
      </c>
      <c r="F13652" t="s">
        <v>18981</v>
      </c>
    </row>
    <row r="13653" spans="1:6" x14ac:dyDescent="0.25">
      <c r="A13653" t="str">
        <f>"6500004004"</f>
        <v>6500004004</v>
      </c>
      <c r="B13653" t="s">
        <v>18982</v>
      </c>
      <c r="C13653" t="s">
        <v>7</v>
      </c>
      <c r="D13653" t="s">
        <v>189</v>
      </c>
      <c r="E13653" t="s">
        <v>18945</v>
      </c>
      <c r="F13653" t="s">
        <v>18983</v>
      </c>
    </row>
    <row r="13654" spans="1:6" x14ac:dyDescent="0.25">
      <c r="A13654" t="str">
        <f>"6500020905"</f>
        <v>6500020905</v>
      </c>
      <c r="B13654" t="s">
        <v>18984</v>
      </c>
      <c r="C13654" t="s">
        <v>7</v>
      </c>
      <c r="D13654" t="s">
        <v>14</v>
      </c>
      <c r="E13654" t="s">
        <v>18945</v>
      </c>
      <c r="F13654" t="s">
        <v>18985</v>
      </c>
    </row>
    <row r="13655" spans="1:6" x14ac:dyDescent="0.25">
      <c r="A13655" t="str">
        <f>"650100007512"</f>
        <v>650100007512</v>
      </c>
      <c r="B13655" t="s">
        <v>18986</v>
      </c>
      <c r="C13655" t="s">
        <v>7</v>
      </c>
      <c r="D13655" t="s">
        <v>460</v>
      </c>
      <c r="E13655" t="s">
        <v>18945</v>
      </c>
    </row>
    <row r="13656" spans="1:6" x14ac:dyDescent="0.25">
      <c r="A13656" t="str">
        <f>"650100164554"</f>
        <v>650100164554</v>
      </c>
      <c r="B13656" t="s">
        <v>18987</v>
      </c>
      <c r="C13656" t="s">
        <v>7</v>
      </c>
      <c r="D13656" t="s">
        <v>12</v>
      </c>
      <c r="E13656" t="s">
        <v>18945</v>
      </c>
    </row>
    <row r="13657" spans="1:6" x14ac:dyDescent="0.25">
      <c r="A13657" t="str">
        <f>"650101059094"</f>
        <v>650101059094</v>
      </c>
      <c r="B13657" t="s">
        <v>18988</v>
      </c>
      <c r="C13657" t="s">
        <v>7</v>
      </c>
      <c r="D13657" t="s">
        <v>14</v>
      </c>
      <c r="E13657" t="s">
        <v>18945</v>
      </c>
    </row>
    <row r="13658" spans="1:6" x14ac:dyDescent="0.25">
      <c r="A13658" t="str">
        <f>"650101121987"</f>
        <v>650101121987</v>
      </c>
      <c r="B13658" t="s">
        <v>18989</v>
      </c>
      <c r="C13658" t="s">
        <v>7</v>
      </c>
      <c r="D13658" t="s">
        <v>14</v>
      </c>
      <c r="E13658" t="s">
        <v>18945</v>
      </c>
    </row>
    <row r="13659" spans="1:6" x14ac:dyDescent="0.25">
      <c r="A13659" t="str">
        <f>"650104647601"</f>
        <v>650104647601</v>
      </c>
      <c r="B13659" t="s">
        <v>18990</v>
      </c>
      <c r="C13659" t="s">
        <v>7</v>
      </c>
      <c r="D13659" t="s">
        <v>14</v>
      </c>
      <c r="E13659" t="s">
        <v>18945</v>
      </c>
    </row>
    <row r="13660" spans="1:6" x14ac:dyDescent="0.25">
      <c r="A13660" t="str">
        <f>"650106493918"</f>
        <v>650106493918</v>
      </c>
      <c r="B13660" t="s">
        <v>18991</v>
      </c>
      <c r="C13660" t="s">
        <v>7</v>
      </c>
      <c r="D13660" t="s">
        <v>14</v>
      </c>
      <c r="E13660" t="s">
        <v>18945</v>
      </c>
    </row>
    <row r="13661" spans="1:6" x14ac:dyDescent="0.25">
      <c r="A13661" t="str">
        <f>"650108674638"</f>
        <v>650108674638</v>
      </c>
      <c r="B13661" t="s">
        <v>18992</v>
      </c>
      <c r="C13661" t="s">
        <v>7</v>
      </c>
      <c r="D13661" t="s">
        <v>14</v>
      </c>
      <c r="E13661" t="s">
        <v>18945</v>
      </c>
    </row>
    <row r="13662" spans="1:6" x14ac:dyDescent="0.25">
      <c r="A13662" t="str">
        <f>"650111369881"</f>
        <v>650111369881</v>
      </c>
      <c r="B13662" t="s">
        <v>18993</v>
      </c>
      <c r="C13662" t="s">
        <v>7</v>
      </c>
      <c r="D13662" t="s">
        <v>14</v>
      </c>
      <c r="E13662" t="s">
        <v>18945</v>
      </c>
    </row>
    <row r="13663" spans="1:6" x14ac:dyDescent="0.25">
      <c r="A13663" t="str">
        <f>"6501197140"</f>
        <v>6501197140</v>
      </c>
      <c r="B13663" t="s">
        <v>18994</v>
      </c>
      <c r="C13663" t="s">
        <v>7</v>
      </c>
      <c r="D13663" t="s">
        <v>12</v>
      </c>
      <c r="E13663" t="s">
        <v>18945</v>
      </c>
      <c r="F13663" t="s">
        <v>18995</v>
      </c>
    </row>
    <row r="13664" spans="1:6" x14ac:dyDescent="0.25">
      <c r="A13664" t="str">
        <f>"6501204038"</f>
        <v>6501204038</v>
      </c>
      <c r="B13664" t="s">
        <v>18996</v>
      </c>
      <c r="C13664" t="s">
        <v>7</v>
      </c>
      <c r="D13664" t="s">
        <v>33</v>
      </c>
      <c r="E13664" t="s">
        <v>18945</v>
      </c>
      <c r="F13664" t="s">
        <v>18997</v>
      </c>
    </row>
    <row r="13665" spans="1:6" x14ac:dyDescent="0.25">
      <c r="A13665" t="str">
        <f>"6501214646"</f>
        <v>6501214646</v>
      </c>
      <c r="B13665" t="s">
        <v>430</v>
      </c>
      <c r="C13665" t="s">
        <v>7</v>
      </c>
      <c r="D13665" t="s">
        <v>12</v>
      </c>
      <c r="E13665" t="s">
        <v>18945</v>
      </c>
      <c r="F13665" t="s">
        <v>18998</v>
      </c>
    </row>
    <row r="13666" spans="1:6" x14ac:dyDescent="0.25">
      <c r="A13666" t="str">
        <f>"6501245806"</f>
        <v>6501245806</v>
      </c>
      <c r="B13666" t="s">
        <v>18999</v>
      </c>
      <c r="C13666" t="s">
        <v>7</v>
      </c>
      <c r="D13666" t="s">
        <v>12</v>
      </c>
      <c r="E13666" t="s">
        <v>18945</v>
      </c>
      <c r="F13666" t="s">
        <v>19000</v>
      </c>
    </row>
    <row r="13667" spans="1:6" x14ac:dyDescent="0.25">
      <c r="A13667" t="str">
        <f>"650404524738"</f>
        <v>650404524738</v>
      </c>
      <c r="B13667" t="s">
        <v>19001</v>
      </c>
      <c r="C13667" t="s">
        <v>7</v>
      </c>
      <c r="D13667" t="s">
        <v>14</v>
      </c>
      <c r="E13667" t="s">
        <v>18945</v>
      </c>
    </row>
    <row r="13668" spans="1:6" x14ac:dyDescent="0.25">
      <c r="A13668" t="str">
        <f>"650900114993"</f>
        <v>650900114993</v>
      </c>
      <c r="B13668" t="s">
        <v>19002</v>
      </c>
      <c r="C13668" t="s">
        <v>7</v>
      </c>
      <c r="D13668" t="s">
        <v>14</v>
      </c>
      <c r="E13668" t="s">
        <v>18945</v>
      </c>
    </row>
    <row r="13669" spans="1:6" x14ac:dyDescent="0.25">
      <c r="A13669" t="str">
        <f>"650900420630"</f>
        <v>650900420630</v>
      </c>
      <c r="B13669" t="s">
        <v>19003</v>
      </c>
      <c r="C13669" t="s">
        <v>7</v>
      </c>
      <c r="D13669" t="s">
        <v>14</v>
      </c>
      <c r="E13669" t="s">
        <v>18945</v>
      </c>
    </row>
    <row r="13670" spans="1:6" x14ac:dyDescent="0.25">
      <c r="A13670" t="str">
        <f>"650905224615"</f>
        <v>650905224615</v>
      </c>
      <c r="B13670" t="s">
        <v>19004</v>
      </c>
      <c r="C13670" t="s">
        <v>7</v>
      </c>
      <c r="D13670" t="s">
        <v>14</v>
      </c>
      <c r="E13670" t="s">
        <v>18945</v>
      </c>
    </row>
    <row r="13671" spans="1:6" x14ac:dyDescent="0.25">
      <c r="A13671" t="str">
        <f>"651200308307"</f>
        <v>651200308307</v>
      </c>
      <c r="B13671" t="s">
        <v>19005</v>
      </c>
      <c r="C13671" t="s">
        <v>7</v>
      </c>
      <c r="D13671" t="s">
        <v>14</v>
      </c>
      <c r="E13671" t="s">
        <v>18945</v>
      </c>
    </row>
    <row r="13672" spans="1:6" x14ac:dyDescent="0.25">
      <c r="A13672" t="str">
        <f>"651301424123"</f>
        <v>651301424123</v>
      </c>
      <c r="B13672" t="s">
        <v>19006</v>
      </c>
      <c r="C13672" t="s">
        <v>7</v>
      </c>
      <c r="D13672" t="s">
        <v>14</v>
      </c>
      <c r="E13672" t="s">
        <v>18945</v>
      </c>
    </row>
    <row r="13673" spans="1:6" x14ac:dyDescent="0.25">
      <c r="A13673" t="str">
        <f>"6501237876"</f>
        <v>6501237876</v>
      </c>
      <c r="B13673" t="s">
        <v>19007</v>
      </c>
      <c r="C13673" t="s">
        <v>7</v>
      </c>
      <c r="D13673" t="s">
        <v>33</v>
      </c>
      <c r="E13673" t="s">
        <v>18945</v>
      </c>
      <c r="F13673" t="s">
        <v>19008</v>
      </c>
    </row>
    <row r="13674" spans="1:6" x14ac:dyDescent="0.25">
      <c r="A13674" t="str">
        <f>"650127405687"</f>
        <v>650127405687</v>
      </c>
      <c r="B13674" t="s">
        <v>19009</v>
      </c>
      <c r="C13674" t="s">
        <v>7</v>
      </c>
      <c r="D13674" t="s">
        <v>14</v>
      </c>
      <c r="E13674" t="s">
        <v>18945</v>
      </c>
    </row>
    <row r="13675" spans="1:6" x14ac:dyDescent="0.25">
      <c r="A13675" t="str">
        <f>"6501275624"</f>
        <v>6501275624</v>
      </c>
      <c r="B13675" t="s">
        <v>19010</v>
      </c>
      <c r="C13675" t="s">
        <v>7</v>
      </c>
      <c r="D13675" t="s">
        <v>8</v>
      </c>
      <c r="E13675" t="s">
        <v>18945</v>
      </c>
      <c r="F13675" t="s">
        <v>19011</v>
      </c>
    </row>
    <row r="13676" spans="1:6" x14ac:dyDescent="0.25">
      <c r="A13676" t="str">
        <f>"6501303938"</f>
        <v>6501303938</v>
      </c>
      <c r="B13676" t="s">
        <v>16489</v>
      </c>
      <c r="C13676" t="s">
        <v>7</v>
      </c>
      <c r="D13676" t="s">
        <v>12</v>
      </c>
      <c r="E13676" t="s">
        <v>18945</v>
      </c>
      <c r="F13676" t="s">
        <v>19012</v>
      </c>
    </row>
    <row r="13677" spans="1:6" x14ac:dyDescent="0.25">
      <c r="A13677" t="str">
        <f>"650301446566"</f>
        <v>650301446566</v>
      </c>
      <c r="B13677" t="s">
        <v>19013</v>
      </c>
      <c r="C13677" t="s">
        <v>7</v>
      </c>
      <c r="D13677" t="s">
        <v>12</v>
      </c>
      <c r="E13677" t="s">
        <v>18945</v>
      </c>
    </row>
    <row r="13678" spans="1:6" x14ac:dyDescent="0.25">
      <c r="A13678" t="str">
        <f>"6504014099"</f>
        <v>6504014099</v>
      </c>
      <c r="B13678" t="s">
        <v>19014</v>
      </c>
      <c r="C13678" t="s">
        <v>7</v>
      </c>
      <c r="D13678" t="s">
        <v>33</v>
      </c>
      <c r="E13678" t="s">
        <v>18945</v>
      </c>
      <c r="F13678" t="s">
        <v>19015</v>
      </c>
    </row>
    <row r="13679" spans="1:6" x14ac:dyDescent="0.25">
      <c r="A13679" t="str">
        <f>"650500740058"</f>
        <v>650500740058</v>
      </c>
      <c r="B13679" t="s">
        <v>19016</v>
      </c>
      <c r="C13679" t="s">
        <v>7</v>
      </c>
      <c r="D13679" t="s">
        <v>14</v>
      </c>
      <c r="E13679" t="s">
        <v>18945</v>
      </c>
    </row>
    <row r="13680" spans="1:6" x14ac:dyDescent="0.25">
      <c r="A13680" t="str">
        <f>"650700072305"</f>
        <v>650700072305</v>
      </c>
      <c r="B13680" t="s">
        <v>19017</v>
      </c>
      <c r="C13680" t="s">
        <v>7</v>
      </c>
      <c r="D13680" t="s">
        <v>14</v>
      </c>
      <c r="E13680" t="s">
        <v>18945</v>
      </c>
    </row>
    <row r="13681" spans="1:6" x14ac:dyDescent="0.25">
      <c r="A13681" t="str">
        <f>"650702016465"</f>
        <v>650702016465</v>
      </c>
      <c r="B13681" t="s">
        <v>19018</v>
      </c>
      <c r="C13681" t="s">
        <v>7</v>
      </c>
      <c r="D13681" t="s">
        <v>14</v>
      </c>
      <c r="E13681" t="s">
        <v>18945</v>
      </c>
    </row>
    <row r="13682" spans="1:6" x14ac:dyDescent="0.25">
      <c r="A13682" t="str">
        <f>"650703261879"</f>
        <v>650703261879</v>
      </c>
      <c r="B13682" t="s">
        <v>19019</v>
      </c>
      <c r="C13682" t="s">
        <v>7</v>
      </c>
      <c r="D13682" t="s">
        <v>14</v>
      </c>
      <c r="E13682" t="s">
        <v>18945</v>
      </c>
    </row>
    <row r="13683" spans="1:6" x14ac:dyDescent="0.25">
      <c r="A13683" t="str">
        <f>"650803130816"</f>
        <v>650803130816</v>
      </c>
      <c r="B13683" t="s">
        <v>19020</v>
      </c>
      <c r="C13683" t="s">
        <v>7</v>
      </c>
      <c r="D13683" t="s">
        <v>14</v>
      </c>
      <c r="E13683" t="s">
        <v>18945</v>
      </c>
    </row>
    <row r="13684" spans="1:6" x14ac:dyDescent="0.25">
      <c r="A13684" t="str">
        <f>"6509016614"</f>
        <v>6509016614</v>
      </c>
      <c r="B13684" t="s">
        <v>19021</v>
      </c>
      <c r="C13684" t="s">
        <v>7</v>
      </c>
      <c r="D13684" t="s">
        <v>12</v>
      </c>
      <c r="E13684" t="s">
        <v>18945</v>
      </c>
      <c r="F13684" t="s">
        <v>19022</v>
      </c>
    </row>
    <row r="13685" spans="1:6" x14ac:dyDescent="0.25">
      <c r="A13685" t="str">
        <f>"650906684608"</f>
        <v>650906684608</v>
      </c>
      <c r="B13685" t="s">
        <v>19023</v>
      </c>
      <c r="C13685" t="s">
        <v>7</v>
      </c>
      <c r="D13685" t="s">
        <v>14</v>
      </c>
      <c r="E13685" t="s">
        <v>18945</v>
      </c>
    </row>
    <row r="13686" spans="1:6" x14ac:dyDescent="0.25">
      <c r="A13686" t="str">
        <f>"651700216220"</f>
        <v>651700216220</v>
      </c>
      <c r="B13686" t="s">
        <v>19024</v>
      </c>
      <c r="C13686" t="s">
        <v>7</v>
      </c>
      <c r="D13686" t="s">
        <v>12</v>
      </c>
      <c r="E13686" t="s">
        <v>18945</v>
      </c>
    </row>
    <row r="13687" spans="1:6" x14ac:dyDescent="0.25">
      <c r="A13687" t="str">
        <f>"6501300461"</f>
        <v>6501300461</v>
      </c>
      <c r="B13687" t="s">
        <v>19025</v>
      </c>
      <c r="C13687" t="s">
        <v>7</v>
      </c>
      <c r="D13687" t="s">
        <v>8</v>
      </c>
      <c r="E13687" t="s">
        <v>18945</v>
      </c>
      <c r="F13687" t="s">
        <v>19026</v>
      </c>
    </row>
    <row r="13688" spans="1:6" x14ac:dyDescent="0.25">
      <c r="A13688" t="str">
        <f>"6501308044"</f>
        <v>6501308044</v>
      </c>
      <c r="B13688" t="s">
        <v>19027</v>
      </c>
      <c r="C13688" t="s">
        <v>7</v>
      </c>
      <c r="D13688" t="s">
        <v>12</v>
      </c>
      <c r="E13688" t="s">
        <v>18945</v>
      </c>
      <c r="F13688" t="s">
        <v>19028</v>
      </c>
    </row>
    <row r="13689" spans="1:6" x14ac:dyDescent="0.25">
      <c r="A13689" t="str">
        <f>"6501315796"</f>
        <v>6501315796</v>
      </c>
      <c r="B13689" t="s">
        <v>19029</v>
      </c>
      <c r="C13689" t="s">
        <v>7</v>
      </c>
      <c r="D13689" t="s">
        <v>12</v>
      </c>
      <c r="E13689" t="s">
        <v>18945</v>
      </c>
      <c r="F13689" t="s">
        <v>19030</v>
      </c>
    </row>
    <row r="13690" spans="1:6" x14ac:dyDescent="0.25">
      <c r="A13690" t="str">
        <f>"650901744229"</f>
        <v>650901744229</v>
      </c>
      <c r="B13690" t="s">
        <v>19031</v>
      </c>
      <c r="C13690" t="s">
        <v>7</v>
      </c>
      <c r="D13690" t="s">
        <v>14</v>
      </c>
      <c r="E13690" t="s">
        <v>18945</v>
      </c>
    </row>
    <row r="13691" spans="1:6" x14ac:dyDescent="0.25">
      <c r="A13691" t="str">
        <f>"651100703110"</f>
        <v>651100703110</v>
      </c>
      <c r="B13691" t="s">
        <v>19032</v>
      </c>
      <c r="C13691" t="s">
        <v>7</v>
      </c>
      <c r="D13691" t="s">
        <v>14</v>
      </c>
      <c r="E13691" t="s">
        <v>18945</v>
      </c>
    </row>
    <row r="13692" spans="1:6" x14ac:dyDescent="0.25">
      <c r="A13692" t="str">
        <f>"6513003590"</f>
        <v>6513003590</v>
      </c>
      <c r="B13692" t="s">
        <v>6501</v>
      </c>
      <c r="C13692" t="s">
        <v>7</v>
      </c>
      <c r="D13692" t="s">
        <v>14</v>
      </c>
      <c r="E13692" t="s">
        <v>18945</v>
      </c>
      <c r="F13692" t="s">
        <v>19033</v>
      </c>
    </row>
    <row r="13693" spans="1:6" x14ac:dyDescent="0.25">
      <c r="A13693" t="str">
        <f>"651800571130"</f>
        <v>651800571130</v>
      </c>
      <c r="B13693" t="s">
        <v>19034</v>
      </c>
      <c r="C13693" t="s">
        <v>7</v>
      </c>
      <c r="D13693" t="s">
        <v>586</v>
      </c>
      <c r="E13693" t="s">
        <v>18945</v>
      </c>
    </row>
    <row r="13694" spans="1:6" x14ac:dyDescent="0.25">
      <c r="A13694" t="str">
        <f>"450205402176"</f>
        <v>450205402176</v>
      </c>
      <c r="B13694" t="s">
        <v>19035</v>
      </c>
      <c r="C13694" t="s">
        <v>7</v>
      </c>
      <c r="D13694" t="s">
        <v>14</v>
      </c>
      <c r="E13694" t="s">
        <v>19036</v>
      </c>
    </row>
    <row r="13695" spans="1:6" x14ac:dyDescent="0.25">
      <c r="A13695" t="str">
        <f>"021000972307"</f>
        <v>021000972307</v>
      </c>
      <c r="B13695" t="s">
        <v>19037</v>
      </c>
      <c r="C13695" t="s">
        <v>7</v>
      </c>
      <c r="D13695" t="s">
        <v>14</v>
      </c>
      <c r="E13695" t="s">
        <v>19036</v>
      </c>
    </row>
    <row r="13696" spans="1:6" x14ac:dyDescent="0.25">
      <c r="A13696" t="str">
        <f>"023601852167"</f>
        <v>023601852167</v>
      </c>
      <c r="B13696" t="s">
        <v>19038</v>
      </c>
      <c r="C13696" t="s">
        <v>7</v>
      </c>
      <c r="D13696" t="s">
        <v>14</v>
      </c>
      <c r="E13696" t="s">
        <v>19036</v>
      </c>
    </row>
    <row r="13697" spans="1:6" x14ac:dyDescent="0.25">
      <c r="A13697" t="str">
        <f>"434546709606"</f>
        <v>434546709606</v>
      </c>
      <c r="B13697" t="s">
        <v>19039</v>
      </c>
      <c r="C13697" t="s">
        <v>7</v>
      </c>
      <c r="D13697" t="s">
        <v>12</v>
      </c>
      <c r="E13697" t="s">
        <v>19036</v>
      </c>
    </row>
    <row r="13698" spans="1:6" x14ac:dyDescent="0.25">
      <c r="A13698" t="str">
        <f>"434600770746"</f>
        <v>434600770746</v>
      </c>
      <c r="B13698" t="s">
        <v>19040</v>
      </c>
      <c r="C13698" t="s">
        <v>7</v>
      </c>
      <c r="D13698" t="s">
        <v>12</v>
      </c>
      <c r="E13698" t="s">
        <v>19036</v>
      </c>
    </row>
    <row r="13699" spans="1:6" x14ac:dyDescent="0.25">
      <c r="A13699" t="str">
        <f>"026703825288"</f>
        <v>026703825288</v>
      </c>
      <c r="B13699" t="s">
        <v>19041</v>
      </c>
      <c r="C13699" t="s">
        <v>7</v>
      </c>
      <c r="D13699" t="s">
        <v>14</v>
      </c>
      <c r="E13699" t="s">
        <v>19036</v>
      </c>
    </row>
    <row r="13700" spans="1:6" x14ac:dyDescent="0.25">
      <c r="A13700" t="str">
        <f>"4501128560"</f>
        <v>4501128560</v>
      </c>
      <c r="B13700" t="s">
        <v>19042</v>
      </c>
      <c r="C13700" t="s">
        <v>7</v>
      </c>
      <c r="D13700" t="s">
        <v>14</v>
      </c>
      <c r="E13700" t="s">
        <v>19036</v>
      </c>
      <c r="F13700" t="s">
        <v>19043</v>
      </c>
    </row>
    <row r="13701" spans="1:6" x14ac:dyDescent="0.25">
      <c r="A13701" t="str">
        <f>"450101711902"</f>
        <v>450101711902</v>
      </c>
      <c r="B13701" t="s">
        <v>19044</v>
      </c>
      <c r="C13701" t="s">
        <v>7</v>
      </c>
      <c r="D13701" t="s">
        <v>14</v>
      </c>
      <c r="E13701" t="s">
        <v>19036</v>
      </c>
    </row>
    <row r="13702" spans="1:6" x14ac:dyDescent="0.25">
      <c r="A13702" t="str">
        <f>"450132098228"</f>
        <v>450132098228</v>
      </c>
      <c r="B13702" t="s">
        <v>19045</v>
      </c>
      <c r="C13702" t="s">
        <v>7</v>
      </c>
      <c r="D13702" t="s">
        <v>14</v>
      </c>
      <c r="E13702" t="s">
        <v>19036</v>
      </c>
    </row>
    <row r="13703" spans="1:6" x14ac:dyDescent="0.25">
      <c r="A13703" t="str">
        <f>"450144043689"</f>
        <v>450144043689</v>
      </c>
      <c r="B13703" t="s">
        <v>19046</v>
      </c>
      <c r="C13703" t="s">
        <v>7</v>
      </c>
      <c r="D13703" t="s">
        <v>14</v>
      </c>
      <c r="E13703" t="s">
        <v>19036</v>
      </c>
    </row>
    <row r="13704" spans="1:6" x14ac:dyDescent="0.25">
      <c r="A13704" t="str">
        <f>"720409511912"</f>
        <v>720409511912</v>
      </c>
      <c r="B13704" t="s">
        <v>19047</v>
      </c>
      <c r="C13704" t="s">
        <v>7</v>
      </c>
      <c r="D13704" t="s">
        <v>12</v>
      </c>
      <c r="E13704" t="s">
        <v>19036</v>
      </c>
    </row>
    <row r="13705" spans="1:6" x14ac:dyDescent="0.25">
      <c r="A13705" t="str">
        <f>"592061302596"</f>
        <v>592061302596</v>
      </c>
      <c r="B13705" t="s">
        <v>19048</v>
      </c>
      <c r="C13705" t="s">
        <v>7</v>
      </c>
      <c r="D13705" t="s">
        <v>14</v>
      </c>
      <c r="E13705" t="s">
        <v>19036</v>
      </c>
    </row>
    <row r="13706" spans="1:6" x14ac:dyDescent="0.25">
      <c r="A13706" t="str">
        <f>"592106544171"</f>
        <v>592106544171</v>
      </c>
      <c r="B13706" t="s">
        <v>19049</v>
      </c>
      <c r="C13706" t="s">
        <v>7</v>
      </c>
      <c r="D13706" t="s">
        <v>12</v>
      </c>
      <c r="E13706" t="s">
        <v>19036</v>
      </c>
    </row>
    <row r="13707" spans="1:6" x14ac:dyDescent="0.25">
      <c r="A13707" t="str">
        <f>"720800032814"</f>
        <v>720800032814</v>
      </c>
      <c r="B13707" t="s">
        <v>19050</v>
      </c>
      <c r="C13707" t="s">
        <v>7</v>
      </c>
      <c r="D13707" t="s">
        <v>14</v>
      </c>
      <c r="E13707" t="s">
        <v>19036</v>
      </c>
    </row>
    <row r="13708" spans="1:6" x14ac:dyDescent="0.25">
      <c r="A13708" t="str">
        <f>"721602424089"</f>
        <v>721602424089</v>
      </c>
      <c r="B13708" t="s">
        <v>19051</v>
      </c>
      <c r="C13708" t="s">
        <v>7</v>
      </c>
      <c r="D13708" t="s">
        <v>14</v>
      </c>
      <c r="E13708" t="s">
        <v>19036</v>
      </c>
    </row>
    <row r="13709" spans="1:6" x14ac:dyDescent="0.25">
      <c r="A13709" t="str">
        <f>"634502181603"</f>
        <v>634502181603</v>
      </c>
      <c r="B13709" t="s">
        <v>19052</v>
      </c>
      <c r="C13709" t="s">
        <v>7</v>
      </c>
      <c r="D13709" t="s">
        <v>12</v>
      </c>
      <c r="E13709" t="s">
        <v>19036</v>
      </c>
    </row>
    <row r="13710" spans="1:6" x14ac:dyDescent="0.25">
      <c r="A13710" t="str">
        <f>"235621436932"</f>
        <v>235621436932</v>
      </c>
      <c r="B13710" t="s">
        <v>19053</v>
      </c>
      <c r="C13710" t="s">
        <v>7</v>
      </c>
      <c r="D13710" t="s">
        <v>12</v>
      </c>
      <c r="E13710" t="s">
        <v>19036</v>
      </c>
    </row>
    <row r="13711" spans="1:6" x14ac:dyDescent="0.25">
      <c r="A13711" t="str">
        <f>"224801512045"</f>
        <v>224801512045</v>
      </c>
      <c r="B13711" t="s">
        <v>19054</v>
      </c>
      <c r="C13711" t="s">
        <v>7</v>
      </c>
      <c r="D13711" t="s">
        <v>14</v>
      </c>
      <c r="E13711" t="s">
        <v>19036</v>
      </c>
    </row>
    <row r="13712" spans="1:6" x14ac:dyDescent="0.25">
      <c r="A13712" t="str">
        <f>"720610694954"</f>
        <v>720610694954</v>
      </c>
      <c r="B13712" t="s">
        <v>19055</v>
      </c>
      <c r="C13712" t="s">
        <v>7</v>
      </c>
      <c r="D13712" t="s">
        <v>14</v>
      </c>
      <c r="E13712" t="s">
        <v>19036</v>
      </c>
    </row>
    <row r="13713" spans="1:6" x14ac:dyDescent="0.25">
      <c r="A13713" t="str">
        <f>"270399537875"</f>
        <v>270399537875</v>
      </c>
      <c r="B13713" t="s">
        <v>19056</v>
      </c>
      <c r="C13713" t="s">
        <v>7</v>
      </c>
      <c r="D13713" t="s">
        <v>14</v>
      </c>
      <c r="E13713" t="s">
        <v>19036</v>
      </c>
    </row>
    <row r="13714" spans="1:6" x14ac:dyDescent="0.25">
      <c r="A13714" t="str">
        <f>"742801065520"</f>
        <v>742801065520</v>
      </c>
      <c r="B13714" t="s">
        <v>19057</v>
      </c>
      <c r="C13714" t="s">
        <v>7</v>
      </c>
      <c r="D13714" t="s">
        <v>14</v>
      </c>
      <c r="E13714" t="s">
        <v>19036</v>
      </c>
    </row>
    <row r="13715" spans="1:6" x14ac:dyDescent="0.25">
      <c r="A13715" t="str">
        <f>"744609211930"</f>
        <v>744609211930</v>
      </c>
      <c r="B13715" t="s">
        <v>19058</v>
      </c>
      <c r="C13715" t="s">
        <v>7</v>
      </c>
      <c r="D13715" t="s">
        <v>14</v>
      </c>
      <c r="E13715" t="s">
        <v>19036</v>
      </c>
    </row>
    <row r="13716" spans="1:6" x14ac:dyDescent="0.25">
      <c r="A13716" t="str">
        <f>"7449109091"</f>
        <v>7449109091</v>
      </c>
      <c r="B13716" t="s">
        <v>19059</v>
      </c>
      <c r="C13716" t="s">
        <v>7</v>
      </c>
      <c r="D13716" t="s">
        <v>14</v>
      </c>
      <c r="E13716" t="s">
        <v>19036</v>
      </c>
      <c r="F13716" t="s">
        <v>19060</v>
      </c>
    </row>
    <row r="13717" spans="1:6" x14ac:dyDescent="0.25">
      <c r="A13717" t="str">
        <f>"742300439319"</f>
        <v>742300439319</v>
      </c>
      <c r="B13717" t="s">
        <v>19061</v>
      </c>
      <c r="C13717" t="s">
        <v>7</v>
      </c>
      <c r="D13717" t="s">
        <v>14</v>
      </c>
      <c r="E13717" t="s">
        <v>19036</v>
      </c>
    </row>
    <row r="13718" spans="1:6" x14ac:dyDescent="0.25">
      <c r="A13718" t="str">
        <f>"743600704464"</f>
        <v>743600704464</v>
      </c>
      <c r="B13718" t="s">
        <v>19062</v>
      </c>
      <c r="C13718" t="s">
        <v>7</v>
      </c>
      <c r="D13718" t="s">
        <v>14</v>
      </c>
      <c r="E13718" t="s">
        <v>19036</v>
      </c>
    </row>
    <row r="13719" spans="1:6" x14ac:dyDescent="0.25">
      <c r="A13719" t="str">
        <f>"6601004794"</f>
        <v>6601004794</v>
      </c>
      <c r="B13719" t="s">
        <v>19063</v>
      </c>
      <c r="C13719" t="s">
        <v>7</v>
      </c>
      <c r="D13719" t="s">
        <v>14</v>
      </c>
      <c r="E13719" t="s">
        <v>19036</v>
      </c>
      <c r="F13719" t="s">
        <v>19064</v>
      </c>
    </row>
    <row r="13720" spans="1:6" x14ac:dyDescent="0.25">
      <c r="A13720" t="str">
        <f>"660204647087"</f>
        <v>660204647087</v>
      </c>
      <c r="B13720" t="s">
        <v>19065</v>
      </c>
      <c r="C13720" t="s">
        <v>7</v>
      </c>
      <c r="D13720" t="s">
        <v>14</v>
      </c>
      <c r="E13720" t="s">
        <v>19036</v>
      </c>
    </row>
    <row r="13721" spans="1:6" x14ac:dyDescent="0.25">
      <c r="A13721" t="str">
        <f>"660700195720"</f>
        <v>660700195720</v>
      </c>
      <c r="B13721" t="s">
        <v>19066</v>
      </c>
      <c r="C13721" t="s">
        <v>7</v>
      </c>
      <c r="D13721" t="s">
        <v>14</v>
      </c>
      <c r="E13721" t="s">
        <v>19036</v>
      </c>
    </row>
    <row r="13722" spans="1:6" x14ac:dyDescent="0.25">
      <c r="A13722" t="str">
        <f>"661107072188"</f>
        <v>661107072188</v>
      </c>
      <c r="B13722" t="s">
        <v>19067</v>
      </c>
      <c r="C13722" t="s">
        <v>7</v>
      </c>
      <c r="D13722" t="s">
        <v>14</v>
      </c>
      <c r="E13722" t="s">
        <v>19036</v>
      </c>
    </row>
    <row r="13723" spans="1:6" x14ac:dyDescent="0.25">
      <c r="A13723" t="str">
        <f>"661587593660"</f>
        <v>661587593660</v>
      </c>
      <c r="B13723" t="s">
        <v>19068</v>
      </c>
      <c r="C13723" t="s">
        <v>7</v>
      </c>
      <c r="D13723" t="s">
        <v>14</v>
      </c>
      <c r="E13723" t="s">
        <v>19036</v>
      </c>
    </row>
    <row r="13724" spans="1:6" x14ac:dyDescent="0.25">
      <c r="A13724" t="str">
        <f>"661707113781"</f>
        <v>661707113781</v>
      </c>
      <c r="B13724" t="s">
        <v>19069</v>
      </c>
      <c r="C13724" t="s">
        <v>7</v>
      </c>
      <c r="D13724" t="s">
        <v>14</v>
      </c>
      <c r="E13724" t="s">
        <v>19036</v>
      </c>
    </row>
    <row r="13725" spans="1:6" x14ac:dyDescent="0.25">
      <c r="A13725" t="str">
        <f>"662104973884"</f>
        <v>662104973884</v>
      </c>
      <c r="B13725" t="s">
        <v>19070</v>
      </c>
      <c r="C13725" t="s">
        <v>7</v>
      </c>
      <c r="D13725" t="s">
        <v>14</v>
      </c>
      <c r="E13725" t="s">
        <v>19036</v>
      </c>
    </row>
    <row r="13726" spans="1:6" x14ac:dyDescent="0.25">
      <c r="A13726" t="str">
        <f>"662200598805"</f>
        <v>662200598805</v>
      </c>
      <c r="B13726" t="s">
        <v>19071</v>
      </c>
      <c r="C13726" t="s">
        <v>7</v>
      </c>
      <c r="D13726" t="s">
        <v>14</v>
      </c>
      <c r="E13726" t="s">
        <v>19036</v>
      </c>
    </row>
    <row r="13727" spans="1:6" x14ac:dyDescent="0.25">
      <c r="A13727" t="str">
        <f>"662300738774"</f>
        <v>662300738774</v>
      </c>
      <c r="B13727" t="s">
        <v>19072</v>
      </c>
      <c r="C13727" t="s">
        <v>7</v>
      </c>
      <c r="D13727" t="s">
        <v>14</v>
      </c>
      <c r="E13727" t="s">
        <v>19036</v>
      </c>
    </row>
    <row r="13728" spans="1:6" x14ac:dyDescent="0.25">
      <c r="A13728" t="str">
        <f>"662308236409"</f>
        <v>662308236409</v>
      </c>
      <c r="B13728" t="s">
        <v>19073</v>
      </c>
      <c r="C13728" t="s">
        <v>7</v>
      </c>
      <c r="D13728" t="s">
        <v>14</v>
      </c>
      <c r="E13728" t="s">
        <v>19036</v>
      </c>
    </row>
    <row r="13729" spans="1:6" x14ac:dyDescent="0.25">
      <c r="A13729" t="str">
        <f>"6623136392"</f>
        <v>6623136392</v>
      </c>
      <c r="B13729" t="s">
        <v>19074</v>
      </c>
      <c r="C13729" t="s">
        <v>7</v>
      </c>
      <c r="D13729" t="s">
        <v>14</v>
      </c>
      <c r="E13729" t="s">
        <v>19036</v>
      </c>
      <c r="F13729" t="s">
        <v>19075</v>
      </c>
    </row>
    <row r="13730" spans="1:6" x14ac:dyDescent="0.25">
      <c r="A13730" t="str">
        <f>"662313781801"</f>
        <v>662313781801</v>
      </c>
      <c r="B13730" t="s">
        <v>19076</v>
      </c>
      <c r="C13730" t="s">
        <v>7</v>
      </c>
      <c r="D13730" t="s">
        <v>12</v>
      </c>
      <c r="E13730" t="s">
        <v>19036</v>
      </c>
    </row>
    <row r="13731" spans="1:6" x14ac:dyDescent="0.25">
      <c r="A13731" t="str">
        <f>"662335142943"</f>
        <v>662335142943</v>
      </c>
      <c r="B13731" t="s">
        <v>19077</v>
      </c>
      <c r="C13731" t="s">
        <v>7</v>
      </c>
      <c r="D13731" t="s">
        <v>14</v>
      </c>
      <c r="E13731" t="s">
        <v>19036</v>
      </c>
    </row>
    <row r="13732" spans="1:6" x14ac:dyDescent="0.25">
      <c r="A13732" t="str">
        <f>"662509260585"</f>
        <v>662509260585</v>
      </c>
      <c r="B13732" t="s">
        <v>19078</v>
      </c>
      <c r="C13732" t="s">
        <v>7</v>
      </c>
      <c r="D13732" t="s">
        <v>14</v>
      </c>
      <c r="E13732" t="s">
        <v>19036</v>
      </c>
    </row>
    <row r="13733" spans="1:6" x14ac:dyDescent="0.25">
      <c r="A13733" t="str">
        <f>"662603716949"</f>
        <v>662603716949</v>
      </c>
      <c r="B13733" t="s">
        <v>19079</v>
      </c>
      <c r="C13733" t="s">
        <v>7</v>
      </c>
      <c r="D13733" t="s">
        <v>14</v>
      </c>
      <c r="E13733" t="s">
        <v>19036</v>
      </c>
    </row>
    <row r="13734" spans="1:6" x14ac:dyDescent="0.25">
      <c r="A13734" t="str">
        <f>"662701420900"</f>
        <v>662701420900</v>
      </c>
      <c r="B13734" t="s">
        <v>19080</v>
      </c>
      <c r="C13734" t="s">
        <v>7</v>
      </c>
      <c r="D13734" t="s">
        <v>14</v>
      </c>
      <c r="E13734" t="s">
        <v>19036</v>
      </c>
    </row>
    <row r="13735" spans="1:6" x14ac:dyDescent="0.25">
      <c r="A13735" t="str">
        <f>"662804669304"</f>
        <v>662804669304</v>
      </c>
      <c r="B13735" t="s">
        <v>19081</v>
      </c>
      <c r="C13735" t="s">
        <v>7</v>
      </c>
      <c r="D13735" t="s">
        <v>14</v>
      </c>
      <c r="E13735" t="s">
        <v>19036</v>
      </c>
    </row>
    <row r="13736" spans="1:6" x14ac:dyDescent="0.25">
      <c r="A13736" t="str">
        <f>"662900174110"</f>
        <v>662900174110</v>
      </c>
      <c r="B13736" t="s">
        <v>19082</v>
      </c>
      <c r="C13736" t="s">
        <v>7</v>
      </c>
      <c r="D13736" t="s">
        <v>14</v>
      </c>
      <c r="E13736" t="s">
        <v>19036</v>
      </c>
    </row>
    <row r="13737" spans="1:6" x14ac:dyDescent="0.25">
      <c r="A13737" t="str">
        <f>"663000221560"</f>
        <v>663000221560</v>
      </c>
      <c r="B13737" t="s">
        <v>19083</v>
      </c>
      <c r="C13737" t="s">
        <v>7</v>
      </c>
      <c r="D13737" t="s">
        <v>14</v>
      </c>
      <c r="E13737" t="s">
        <v>19036</v>
      </c>
    </row>
    <row r="13738" spans="1:6" x14ac:dyDescent="0.25">
      <c r="A13738" t="str">
        <f>"663400733267"</f>
        <v>663400733267</v>
      </c>
      <c r="B13738" t="s">
        <v>19084</v>
      </c>
      <c r="C13738" t="s">
        <v>7</v>
      </c>
      <c r="D13738" t="s">
        <v>14</v>
      </c>
      <c r="E13738" t="s">
        <v>19036</v>
      </c>
    </row>
    <row r="13739" spans="1:6" x14ac:dyDescent="0.25">
      <c r="A13739" t="str">
        <f>"663901875449"</f>
        <v>663901875449</v>
      </c>
      <c r="B13739" t="s">
        <v>19085</v>
      </c>
      <c r="C13739" t="s">
        <v>7</v>
      </c>
      <c r="D13739" t="s">
        <v>14</v>
      </c>
      <c r="E13739" t="s">
        <v>19036</v>
      </c>
    </row>
    <row r="13740" spans="1:6" x14ac:dyDescent="0.25">
      <c r="A13740" t="str">
        <f>"6639021005"</f>
        <v>6639021005</v>
      </c>
      <c r="B13740" t="s">
        <v>19086</v>
      </c>
      <c r="C13740" t="s">
        <v>7</v>
      </c>
      <c r="D13740" t="s">
        <v>14</v>
      </c>
      <c r="E13740" t="s">
        <v>19036</v>
      </c>
      <c r="F13740" t="s">
        <v>19087</v>
      </c>
    </row>
    <row r="13741" spans="1:6" x14ac:dyDescent="0.25">
      <c r="A13741" t="str">
        <f>"664000645762"</f>
        <v>664000645762</v>
      </c>
      <c r="B13741" t="s">
        <v>19088</v>
      </c>
      <c r="C13741" t="s">
        <v>7</v>
      </c>
      <c r="D13741" t="s">
        <v>14</v>
      </c>
      <c r="E13741" t="s">
        <v>19036</v>
      </c>
    </row>
    <row r="13742" spans="1:6" x14ac:dyDescent="0.25">
      <c r="A13742" t="str">
        <f>"664606113685"</f>
        <v>664606113685</v>
      </c>
      <c r="B13742" t="s">
        <v>19089</v>
      </c>
      <c r="C13742" t="s">
        <v>7</v>
      </c>
      <c r="D13742" t="s">
        <v>14</v>
      </c>
      <c r="E13742" t="s">
        <v>19036</v>
      </c>
    </row>
    <row r="13743" spans="1:6" x14ac:dyDescent="0.25">
      <c r="A13743" t="str">
        <f>"664897115660"</f>
        <v>664897115660</v>
      </c>
      <c r="B13743" t="s">
        <v>19090</v>
      </c>
      <c r="C13743" t="s">
        <v>7</v>
      </c>
      <c r="D13743" t="s">
        <v>14</v>
      </c>
      <c r="E13743" t="s">
        <v>19036</v>
      </c>
    </row>
    <row r="13744" spans="1:6" x14ac:dyDescent="0.25">
      <c r="A13744" t="str">
        <f>"665203888473"</f>
        <v>665203888473</v>
      </c>
      <c r="B13744" t="s">
        <v>19091</v>
      </c>
      <c r="C13744" t="s">
        <v>7</v>
      </c>
      <c r="D13744" t="s">
        <v>14</v>
      </c>
      <c r="E13744" t="s">
        <v>19036</v>
      </c>
    </row>
    <row r="13745" spans="1:6" x14ac:dyDescent="0.25">
      <c r="A13745" t="str">
        <f>"665701142494"</f>
        <v>665701142494</v>
      </c>
      <c r="B13745" t="s">
        <v>19092</v>
      </c>
      <c r="C13745" t="s">
        <v>7</v>
      </c>
      <c r="D13745" t="s">
        <v>14</v>
      </c>
      <c r="E13745" t="s">
        <v>19036</v>
      </c>
    </row>
    <row r="13746" spans="1:6" x14ac:dyDescent="0.25">
      <c r="A13746" t="str">
        <f>"665809134594"</f>
        <v>665809134594</v>
      </c>
      <c r="B13746" t="s">
        <v>19093</v>
      </c>
      <c r="C13746" t="s">
        <v>7</v>
      </c>
      <c r="D13746" t="s">
        <v>14</v>
      </c>
      <c r="E13746" t="s">
        <v>19036</v>
      </c>
    </row>
    <row r="13747" spans="1:6" x14ac:dyDescent="0.25">
      <c r="A13747" t="str">
        <f>"665815850243"</f>
        <v>665815850243</v>
      </c>
      <c r="B13747" t="s">
        <v>19094</v>
      </c>
      <c r="C13747" t="s">
        <v>7</v>
      </c>
      <c r="D13747" t="s">
        <v>14</v>
      </c>
      <c r="E13747" t="s">
        <v>19036</v>
      </c>
    </row>
    <row r="13748" spans="1:6" x14ac:dyDescent="0.25">
      <c r="A13748" t="str">
        <f>"6658395937"</f>
        <v>6658395937</v>
      </c>
      <c r="B13748" t="s">
        <v>19095</v>
      </c>
      <c r="C13748" t="s">
        <v>7</v>
      </c>
      <c r="D13748" t="s">
        <v>674</v>
      </c>
      <c r="E13748" t="s">
        <v>19036</v>
      </c>
      <c r="F13748" t="s">
        <v>19096</v>
      </c>
    </row>
    <row r="13749" spans="1:6" x14ac:dyDescent="0.25">
      <c r="A13749" t="str">
        <f>"6658469650"</f>
        <v>6658469650</v>
      </c>
      <c r="B13749" t="s">
        <v>19097</v>
      </c>
      <c r="C13749" t="s">
        <v>7</v>
      </c>
      <c r="D13749" t="s">
        <v>14</v>
      </c>
      <c r="E13749" t="s">
        <v>19036</v>
      </c>
      <c r="F13749" t="s">
        <v>19098</v>
      </c>
    </row>
    <row r="13750" spans="1:6" x14ac:dyDescent="0.25">
      <c r="A13750" t="str">
        <f>"6658475131"</f>
        <v>6658475131</v>
      </c>
      <c r="B13750" t="s">
        <v>19099</v>
      </c>
      <c r="C13750" t="s">
        <v>7</v>
      </c>
      <c r="D13750" t="s">
        <v>12</v>
      </c>
      <c r="E13750" t="s">
        <v>19036</v>
      </c>
      <c r="F13750" t="s">
        <v>19100</v>
      </c>
    </row>
    <row r="13751" spans="1:6" x14ac:dyDescent="0.25">
      <c r="A13751" t="str">
        <f>"6658486694"</f>
        <v>6658486694</v>
      </c>
      <c r="B13751" t="s">
        <v>19101</v>
      </c>
      <c r="C13751" t="s">
        <v>7</v>
      </c>
      <c r="D13751" t="s">
        <v>12</v>
      </c>
      <c r="E13751" t="s">
        <v>19036</v>
      </c>
      <c r="F13751" t="s">
        <v>19102</v>
      </c>
    </row>
    <row r="13752" spans="1:6" x14ac:dyDescent="0.25">
      <c r="A13752" t="str">
        <f>"6658536930"</f>
        <v>6658536930</v>
      </c>
      <c r="B13752" t="s">
        <v>19103</v>
      </c>
      <c r="C13752" t="s">
        <v>7</v>
      </c>
      <c r="D13752" t="s">
        <v>14</v>
      </c>
      <c r="E13752" t="s">
        <v>19036</v>
      </c>
      <c r="F13752" t="s">
        <v>19104</v>
      </c>
    </row>
    <row r="13753" spans="1:6" x14ac:dyDescent="0.25">
      <c r="A13753" t="str">
        <f>"665894093346"</f>
        <v>665894093346</v>
      </c>
      <c r="B13753" t="s">
        <v>19105</v>
      </c>
      <c r="C13753" t="s">
        <v>7</v>
      </c>
      <c r="D13753" t="s">
        <v>14</v>
      </c>
      <c r="E13753" t="s">
        <v>19036</v>
      </c>
    </row>
    <row r="13754" spans="1:6" x14ac:dyDescent="0.25">
      <c r="A13754" t="str">
        <f>"665905137630"</f>
        <v>665905137630</v>
      </c>
      <c r="B13754" t="s">
        <v>19106</v>
      </c>
      <c r="C13754" t="s">
        <v>7</v>
      </c>
      <c r="D13754" t="s">
        <v>14</v>
      </c>
      <c r="E13754" t="s">
        <v>19036</v>
      </c>
    </row>
    <row r="13755" spans="1:6" x14ac:dyDescent="0.25">
      <c r="A13755" t="str">
        <f>"665914898415"</f>
        <v>665914898415</v>
      </c>
      <c r="B13755" t="s">
        <v>19107</v>
      </c>
      <c r="C13755" t="s">
        <v>7</v>
      </c>
      <c r="D13755" t="s">
        <v>14</v>
      </c>
      <c r="E13755" t="s">
        <v>19036</v>
      </c>
    </row>
    <row r="13756" spans="1:6" x14ac:dyDescent="0.25">
      <c r="A13756" t="str">
        <f>"666500077180"</f>
        <v>666500077180</v>
      </c>
      <c r="B13756" t="s">
        <v>19108</v>
      </c>
      <c r="C13756" t="s">
        <v>7</v>
      </c>
      <c r="D13756" t="s">
        <v>12</v>
      </c>
      <c r="E13756" t="s">
        <v>19036</v>
      </c>
    </row>
    <row r="13757" spans="1:6" x14ac:dyDescent="0.25">
      <c r="A13757" t="str">
        <f>"666800094483"</f>
        <v>666800094483</v>
      </c>
      <c r="B13757" t="s">
        <v>19109</v>
      </c>
      <c r="C13757" t="s">
        <v>7</v>
      </c>
      <c r="D13757" t="s">
        <v>14</v>
      </c>
      <c r="E13757" t="s">
        <v>19036</v>
      </c>
    </row>
    <row r="13758" spans="1:6" x14ac:dyDescent="0.25">
      <c r="A13758" t="str">
        <f>"666800542897"</f>
        <v>666800542897</v>
      </c>
      <c r="B13758" t="s">
        <v>19110</v>
      </c>
      <c r="C13758" t="s">
        <v>7</v>
      </c>
      <c r="D13758" t="s">
        <v>14</v>
      </c>
      <c r="E13758" t="s">
        <v>19036</v>
      </c>
    </row>
    <row r="13759" spans="1:6" x14ac:dyDescent="0.25">
      <c r="A13759" t="str">
        <f>"667009032300"</f>
        <v>667009032300</v>
      </c>
      <c r="B13759" t="s">
        <v>19111</v>
      </c>
      <c r="C13759" t="s">
        <v>7</v>
      </c>
      <c r="D13759" t="s">
        <v>14</v>
      </c>
      <c r="E13759" t="s">
        <v>19036</v>
      </c>
    </row>
    <row r="13760" spans="1:6" x14ac:dyDescent="0.25">
      <c r="A13760" t="str">
        <f>"6670304809"</f>
        <v>6670304809</v>
      </c>
      <c r="B13760" t="s">
        <v>6782</v>
      </c>
      <c r="C13760" t="s">
        <v>7</v>
      </c>
      <c r="D13760" t="s">
        <v>33</v>
      </c>
      <c r="E13760" t="s">
        <v>19036</v>
      </c>
      <c r="F13760" t="s">
        <v>19112</v>
      </c>
    </row>
    <row r="13761" spans="1:6" x14ac:dyDescent="0.25">
      <c r="A13761" t="str">
        <f>"6670394390"</f>
        <v>6670394390</v>
      </c>
      <c r="B13761" t="s">
        <v>19113</v>
      </c>
      <c r="C13761" t="s">
        <v>7</v>
      </c>
      <c r="D13761" t="s">
        <v>14</v>
      </c>
      <c r="E13761" t="s">
        <v>19036</v>
      </c>
      <c r="F13761" t="s">
        <v>19114</v>
      </c>
    </row>
    <row r="13762" spans="1:6" x14ac:dyDescent="0.25">
      <c r="A13762" t="str">
        <f>"6670422930"</f>
        <v>6670422930</v>
      </c>
      <c r="B13762" t="s">
        <v>19115</v>
      </c>
      <c r="C13762" t="s">
        <v>7</v>
      </c>
      <c r="D13762" t="s">
        <v>33</v>
      </c>
      <c r="E13762" t="s">
        <v>19036</v>
      </c>
      <c r="F13762" t="s">
        <v>19116</v>
      </c>
    </row>
    <row r="13763" spans="1:6" x14ac:dyDescent="0.25">
      <c r="A13763" t="str">
        <f>"667100043904"</f>
        <v>667100043904</v>
      </c>
      <c r="B13763" t="s">
        <v>19117</v>
      </c>
      <c r="C13763" t="s">
        <v>7</v>
      </c>
      <c r="D13763" t="s">
        <v>14</v>
      </c>
      <c r="E13763" t="s">
        <v>19036</v>
      </c>
    </row>
    <row r="13764" spans="1:6" x14ac:dyDescent="0.25">
      <c r="A13764" t="str">
        <f>"6671090652"</f>
        <v>6671090652</v>
      </c>
      <c r="B13764" t="s">
        <v>19118</v>
      </c>
      <c r="C13764" t="s">
        <v>7</v>
      </c>
      <c r="D13764" t="s">
        <v>98</v>
      </c>
      <c r="E13764" t="s">
        <v>19036</v>
      </c>
      <c r="F13764" t="s">
        <v>19119</v>
      </c>
    </row>
    <row r="13765" spans="1:6" x14ac:dyDescent="0.25">
      <c r="A13765" t="str">
        <f>"667109397320"</f>
        <v>667109397320</v>
      </c>
      <c r="B13765" t="s">
        <v>19120</v>
      </c>
      <c r="C13765" t="s">
        <v>7</v>
      </c>
      <c r="D13765" t="s">
        <v>14</v>
      </c>
      <c r="E13765" t="s">
        <v>19036</v>
      </c>
    </row>
    <row r="13766" spans="1:6" x14ac:dyDescent="0.25">
      <c r="A13766" t="str">
        <f>"667112815418"</f>
        <v>667112815418</v>
      </c>
      <c r="B13766" t="s">
        <v>19121</v>
      </c>
      <c r="C13766" t="s">
        <v>7</v>
      </c>
      <c r="D13766" t="s">
        <v>14</v>
      </c>
      <c r="E13766" t="s">
        <v>19036</v>
      </c>
    </row>
    <row r="13767" spans="1:6" x14ac:dyDescent="0.25">
      <c r="A13767" t="str">
        <f>"6671287497"</f>
        <v>6671287497</v>
      </c>
      <c r="B13767" t="s">
        <v>19122</v>
      </c>
      <c r="C13767" t="s">
        <v>7</v>
      </c>
      <c r="D13767" t="s">
        <v>33</v>
      </c>
      <c r="E13767" t="s">
        <v>19036</v>
      </c>
      <c r="F13767" t="s">
        <v>19123</v>
      </c>
    </row>
    <row r="13768" spans="1:6" x14ac:dyDescent="0.25">
      <c r="A13768" t="str">
        <f>"6671336793"</f>
        <v>6671336793</v>
      </c>
      <c r="B13768" t="s">
        <v>8676</v>
      </c>
      <c r="C13768" t="s">
        <v>7</v>
      </c>
      <c r="D13768" t="s">
        <v>98</v>
      </c>
      <c r="E13768" t="s">
        <v>19036</v>
      </c>
      <c r="F13768" t="s">
        <v>19124</v>
      </c>
    </row>
    <row r="13769" spans="1:6" x14ac:dyDescent="0.25">
      <c r="A13769" t="str">
        <f>"6672159868"</f>
        <v>6672159868</v>
      </c>
      <c r="B13769" t="s">
        <v>19125</v>
      </c>
      <c r="C13769" t="s">
        <v>7</v>
      </c>
      <c r="D13769" t="s">
        <v>674</v>
      </c>
      <c r="E13769" t="s">
        <v>19036</v>
      </c>
      <c r="F13769" t="s">
        <v>19126</v>
      </c>
    </row>
    <row r="13770" spans="1:6" x14ac:dyDescent="0.25">
      <c r="A13770" t="str">
        <f>"667219967710"</f>
        <v>667219967710</v>
      </c>
      <c r="B13770" t="s">
        <v>19127</v>
      </c>
      <c r="C13770" t="s">
        <v>7</v>
      </c>
      <c r="D13770" t="s">
        <v>12</v>
      </c>
      <c r="E13770" t="s">
        <v>19036</v>
      </c>
    </row>
    <row r="13771" spans="1:6" x14ac:dyDescent="0.25">
      <c r="A13771" t="str">
        <f>"667330873794"</f>
        <v>667330873794</v>
      </c>
      <c r="B13771" t="s">
        <v>19128</v>
      </c>
      <c r="C13771" t="s">
        <v>7</v>
      </c>
      <c r="D13771" t="s">
        <v>14</v>
      </c>
      <c r="E13771" t="s">
        <v>19036</v>
      </c>
    </row>
    <row r="13772" spans="1:6" x14ac:dyDescent="0.25">
      <c r="A13772" t="str">
        <f>"667358769000"</f>
        <v>667358769000</v>
      </c>
      <c r="B13772" t="s">
        <v>19129</v>
      </c>
      <c r="C13772" t="s">
        <v>7</v>
      </c>
      <c r="D13772" t="s">
        <v>12</v>
      </c>
      <c r="E13772" t="s">
        <v>19036</v>
      </c>
    </row>
    <row r="13773" spans="1:6" x14ac:dyDescent="0.25">
      <c r="A13773" t="str">
        <f>"667405505416"</f>
        <v>667405505416</v>
      </c>
      <c r="B13773" t="s">
        <v>19130</v>
      </c>
      <c r="C13773" t="s">
        <v>7</v>
      </c>
      <c r="D13773" t="s">
        <v>98</v>
      </c>
      <c r="E13773" t="s">
        <v>19036</v>
      </c>
    </row>
    <row r="13774" spans="1:6" x14ac:dyDescent="0.25">
      <c r="A13774" t="str">
        <f>"667431731612"</f>
        <v>667431731612</v>
      </c>
      <c r="B13774" t="s">
        <v>19131</v>
      </c>
      <c r="C13774" t="s">
        <v>7</v>
      </c>
      <c r="D13774" t="s">
        <v>14</v>
      </c>
      <c r="E13774" t="s">
        <v>19036</v>
      </c>
    </row>
    <row r="13775" spans="1:6" x14ac:dyDescent="0.25">
      <c r="A13775" t="str">
        <f>"6674346060"</f>
        <v>6674346060</v>
      </c>
      <c r="B13775" t="s">
        <v>19132</v>
      </c>
      <c r="C13775" t="s">
        <v>7</v>
      </c>
      <c r="D13775" t="s">
        <v>674</v>
      </c>
      <c r="E13775" t="s">
        <v>19036</v>
      </c>
      <c r="F13775" t="s">
        <v>19133</v>
      </c>
    </row>
    <row r="13776" spans="1:6" x14ac:dyDescent="0.25">
      <c r="A13776" t="str">
        <f>"667471882255"</f>
        <v>667471882255</v>
      </c>
      <c r="B13776" t="s">
        <v>19134</v>
      </c>
      <c r="C13776" t="s">
        <v>7</v>
      </c>
      <c r="D13776" t="s">
        <v>14</v>
      </c>
      <c r="E13776" t="s">
        <v>19036</v>
      </c>
    </row>
    <row r="13777" spans="1:6" x14ac:dyDescent="0.25">
      <c r="A13777" t="str">
        <f>"6676006252"</f>
        <v>6676006252</v>
      </c>
      <c r="B13777" t="s">
        <v>19135</v>
      </c>
      <c r="C13777" t="s">
        <v>7</v>
      </c>
      <c r="D13777" t="s">
        <v>14</v>
      </c>
      <c r="E13777" t="s">
        <v>19036</v>
      </c>
      <c r="F13777" t="s">
        <v>19136</v>
      </c>
    </row>
    <row r="13778" spans="1:6" x14ac:dyDescent="0.25">
      <c r="A13778" t="str">
        <f>"6677008566"</f>
        <v>6677008566</v>
      </c>
      <c r="B13778" t="s">
        <v>6782</v>
      </c>
      <c r="C13778" t="s">
        <v>7</v>
      </c>
      <c r="D13778" t="s">
        <v>14</v>
      </c>
      <c r="E13778" t="s">
        <v>19036</v>
      </c>
      <c r="F13778" t="s">
        <v>19137</v>
      </c>
    </row>
    <row r="13779" spans="1:6" x14ac:dyDescent="0.25">
      <c r="A13779" t="str">
        <f>"667800397426"</f>
        <v>667800397426</v>
      </c>
      <c r="B13779" t="s">
        <v>19138</v>
      </c>
      <c r="C13779" t="s">
        <v>7</v>
      </c>
      <c r="D13779" t="s">
        <v>14</v>
      </c>
      <c r="E13779" t="s">
        <v>19036</v>
      </c>
    </row>
    <row r="13780" spans="1:6" x14ac:dyDescent="0.25">
      <c r="A13780" t="str">
        <f>"6678098570"</f>
        <v>6678098570</v>
      </c>
      <c r="B13780" t="s">
        <v>19139</v>
      </c>
      <c r="C13780" t="s">
        <v>7</v>
      </c>
      <c r="D13780" t="s">
        <v>12</v>
      </c>
      <c r="E13780" t="s">
        <v>19036</v>
      </c>
      <c r="F13780" t="s">
        <v>19140</v>
      </c>
    </row>
    <row r="13781" spans="1:6" x14ac:dyDescent="0.25">
      <c r="A13781" t="str">
        <f>"6678105957"</f>
        <v>6678105957</v>
      </c>
      <c r="B13781" t="s">
        <v>19141</v>
      </c>
      <c r="C13781" t="s">
        <v>7</v>
      </c>
      <c r="D13781" t="s">
        <v>8</v>
      </c>
      <c r="E13781" t="s">
        <v>19036</v>
      </c>
      <c r="F13781" t="s">
        <v>19142</v>
      </c>
    </row>
    <row r="13782" spans="1:6" x14ac:dyDescent="0.25">
      <c r="A13782" t="str">
        <f>"6679156048"</f>
        <v>6679156048</v>
      </c>
      <c r="B13782" t="s">
        <v>19143</v>
      </c>
      <c r="C13782" t="s">
        <v>7</v>
      </c>
      <c r="D13782" t="s">
        <v>12</v>
      </c>
      <c r="E13782" t="s">
        <v>19036</v>
      </c>
      <c r="F13782" t="s">
        <v>19144</v>
      </c>
    </row>
    <row r="13783" spans="1:6" x14ac:dyDescent="0.25">
      <c r="A13783" t="str">
        <f>"6679156619"</f>
        <v>6679156619</v>
      </c>
      <c r="B13783" t="s">
        <v>19145</v>
      </c>
      <c r="C13783" t="s">
        <v>7</v>
      </c>
      <c r="D13783" t="s">
        <v>12</v>
      </c>
      <c r="E13783" t="s">
        <v>19036</v>
      </c>
      <c r="F13783" t="s">
        <v>19146</v>
      </c>
    </row>
    <row r="13784" spans="1:6" x14ac:dyDescent="0.25">
      <c r="A13784" t="str">
        <f>"6679167603"</f>
        <v>6679167603</v>
      </c>
      <c r="B13784" t="s">
        <v>19147</v>
      </c>
      <c r="C13784" t="s">
        <v>7</v>
      </c>
      <c r="D13784" t="s">
        <v>12</v>
      </c>
      <c r="E13784" t="s">
        <v>19036</v>
      </c>
      <c r="F13784" t="s">
        <v>19148</v>
      </c>
    </row>
    <row r="13785" spans="1:6" x14ac:dyDescent="0.25">
      <c r="A13785" t="str">
        <f>"6679177993"</f>
        <v>6679177993</v>
      </c>
      <c r="B13785" t="s">
        <v>19149</v>
      </c>
      <c r="C13785" t="s">
        <v>7</v>
      </c>
      <c r="D13785" t="s">
        <v>12</v>
      </c>
      <c r="E13785" t="s">
        <v>19036</v>
      </c>
      <c r="F13785" t="s">
        <v>19150</v>
      </c>
    </row>
    <row r="13786" spans="1:6" x14ac:dyDescent="0.25">
      <c r="A13786" t="str">
        <f>"6679182150"</f>
        <v>6679182150</v>
      </c>
      <c r="B13786" t="s">
        <v>19151</v>
      </c>
      <c r="C13786" t="s">
        <v>7</v>
      </c>
      <c r="D13786" t="s">
        <v>12</v>
      </c>
      <c r="E13786" t="s">
        <v>19036</v>
      </c>
      <c r="F13786" t="s">
        <v>19152</v>
      </c>
    </row>
    <row r="13787" spans="1:6" x14ac:dyDescent="0.25">
      <c r="A13787" t="str">
        <f>"6684044389"</f>
        <v>6684044389</v>
      </c>
      <c r="B13787" t="s">
        <v>19153</v>
      </c>
      <c r="C13787" t="s">
        <v>7</v>
      </c>
      <c r="D13787" t="s">
        <v>33</v>
      </c>
      <c r="E13787" t="s">
        <v>19036</v>
      </c>
      <c r="F13787" t="s">
        <v>19154</v>
      </c>
    </row>
    <row r="13788" spans="1:6" x14ac:dyDescent="0.25">
      <c r="A13788" t="str">
        <f>"6685216390"</f>
        <v>6685216390</v>
      </c>
      <c r="B13788" t="s">
        <v>19155</v>
      </c>
      <c r="C13788" t="s">
        <v>7</v>
      </c>
      <c r="D13788" t="s">
        <v>98</v>
      </c>
      <c r="E13788" t="s">
        <v>19036</v>
      </c>
      <c r="F13788" t="s">
        <v>19156</v>
      </c>
    </row>
    <row r="13789" spans="1:6" x14ac:dyDescent="0.25">
      <c r="A13789" t="str">
        <f>"6686064831"</f>
        <v>6686064831</v>
      </c>
      <c r="B13789" t="s">
        <v>19157</v>
      </c>
      <c r="C13789" t="s">
        <v>7</v>
      </c>
      <c r="D13789" t="s">
        <v>14</v>
      </c>
      <c r="E13789" t="s">
        <v>19036</v>
      </c>
      <c r="F13789" t="s">
        <v>19158</v>
      </c>
    </row>
    <row r="13790" spans="1:6" x14ac:dyDescent="0.25">
      <c r="A13790" t="str">
        <f>"6686148055"</f>
        <v>6686148055</v>
      </c>
      <c r="B13790" t="s">
        <v>19159</v>
      </c>
      <c r="C13790" t="s">
        <v>7</v>
      </c>
      <c r="D13790" t="s">
        <v>14</v>
      </c>
      <c r="E13790" t="s">
        <v>19036</v>
      </c>
      <c r="F13790" t="s">
        <v>19160</v>
      </c>
    </row>
    <row r="13791" spans="1:6" x14ac:dyDescent="0.25">
      <c r="A13791" t="str">
        <f>"6686158416"</f>
        <v>6686158416</v>
      </c>
      <c r="B13791" t="s">
        <v>19161</v>
      </c>
      <c r="C13791" t="s">
        <v>7</v>
      </c>
      <c r="D13791" t="s">
        <v>12</v>
      </c>
      <c r="E13791" t="s">
        <v>19036</v>
      </c>
      <c r="F13791" t="s">
        <v>19162</v>
      </c>
    </row>
    <row r="13792" spans="1:6" x14ac:dyDescent="0.25">
      <c r="A13792" t="str">
        <f>"6686168460"</f>
        <v>6686168460</v>
      </c>
      <c r="B13792" t="s">
        <v>19163</v>
      </c>
      <c r="C13792" t="s">
        <v>7</v>
      </c>
      <c r="D13792" t="s">
        <v>12</v>
      </c>
      <c r="E13792" t="s">
        <v>19036</v>
      </c>
      <c r="F13792" t="s">
        <v>19164</v>
      </c>
    </row>
    <row r="13793" spans="1:6" x14ac:dyDescent="0.25">
      <c r="A13793" t="str">
        <f>"660100239206"</f>
        <v>660100239206</v>
      </c>
      <c r="B13793" t="s">
        <v>19165</v>
      </c>
      <c r="C13793" t="s">
        <v>7</v>
      </c>
      <c r="D13793" t="s">
        <v>14</v>
      </c>
      <c r="E13793" t="s">
        <v>19036</v>
      </c>
    </row>
    <row r="13794" spans="1:6" x14ac:dyDescent="0.25">
      <c r="A13794" t="str">
        <f>"660100539880"</f>
        <v>660100539880</v>
      </c>
      <c r="B13794" t="s">
        <v>19166</v>
      </c>
      <c r="C13794" t="s">
        <v>7</v>
      </c>
      <c r="D13794" t="s">
        <v>14</v>
      </c>
      <c r="E13794" t="s">
        <v>19036</v>
      </c>
    </row>
    <row r="13795" spans="1:6" x14ac:dyDescent="0.25">
      <c r="A13795" t="str">
        <f>"6601012234"</f>
        <v>6601012234</v>
      </c>
      <c r="B13795" t="s">
        <v>19167</v>
      </c>
      <c r="C13795" t="s">
        <v>7</v>
      </c>
      <c r="D13795" t="s">
        <v>14</v>
      </c>
      <c r="E13795" t="s">
        <v>19036</v>
      </c>
      <c r="F13795" t="s">
        <v>19168</v>
      </c>
    </row>
    <row r="13796" spans="1:6" x14ac:dyDescent="0.25">
      <c r="A13796" t="str">
        <f>"660104189676"</f>
        <v>660104189676</v>
      </c>
      <c r="B13796" t="s">
        <v>19169</v>
      </c>
      <c r="C13796" t="s">
        <v>7</v>
      </c>
      <c r="D13796" t="s">
        <v>14</v>
      </c>
      <c r="E13796" t="s">
        <v>19036</v>
      </c>
    </row>
    <row r="13797" spans="1:6" x14ac:dyDescent="0.25">
      <c r="A13797" t="str">
        <f>"660200135360"</f>
        <v>660200135360</v>
      </c>
      <c r="B13797" t="s">
        <v>19170</v>
      </c>
      <c r="C13797" t="s">
        <v>7</v>
      </c>
      <c r="D13797" t="s">
        <v>14</v>
      </c>
      <c r="E13797" t="s">
        <v>19036</v>
      </c>
    </row>
    <row r="13798" spans="1:6" x14ac:dyDescent="0.25">
      <c r="A13798" t="str">
        <f>"660309372168"</f>
        <v>660309372168</v>
      </c>
      <c r="B13798" t="s">
        <v>19171</v>
      </c>
      <c r="C13798" t="s">
        <v>7</v>
      </c>
      <c r="D13798" t="s">
        <v>14</v>
      </c>
      <c r="E13798" t="s">
        <v>19036</v>
      </c>
    </row>
    <row r="13799" spans="1:6" x14ac:dyDescent="0.25">
      <c r="A13799" t="str">
        <f>"660404506478"</f>
        <v>660404506478</v>
      </c>
      <c r="B13799" t="s">
        <v>19172</v>
      </c>
      <c r="C13799" t="s">
        <v>7</v>
      </c>
      <c r="D13799" t="s">
        <v>14</v>
      </c>
      <c r="E13799" t="s">
        <v>19036</v>
      </c>
    </row>
    <row r="13800" spans="1:6" x14ac:dyDescent="0.25">
      <c r="A13800" t="str">
        <f>"660405296713"</f>
        <v>660405296713</v>
      </c>
      <c r="B13800" t="s">
        <v>19173</v>
      </c>
      <c r="C13800" t="s">
        <v>7</v>
      </c>
      <c r="D13800" t="s">
        <v>12</v>
      </c>
      <c r="E13800" t="s">
        <v>19036</v>
      </c>
    </row>
    <row r="13801" spans="1:6" x14ac:dyDescent="0.25">
      <c r="A13801" t="str">
        <f>"660500009824"</f>
        <v>660500009824</v>
      </c>
      <c r="B13801" t="s">
        <v>19174</v>
      </c>
      <c r="C13801" t="s">
        <v>7</v>
      </c>
      <c r="D13801" t="s">
        <v>14</v>
      </c>
      <c r="E13801" t="s">
        <v>19036</v>
      </c>
    </row>
    <row r="13802" spans="1:6" x14ac:dyDescent="0.25">
      <c r="A13802" t="str">
        <f>"660503910603"</f>
        <v>660503910603</v>
      </c>
      <c r="B13802" t="s">
        <v>19175</v>
      </c>
      <c r="C13802" t="s">
        <v>7</v>
      </c>
      <c r="D13802" t="s">
        <v>14</v>
      </c>
      <c r="E13802" t="s">
        <v>19036</v>
      </c>
    </row>
    <row r="13803" spans="1:6" x14ac:dyDescent="0.25">
      <c r="A13803" t="str">
        <f>"660601421826"</f>
        <v>660601421826</v>
      </c>
      <c r="B13803" t="s">
        <v>19176</v>
      </c>
      <c r="C13803" t="s">
        <v>7</v>
      </c>
      <c r="D13803" t="s">
        <v>14</v>
      </c>
      <c r="E13803" t="s">
        <v>19036</v>
      </c>
    </row>
    <row r="13804" spans="1:6" x14ac:dyDescent="0.25">
      <c r="A13804" t="str">
        <f>"6606025406"</f>
        <v>6606025406</v>
      </c>
      <c r="B13804" t="s">
        <v>19177</v>
      </c>
      <c r="C13804" t="s">
        <v>7</v>
      </c>
      <c r="D13804" t="s">
        <v>33</v>
      </c>
      <c r="E13804" t="s">
        <v>19036</v>
      </c>
      <c r="F13804" t="s">
        <v>19178</v>
      </c>
    </row>
    <row r="13805" spans="1:6" x14ac:dyDescent="0.25">
      <c r="A13805" t="str">
        <f>"6606034217"</f>
        <v>6606034217</v>
      </c>
      <c r="B13805" t="s">
        <v>19179</v>
      </c>
      <c r="C13805" t="s">
        <v>7</v>
      </c>
      <c r="D13805" t="s">
        <v>14</v>
      </c>
      <c r="E13805" t="s">
        <v>19036</v>
      </c>
      <c r="F13805" t="s">
        <v>19180</v>
      </c>
    </row>
    <row r="13806" spans="1:6" x14ac:dyDescent="0.25">
      <c r="A13806" t="str">
        <f>"6606034288"</f>
        <v>6606034288</v>
      </c>
      <c r="B13806" t="s">
        <v>19181</v>
      </c>
      <c r="C13806" t="s">
        <v>7</v>
      </c>
      <c r="D13806" t="s">
        <v>14</v>
      </c>
      <c r="E13806" t="s">
        <v>19036</v>
      </c>
      <c r="F13806" t="s">
        <v>19182</v>
      </c>
    </row>
    <row r="13807" spans="1:6" x14ac:dyDescent="0.25">
      <c r="A13807" t="str">
        <f>"6606034295"</f>
        <v>6606034295</v>
      </c>
      <c r="B13807" t="s">
        <v>8759</v>
      </c>
      <c r="C13807" t="s">
        <v>7</v>
      </c>
      <c r="D13807" t="s">
        <v>12</v>
      </c>
      <c r="E13807" t="s">
        <v>19036</v>
      </c>
      <c r="F13807" t="s">
        <v>19183</v>
      </c>
    </row>
    <row r="13808" spans="1:6" x14ac:dyDescent="0.25">
      <c r="A13808" t="str">
        <f>"660606644858"</f>
        <v>660606644858</v>
      </c>
      <c r="B13808" t="s">
        <v>19184</v>
      </c>
      <c r="C13808" t="s">
        <v>7</v>
      </c>
      <c r="D13808" t="s">
        <v>14</v>
      </c>
      <c r="E13808" t="s">
        <v>19036</v>
      </c>
    </row>
    <row r="13809" spans="1:6" x14ac:dyDescent="0.25">
      <c r="A13809" t="str">
        <f>"660609409605"</f>
        <v>660609409605</v>
      </c>
      <c r="B13809" t="s">
        <v>19185</v>
      </c>
      <c r="C13809" t="s">
        <v>7</v>
      </c>
      <c r="D13809" t="s">
        <v>14</v>
      </c>
      <c r="E13809" t="s">
        <v>19036</v>
      </c>
    </row>
    <row r="13810" spans="1:6" x14ac:dyDescent="0.25">
      <c r="A13810" t="str">
        <f>"660700906638"</f>
        <v>660700906638</v>
      </c>
      <c r="B13810" t="s">
        <v>19186</v>
      </c>
      <c r="C13810" t="s">
        <v>7</v>
      </c>
      <c r="D13810" t="s">
        <v>14</v>
      </c>
      <c r="E13810" t="s">
        <v>19036</v>
      </c>
    </row>
    <row r="13811" spans="1:6" x14ac:dyDescent="0.25">
      <c r="A13811" t="str">
        <f>"660703494823"</f>
        <v>660703494823</v>
      </c>
      <c r="B13811" t="s">
        <v>19187</v>
      </c>
      <c r="C13811" t="s">
        <v>7</v>
      </c>
      <c r="D13811" t="s">
        <v>14</v>
      </c>
      <c r="E13811" t="s">
        <v>19036</v>
      </c>
    </row>
    <row r="13812" spans="1:6" x14ac:dyDescent="0.25">
      <c r="A13812" t="str">
        <f>"660704443444"</f>
        <v>660704443444</v>
      </c>
      <c r="B13812" t="s">
        <v>19188</v>
      </c>
      <c r="C13812" t="s">
        <v>7</v>
      </c>
      <c r="D13812" t="s">
        <v>14</v>
      </c>
      <c r="E13812" t="s">
        <v>19036</v>
      </c>
    </row>
    <row r="13813" spans="1:6" x14ac:dyDescent="0.25">
      <c r="A13813" t="str">
        <f>"660900087305"</f>
        <v>660900087305</v>
      </c>
      <c r="B13813" t="s">
        <v>19189</v>
      </c>
      <c r="C13813" t="s">
        <v>7</v>
      </c>
      <c r="D13813" t="s">
        <v>14</v>
      </c>
      <c r="E13813" t="s">
        <v>19036</v>
      </c>
    </row>
    <row r="13814" spans="1:6" x14ac:dyDescent="0.25">
      <c r="A13814" t="str">
        <f>"660901017082"</f>
        <v>660901017082</v>
      </c>
      <c r="B13814" t="s">
        <v>19190</v>
      </c>
      <c r="C13814" t="s">
        <v>7</v>
      </c>
      <c r="D13814" t="s">
        <v>14</v>
      </c>
      <c r="E13814" t="s">
        <v>19036</v>
      </c>
    </row>
    <row r="13815" spans="1:6" x14ac:dyDescent="0.25">
      <c r="A13815" t="str">
        <f>"661100228245"</f>
        <v>661100228245</v>
      </c>
      <c r="B13815" t="s">
        <v>19191</v>
      </c>
      <c r="C13815" t="s">
        <v>7</v>
      </c>
      <c r="D13815" t="s">
        <v>14</v>
      </c>
      <c r="E13815" t="s">
        <v>19036</v>
      </c>
    </row>
    <row r="13816" spans="1:6" x14ac:dyDescent="0.25">
      <c r="A13816" t="str">
        <f>"661104708806"</f>
        <v>661104708806</v>
      </c>
      <c r="B13816" t="s">
        <v>19192</v>
      </c>
      <c r="C13816" t="s">
        <v>7</v>
      </c>
      <c r="D13816" t="s">
        <v>14</v>
      </c>
      <c r="E13816" t="s">
        <v>19036</v>
      </c>
    </row>
    <row r="13817" spans="1:6" x14ac:dyDescent="0.25">
      <c r="A13817" t="str">
        <f>"661106403870"</f>
        <v>661106403870</v>
      </c>
      <c r="B13817" t="s">
        <v>19193</v>
      </c>
      <c r="C13817" t="s">
        <v>7</v>
      </c>
      <c r="D13817" t="s">
        <v>14</v>
      </c>
      <c r="E13817" t="s">
        <v>19036</v>
      </c>
    </row>
    <row r="13818" spans="1:6" x14ac:dyDescent="0.25">
      <c r="A13818" t="str">
        <f>"661188672529"</f>
        <v>661188672529</v>
      </c>
      <c r="B13818" t="s">
        <v>19194</v>
      </c>
      <c r="C13818" t="s">
        <v>7</v>
      </c>
      <c r="D13818" t="s">
        <v>14</v>
      </c>
      <c r="E13818" t="s">
        <v>19036</v>
      </c>
    </row>
    <row r="13819" spans="1:6" x14ac:dyDescent="0.25">
      <c r="A13819" t="str">
        <f>"661202079514"</f>
        <v>661202079514</v>
      </c>
      <c r="B13819" t="s">
        <v>19195</v>
      </c>
      <c r="C13819" t="s">
        <v>7</v>
      </c>
      <c r="D13819" t="s">
        <v>14</v>
      </c>
      <c r="E13819" t="s">
        <v>19036</v>
      </c>
    </row>
    <row r="13820" spans="1:6" x14ac:dyDescent="0.25">
      <c r="A13820" t="str">
        <f>"661204016608"</f>
        <v>661204016608</v>
      </c>
      <c r="B13820" t="s">
        <v>19196</v>
      </c>
      <c r="C13820" t="s">
        <v>7</v>
      </c>
      <c r="D13820" t="s">
        <v>14</v>
      </c>
      <c r="E13820" t="s">
        <v>19036</v>
      </c>
    </row>
    <row r="13821" spans="1:6" x14ac:dyDescent="0.25">
      <c r="A13821" t="str">
        <f>"6612058801"</f>
        <v>6612058801</v>
      </c>
      <c r="B13821" t="s">
        <v>19197</v>
      </c>
      <c r="C13821" t="s">
        <v>7</v>
      </c>
      <c r="D13821" t="s">
        <v>12</v>
      </c>
      <c r="E13821" t="s">
        <v>19036</v>
      </c>
      <c r="F13821" t="s">
        <v>19198</v>
      </c>
    </row>
    <row r="13822" spans="1:6" x14ac:dyDescent="0.25">
      <c r="A13822" t="str">
        <f>"661209372744"</f>
        <v>661209372744</v>
      </c>
      <c r="B13822" t="s">
        <v>19199</v>
      </c>
      <c r="C13822" t="s">
        <v>7</v>
      </c>
      <c r="D13822" t="s">
        <v>14</v>
      </c>
      <c r="E13822" t="s">
        <v>19036</v>
      </c>
    </row>
    <row r="13823" spans="1:6" x14ac:dyDescent="0.25">
      <c r="A13823" t="str">
        <f>"661216830307"</f>
        <v>661216830307</v>
      </c>
      <c r="B13823" t="s">
        <v>19200</v>
      </c>
      <c r="C13823" t="s">
        <v>7</v>
      </c>
      <c r="D13823" t="s">
        <v>14</v>
      </c>
      <c r="E13823" t="s">
        <v>19036</v>
      </c>
    </row>
    <row r="13824" spans="1:6" x14ac:dyDescent="0.25">
      <c r="A13824" t="str">
        <f>"661217119390"</f>
        <v>661217119390</v>
      </c>
      <c r="B13824" t="s">
        <v>19201</v>
      </c>
      <c r="C13824" t="s">
        <v>7</v>
      </c>
      <c r="D13824" t="s">
        <v>14</v>
      </c>
      <c r="E13824" t="s">
        <v>19036</v>
      </c>
    </row>
    <row r="13825" spans="1:5" x14ac:dyDescent="0.25">
      <c r="A13825" t="str">
        <f>"661222380310"</f>
        <v>661222380310</v>
      </c>
      <c r="B13825" t="s">
        <v>19202</v>
      </c>
      <c r="C13825" t="s">
        <v>7</v>
      </c>
      <c r="D13825" t="s">
        <v>14</v>
      </c>
      <c r="E13825" t="s">
        <v>19036</v>
      </c>
    </row>
    <row r="13826" spans="1:5" x14ac:dyDescent="0.25">
      <c r="A13826" t="str">
        <f>"661222404890"</f>
        <v>661222404890</v>
      </c>
      <c r="B13826" t="s">
        <v>19203</v>
      </c>
      <c r="C13826" t="s">
        <v>7</v>
      </c>
      <c r="D13826" t="s">
        <v>14</v>
      </c>
      <c r="E13826" t="s">
        <v>19036</v>
      </c>
    </row>
    <row r="13827" spans="1:5" x14ac:dyDescent="0.25">
      <c r="A13827" t="str">
        <f>"661300028973"</f>
        <v>661300028973</v>
      </c>
      <c r="B13827" t="s">
        <v>19204</v>
      </c>
      <c r="C13827" t="s">
        <v>7</v>
      </c>
      <c r="D13827" t="s">
        <v>14</v>
      </c>
      <c r="E13827" t="s">
        <v>19036</v>
      </c>
    </row>
    <row r="13828" spans="1:5" x14ac:dyDescent="0.25">
      <c r="A13828" t="str">
        <f>"661302478720"</f>
        <v>661302478720</v>
      </c>
      <c r="B13828" t="s">
        <v>19205</v>
      </c>
      <c r="C13828" t="s">
        <v>7</v>
      </c>
      <c r="D13828" t="s">
        <v>8</v>
      </c>
      <c r="E13828" t="s">
        <v>19036</v>
      </c>
    </row>
    <row r="13829" spans="1:5" x14ac:dyDescent="0.25">
      <c r="A13829" t="str">
        <f>"661400380032"</f>
        <v>661400380032</v>
      </c>
      <c r="B13829" t="s">
        <v>19206</v>
      </c>
      <c r="C13829" t="s">
        <v>7</v>
      </c>
      <c r="D13829" t="s">
        <v>12</v>
      </c>
      <c r="E13829" t="s">
        <v>19036</v>
      </c>
    </row>
    <row r="13830" spans="1:5" x14ac:dyDescent="0.25">
      <c r="A13830" t="str">
        <f>"661502337269"</f>
        <v>661502337269</v>
      </c>
      <c r="B13830" t="s">
        <v>19207</v>
      </c>
      <c r="C13830" t="s">
        <v>7</v>
      </c>
      <c r="D13830" t="s">
        <v>14</v>
      </c>
      <c r="E13830" t="s">
        <v>19036</v>
      </c>
    </row>
    <row r="13831" spans="1:5" x14ac:dyDescent="0.25">
      <c r="A13831" t="str">
        <f>"661508581961"</f>
        <v>661508581961</v>
      </c>
      <c r="B13831" t="s">
        <v>19208</v>
      </c>
      <c r="C13831" t="s">
        <v>7</v>
      </c>
      <c r="D13831" t="s">
        <v>14</v>
      </c>
      <c r="E13831" t="s">
        <v>19036</v>
      </c>
    </row>
    <row r="13832" spans="1:5" x14ac:dyDescent="0.25">
      <c r="A13832" t="str">
        <f>"661600217386"</f>
        <v>661600217386</v>
      </c>
      <c r="B13832" t="s">
        <v>19209</v>
      </c>
      <c r="C13832" t="s">
        <v>7</v>
      </c>
      <c r="D13832" t="s">
        <v>14</v>
      </c>
      <c r="E13832" t="s">
        <v>19036</v>
      </c>
    </row>
    <row r="13833" spans="1:5" x14ac:dyDescent="0.25">
      <c r="A13833" t="str">
        <f>"661602347045"</f>
        <v>661602347045</v>
      </c>
      <c r="B13833" t="s">
        <v>19210</v>
      </c>
      <c r="C13833" t="s">
        <v>7</v>
      </c>
      <c r="D13833" t="s">
        <v>14</v>
      </c>
      <c r="E13833" t="s">
        <v>19036</v>
      </c>
    </row>
    <row r="13834" spans="1:5" x14ac:dyDescent="0.25">
      <c r="A13834" t="str">
        <f>"661708300086"</f>
        <v>661708300086</v>
      </c>
      <c r="B13834" t="s">
        <v>19211</v>
      </c>
      <c r="C13834" t="s">
        <v>7</v>
      </c>
      <c r="D13834" t="s">
        <v>14</v>
      </c>
      <c r="E13834" t="s">
        <v>19036</v>
      </c>
    </row>
    <row r="13835" spans="1:5" x14ac:dyDescent="0.25">
      <c r="A13835" t="str">
        <f>"661800924706"</f>
        <v>661800924706</v>
      </c>
      <c r="B13835" t="s">
        <v>19212</v>
      </c>
      <c r="C13835" t="s">
        <v>7</v>
      </c>
      <c r="D13835" t="s">
        <v>14</v>
      </c>
      <c r="E13835" t="s">
        <v>19036</v>
      </c>
    </row>
    <row r="13836" spans="1:5" x14ac:dyDescent="0.25">
      <c r="A13836" t="str">
        <f>"661902178260"</f>
        <v>661902178260</v>
      </c>
      <c r="B13836" t="s">
        <v>19213</v>
      </c>
      <c r="C13836" t="s">
        <v>7</v>
      </c>
      <c r="D13836" t="s">
        <v>14</v>
      </c>
      <c r="E13836" t="s">
        <v>19036</v>
      </c>
    </row>
    <row r="13837" spans="1:5" x14ac:dyDescent="0.25">
      <c r="A13837" t="str">
        <f>"661902181922"</f>
        <v>661902181922</v>
      </c>
      <c r="B13837" t="s">
        <v>19214</v>
      </c>
      <c r="C13837" t="s">
        <v>7</v>
      </c>
      <c r="D13837" t="s">
        <v>14</v>
      </c>
      <c r="E13837" t="s">
        <v>19036</v>
      </c>
    </row>
    <row r="13838" spans="1:5" x14ac:dyDescent="0.25">
      <c r="A13838" t="str">
        <f>"660106607992"</f>
        <v>660106607992</v>
      </c>
      <c r="B13838" t="s">
        <v>19215</v>
      </c>
      <c r="C13838" t="s">
        <v>7</v>
      </c>
      <c r="D13838" t="s">
        <v>14</v>
      </c>
      <c r="E13838" t="s">
        <v>19036</v>
      </c>
    </row>
    <row r="13839" spans="1:5" x14ac:dyDescent="0.25">
      <c r="A13839" t="str">
        <f>"660109667622"</f>
        <v>660109667622</v>
      </c>
      <c r="B13839" t="s">
        <v>19216</v>
      </c>
      <c r="C13839" t="s">
        <v>7</v>
      </c>
      <c r="D13839" t="s">
        <v>14</v>
      </c>
      <c r="E13839" t="s">
        <v>19036</v>
      </c>
    </row>
    <row r="13840" spans="1:5" x14ac:dyDescent="0.25">
      <c r="A13840" t="str">
        <f>"660200233014"</f>
        <v>660200233014</v>
      </c>
      <c r="B13840" t="s">
        <v>19217</v>
      </c>
      <c r="C13840" t="s">
        <v>7</v>
      </c>
      <c r="D13840" t="s">
        <v>14</v>
      </c>
      <c r="E13840" t="s">
        <v>19036</v>
      </c>
    </row>
    <row r="13841" spans="1:5" x14ac:dyDescent="0.25">
      <c r="A13841" t="str">
        <f>"660204451662"</f>
        <v>660204451662</v>
      </c>
      <c r="B13841" t="s">
        <v>19218</v>
      </c>
      <c r="C13841" t="s">
        <v>7</v>
      </c>
      <c r="D13841" t="s">
        <v>12</v>
      </c>
      <c r="E13841" t="s">
        <v>19036</v>
      </c>
    </row>
    <row r="13842" spans="1:5" x14ac:dyDescent="0.25">
      <c r="A13842" t="str">
        <f>"660204746578"</f>
        <v>660204746578</v>
      </c>
      <c r="B13842" t="s">
        <v>19219</v>
      </c>
      <c r="C13842" t="s">
        <v>7</v>
      </c>
      <c r="D13842" t="s">
        <v>14</v>
      </c>
      <c r="E13842" t="s">
        <v>19036</v>
      </c>
    </row>
    <row r="13843" spans="1:5" x14ac:dyDescent="0.25">
      <c r="A13843" t="str">
        <f>"660205490840"</f>
        <v>660205490840</v>
      </c>
      <c r="B13843" t="s">
        <v>19220</v>
      </c>
      <c r="C13843" t="s">
        <v>7</v>
      </c>
      <c r="D13843" t="s">
        <v>14</v>
      </c>
      <c r="E13843" t="s">
        <v>19036</v>
      </c>
    </row>
    <row r="13844" spans="1:5" x14ac:dyDescent="0.25">
      <c r="A13844" t="str">
        <f>"660300283940"</f>
        <v>660300283940</v>
      </c>
      <c r="B13844" t="s">
        <v>19221</v>
      </c>
      <c r="C13844" t="s">
        <v>7</v>
      </c>
      <c r="D13844" t="s">
        <v>14</v>
      </c>
      <c r="E13844" t="s">
        <v>19036</v>
      </c>
    </row>
    <row r="13845" spans="1:5" x14ac:dyDescent="0.25">
      <c r="A13845" t="str">
        <f>"660301377319"</f>
        <v>660301377319</v>
      </c>
      <c r="B13845" t="s">
        <v>19222</v>
      </c>
      <c r="C13845" t="s">
        <v>7</v>
      </c>
      <c r="D13845" t="s">
        <v>14</v>
      </c>
      <c r="E13845" t="s">
        <v>19036</v>
      </c>
    </row>
    <row r="13846" spans="1:5" x14ac:dyDescent="0.25">
      <c r="A13846" t="str">
        <f>"660302263000"</f>
        <v>660302263000</v>
      </c>
      <c r="B13846" t="s">
        <v>19223</v>
      </c>
      <c r="C13846" t="s">
        <v>7</v>
      </c>
      <c r="D13846" t="s">
        <v>14</v>
      </c>
      <c r="E13846" t="s">
        <v>19036</v>
      </c>
    </row>
    <row r="13847" spans="1:5" x14ac:dyDescent="0.25">
      <c r="A13847" t="str">
        <f>"660303018227"</f>
        <v>660303018227</v>
      </c>
      <c r="B13847" t="s">
        <v>19224</v>
      </c>
      <c r="C13847" t="s">
        <v>7</v>
      </c>
      <c r="D13847" t="s">
        <v>14</v>
      </c>
      <c r="E13847" t="s">
        <v>19036</v>
      </c>
    </row>
    <row r="13848" spans="1:5" x14ac:dyDescent="0.25">
      <c r="A13848" t="str">
        <f>"660305864480"</f>
        <v>660305864480</v>
      </c>
      <c r="B13848" t="s">
        <v>19225</v>
      </c>
      <c r="C13848" t="s">
        <v>7</v>
      </c>
      <c r="D13848" t="s">
        <v>12</v>
      </c>
      <c r="E13848" t="s">
        <v>19036</v>
      </c>
    </row>
    <row r="13849" spans="1:5" x14ac:dyDescent="0.25">
      <c r="A13849" t="str">
        <f>"660400281142"</f>
        <v>660400281142</v>
      </c>
      <c r="B13849" t="s">
        <v>19226</v>
      </c>
      <c r="C13849" t="s">
        <v>7</v>
      </c>
      <c r="D13849" t="s">
        <v>14</v>
      </c>
      <c r="E13849" t="s">
        <v>19036</v>
      </c>
    </row>
    <row r="13850" spans="1:5" x14ac:dyDescent="0.25">
      <c r="A13850" t="str">
        <f>"660406886641"</f>
        <v>660406886641</v>
      </c>
      <c r="B13850" t="s">
        <v>19227</v>
      </c>
      <c r="C13850" t="s">
        <v>7</v>
      </c>
      <c r="D13850" t="s">
        <v>14</v>
      </c>
      <c r="E13850" t="s">
        <v>19036</v>
      </c>
    </row>
    <row r="13851" spans="1:5" x14ac:dyDescent="0.25">
      <c r="A13851" t="str">
        <f>"660500008877"</f>
        <v>660500008877</v>
      </c>
      <c r="B13851" t="s">
        <v>19228</v>
      </c>
      <c r="C13851" t="s">
        <v>7</v>
      </c>
      <c r="D13851" t="s">
        <v>14</v>
      </c>
      <c r="E13851" t="s">
        <v>19036</v>
      </c>
    </row>
    <row r="13852" spans="1:5" x14ac:dyDescent="0.25">
      <c r="A13852" t="str">
        <f>"660500098581"</f>
        <v>660500098581</v>
      </c>
      <c r="B13852" t="s">
        <v>19229</v>
      </c>
      <c r="C13852" t="s">
        <v>7</v>
      </c>
      <c r="D13852" t="s">
        <v>14</v>
      </c>
      <c r="E13852" t="s">
        <v>19036</v>
      </c>
    </row>
    <row r="13853" spans="1:5" x14ac:dyDescent="0.25">
      <c r="A13853" t="str">
        <f>"660504031002"</f>
        <v>660504031002</v>
      </c>
      <c r="B13853" t="s">
        <v>19230</v>
      </c>
      <c r="C13853" t="s">
        <v>7</v>
      </c>
      <c r="D13853" t="s">
        <v>14</v>
      </c>
      <c r="E13853" t="s">
        <v>19036</v>
      </c>
    </row>
    <row r="13854" spans="1:5" x14ac:dyDescent="0.25">
      <c r="A13854" t="str">
        <f>"660600337794"</f>
        <v>660600337794</v>
      </c>
      <c r="B13854" t="s">
        <v>19231</v>
      </c>
      <c r="C13854" t="s">
        <v>7</v>
      </c>
      <c r="D13854" t="s">
        <v>14</v>
      </c>
      <c r="E13854" t="s">
        <v>19036</v>
      </c>
    </row>
    <row r="13855" spans="1:5" x14ac:dyDescent="0.25">
      <c r="A13855" t="str">
        <f>"660603782440"</f>
        <v>660603782440</v>
      </c>
      <c r="B13855" t="s">
        <v>19232</v>
      </c>
      <c r="C13855" t="s">
        <v>7</v>
      </c>
      <c r="D13855" t="s">
        <v>14</v>
      </c>
      <c r="E13855" t="s">
        <v>19036</v>
      </c>
    </row>
    <row r="13856" spans="1:5" x14ac:dyDescent="0.25">
      <c r="A13856" t="str">
        <f>"660703854272"</f>
        <v>660703854272</v>
      </c>
      <c r="B13856" t="s">
        <v>19233</v>
      </c>
      <c r="C13856" t="s">
        <v>7</v>
      </c>
      <c r="D13856" t="s">
        <v>12</v>
      </c>
      <c r="E13856" t="s">
        <v>19036</v>
      </c>
    </row>
    <row r="13857" spans="1:6" x14ac:dyDescent="0.25">
      <c r="A13857" t="str">
        <f>"660900106660"</f>
        <v>660900106660</v>
      </c>
      <c r="B13857" t="s">
        <v>19234</v>
      </c>
      <c r="C13857" t="s">
        <v>7</v>
      </c>
      <c r="D13857" t="s">
        <v>12</v>
      </c>
      <c r="E13857" t="s">
        <v>19036</v>
      </c>
    </row>
    <row r="13858" spans="1:6" x14ac:dyDescent="0.25">
      <c r="A13858" t="str">
        <f>"660901129004"</f>
        <v>660901129004</v>
      </c>
      <c r="B13858" t="s">
        <v>19235</v>
      </c>
      <c r="C13858" t="s">
        <v>7</v>
      </c>
      <c r="D13858" t="s">
        <v>14</v>
      </c>
      <c r="E13858" t="s">
        <v>19036</v>
      </c>
    </row>
    <row r="13859" spans="1:6" x14ac:dyDescent="0.25">
      <c r="A13859" t="str">
        <f>"661000018572"</f>
        <v>661000018572</v>
      </c>
      <c r="B13859" t="s">
        <v>19236</v>
      </c>
      <c r="C13859" t="s">
        <v>7</v>
      </c>
      <c r="D13859" t="s">
        <v>14</v>
      </c>
      <c r="E13859" t="s">
        <v>19036</v>
      </c>
    </row>
    <row r="13860" spans="1:6" x14ac:dyDescent="0.25">
      <c r="A13860" t="str">
        <f>"661000103154"</f>
        <v>661000103154</v>
      </c>
      <c r="B13860" t="s">
        <v>19237</v>
      </c>
      <c r="C13860" t="s">
        <v>7</v>
      </c>
      <c r="D13860" t="s">
        <v>14</v>
      </c>
      <c r="E13860" t="s">
        <v>19036</v>
      </c>
    </row>
    <row r="13861" spans="1:6" x14ac:dyDescent="0.25">
      <c r="A13861" t="str">
        <f>"661100002350"</f>
        <v>661100002350</v>
      </c>
      <c r="B13861" t="s">
        <v>19238</v>
      </c>
      <c r="C13861" t="s">
        <v>7</v>
      </c>
      <c r="D13861" t="s">
        <v>14</v>
      </c>
      <c r="E13861" t="s">
        <v>19036</v>
      </c>
    </row>
    <row r="13862" spans="1:6" x14ac:dyDescent="0.25">
      <c r="A13862" t="str">
        <f>"6611000252"</f>
        <v>6611000252</v>
      </c>
      <c r="B13862" t="s">
        <v>19239</v>
      </c>
      <c r="C13862" t="s">
        <v>7</v>
      </c>
      <c r="D13862" t="s">
        <v>14</v>
      </c>
      <c r="E13862" t="s">
        <v>19036</v>
      </c>
      <c r="F13862" t="s">
        <v>19240</v>
      </c>
    </row>
    <row r="13863" spans="1:6" x14ac:dyDescent="0.25">
      <c r="A13863" t="str">
        <f>"661200165623"</f>
        <v>661200165623</v>
      </c>
      <c r="B13863" t="s">
        <v>19241</v>
      </c>
      <c r="C13863" t="s">
        <v>7</v>
      </c>
      <c r="D13863" t="s">
        <v>14</v>
      </c>
      <c r="E13863" t="s">
        <v>19036</v>
      </c>
    </row>
    <row r="13864" spans="1:6" x14ac:dyDescent="0.25">
      <c r="A13864" t="str">
        <f>"661202460053"</f>
        <v>661202460053</v>
      </c>
      <c r="B13864" t="s">
        <v>19242</v>
      </c>
      <c r="C13864" t="s">
        <v>7</v>
      </c>
      <c r="D13864" t="s">
        <v>12</v>
      </c>
      <c r="E13864" t="s">
        <v>19036</v>
      </c>
    </row>
    <row r="13865" spans="1:6" x14ac:dyDescent="0.25">
      <c r="A13865" t="str">
        <f>"661212081150"</f>
        <v>661212081150</v>
      </c>
      <c r="B13865" t="s">
        <v>19243</v>
      </c>
      <c r="C13865" t="s">
        <v>7</v>
      </c>
      <c r="D13865" t="s">
        <v>14</v>
      </c>
      <c r="E13865" t="s">
        <v>19036</v>
      </c>
    </row>
    <row r="13866" spans="1:6" x14ac:dyDescent="0.25">
      <c r="A13866" t="str">
        <f>"661214936562"</f>
        <v>661214936562</v>
      </c>
      <c r="B13866" t="s">
        <v>19244</v>
      </c>
      <c r="C13866" t="s">
        <v>7</v>
      </c>
      <c r="D13866" t="s">
        <v>14</v>
      </c>
      <c r="E13866" t="s">
        <v>19036</v>
      </c>
    </row>
    <row r="13867" spans="1:6" x14ac:dyDescent="0.25">
      <c r="A13867" t="str">
        <f>"661215948306"</f>
        <v>661215948306</v>
      </c>
      <c r="B13867" t="s">
        <v>19245</v>
      </c>
      <c r="C13867" t="s">
        <v>7</v>
      </c>
      <c r="D13867" t="s">
        <v>14</v>
      </c>
      <c r="E13867" t="s">
        <v>19036</v>
      </c>
    </row>
    <row r="13868" spans="1:6" x14ac:dyDescent="0.25">
      <c r="A13868" t="str">
        <f>"661216562200"</f>
        <v>661216562200</v>
      </c>
      <c r="B13868" t="s">
        <v>19246</v>
      </c>
      <c r="C13868" t="s">
        <v>7</v>
      </c>
      <c r="D13868" t="s">
        <v>14</v>
      </c>
      <c r="E13868" t="s">
        <v>19036</v>
      </c>
    </row>
    <row r="13869" spans="1:6" x14ac:dyDescent="0.25">
      <c r="A13869" t="str">
        <f>"661218598473"</f>
        <v>661218598473</v>
      </c>
      <c r="B13869" t="s">
        <v>19247</v>
      </c>
      <c r="C13869" t="s">
        <v>7</v>
      </c>
      <c r="D13869" t="s">
        <v>12</v>
      </c>
      <c r="E13869" t="s">
        <v>19036</v>
      </c>
    </row>
    <row r="13870" spans="1:6" x14ac:dyDescent="0.25">
      <c r="A13870" t="str">
        <f>"661220159593"</f>
        <v>661220159593</v>
      </c>
      <c r="B13870" t="s">
        <v>19248</v>
      </c>
      <c r="C13870" t="s">
        <v>7</v>
      </c>
      <c r="D13870" t="s">
        <v>14</v>
      </c>
      <c r="E13870" t="s">
        <v>19036</v>
      </c>
    </row>
    <row r="13871" spans="1:6" x14ac:dyDescent="0.25">
      <c r="A13871" t="str">
        <f>"661300301573"</f>
        <v>661300301573</v>
      </c>
      <c r="B13871" t="s">
        <v>19249</v>
      </c>
      <c r="C13871" t="s">
        <v>7</v>
      </c>
      <c r="D13871" t="s">
        <v>14</v>
      </c>
      <c r="E13871" t="s">
        <v>19036</v>
      </c>
    </row>
    <row r="13872" spans="1:6" x14ac:dyDescent="0.25">
      <c r="A13872" t="str">
        <f>"661303130816"</f>
        <v>661303130816</v>
      </c>
      <c r="B13872" t="s">
        <v>19250</v>
      </c>
      <c r="C13872" t="s">
        <v>7</v>
      </c>
      <c r="D13872" t="s">
        <v>14</v>
      </c>
      <c r="E13872" t="s">
        <v>19036</v>
      </c>
    </row>
    <row r="13873" spans="1:6" x14ac:dyDescent="0.25">
      <c r="A13873" t="str">
        <f>"661500173093"</f>
        <v>661500173093</v>
      </c>
      <c r="B13873" t="s">
        <v>19251</v>
      </c>
      <c r="C13873" t="s">
        <v>7</v>
      </c>
      <c r="D13873" t="s">
        <v>14</v>
      </c>
      <c r="E13873" t="s">
        <v>19036</v>
      </c>
    </row>
    <row r="13874" spans="1:6" x14ac:dyDescent="0.25">
      <c r="A13874" t="str">
        <f>"661504561379"</f>
        <v>661504561379</v>
      </c>
      <c r="B13874" t="s">
        <v>19252</v>
      </c>
      <c r="C13874" t="s">
        <v>7</v>
      </c>
      <c r="D13874" t="s">
        <v>14</v>
      </c>
      <c r="E13874" t="s">
        <v>19036</v>
      </c>
    </row>
    <row r="13875" spans="1:6" x14ac:dyDescent="0.25">
      <c r="A13875" t="str">
        <f>"661506679560"</f>
        <v>661506679560</v>
      </c>
      <c r="B13875" t="s">
        <v>19253</v>
      </c>
      <c r="C13875" t="s">
        <v>7</v>
      </c>
      <c r="D13875" t="s">
        <v>12</v>
      </c>
      <c r="E13875" t="s">
        <v>19036</v>
      </c>
    </row>
    <row r="13876" spans="1:6" x14ac:dyDescent="0.25">
      <c r="A13876" t="str">
        <f>"661518044437"</f>
        <v>661518044437</v>
      </c>
      <c r="B13876" t="s">
        <v>19254</v>
      </c>
      <c r="C13876" t="s">
        <v>7</v>
      </c>
      <c r="D13876" t="s">
        <v>14</v>
      </c>
      <c r="E13876" t="s">
        <v>19036</v>
      </c>
    </row>
    <row r="13877" spans="1:6" x14ac:dyDescent="0.25">
      <c r="A13877" t="str">
        <f>"661600064725"</f>
        <v>661600064725</v>
      </c>
      <c r="B13877" t="s">
        <v>19255</v>
      </c>
      <c r="C13877" t="s">
        <v>7</v>
      </c>
      <c r="D13877" t="s">
        <v>14</v>
      </c>
      <c r="E13877" t="s">
        <v>19036</v>
      </c>
    </row>
    <row r="13878" spans="1:6" x14ac:dyDescent="0.25">
      <c r="A13878" t="str">
        <f>"661600373297"</f>
        <v>661600373297</v>
      </c>
      <c r="B13878" t="s">
        <v>19256</v>
      </c>
      <c r="C13878" t="s">
        <v>7</v>
      </c>
      <c r="D13878" t="s">
        <v>14</v>
      </c>
      <c r="E13878" t="s">
        <v>19036</v>
      </c>
    </row>
    <row r="13879" spans="1:6" x14ac:dyDescent="0.25">
      <c r="A13879" t="str">
        <f>"661603676701"</f>
        <v>661603676701</v>
      </c>
      <c r="B13879" t="s">
        <v>19257</v>
      </c>
      <c r="C13879" t="s">
        <v>7</v>
      </c>
      <c r="D13879" t="s">
        <v>14</v>
      </c>
      <c r="E13879" t="s">
        <v>19036</v>
      </c>
    </row>
    <row r="13880" spans="1:6" x14ac:dyDescent="0.25">
      <c r="A13880" t="str">
        <f>"7453343680"</f>
        <v>7453343680</v>
      </c>
      <c r="B13880" t="s">
        <v>8907</v>
      </c>
      <c r="C13880" t="s">
        <v>7</v>
      </c>
      <c r="D13880" t="s">
        <v>33</v>
      </c>
      <c r="E13880" t="s">
        <v>19036</v>
      </c>
      <c r="F13880" t="s">
        <v>19258</v>
      </c>
    </row>
    <row r="13881" spans="1:6" x14ac:dyDescent="0.25">
      <c r="A13881" t="str">
        <f>"745301082804"</f>
        <v>745301082804</v>
      </c>
      <c r="B13881" t="s">
        <v>19259</v>
      </c>
      <c r="C13881" t="s">
        <v>7</v>
      </c>
      <c r="D13881" t="s">
        <v>14</v>
      </c>
      <c r="E13881" t="s">
        <v>19036</v>
      </c>
    </row>
    <row r="13882" spans="1:6" x14ac:dyDescent="0.25">
      <c r="A13882" t="str">
        <f>"2724175506"</f>
        <v>2724175506</v>
      </c>
      <c r="B13882" t="s">
        <v>19260</v>
      </c>
      <c r="C13882" t="s">
        <v>7</v>
      </c>
      <c r="D13882" t="s">
        <v>14</v>
      </c>
      <c r="E13882" t="s">
        <v>19036</v>
      </c>
      <c r="F13882" t="s">
        <v>19261</v>
      </c>
    </row>
    <row r="13883" spans="1:6" x14ac:dyDescent="0.25">
      <c r="A13883" t="str">
        <f>"742304410800"</f>
        <v>742304410800</v>
      </c>
      <c r="B13883" t="s">
        <v>19262</v>
      </c>
      <c r="C13883" t="s">
        <v>7</v>
      </c>
      <c r="D13883" t="s">
        <v>14</v>
      </c>
      <c r="E13883" t="s">
        <v>19036</v>
      </c>
    </row>
    <row r="13884" spans="1:6" x14ac:dyDescent="0.25">
      <c r="A13884" t="str">
        <f>"660100114662"</f>
        <v>660100114662</v>
      </c>
      <c r="B13884" t="s">
        <v>19263</v>
      </c>
      <c r="C13884" t="s">
        <v>7</v>
      </c>
      <c r="D13884" t="s">
        <v>12</v>
      </c>
      <c r="E13884" t="s">
        <v>19036</v>
      </c>
    </row>
    <row r="13885" spans="1:6" x14ac:dyDescent="0.25">
      <c r="A13885" t="str">
        <f>"660106518044"</f>
        <v>660106518044</v>
      </c>
      <c r="B13885" t="s">
        <v>19264</v>
      </c>
      <c r="C13885" t="s">
        <v>7</v>
      </c>
      <c r="D13885" t="s">
        <v>14</v>
      </c>
      <c r="E13885" t="s">
        <v>19036</v>
      </c>
    </row>
    <row r="13886" spans="1:6" x14ac:dyDescent="0.25">
      <c r="A13886" t="str">
        <f>"660107578254"</f>
        <v>660107578254</v>
      </c>
      <c r="B13886" t="s">
        <v>19265</v>
      </c>
      <c r="C13886" t="s">
        <v>7</v>
      </c>
      <c r="D13886" t="s">
        <v>14</v>
      </c>
      <c r="E13886" t="s">
        <v>19036</v>
      </c>
    </row>
    <row r="13887" spans="1:6" x14ac:dyDescent="0.25">
      <c r="A13887" t="str">
        <f>"660108261877"</f>
        <v>660108261877</v>
      </c>
      <c r="B13887" t="s">
        <v>19266</v>
      </c>
      <c r="C13887" t="s">
        <v>7</v>
      </c>
      <c r="D13887" t="s">
        <v>12</v>
      </c>
      <c r="E13887" t="s">
        <v>19036</v>
      </c>
    </row>
    <row r="13888" spans="1:6" x14ac:dyDescent="0.25">
      <c r="A13888" t="str">
        <f>"660200017888"</f>
        <v>660200017888</v>
      </c>
      <c r="B13888" t="s">
        <v>19267</v>
      </c>
      <c r="C13888" t="s">
        <v>7</v>
      </c>
      <c r="D13888" t="s">
        <v>14</v>
      </c>
      <c r="E13888" t="s">
        <v>19036</v>
      </c>
    </row>
    <row r="13889" spans="1:6" x14ac:dyDescent="0.25">
      <c r="A13889" t="str">
        <f>"660200270633"</f>
        <v>660200270633</v>
      </c>
      <c r="B13889" t="s">
        <v>19268</v>
      </c>
      <c r="C13889" t="s">
        <v>7</v>
      </c>
      <c r="D13889" t="s">
        <v>14</v>
      </c>
      <c r="E13889" t="s">
        <v>19036</v>
      </c>
    </row>
    <row r="13890" spans="1:6" x14ac:dyDescent="0.25">
      <c r="A13890" t="str">
        <f>"660204708533"</f>
        <v>660204708533</v>
      </c>
      <c r="B13890" t="s">
        <v>19269</v>
      </c>
      <c r="C13890" t="s">
        <v>7</v>
      </c>
      <c r="D13890" t="s">
        <v>14</v>
      </c>
      <c r="E13890" t="s">
        <v>19036</v>
      </c>
    </row>
    <row r="13891" spans="1:6" x14ac:dyDescent="0.25">
      <c r="A13891" t="str">
        <f>"660204879384"</f>
        <v>660204879384</v>
      </c>
      <c r="B13891" t="s">
        <v>19270</v>
      </c>
      <c r="C13891" t="s">
        <v>7</v>
      </c>
      <c r="D13891" t="s">
        <v>14</v>
      </c>
      <c r="E13891" t="s">
        <v>19036</v>
      </c>
    </row>
    <row r="13892" spans="1:6" x14ac:dyDescent="0.25">
      <c r="A13892" t="str">
        <f>"660302237018"</f>
        <v>660302237018</v>
      </c>
      <c r="B13892" t="s">
        <v>19271</v>
      </c>
      <c r="C13892" t="s">
        <v>7</v>
      </c>
      <c r="D13892" t="s">
        <v>14</v>
      </c>
      <c r="E13892" t="s">
        <v>19036</v>
      </c>
    </row>
    <row r="13893" spans="1:6" x14ac:dyDescent="0.25">
      <c r="A13893" t="str">
        <f>"660400120191"</f>
        <v>660400120191</v>
      </c>
      <c r="B13893" t="s">
        <v>19272</v>
      </c>
      <c r="C13893" t="s">
        <v>7</v>
      </c>
      <c r="D13893" t="s">
        <v>14</v>
      </c>
      <c r="E13893" t="s">
        <v>19036</v>
      </c>
    </row>
    <row r="13894" spans="1:6" x14ac:dyDescent="0.25">
      <c r="A13894" t="str">
        <f>"6604028842"</f>
        <v>6604028842</v>
      </c>
      <c r="B13894" t="s">
        <v>19273</v>
      </c>
      <c r="C13894" t="s">
        <v>7</v>
      </c>
      <c r="D13894" t="s">
        <v>12</v>
      </c>
      <c r="E13894" t="s">
        <v>19036</v>
      </c>
      <c r="F13894" t="s">
        <v>19274</v>
      </c>
    </row>
    <row r="13895" spans="1:6" x14ac:dyDescent="0.25">
      <c r="A13895" t="str">
        <f>"660405557066"</f>
        <v>660405557066</v>
      </c>
      <c r="B13895" t="s">
        <v>19275</v>
      </c>
      <c r="C13895" t="s">
        <v>7</v>
      </c>
      <c r="D13895" t="s">
        <v>14</v>
      </c>
      <c r="E13895" t="s">
        <v>19036</v>
      </c>
    </row>
    <row r="13896" spans="1:6" x14ac:dyDescent="0.25">
      <c r="A13896" t="str">
        <f>"660501481927"</f>
        <v>660501481927</v>
      </c>
      <c r="B13896" t="s">
        <v>19276</v>
      </c>
      <c r="C13896" t="s">
        <v>7</v>
      </c>
      <c r="D13896" t="s">
        <v>14</v>
      </c>
      <c r="E13896" t="s">
        <v>19036</v>
      </c>
    </row>
    <row r="13897" spans="1:6" x14ac:dyDescent="0.25">
      <c r="A13897" t="str">
        <f>"660503441197"</f>
        <v>660503441197</v>
      </c>
      <c r="B13897" t="s">
        <v>19277</v>
      </c>
      <c r="C13897" t="s">
        <v>7</v>
      </c>
      <c r="D13897" t="s">
        <v>14</v>
      </c>
      <c r="E13897" t="s">
        <v>19036</v>
      </c>
    </row>
    <row r="13898" spans="1:6" x14ac:dyDescent="0.25">
      <c r="A13898" t="str">
        <f>"6606034224"</f>
        <v>6606034224</v>
      </c>
      <c r="B13898" t="s">
        <v>19278</v>
      </c>
      <c r="C13898" t="s">
        <v>7</v>
      </c>
      <c r="D13898" t="s">
        <v>14</v>
      </c>
      <c r="E13898" t="s">
        <v>19036</v>
      </c>
      <c r="F13898" t="s">
        <v>19279</v>
      </c>
    </row>
    <row r="13899" spans="1:6" x14ac:dyDescent="0.25">
      <c r="A13899" t="str">
        <f>"6606035669"</f>
        <v>6606035669</v>
      </c>
      <c r="B13899" t="s">
        <v>19280</v>
      </c>
      <c r="C13899" t="s">
        <v>7</v>
      </c>
      <c r="D13899" t="s">
        <v>14</v>
      </c>
      <c r="E13899" t="s">
        <v>19036</v>
      </c>
      <c r="F13899" t="s">
        <v>19281</v>
      </c>
    </row>
    <row r="13900" spans="1:6" x14ac:dyDescent="0.25">
      <c r="A13900" t="str">
        <f>"660604352137"</f>
        <v>660604352137</v>
      </c>
      <c r="B13900" t="s">
        <v>19282</v>
      </c>
      <c r="C13900" t="s">
        <v>7</v>
      </c>
      <c r="D13900" t="s">
        <v>14</v>
      </c>
      <c r="E13900" t="s">
        <v>19036</v>
      </c>
    </row>
    <row r="13901" spans="1:6" x14ac:dyDescent="0.25">
      <c r="A13901" t="str">
        <f>"660605970200"</f>
        <v>660605970200</v>
      </c>
      <c r="B13901" t="s">
        <v>19283</v>
      </c>
      <c r="C13901" t="s">
        <v>7</v>
      </c>
      <c r="D13901" t="s">
        <v>14</v>
      </c>
      <c r="E13901" t="s">
        <v>19036</v>
      </c>
    </row>
    <row r="13902" spans="1:6" x14ac:dyDescent="0.25">
      <c r="A13902" t="str">
        <f>"660609128820"</f>
        <v>660609128820</v>
      </c>
      <c r="B13902" t="s">
        <v>19284</v>
      </c>
      <c r="C13902" t="s">
        <v>7</v>
      </c>
      <c r="D13902" t="s">
        <v>14</v>
      </c>
      <c r="E13902" t="s">
        <v>19036</v>
      </c>
    </row>
    <row r="13903" spans="1:6" x14ac:dyDescent="0.25">
      <c r="A13903" t="str">
        <f>"660654037518"</f>
        <v>660654037518</v>
      </c>
      <c r="B13903" t="s">
        <v>19285</v>
      </c>
      <c r="C13903" t="s">
        <v>7</v>
      </c>
      <c r="D13903" t="s">
        <v>14</v>
      </c>
      <c r="E13903" t="s">
        <v>19036</v>
      </c>
    </row>
    <row r="13904" spans="1:6" x14ac:dyDescent="0.25">
      <c r="A13904" t="str">
        <f>"660702598562"</f>
        <v>660702598562</v>
      </c>
      <c r="B13904" t="s">
        <v>19286</v>
      </c>
      <c r="C13904" t="s">
        <v>7</v>
      </c>
      <c r="D13904" t="s">
        <v>14</v>
      </c>
      <c r="E13904" t="s">
        <v>19036</v>
      </c>
    </row>
    <row r="13905" spans="1:5" x14ac:dyDescent="0.25">
      <c r="A13905" t="str">
        <f>"660705789974"</f>
        <v>660705789974</v>
      </c>
      <c r="B13905" t="s">
        <v>19287</v>
      </c>
      <c r="C13905" t="s">
        <v>7</v>
      </c>
      <c r="D13905" t="s">
        <v>14</v>
      </c>
      <c r="E13905" t="s">
        <v>19036</v>
      </c>
    </row>
    <row r="13906" spans="1:5" x14ac:dyDescent="0.25">
      <c r="A13906" t="str">
        <f>"660900050954"</f>
        <v>660900050954</v>
      </c>
      <c r="B13906" t="s">
        <v>19288</v>
      </c>
      <c r="C13906" t="s">
        <v>7</v>
      </c>
      <c r="D13906" t="s">
        <v>12</v>
      </c>
      <c r="E13906" t="s">
        <v>19036</v>
      </c>
    </row>
    <row r="13907" spans="1:5" x14ac:dyDescent="0.25">
      <c r="A13907" t="str">
        <f>"660901112949"</f>
        <v>660901112949</v>
      </c>
      <c r="B13907" t="s">
        <v>19289</v>
      </c>
      <c r="C13907" t="s">
        <v>7</v>
      </c>
      <c r="D13907" t="s">
        <v>14</v>
      </c>
      <c r="E13907" t="s">
        <v>19036</v>
      </c>
    </row>
    <row r="13908" spans="1:5" x14ac:dyDescent="0.25">
      <c r="A13908" t="str">
        <f>"661000732667"</f>
        <v>661000732667</v>
      </c>
      <c r="B13908" t="s">
        <v>19290</v>
      </c>
      <c r="C13908" t="s">
        <v>7</v>
      </c>
      <c r="D13908" t="s">
        <v>14</v>
      </c>
      <c r="E13908" t="s">
        <v>19036</v>
      </c>
    </row>
    <row r="13909" spans="1:5" x14ac:dyDescent="0.25">
      <c r="A13909" t="str">
        <f>"661100195575"</f>
        <v>661100195575</v>
      </c>
      <c r="B13909" t="s">
        <v>19291</v>
      </c>
      <c r="C13909" t="s">
        <v>7</v>
      </c>
      <c r="D13909" t="s">
        <v>14</v>
      </c>
      <c r="E13909" t="s">
        <v>19036</v>
      </c>
    </row>
    <row r="13910" spans="1:5" x14ac:dyDescent="0.25">
      <c r="A13910" t="str">
        <f>"661106498304"</f>
        <v>661106498304</v>
      </c>
      <c r="B13910" t="s">
        <v>19292</v>
      </c>
      <c r="C13910" t="s">
        <v>7</v>
      </c>
      <c r="D13910" t="s">
        <v>14</v>
      </c>
      <c r="E13910" t="s">
        <v>19036</v>
      </c>
    </row>
    <row r="13911" spans="1:5" x14ac:dyDescent="0.25">
      <c r="A13911" t="str">
        <f>"661107974059"</f>
        <v>661107974059</v>
      </c>
      <c r="B13911" t="s">
        <v>19293</v>
      </c>
      <c r="C13911" t="s">
        <v>7</v>
      </c>
      <c r="D13911" t="s">
        <v>14</v>
      </c>
      <c r="E13911" t="s">
        <v>19036</v>
      </c>
    </row>
    <row r="13912" spans="1:5" x14ac:dyDescent="0.25">
      <c r="A13912" t="str">
        <f>"661188685775"</f>
        <v>661188685775</v>
      </c>
      <c r="B13912" t="s">
        <v>19294</v>
      </c>
      <c r="C13912" t="s">
        <v>7</v>
      </c>
      <c r="D13912" t="s">
        <v>14</v>
      </c>
      <c r="E13912" t="s">
        <v>19036</v>
      </c>
    </row>
    <row r="13913" spans="1:5" x14ac:dyDescent="0.25">
      <c r="A13913" t="str">
        <f>"661200404134"</f>
        <v>661200404134</v>
      </c>
      <c r="B13913" t="s">
        <v>19295</v>
      </c>
      <c r="C13913" t="s">
        <v>7</v>
      </c>
      <c r="D13913" t="s">
        <v>12</v>
      </c>
      <c r="E13913" t="s">
        <v>19036</v>
      </c>
    </row>
    <row r="13914" spans="1:5" x14ac:dyDescent="0.25">
      <c r="A13914" t="str">
        <f>"661202208640"</f>
        <v>661202208640</v>
      </c>
      <c r="B13914" t="s">
        <v>19296</v>
      </c>
      <c r="C13914" t="s">
        <v>7</v>
      </c>
      <c r="D13914" t="s">
        <v>14</v>
      </c>
      <c r="E13914" t="s">
        <v>19036</v>
      </c>
    </row>
    <row r="13915" spans="1:5" x14ac:dyDescent="0.25">
      <c r="A13915" t="str">
        <f>"661207692139"</f>
        <v>661207692139</v>
      </c>
      <c r="B13915" t="s">
        <v>19297</v>
      </c>
      <c r="C13915" t="s">
        <v>7</v>
      </c>
      <c r="D13915" t="s">
        <v>14</v>
      </c>
      <c r="E13915" t="s">
        <v>19036</v>
      </c>
    </row>
    <row r="13916" spans="1:5" x14ac:dyDescent="0.25">
      <c r="A13916" t="str">
        <f>"661208614415"</f>
        <v>661208614415</v>
      </c>
      <c r="B13916" t="s">
        <v>19298</v>
      </c>
      <c r="C13916" t="s">
        <v>7</v>
      </c>
      <c r="D13916" t="s">
        <v>12</v>
      </c>
      <c r="E13916" t="s">
        <v>19036</v>
      </c>
    </row>
    <row r="13917" spans="1:5" x14ac:dyDescent="0.25">
      <c r="A13917" t="str">
        <f>"661208702608"</f>
        <v>661208702608</v>
      </c>
      <c r="B13917" t="s">
        <v>19299</v>
      </c>
      <c r="C13917" t="s">
        <v>7</v>
      </c>
      <c r="D13917" t="s">
        <v>12</v>
      </c>
      <c r="E13917" t="s">
        <v>19036</v>
      </c>
    </row>
    <row r="13918" spans="1:5" x14ac:dyDescent="0.25">
      <c r="A13918" t="str">
        <f>"661215139200"</f>
        <v>661215139200</v>
      </c>
      <c r="B13918" t="s">
        <v>19300</v>
      </c>
      <c r="C13918" t="s">
        <v>7</v>
      </c>
      <c r="D13918" t="s">
        <v>8</v>
      </c>
      <c r="E13918" t="s">
        <v>19036</v>
      </c>
    </row>
    <row r="13919" spans="1:5" x14ac:dyDescent="0.25">
      <c r="A13919" t="str">
        <f>"661217253606"</f>
        <v>661217253606</v>
      </c>
      <c r="B13919" t="s">
        <v>19301</v>
      </c>
      <c r="C13919" t="s">
        <v>7</v>
      </c>
      <c r="D13919" t="s">
        <v>14</v>
      </c>
      <c r="E13919" t="s">
        <v>19036</v>
      </c>
    </row>
    <row r="13920" spans="1:5" x14ac:dyDescent="0.25">
      <c r="A13920" t="str">
        <f>"661217341404"</f>
        <v>661217341404</v>
      </c>
      <c r="B13920" t="s">
        <v>19302</v>
      </c>
      <c r="C13920" t="s">
        <v>7</v>
      </c>
      <c r="D13920" t="s">
        <v>14</v>
      </c>
      <c r="E13920" t="s">
        <v>19036</v>
      </c>
    </row>
    <row r="13921" spans="1:6" x14ac:dyDescent="0.25">
      <c r="A13921" t="str">
        <f>"661219684767"</f>
        <v>661219684767</v>
      </c>
      <c r="B13921" t="s">
        <v>19303</v>
      </c>
      <c r="C13921" t="s">
        <v>7</v>
      </c>
      <c r="D13921" t="s">
        <v>14</v>
      </c>
      <c r="E13921" t="s">
        <v>19036</v>
      </c>
    </row>
    <row r="13922" spans="1:6" x14ac:dyDescent="0.25">
      <c r="A13922" t="str">
        <f>"661400451607"</f>
        <v>661400451607</v>
      </c>
      <c r="B13922" t="s">
        <v>19304</v>
      </c>
      <c r="C13922" t="s">
        <v>7</v>
      </c>
      <c r="D13922" t="s">
        <v>14</v>
      </c>
      <c r="E13922" t="s">
        <v>19036</v>
      </c>
    </row>
    <row r="13923" spans="1:6" x14ac:dyDescent="0.25">
      <c r="A13923" t="str">
        <f>"661401444352"</f>
        <v>661401444352</v>
      </c>
      <c r="B13923" t="s">
        <v>19305</v>
      </c>
      <c r="C13923" t="s">
        <v>7</v>
      </c>
      <c r="D13923" t="s">
        <v>14</v>
      </c>
      <c r="E13923" t="s">
        <v>19036</v>
      </c>
    </row>
    <row r="13924" spans="1:6" x14ac:dyDescent="0.25">
      <c r="A13924" t="str">
        <f>"661402582563"</f>
        <v>661402582563</v>
      </c>
      <c r="B13924" t="s">
        <v>19306</v>
      </c>
      <c r="C13924" t="s">
        <v>7</v>
      </c>
      <c r="D13924" t="s">
        <v>14</v>
      </c>
      <c r="E13924" t="s">
        <v>19036</v>
      </c>
    </row>
    <row r="13925" spans="1:6" x14ac:dyDescent="0.25">
      <c r="A13925" t="str">
        <f>"661504824331"</f>
        <v>661504824331</v>
      </c>
      <c r="B13925" t="s">
        <v>19307</v>
      </c>
      <c r="C13925" t="s">
        <v>7</v>
      </c>
      <c r="D13925" t="s">
        <v>33</v>
      </c>
      <c r="E13925" t="s">
        <v>19036</v>
      </c>
    </row>
    <row r="13926" spans="1:6" x14ac:dyDescent="0.25">
      <c r="A13926" t="str">
        <f>"661600007205"</f>
        <v>661600007205</v>
      </c>
      <c r="B13926" t="s">
        <v>19308</v>
      </c>
      <c r="C13926" t="s">
        <v>7</v>
      </c>
      <c r="D13926" t="s">
        <v>14</v>
      </c>
      <c r="E13926" t="s">
        <v>19036</v>
      </c>
    </row>
    <row r="13927" spans="1:6" x14ac:dyDescent="0.25">
      <c r="A13927" t="str">
        <f>"661603726230"</f>
        <v>661603726230</v>
      </c>
      <c r="B13927" t="s">
        <v>19309</v>
      </c>
      <c r="C13927" t="s">
        <v>7</v>
      </c>
      <c r="D13927" t="s">
        <v>14</v>
      </c>
      <c r="E13927" t="s">
        <v>19036</v>
      </c>
    </row>
    <row r="13928" spans="1:6" x14ac:dyDescent="0.25">
      <c r="A13928" t="str">
        <f>"661700177306"</f>
        <v>661700177306</v>
      </c>
      <c r="B13928" t="s">
        <v>19310</v>
      </c>
      <c r="C13928" t="s">
        <v>7</v>
      </c>
      <c r="D13928" t="s">
        <v>14</v>
      </c>
      <c r="E13928" t="s">
        <v>19036</v>
      </c>
    </row>
    <row r="13929" spans="1:6" x14ac:dyDescent="0.25">
      <c r="A13929" t="str">
        <f>"6617009558"</f>
        <v>6617009558</v>
      </c>
      <c r="B13929" t="s">
        <v>19311</v>
      </c>
      <c r="C13929" t="s">
        <v>7</v>
      </c>
      <c r="D13929" t="s">
        <v>14</v>
      </c>
      <c r="E13929" t="s">
        <v>19036</v>
      </c>
      <c r="F13929" t="s">
        <v>19312</v>
      </c>
    </row>
    <row r="13930" spans="1:6" x14ac:dyDescent="0.25">
      <c r="A13930" t="str">
        <f>"6617019475"</f>
        <v>6617019475</v>
      </c>
      <c r="B13930" t="s">
        <v>19313</v>
      </c>
      <c r="C13930" t="s">
        <v>7</v>
      </c>
      <c r="D13930" t="s">
        <v>14</v>
      </c>
      <c r="E13930" t="s">
        <v>19036</v>
      </c>
      <c r="F13930" t="s">
        <v>19314</v>
      </c>
    </row>
    <row r="13931" spans="1:6" x14ac:dyDescent="0.25">
      <c r="A13931" t="str">
        <f>"661706505345"</f>
        <v>661706505345</v>
      </c>
      <c r="B13931" t="s">
        <v>19315</v>
      </c>
      <c r="C13931" t="s">
        <v>7</v>
      </c>
      <c r="D13931" t="s">
        <v>14</v>
      </c>
      <c r="E13931" t="s">
        <v>19036</v>
      </c>
    </row>
    <row r="13932" spans="1:6" x14ac:dyDescent="0.25">
      <c r="A13932" t="str">
        <f>"661905720410"</f>
        <v>661905720410</v>
      </c>
      <c r="B13932" t="s">
        <v>19316</v>
      </c>
      <c r="C13932" t="s">
        <v>7</v>
      </c>
      <c r="D13932" t="s">
        <v>14</v>
      </c>
      <c r="E13932" t="s">
        <v>19036</v>
      </c>
    </row>
    <row r="13933" spans="1:6" x14ac:dyDescent="0.25">
      <c r="A13933" t="str">
        <f>"661908364560"</f>
        <v>661908364560</v>
      </c>
      <c r="B13933" t="s">
        <v>19317</v>
      </c>
      <c r="C13933" t="s">
        <v>7</v>
      </c>
      <c r="D13933" t="s">
        <v>14</v>
      </c>
      <c r="E13933" t="s">
        <v>19036</v>
      </c>
    </row>
    <row r="13934" spans="1:6" x14ac:dyDescent="0.25">
      <c r="A13934" t="str">
        <f>"662000003352"</f>
        <v>662000003352</v>
      </c>
      <c r="B13934" t="s">
        <v>19318</v>
      </c>
      <c r="C13934" t="s">
        <v>7</v>
      </c>
      <c r="D13934" t="s">
        <v>14</v>
      </c>
      <c r="E13934" t="s">
        <v>19036</v>
      </c>
    </row>
    <row r="13935" spans="1:6" x14ac:dyDescent="0.25">
      <c r="A13935" t="str">
        <f>"6620011324"</f>
        <v>6620011324</v>
      </c>
      <c r="B13935" t="s">
        <v>19319</v>
      </c>
      <c r="C13935" t="s">
        <v>7</v>
      </c>
      <c r="D13935" t="s">
        <v>14</v>
      </c>
      <c r="E13935" t="s">
        <v>19036</v>
      </c>
      <c r="F13935" t="s">
        <v>19320</v>
      </c>
    </row>
    <row r="13936" spans="1:6" x14ac:dyDescent="0.25">
      <c r="A13936" t="str">
        <f>"662001537332"</f>
        <v>662001537332</v>
      </c>
      <c r="B13936" t="s">
        <v>19321</v>
      </c>
      <c r="C13936" t="s">
        <v>7</v>
      </c>
      <c r="D13936" t="s">
        <v>14</v>
      </c>
      <c r="E13936" t="s">
        <v>19036</v>
      </c>
    </row>
    <row r="13937" spans="1:6" x14ac:dyDescent="0.25">
      <c r="A13937" t="str">
        <f>"662100131326"</f>
        <v>662100131326</v>
      </c>
      <c r="B13937" t="s">
        <v>19322</v>
      </c>
      <c r="C13937" t="s">
        <v>7</v>
      </c>
      <c r="D13937" t="s">
        <v>14</v>
      </c>
      <c r="E13937" t="s">
        <v>19036</v>
      </c>
    </row>
    <row r="13938" spans="1:6" x14ac:dyDescent="0.25">
      <c r="A13938" t="str">
        <f>"6621007955"</f>
        <v>6621007955</v>
      </c>
      <c r="B13938" t="s">
        <v>19323</v>
      </c>
      <c r="C13938" t="s">
        <v>7</v>
      </c>
      <c r="D13938" t="s">
        <v>14</v>
      </c>
      <c r="E13938" t="s">
        <v>19036</v>
      </c>
      <c r="F13938" t="s">
        <v>19324</v>
      </c>
    </row>
    <row r="13939" spans="1:6" x14ac:dyDescent="0.25">
      <c r="A13939" t="str">
        <f>"6621018668"</f>
        <v>6621018668</v>
      </c>
      <c r="B13939" t="s">
        <v>19325</v>
      </c>
      <c r="C13939" t="s">
        <v>7</v>
      </c>
      <c r="D13939" t="s">
        <v>14</v>
      </c>
      <c r="E13939" t="s">
        <v>19036</v>
      </c>
      <c r="F13939" t="s">
        <v>19326</v>
      </c>
    </row>
    <row r="13940" spans="1:6" x14ac:dyDescent="0.25">
      <c r="A13940" t="str">
        <f>"662103566205"</f>
        <v>662103566205</v>
      </c>
      <c r="B13940" t="s">
        <v>19327</v>
      </c>
      <c r="C13940" t="s">
        <v>7</v>
      </c>
      <c r="D13940" t="s">
        <v>14</v>
      </c>
      <c r="E13940" t="s">
        <v>19036</v>
      </c>
    </row>
    <row r="13941" spans="1:6" x14ac:dyDescent="0.25">
      <c r="A13941" t="str">
        <f>"662106284329"</f>
        <v>662106284329</v>
      </c>
      <c r="B13941" t="s">
        <v>19328</v>
      </c>
      <c r="C13941" t="s">
        <v>7</v>
      </c>
      <c r="D13941" t="s">
        <v>14</v>
      </c>
      <c r="E13941" t="s">
        <v>19036</v>
      </c>
    </row>
    <row r="13942" spans="1:6" x14ac:dyDescent="0.25">
      <c r="A13942" t="str">
        <f>"662300203923"</f>
        <v>662300203923</v>
      </c>
      <c r="B13942" t="s">
        <v>19329</v>
      </c>
      <c r="C13942" t="s">
        <v>7</v>
      </c>
      <c r="D13942" t="s">
        <v>14</v>
      </c>
      <c r="E13942" t="s">
        <v>19036</v>
      </c>
    </row>
    <row r="13943" spans="1:6" x14ac:dyDescent="0.25">
      <c r="A13943" t="str">
        <f>"6623028421"</f>
        <v>6623028421</v>
      </c>
      <c r="B13943" t="s">
        <v>19330</v>
      </c>
      <c r="C13943" t="s">
        <v>7</v>
      </c>
      <c r="D13943" t="s">
        <v>14</v>
      </c>
      <c r="E13943" t="s">
        <v>19036</v>
      </c>
      <c r="F13943" t="s">
        <v>19331</v>
      </c>
    </row>
    <row r="13944" spans="1:6" x14ac:dyDescent="0.25">
      <c r="A13944" t="str">
        <f>"6623059758"</f>
        <v>6623059758</v>
      </c>
      <c r="B13944" t="s">
        <v>9750</v>
      </c>
      <c r="C13944" t="s">
        <v>7</v>
      </c>
      <c r="D13944" t="s">
        <v>33</v>
      </c>
      <c r="E13944" t="s">
        <v>19036</v>
      </c>
      <c r="F13944" t="s">
        <v>19332</v>
      </c>
    </row>
    <row r="13945" spans="1:6" x14ac:dyDescent="0.25">
      <c r="A13945" t="str">
        <f>"6623068840"</f>
        <v>6623068840</v>
      </c>
      <c r="B13945" t="s">
        <v>19333</v>
      </c>
      <c r="C13945" t="s">
        <v>7</v>
      </c>
      <c r="D13945" t="s">
        <v>12</v>
      </c>
      <c r="E13945" t="s">
        <v>19036</v>
      </c>
      <c r="F13945" t="s">
        <v>19334</v>
      </c>
    </row>
    <row r="13946" spans="1:6" x14ac:dyDescent="0.25">
      <c r="A13946" t="str">
        <f>"6623120307"</f>
        <v>6623120307</v>
      </c>
      <c r="B13946" t="s">
        <v>19335</v>
      </c>
      <c r="C13946" t="s">
        <v>7</v>
      </c>
      <c r="D13946" t="s">
        <v>33</v>
      </c>
      <c r="E13946" t="s">
        <v>19036</v>
      </c>
      <c r="F13946" t="s">
        <v>19336</v>
      </c>
    </row>
    <row r="13947" spans="1:6" x14ac:dyDescent="0.25">
      <c r="A13947" t="str">
        <f>"6623129758"</f>
        <v>6623129758</v>
      </c>
      <c r="B13947" t="s">
        <v>19337</v>
      </c>
      <c r="C13947" t="s">
        <v>7</v>
      </c>
      <c r="D13947" t="s">
        <v>14</v>
      </c>
      <c r="E13947" t="s">
        <v>19036</v>
      </c>
      <c r="F13947" t="s">
        <v>19338</v>
      </c>
    </row>
    <row r="13948" spans="1:6" x14ac:dyDescent="0.25">
      <c r="A13948" t="str">
        <f>"6623142903"</f>
        <v>6623142903</v>
      </c>
      <c r="B13948" t="s">
        <v>19339</v>
      </c>
      <c r="C13948" t="s">
        <v>7</v>
      </c>
      <c r="D13948" t="s">
        <v>12</v>
      </c>
      <c r="E13948" t="s">
        <v>19036</v>
      </c>
      <c r="F13948" t="s">
        <v>19340</v>
      </c>
    </row>
    <row r="13949" spans="1:6" x14ac:dyDescent="0.25">
      <c r="A13949" t="str">
        <f>"662314362419"</f>
        <v>662314362419</v>
      </c>
      <c r="B13949" t="s">
        <v>19341</v>
      </c>
      <c r="C13949" t="s">
        <v>7</v>
      </c>
      <c r="D13949" t="s">
        <v>14</v>
      </c>
      <c r="E13949" t="s">
        <v>19036</v>
      </c>
    </row>
    <row r="13950" spans="1:6" x14ac:dyDescent="0.25">
      <c r="A13950" t="str">
        <f>"6623146792"</f>
        <v>6623146792</v>
      </c>
      <c r="B13950" t="s">
        <v>6958</v>
      </c>
      <c r="C13950" t="s">
        <v>7</v>
      </c>
      <c r="D13950" t="s">
        <v>14</v>
      </c>
      <c r="E13950" t="s">
        <v>19036</v>
      </c>
      <c r="F13950" t="s">
        <v>19342</v>
      </c>
    </row>
    <row r="13951" spans="1:6" x14ac:dyDescent="0.25">
      <c r="A13951" t="str">
        <f>"662314747909"</f>
        <v>662314747909</v>
      </c>
      <c r="B13951" t="s">
        <v>19343</v>
      </c>
      <c r="C13951" t="s">
        <v>7</v>
      </c>
      <c r="D13951" t="s">
        <v>14</v>
      </c>
      <c r="E13951" t="s">
        <v>19036</v>
      </c>
    </row>
    <row r="13952" spans="1:6" x14ac:dyDescent="0.25">
      <c r="A13952" t="str">
        <f>"6623148045"</f>
        <v>6623148045</v>
      </c>
      <c r="B13952" t="s">
        <v>19344</v>
      </c>
      <c r="C13952" t="s">
        <v>7</v>
      </c>
      <c r="D13952" t="s">
        <v>14</v>
      </c>
      <c r="E13952" t="s">
        <v>19036</v>
      </c>
      <c r="F13952" t="s">
        <v>19345</v>
      </c>
    </row>
    <row r="13953" spans="1:6" x14ac:dyDescent="0.25">
      <c r="A13953" t="str">
        <f>"662315467598"</f>
        <v>662315467598</v>
      </c>
      <c r="B13953" t="s">
        <v>19346</v>
      </c>
      <c r="C13953" t="s">
        <v>7</v>
      </c>
      <c r="D13953" t="s">
        <v>12</v>
      </c>
      <c r="E13953" t="s">
        <v>19036</v>
      </c>
    </row>
    <row r="13954" spans="1:6" x14ac:dyDescent="0.25">
      <c r="A13954" t="str">
        <f>"662318475300"</f>
        <v>662318475300</v>
      </c>
      <c r="B13954" t="s">
        <v>19347</v>
      </c>
      <c r="C13954" t="s">
        <v>7</v>
      </c>
      <c r="D13954" t="s">
        <v>14</v>
      </c>
      <c r="E13954" t="s">
        <v>19036</v>
      </c>
    </row>
    <row r="13955" spans="1:6" x14ac:dyDescent="0.25">
      <c r="A13955" t="str">
        <f>"662335565699"</f>
        <v>662335565699</v>
      </c>
      <c r="B13955" t="s">
        <v>19348</v>
      </c>
      <c r="C13955" t="s">
        <v>7</v>
      </c>
      <c r="D13955" t="s">
        <v>14</v>
      </c>
      <c r="E13955" t="s">
        <v>19036</v>
      </c>
    </row>
    <row r="13956" spans="1:6" x14ac:dyDescent="0.25">
      <c r="A13956" t="str">
        <f>"662341275701"</f>
        <v>662341275701</v>
      </c>
      <c r="B13956" t="s">
        <v>19349</v>
      </c>
      <c r="C13956" t="s">
        <v>7</v>
      </c>
      <c r="D13956" t="s">
        <v>14</v>
      </c>
      <c r="E13956" t="s">
        <v>19036</v>
      </c>
    </row>
    <row r="13957" spans="1:6" x14ac:dyDescent="0.25">
      <c r="A13957" t="str">
        <f>"662402888578"</f>
        <v>662402888578</v>
      </c>
      <c r="B13957" t="s">
        <v>19350</v>
      </c>
      <c r="C13957" t="s">
        <v>7</v>
      </c>
      <c r="D13957" t="s">
        <v>12</v>
      </c>
      <c r="E13957" t="s">
        <v>19036</v>
      </c>
    </row>
    <row r="13958" spans="1:6" x14ac:dyDescent="0.25">
      <c r="A13958" t="str">
        <f>"662500315790"</f>
        <v>662500315790</v>
      </c>
      <c r="B13958" t="s">
        <v>19351</v>
      </c>
      <c r="C13958" t="s">
        <v>7</v>
      </c>
      <c r="D13958" t="s">
        <v>33</v>
      </c>
      <c r="E13958" t="s">
        <v>19036</v>
      </c>
    </row>
    <row r="13959" spans="1:6" x14ac:dyDescent="0.25">
      <c r="A13959" t="str">
        <f>"662501508192"</f>
        <v>662501508192</v>
      </c>
      <c r="B13959" t="s">
        <v>19352</v>
      </c>
      <c r="C13959" t="s">
        <v>7</v>
      </c>
      <c r="D13959" t="s">
        <v>12</v>
      </c>
      <c r="E13959" t="s">
        <v>19036</v>
      </c>
    </row>
    <row r="13960" spans="1:6" x14ac:dyDescent="0.25">
      <c r="A13960" t="str">
        <f>"662504606800"</f>
        <v>662504606800</v>
      </c>
      <c r="B13960" t="s">
        <v>19353</v>
      </c>
      <c r="C13960" t="s">
        <v>7</v>
      </c>
      <c r="D13960" t="s">
        <v>14</v>
      </c>
      <c r="E13960" t="s">
        <v>19036</v>
      </c>
    </row>
    <row r="13961" spans="1:6" x14ac:dyDescent="0.25">
      <c r="A13961" t="str">
        <f>"6625065267"</f>
        <v>6625065267</v>
      </c>
      <c r="B13961" t="s">
        <v>19354</v>
      </c>
      <c r="C13961" t="s">
        <v>7</v>
      </c>
      <c r="D13961" t="s">
        <v>14</v>
      </c>
      <c r="E13961" t="s">
        <v>19036</v>
      </c>
      <c r="F13961" t="s">
        <v>19355</v>
      </c>
    </row>
    <row r="13962" spans="1:6" x14ac:dyDescent="0.25">
      <c r="A13962" t="str">
        <f>"662509004768"</f>
        <v>662509004768</v>
      </c>
      <c r="B13962" t="s">
        <v>19356</v>
      </c>
      <c r="C13962" t="s">
        <v>7</v>
      </c>
      <c r="D13962" t="s">
        <v>14</v>
      </c>
      <c r="E13962" t="s">
        <v>19036</v>
      </c>
    </row>
    <row r="13963" spans="1:6" x14ac:dyDescent="0.25">
      <c r="A13963" t="str">
        <f>"662511478405"</f>
        <v>662511478405</v>
      </c>
      <c r="B13963" t="s">
        <v>19357</v>
      </c>
      <c r="C13963" t="s">
        <v>7</v>
      </c>
      <c r="D13963" t="s">
        <v>33</v>
      </c>
      <c r="E13963" t="s">
        <v>19036</v>
      </c>
    </row>
    <row r="13964" spans="1:6" x14ac:dyDescent="0.25">
      <c r="A13964" t="str">
        <f>"662511986127"</f>
        <v>662511986127</v>
      </c>
      <c r="B13964" t="s">
        <v>19358</v>
      </c>
      <c r="C13964" t="s">
        <v>7</v>
      </c>
      <c r="D13964" t="s">
        <v>14</v>
      </c>
      <c r="E13964" t="s">
        <v>19036</v>
      </c>
    </row>
    <row r="13965" spans="1:6" x14ac:dyDescent="0.25">
      <c r="A13965" t="str">
        <f>"662512753069"</f>
        <v>662512753069</v>
      </c>
      <c r="B13965" t="s">
        <v>19359</v>
      </c>
      <c r="C13965" t="s">
        <v>7</v>
      </c>
      <c r="D13965" t="s">
        <v>14</v>
      </c>
      <c r="E13965" t="s">
        <v>19036</v>
      </c>
    </row>
    <row r="13966" spans="1:6" x14ac:dyDescent="0.25">
      <c r="A13966" t="str">
        <f>"662513256060"</f>
        <v>662513256060</v>
      </c>
      <c r="B13966" t="s">
        <v>19360</v>
      </c>
      <c r="C13966" t="s">
        <v>7</v>
      </c>
      <c r="D13966" t="s">
        <v>12</v>
      </c>
      <c r="E13966" t="s">
        <v>19036</v>
      </c>
    </row>
    <row r="13967" spans="1:6" x14ac:dyDescent="0.25">
      <c r="A13967" t="str">
        <f>"662518051690"</f>
        <v>662518051690</v>
      </c>
      <c r="B13967" t="s">
        <v>19361</v>
      </c>
      <c r="C13967" t="s">
        <v>7</v>
      </c>
      <c r="D13967" t="s">
        <v>14</v>
      </c>
      <c r="E13967" t="s">
        <v>19036</v>
      </c>
    </row>
    <row r="13968" spans="1:6" x14ac:dyDescent="0.25">
      <c r="A13968" t="str">
        <f>"662600024403"</f>
        <v>662600024403</v>
      </c>
      <c r="B13968" t="s">
        <v>19362</v>
      </c>
      <c r="C13968" t="s">
        <v>7</v>
      </c>
      <c r="D13968" t="s">
        <v>14</v>
      </c>
      <c r="E13968" t="s">
        <v>19036</v>
      </c>
    </row>
    <row r="13969" spans="1:6" x14ac:dyDescent="0.25">
      <c r="A13969" t="str">
        <f>"6626011680"</f>
        <v>6626011680</v>
      </c>
      <c r="B13969" t="s">
        <v>19363</v>
      </c>
      <c r="C13969" t="s">
        <v>7</v>
      </c>
      <c r="D13969" t="s">
        <v>14</v>
      </c>
      <c r="E13969" t="s">
        <v>19036</v>
      </c>
      <c r="F13969" t="s">
        <v>19364</v>
      </c>
    </row>
    <row r="13970" spans="1:6" x14ac:dyDescent="0.25">
      <c r="A13970" t="str">
        <f>"6626014314"</f>
        <v>6626014314</v>
      </c>
      <c r="B13970" t="s">
        <v>19365</v>
      </c>
      <c r="C13970" t="s">
        <v>7</v>
      </c>
      <c r="D13970" t="s">
        <v>14</v>
      </c>
      <c r="E13970" t="s">
        <v>19036</v>
      </c>
      <c r="F13970" t="s">
        <v>19366</v>
      </c>
    </row>
    <row r="13971" spans="1:6" x14ac:dyDescent="0.25">
      <c r="A13971" t="str">
        <f>"662603051162"</f>
        <v>662603051162</v>
      </c>
      <c r="B13971" t="s">
        <v>19367</v>
      </c>
      <c r="C13971" t="s">
        <v>7</v>
      </c>
      <c r="D13971" t="s">
        <v>12</v>
      </c>
      <c r="E13971" t="s">
        <v>19036</v>
      </c>
    </row>
    <row r="13972" spans="1:6" x14ac:dyDescent="0.25">
      <c r="A13972" t="str">
        <f>"662705965380"</f>
        <v>662705965380</v>
      </c>
      <c r="B13972" t="s">
        <v>19368</v>
      </c>
      <c r="C13972" t="s">
        <v>7</v>
      </c>
      <c r="D13972" t="s">
        <v>14</v>
      </c>
      <c r="E13972" t="s">
        <v>19036</v>
      </c>
    </row>
    <row r="13973" spans="1:6" x14ac:dyDescent="0.25">
      <c r="A13973" t="str">
        <f>"662706479513"</f>
        <v>662706479513</v>
      </c>
      <c r="B13973" t="s">
        <v>19369</v>
      </c>
      <c r="C13973" t="s">
        <v>7</v>
      </c>
      <c r="D13973" t="s">
        <v>14</v>
      </c>
      <c r="E13973" t="s">
        <v>19036</v>
      </c>
    </row>
    <row r="13974" spans="1:6" x14ac:dyDescent="0.25">
      <c r="A13974" t="str">
        <f>"662800037093"</f>
        <v>662800037093</v>
      </c>
      <c r="B13974" t="s">
        <v>19370</v>
      </c>
      <c r="C13974" t="s">
        <v>7</v>
      </c>
      <c r="D13974" t="s">
        <v>14</v>
      </c>
      <c r="E13974" t="s">
        <v>19036</v>
      </c>
    </row>
    <row r="13975" spans="1:6" x14ac:dyDescent="0.25">
      <c r="A13975" t="str">
        <f>"662802689520"</f>
        <v>662802689520</v>
      </c>
      <c r="B13975" t="s">
        <v>19371</v>
      </c>
      <c r="C13975" t="s">
        <v>7</v>
      </c>
      <c r="D13975" t="s">
        <v>14</v>
      </c>
      <c r="E13975" t="s">
        <v>19036</v>
      </c>
    </row>
    <row r="13976" spans="1:6" x14ac:dyDescent="0.25">
      <c r="A13976" t="str">
        <f>"662803404930"</f>
        <v>662803404930</v>
      </c>
      <c r="B13976" t="s">
        <v>19372</v>
      </c>
      <c r="C13976" t="s">
        <v>7</v>
      </c>
      <c r="D13976" t="s">
        <v>14</v>
      </c>
      <c r="E13976" t="s">
        <v>19036</v>
      </c>
    </row>
    <row r="13977" spans="1:6" x14ac:dyDescent="0.25">
      <c r="A13977" t="str">
        <f>"662803779375"</f>
        <v>662803779375</v>
      </c>
      <c r="B13977" t="s">
        <v>19373</v>
      </c>
      <c r="C13977" t="s">
        <v>7</v>
      </c>
      <c r="D13977" t="s">
        <v>14</v>
      </c>
      <c r="E13977" t="s">
        <v>19036</v>
      </c>
    </row>
    <row r="13978" spans="1:6" x14ac:dyDescent="0.25">
      <c r="A13978" t="str">
        <f>"662804919900"</f>
        <v>662804919900</v>
      </c>
      <c r="B13978" t="s">
        <v>19374</v>
      </c>
      <c r="C13978" t="s">
        <v>7</v>
      </c>
      <c r="D13978" t="s">
        <v>14</v>
      </c>
      <c r="E13978" t="s">
        <v>19036</v>
      </c>
    </row>
    <row r="13979" spans="1:6" x14ac:dyDescent="0.25">
      <c r="A13979" t="str">
        <f>"662900255715"</f>
        <v>662900255715</v>
      </c>
      <c r="B13979" t="s">
        <v>19375</v>
      </c>
      <c r="C13979" t="s">
        <v>7</v>
      </c>
      <c r="D13979" t="s">
        <v>14</v>
      </c>
      <c r="E13979" t="s">
        <v>19036</v>
      </c>
    </row>
    <row r="13980" spans="1:6" x14ac:dyDescent="0.25">
      <c r="A13980" t="str">
        <f>"663003249758"</f>
        <v>663003249758</v>
      </c>
      <c r="B13980" t="s">
        <v>19376</v>
      </c>
      <c r="C13980" t="s">
        <v>7</v>
      </c>
      <c r="D13980" t="s">
        <v>14</v>
      </c>
      <c r="E13980" t="s">
        <v>19036</v>
      </c>
    </row>
    <row r="13981" spans="1:6" x14ac:dyDescent="0.25">
      <c r="A13981" t="str">
        <f>"663003322398"</f>
        <v>663003322398</v>
      </c>
      <c r="B13981" t="s">
        <v>19377</v>
      </c>
      <c r="C13981" t="s">
        <v>7</v>
      </c>
      <c r="D13981" t="s">
        <v>14</v>
      </c>
      <c r="E13981" t="s">
        <v>19036</v>
      </c>
    </row>
    <row r="13982" spans="1:6" x14ac:dyDescent="0.25">
      <c r="A13982" t="str">
        <f>"663100336082"</f>
        <v>663100336082</v>
      </c>
      <c r="B13982" t="s">
        <v>19378</v>
      </c>
      <c r="C13982" t="s">
        <v>7</v>
      </c>
      <c r="D13982" t="s">
        <v>14</v>
      </c>
      <c r="E13982" t="s">
        <v>19036</v>
      </c>
    </row>
    <row r="13983" spans="1:6" x14ac:dyDescent="0.25">
      <c r="A13983" t="str">
        <f>"663103839870"</f>
        <v>663103839870</v>
      </c>
      <c r="B13983" t="s">
        <v>19379</v>
      </c>
      <c r="C13983" t="s">
        <v>7</v>
      </c>
      <c r="D13983" t="s">
        <v>14</v>
      </c>
      <c r="E13983" t="s">
        <v>19036</v>
      </c>
    </row>
    <row r="13984" spans="1:6" x14ac:dyDescent="0.25">
      <c r="A13984" t="str">
        <f>"663106108163"</f>
        <v>663106108163</v>
      </c>
      <c r="B13984" t="s">
        <v>19380</v>
      </c>
      <c r="C13984" t="s">
        <v>7</v>
      </c>
      <c r="D13984" t="s">
        <v>14</v>
      </c>
      <c r="E13984" t="s">
        <v>19036</v>
      </c>
    </row>
    <row r="13985" spans="1:6" x14ac:dyDescent="0.25">
      <c r="A13985" t="str">
        <f>"663200015950"</f>
        <v>663200015950</v>
      </c>
      <c r="B13985" t="s">
        <v>19381</v>
      </c>
      <c r="C13985" t="s">
        <v>7</v>
      </c>
      <c r="D13985" t="s">
        <v>14</v>
      </c>
      <c r="E13985" t="s">
        <v>19036</v>
      </c>
    </row>
    <row r="13986" spans="1:6" x14ac:dyDescent="0.25">
      <c r="A13986" t="str">
        <f>"663200953392"</f>
        <v>663200953392</v>
      </c>
      <c r="B13986" t="s">
        <v>19382</v>
      </c>
      <c r="C13986" t="s">
        <v>7</v>
      </c>
      <c r="D13986" t="s">
        <v>14</v>
      </c>
      <c r="E13986" t="s">
        <v>19036</v>
      </c>
    </row>
    <row r="13987" spans="1:6" x14ac:dyDescent="0.25">
      <c r="A13987" t="str">
        <f>"663202009140"</f>
        <v>663202009140</v>
      </c>
      <c r="B13987" t="s">
        <v>19383</v>
      </c>
      <c r="C13987" t="s">
        <v>7</v>
      </c>
      <c r="D13987" t="s">
        <v>14</v>
      </c>
      <c r="E13987" t="s">
        <v>19036</v>
      </c>
    </row>
    <row r="13988" spans="1:6" x14ac:dyDescent="0.25">
      <c r="A13988" t="str">
        <f>"6633000665"</f>
        <v>6633000665</v>
      </c>
      <c r="B13988" t="s">
        <v>19384</v>
      </c>
      <c r="C13988" t="s">
        <v>7</v>
      </c>
      <c r="D13988" t="s">
        <v>14</v>
      </c>
      <c r="E13988" t="s">
        <v>19036</v>
      </c>
      <c r="F13988" t="s">
        <v>19385</v>
      </c>
    </row>
    <row r="13989" spans="1:6" x14ac:dyDescent="0.25">
      <c r="A13989" t="str">
        <f>"663300584565"</f>
        <v>663300584565</v>
      </c>
      <c r="B13989" t="s">
        <v>19386</v>
      </c>
      <c r="C13989" t="s">
        <v>7</v>
      </c>
      <c r="D13989" t="s">
        <v>14</v>
      </c>
      <c r="E13989" t="s">
        <v>19036</v>
      </c>
    </row>
    <row r="13990" spans="1:6" x14ac:dyDescent="0.25">
      <c r="A13990" t="str">
        <f>"663303464869"</f>
        <v>663303464869</v>
      </c>
      <c r="B13990" t="s">
        <v>19387</v>
      </c>
      <c r="C13990" t="s">
        <v>7</v>
      </c>
      <c r="D13990" t="s">
        <v>14</v>
      </c>
      <c r="E13990" t="s">
        <v>19036</v>
      </c>
    </row>
    <row r="13991" spans="1:6" x14ac:dyDescent="0.25">
      <c r="A13991" t="str">
        <f>"663304755162"</f>
        <v>663304755162</v>
      </c>
      <c r="B13991" t="s">
        <v>19388</v>
      </c>
      <c r="C13991" t="s">
        <v>7</v>
      </c>
      <c r="D13991" t="s">
        <v>14</v>
      </c>
      <c r="E13991" t="s">
        <v>19036</v>
      </c>
    </row>
    <row r="13992" spans="1:6" x14ac:dyDescent="0.25">
      <c r="A13992" t="str">
        <f>"6634009621"</f>
        <v>6634009621</v>
      </c>
      <c r="B13992" t="s">
        <v>769</v>
      </c>
      <c r="C13992" t="s">
        <v>7</v>
      </c>
      <c r="D13992" t="s">
        <v>14</v>
      </c>
      <c r="E13992" t="s">
        <v>19036</v>
      </c>
      <c r="F13992" t="s">
        <v>19389</v>
      </c>
    </row>
    <row r="13993" spans="1:6" x14ac:dyDescent="0.25">
      <c r="A13993" t="str">
        <f>"663600317401"</f>
        <v>663600317401</v>
      </c>
      <c r="B13993" t="s">
        <v>19390</v>
      </c>
      <c r="C13993" t="s">
        <v>7</v>
      </c>
      <c r="D13993" t="s">
        <v>14</v>
      </c>
      <c r="E13993" t="s">
        <v>19036</v>
      </c>
    </row>
    <row r="13994" spans="1:6" x14ac:dyDescent="0.25">
      <c r="A13994" t="str">
        <f>"663900985985"</f>
        <v>663900985985</v>
      </c>
      <c r="B13994" t="s">
        <v>19391</v>
      </c>
      <c r="C13994" t="s">
        <v>7</v>
      </c>
      <c r="D13994" t="s">
        <v>12</v>
      </c>
      <c r="E13994" t="s">
        <v>19036</v>
      </c>
    </row>
    <row r="13995" spans="1:6" x14ac:dyDescent="0.25">
      <c r="A13995" t="str">
        <f>"663901583679"</f>
        <v>663901583679</v>
      </c>
      <c r="B13995" t="s">
        <v>19392</v>
      </c>
      <c r="C13995" t="s">
        <v>7</v>
      </c>
      <c r="D13995" t="s">
        <v>14</v>
      </c>
      <c r="E13995" t="s">
        <v>19036</v>
      </c>
    </row>
    <row r="13996" spans="1:6" x14ac:dyDescent="0.25">
      <c r="A13996" t="str">
        <f>"663901956190"</f>
        <v>663901956190</v>
      </c>
      <c r="B13996" t="s">
        <v>19393</v>
      </c>
      <c r="C13996" t="s">
        <v>7</v>
      </c>
      <c r="D13996" t="s">
        <v>14</v>
      </c>
      <c r="E13996" t="s">
        <v>19036</v>
      </c>
    </row>
    <row r="13997" spans="1:6" x14ac:dyDescent="0.25">
      <c r="A13997" t="str">
        <f>"664001996308"</f>
        <v>664001996308</v>
      </c>
      <c r="B13997" t="s">
        <v>19394</v>
      </c>
      <c r="C13997" t="s">
        <v>7</v>
      </c>
      <c r="D13997" t="s">
        <v>14</v>
      </c>
      <c r="E13997" t="s">
        <v>19036</v>
      </c>
    </row>
    <row r="13998" spans="1:6" x14ac:dyDescent="0.25">
      <c r="A13998" t="str">
        <f>"664600069704"</f>
        <v>664600069704</v>
      </c>
      <c r="B13998" t="s">
        <v>19395</v>
      </c>
      <c r="C13998" t="s">
        <v>7</v>
      </c>
      <c r="D13998" t="s">
        <v>14</v>
      </c>
      <c r="E13998" t="s">
        <v>19036</v>
      </c>
    </row>
    <row r="13999" spans="1:6" x14ac:dyDescent="0.25">
      <c r="A13999" t="str">
        <f>"664600177322"</f>
        <v>664600177322</v>
      </c>
      <c r="B13999" t="s">
        <v>19396</v>
      </c>
      <c r="C13999" t="s">
        <v>7</v>
      </c>
      <c r="D13999" t="s">
        <v>14</v>
      </c>
      <c r="E13999" t="s">
        <v>19036</v>
      </c>
    </row>
    <row r="14000" spans="1:6" x14ac:dyDescent="0.25">
      <c r="A14000" t="str">
        <f>"664700117542"</f>
        <v>664700117542</v>
      </c>
      <c r="B14000" t="s">
        <v>19397</v>
      </c>
      <c r="C14000" t="s">
        <v>7</v>
      </c>
      <c r="D14000" t="s">
        <v>14</v>
      </c>
      <c r="E14000" t="s">
        <v>19036</v>
      </c>
    </row>
    <row r="14001" spans="1:6" x14ac:dyDescent="0.25">
      <c r="A14001" t="str">
        <f>"664701673743"</f>
        <v>664701673743</v>
      </c>
      <c r="B14001" t="s">
        <v>19398</v>
      </c>
      <c r="C14001" t="s">
        <v>7</v>
      </c>
      <c r="D14001" t="s">
        <v>14</v>
      </c>
      <c r="E14001" t="s">
        <v>19036</v>
      </c>
    </row>
    <row r="14002" spans="1:6" x14ac:dyDescent="0.25">
      <c r="A14002" t="str">
        <f>"664702218257"</f>
        <v>664702218257</v>
      </c>
      <c r="B14002" t="s">
        <v>19399</v>
      </c>
      <c r="C14002" t="s">
        <v>7</v>
      </c>
      <c r="D14002" t="s">
        <v>14</v>
      </c>
      <c r="E14002" t="s">
        <v>19036</v>
      </c>
    </row>
    <row r="14003" spans="1:6" x14ac:dyDescent="0.25">
      <c r="A14003" t="str">
        <f>"664900029597"</f>
        <v>664900029597</v>
      </c>
      <c r="B14003" t="s">
        <v>19400</v>
      </c>
      <c r="C14003" t="s">
        <v>7</v>
      </c>
      <c r="D14003" t="s">
        <v>14</v>
      </c>
      <c r="E14003" t="s">
        <v>19036</v>
      </c>
    </row>
    <row r="14004" spans="1:6" x14ac:dyDescent="0.25">
      <c r="A14004" t="str">
        <f>"665100551407"</f>
        <v>665100551407</v>
      </c>
      <c r="B14004" t="s">
        <v>19401</v>
      </c>
      <c r="C14004" t="s">
        <v>7</v>
      </c>
      <c r="D14004" t="s">
        <v>14</v>
      </c>
      <c r="E14004" t="s">
        <v>19036</v>
      </c>
    </row>
    <row r="14005" spans="1:6" x14ac:dyDescent="0.25">
      <c r="A14005" t="str">
        <f>"665200881840"</f>
        <v>665200881840</v>
      </c>
      <c r="B14005" t="s">
        <v>19402</v>
      </c>
      <c r="C14005" t="s">
        <v>7</v>
      </c>
      <c r="D14005" t="s">
        <v>14</v>
      </c>
      <c r="E14005" t="s">
        <v>19036</v>
      </c>
    </row>
    <row r="14006" spans="1:6" x14ac:dyDescent="0.25">
      <c r="A14006" t="str">
        <f>"665200924236"</f>
        <v>665200924236</v>
      </c>
      <c r="B14006" t="s">
        <v>19403</v>
      </c>
      <c r="C14006" t="s">
        <v>7</v>
      </c>
      <c r="D14006" t="s">
        <v>14</v>
      </c>
      <c r="E14006" t="s">
        <v>19036</v>
      </c>
    </row>
    <row r="14007" spans="1:6" x14ac:dyDescent="0.25">
      <c r="A14007" t="str">
        <f>"665202215108"</f>
        <v>665202215108</v>
      </c>
      <c r="B14007" t="s">
        <v>19404</v>
      </c>
      <c r="C14007" t="s">
        <v>7</v>
      </c>
      <c r="D14007" t="s">
        <v>14</v>
      </c>
      <c r="E14007" t="s">
        <v>19036</v>
      </c>
    </row>
    <row r="14008" spans="1:6" x14ac:dyDescent="0.25">
      <c r="A14008" t="str">
        <f>"665202279207"</f>
        <v>665202279207</v>
      </c>
      <c r="B14008" t="s">
        <v>19405</v>
      </c>
      <c r="C14008" t="s">
        <v>7</v>
      </c>
      <c r="D14008" t="s">
        <v>14</v>
      </c>
      <c r="E14008" t="s">
        <v>19036</v>
      </c>
    </row>
    <row r="14009" spans="1:6" x14ac:dyDescent="0.25">
      <c r="A14009" t="str">
        <f>"661702810517"</f>
        <v>661702810517</v>
      </c>
      <c r="B14009" t="s">
        <v>19406</v>
      </c>
      <c r="C14009" t="s">
        <v>7</v>
      </c>
      <c r="D14009" t="s">
        <v>12</v>
      </c>
      <c r="E14009" t="s">
        <v>19036</v>
      </c>
    </row>
    <row r="14010" spans="1:6" x14ac:dyDescent="0.25">
      <c r="A14010" t="str">
        <f>"661703521363"</f>
        <v>661703521363</v>
      </c>
      <c r="B14010" t="s">
        <v>19407</v>
      </c>
      <c r="C14010" t="s">
        <v>7</v>
      </c>
      <c r="D14010" t="s">
        <v>14</v>
      </c>
      <c r="E14010" t="s">
        <v>19036</v>
      </c>
    </row>
    <row r="14011" spans="1:6" x14ac:dyDescent="0.25">
      <c r="A14011" t="str">
        <f>"661703626172"</f>
        <v>661703626172</v>
      </c>
      <c r="B14011" t="s">
        <v>19408</v>
      </c>
      <c r="C14011" t="s">
        <v>7</v>
      </c>
      <c r="D14011" t="s">
        <v>14</v>
      </c>
      <c r="E14011" t="s">
        <v>19036</v>
      </c>
    </row>
    <row r="14012" spans="1:6" x14ac:dyDescent="0.25">
      <c r="A14012" t="str">
        <f>"661709959160"</f>
        <v>661709959160</v>
      </c>
      <c r="B14012" t="s">
        <v>19409</v>
      </c>
      <c r="C14012" t="s">
        <v>7</v>
      </c>
      <c r="D14012" t="s">
        <v>14</v>
      </c>
      <c r="E14012" t="s">
        <v>19036</v>
      </c>
    </row>
    <row r="14013" spans="1:6" x14ac:dyDescent="0.25">
      <c r="A14013" t="str">
        <f>"661800895580"</f>
        <v>661800895580</v>
      </c>
      <c r="B14013" t="s">
        <v>19410</v>
      </c>
      <c r="C14013" t="s">
        <v>7</v>
      </c>
      <c r="D14013" t="s">
        <v>14</v>
      </c>
      <c r="E14013" t="s">
        <v>19036</v>
      </c>
    </row>
    <row r="14014" spans="1:6" x14ac:dyDescent="0.25">
      <c r="A14014" t="str">
        <f>"661900296460"</f>
        <v>661900296460</v>
      </c>
      <c r="B14014" t="s">
        <v>19411</v>
      </c>
      <c r="C14014" t="s">
        <v>7</v>
      </c>
      <c r="D14014" t="s">
        <v>14</v>
      </c>
      <c r="E14014" t="s">
        <v>19036</v>
      </c>
    </row>
    <row r="14015" spans="1:6" x14ac:dyDescent="0.25">
      <c r="A14015" t="str">
        <f>"6619006182"</f>
        <v>6619006182</v>
      </c>
      <c r="B14015" t="s">
        <v>19412</v>
      </c>
      <c r="C14015" t="s">
        <v>7</v>
      </c>
      <c r="D14015" t="s">
        <v>14</v>
      </c>
      <c r="E14015" t="s">
        <v>19036</v>
      </c>
      <c r="F14015" t="s">
        <v>19413</v>
      </c>
    </row>
    <row r="14016" spans="1:6" x14ac:dyDescent="0.25">
      <c r="A14016" t="str">
        <f>"661900626750"</f>
        <v>661900626750</v>
      </c>
      <c r="B14016" t="s">
        <v>19414</v>
      </c>
      <c r="C14016" t="s">
        <v>7</v>
      </c>
      <c r="D14016" t="s">
        <v>14</v>
      </c>
      <c r="E14016" t="s">
        <v>19036</v>
      </c>
    </row>
    <row r="14017" spans="1:6" x14ac:dyDescent="0.25">
      <c r="A14017" t="str">
        <f>"661900769740"</f>
        <v>661900769740</v>
      </c>
      <c r="B14017" t="s">
        <v>19415</v>
      </c>
      <c r="C14017" t="s">
        <v>7</v>
      </c>
      <c r="D14017" t="s">
        <v>14</v>
      </c>
      <c r="E14017" t="s">
        <v>19036</v>
      </c>
    </row>
    <row r="14018" spans="1:6" x14ac:dyDescent="0.25">
      <c r="A14018" t="str">
        <f>"661904110370"</f>
        <v>661904110370</v>
      </c>
      <c r="B14018" t="s">
        <v>19416</v>
      </c>
      <c r="C14018" t="s">
        <v>7</v>
      </c>
      <c r="D14018" t="s">
        <v>14</v>
      </c>
      <c r="E14018" t="s">
        <v>19036</v>
      </c>
    </row>
    <row r="14019" spans="1:6" x14ac:dyDescent="0.25">
      <c r="A14019" t="str">
        <f>"662000078911"</f>
        <v>662000078911</v>
      </c>
      <c r="B14019" t="s">
        <v>19417</v>
      </c>
      <c r="C14019" t="s">
        <v>7</v>
      </c>
      <c r="D14019" t="s">
        <v>14</v>
      </c>
      <c r="E14019" t="s">
        <v>19036</v>
      </c>
    </row>
    <row r="14020" spans="1:6" x14ac:dyDescent="0.25">
      <c r="A14020" t="str">
        <f>"662103439983"</f>
        <v>662103439983</v>
      </c>
      <c r="B14020" t="s">
        <v>19418</v>
      </c>
      <c r="C14020" t="s">
        <v>7</v>
      </c>
      <c r="D14020" t="s">
        <v>14</v>
      </c>
      <c r="E14020" t="s">
        <v>19036</v>
      </c>
    </row>
    <row r="14021" spans="1:6" x14ac:dyDescent="0.25">
      <c r="A14021" t="str">
        <f>"662105977200"</f>
        <v>662105977200</v>
      </c>
      <c r="B14021" t="s">
        <v>19419</v>
      </c>
      <c r="C14021" t="s">
        <v>7</v>
      </c>
      <c r="D14021" t="s">
        <v>14</v>
      </c>
      <c r="E14021" t="s">
        <v>19036</v>
      </c>
    </row>
    <row r="14022" spans="1:6" x14ac:dyDescent="0.25">
      <c r="A14022" t="str">
        <f>"662200083002"</f>
        <v>662200083002</v>
      </c>
      <c r="B14022" t="s">
        <v>19420</v>
      </c>
      <c r="C14022" t="s">
        <v>7</v>
      </c>
      <c r="D14022" t="s">
        <v>14</v>
      </c>
      <c r="E14022" t="s">
        <v>19036</v>
      </c>
    </row>
    <row r="14023" spans="1:6" x14ac:dyDescent="0.25">
      <c r="A14023" t="str">
        <f>"662300292433"</f>
        <v>662300292433</v>
      </c>
      <c r="B14023" t="s">
        <v>19421</v>
      </c>
      <c r="C14023" t="s">
        <v>7</v>
      </c>
      <c r="D14023" t="s">
        <v>14</v>
      </c>
      <c r="E14023" t="s">
        <v>19036</v>
      </c>
    </row>
    <row r="14024" spans="1:6" x14ac:dyDescent="0.25">
      <c r="A14024" t="str">
        <f>"6623009965"</f>
        <v>6623009965</v>
      </c>
      <c r="B14024" t="s">
        <v>19422</v>
      </c>
      <c r="C14024" t="s">
        <v>7</v>
      </c>
      <c r="D14024" t="s">
        <v>14</v>
      </c>
      <c r="E14024" t="s">
        <v>19036</v>
      </c>
      <c r="F14024" t="s">
        <v>19423</v>
      </c>
    </row>
    <row r="14025" spans="1:6" x14ac:dyDescent="0.25">
      <c r="A14025" t="str">
        <f>"662303014674"</f>
        <v>662303014674</v>
      </c>
      <c r="B14025" t="s">
        <v>19424</v>
      </c>
      <c r="C14025" t="s">
        <v>7</v>
      </c>
      <c r="D14025" t="s">
        <v>14</v>
      </c>
      <c r="E14025" t="s">
        <v>19036</v>
      </c>
    </row>
    <row r="14026" spans="1:6" x14ac:dyDescent="0.25">
      <c r="A14026" t="str">
        <f>"662304963820"</f>
        <v>662304963820</v>
      </c>
      <c r="B14026" t="s">
        <v>19425</v>
      </c>
      <c r="C14026" t="s">
        <v>7</v>
      </c>
      <c r="D14026" t="s">
        <v>14</v>
      </c>
      <c r="E14026" t="s">
        <v>19036</v>
      </c>
    </row>
    <row r="14027" spans="1:6" x14ac:dyDescent="0.25">
      <c r="A14027" t="str">
        <f>"6623051332"</f>
        <v>6623051332</v>
      </c>
      <c r="B14027" t="s">
        <v>19426</v>
      </c>
      <c r="C14027" t="s">
        <v>7</v>
      </c>
      <c r="D14027" t="s">
        <v>12</v>
      </c>
      <c r="E14027" t="s">
        <v>19036</v>
      </c>
      <c r="F14027" t="s">
        <v>19427</v>
      </c>
    </row>
    <row r="14028" spans="1:6" x14ac:dyDescent="0.25">
      <c r="A14028" t="str">
        <f>"662307121853"</f>
        <v>662307121853</v>
      </c>
      <c r="B14028" t="s">
        <v>19428</v>
      </c>
      <c r="C14028" t="s">
        <v>7</v>
      </c>
      <c r="D14028" t="s">
        <v>14</v>
      </c>
      <c r="E14028" t="s">
        <v>19036</v>
      </c>
    </row>
    <row r="14029" spans="1:6" x14ac:dyDescent="0.25">
      <c r="A14029" t="str">
        <f>"6623092836"</f>
        <v>6623092836</v>
      </c>
      <c r="B14029" t="s">
        <v>19429</v>
      </c>
      <c r="C14029" t="s">
        <v>7</v>
      </c>
      <c r="D14029" t="s">
        <v>14</v>
      </c>
      <c r="E14029" t="s">
        <v>19036</v>
      </c>
      <c r="F14029" t="s">
        <v>19430</v>
      </c>
    </row>
    <row r="14030" spans="1:6" x14ac:dyDescent="0.25">
      <c r="A14030" t="str">
        <f>"6623100879"</f>
        <v>6623100879</v>
      </c>
      <c r="B14030" t="s">
        <v>19431</v>
      </c>
      <c r="C14030" t="s">
        <v>7</v>
      </c>
      <c r="D14030" t="s">
        <v>14</v>
      </c>
      <c r="E14030" t="s">
        <v>19036</v>
      </c>
      <c r="F14030" t="s">
        <v>19432</v>
      </c>
    </row>
    <row r="14031" spans="1:6" x14ac:dyDescent="0.25">
      <c r="A14031" t="str">
        <f>"662311227429"</f>
        <v>662311227429</v>
      </c>
      <c r="B14031" t="s">
        <v>19433</v>
      </c>
      <c r="C14031" t="s">
        <v>7</v>
      </c>
      <c r="D14031" t="s">
        <v>14</v>
      </c>
      <c r="E14031" t="s">
        <v>19036</v>
      </c>
    </row>
    <row r="14032" spans="1:6" x14ac:dyDescent="0.25">
      <c r="A14032" t="str">
        <f>"6623113050"</f>
        <v>6623113050</v>
      </c>
      <c r="B14032" t="s">
        <v>19434</v>
      </c>
      <c r="C14032" t="s">
        <v>7</v>
      </c>
      <c r="D14032" t="s">
        <v>33</v>
      </c>
      <c r="E14032" t="s">
        <v>19036</v>
      </c>
      <c r="F14032" t="s">
        <v>19435</v>
      </c>
    </row>
    <row r="14033" spans="1:6" x14ac:dyDescent="0.25">
      <c r="A14033" t="str">
        <f>"662311877321"</f>
        <v>662311877321</v>
      </c>
      <c r="B14033" t="s">
        <v>19436</v>
      </c>
      <c r="C14033" t="s">
        <v>7</v>
      </c>
      <c r="D14033" t="s">
        <v>14</v>
      </c>
      <c r="E14033" t="s">
        <v>19036</v>
      </c>
    </row>
    <row r="14034" spans="1:6" x14ac:dyDescent="0.25">
      <c r="A14034" t="str">
        <f>"6623123530"</f>
        <v>6623123530</v>
      </c>
      <c r="B14034" t="s">
        <v>19437</v>
      </c>
      <c r="C14034" t="s">
        <v>7</v>
      </c>
      <c r="D14034" t="s">
        <v>14</v>
      </c>
      <c r="E14034" t="s">
        <v>19036</v>
      </c>
      <c r="F14034" t="s">
        <v>19438</v>
      </c>
    </row>
    <row r="14035" spans="1:6" x14ac:dyDescent="0.25">
      <c r="A14035" t="str">
        <f>"6623142653"</f>
        <v>6623142653</v>
      </c>
      <c r="B14035" t="s">
        <v>19439</v>
      </c>
      <c r="C14035" t="s">
        <v>7</v>
      </c>
      <c r="D14035" t="s">
        <v>12</v>
      </c>
      <c r="E14035" t="s">
        <v>19036</v>
      </c>
      <c r="F14035" t="s">
        <v>19440</v>
      </c>
    </row>
    <row r="14036" spans="1:6" x14ac:dyDescent="0.25">
      <c r="A14036" t="str">
        <f>"662314921402"</f>
        <v>662314921402</v>
      </c>
      <c r="B14036" t="s">
        <v>19441</v>
      </c>
      <c r="C14036" t="s">
        <v>7</v>
      </c>
      <c r="D14036" t="s">
        <v>14</v>
      </c>
      <c r="E14036" t="s">
        <v>19036</v>
      </c>
    </row>
    <row r="14037" spans="1:6" x14ac:dyDescent="0.25">
      <c r="A14037" t="str">
        <f>"662315917127"</f>
        <v>662315917127</v>
      </c>
      <c r="B14037" t="s">
        <v>19442</v>
      </c>
      <c r="C14037" t="s">
        <v>7</v>
      </c>
      <c r="D14037" t="s">
        <v>14</v>
      </c>
      <c r="E14037" t="s">
        <v>19036</v>
      </c>
    </row>
    <row r="14038" spans="1:6" x14ac:dyDescent="0.25">
      <c r="A14038" t="str">
        <f>"662316603564"</f>
        <v>662316603564</v>
      </c>
      <c r="B14038" t="s">
        <v>19443</v>
      </c>
      <c r="C14038" t="s">
        <v>7</v>
      </c>
      <c r="D14038" t="s">
        <v>14</v>
      </c>
      <c r="E14038" t="s">
        <v>19036</v>
      </c>
    </row>
    <row r="14039" spans="1:6" x14ac:dyDescent="0.25">
      <c r="A14039" t="str">
        <f>"662320261673"</f>
        <v>662320261673</v>
      </c>
      <c r="B14039" t="s">
        <v>19444</v>
      </c>
      <c r="C14039" t="s">
        <v>7</v>
      </c>
      <c r="D14039" t="s">
        <v>14</v>
      </c>
      <c r="E14039" t="s">
        <v>19036</v>
      </c>
    </row>
    <row r="14040" spans="1:6" x14ac:dyDescent="0.25">
      <c r="A14040" t="str">
        <f>"662330170457"</f>
        <v>662330170457</v>
      </c>
      <c r="B14040" t="s">
        <v>19445</v>
      </c>
      <c r="C14040" t="s">
        <v>7</v>
      </c>
      <c r="D14040" t="s">
        <v>33</v>
      </c>
      <c r="E14040" t="s">
        <v>19036</v>
      </c>
    </row>
    <row r="14041" spans="1:6" x14ac:dyDescent="0.25">
      <c r="A14041" t="str">
        <f>"662334764726"</f>
        <v>662334764726</v>
      </c>
      <c r="B14041" t="s">
        <v>19446</v>
      </c>
      <c r="C14041" t="s">
        <v>7</v>
      </c>
      <c r="D14041" t="s">
        <v>14</v>
      </c>
      <c r="E14041" t="s">
        <v>19036</v>
      </c>
    </row>
    <row r="14042" spans="1:6" x14ac:dyDescent="0.25">
      <c r="A14042" t="str">
        <f>"662334838713"</f>
        <v>662334838713</v>
      </c>
      <c r="B14042" t="s">
        <v>19447</v>
      </c>
      <c r="C14042" t="s">
        <v>7</v>
      </c>
      <c r="D14042" t="s">
        <v>14</v>
      </c>
      <c r="E14042" t="s">
        <v>19036</v>
      </c>
    </row>
    <row r="14043" spans="1:6" x14ac:dyDescent="0.25">
      <c r="A14043" t="str">
        <f>"662337979021"</f>
        <v>662337979021</v>
      </c>
      <c r="B14043" t="s">
        <v>19448</v>
      </c>
      <c r="C14043" t="s">
        <v>7</v>
      </c>
      <c r="D14043" t="s">
        <v>12</v>
      </c>
      <c r="E14043" t="s">
        <v>19036</v>
      </c>
    </row>
    <row r="14044" spans="1:6" x14ac:dyDescent="0.25">
      <c r="A14044" t="str">
        <f>"6624003807"</f>
        <v>6624003807</v>
      </c>
      <c r="B14044" t="s">
        <v>19449</v>
      </c>
      <c r="C14044" t="s">
        <v>7</v>
      </c>
      <c r="D14044" t="s">
        <v>14</v>
      </c>
      <c r="E14044" t="s">
        <v>19036</v>
      </c>
      <c r="F14044" t="s">
        <v>19450</v>
      </c>
    </row>
    <row r="14045" spans="1:6" x14ac:dyDescent="0.25">
      <c r="A14045" t="str">
        <f>"662500026598"</f>
        <v>662500026598</v>
      </c>
      <c r="B14045" t="s">
        <v>2841</v>
      </c>
      <c r="C14045" t="s">
        <v>7</v>
      </c>
      <c r="D14045" t="s">
        <v>12</v>
      </c>
      <c r="E14045" t="s">
        <v>19036</v>
      </c>
    </row>
    <row r="14046" spans="1:6" x14ac:dyDescent="0.25">
      <c r="A14046" t="str">
        <f>"6625017048"</f>
        <v>6625017048</v>
      </c>
      <c r="B14046" t="s">
        <v>19451</v>
      </c>
      <c r="C14046" t="s">
        <v>7</v>
      </c>
      <c r="D14046" t="s">
        <v>12</v>
      </c>
      <c r="E14046" t="s">
        <v>19036</v>
      </c>
      <c r="F14046" t="s">
        <v>19452</v>
      </c>
    </row>
    <row r="14047" spans="1:6" x14ac:dyDescent="0.25">
      <c r="A14047" t="str">
        <f>"662505598662"</f>
        <v>662505598662</v>
      </c>
      <c r="B14047" t="s">
        <v>19453</v>
      </c>
      <c r="C14047" t="s">
        <v>7</v>
      </c>
      <c r="D14047" t="s">
        <v>14</v>
      </c>
      <c r="E14047" t="s">
        <v>19036</v>
      </c>
    </row>
    <row r="14048" spans="1:6" x14ac:dyDescent="0.25">
      <c r="A14048" t="str">
        <f>"662507370110"</f>
        <v>662507370110</v>
      </c>
      <c r="B14048" t="s">
        <v>19454</v>
      </c>
      <c r="C14048" t="s">
        <v>7</v>
      </c>
      <c r="D14048" t="s">
        <v>14</v>
      </c>
      <c r="E14048" t="s">
        <v>19036</v>
      </c>
    </row>
    <row r="14049" spans="1:6" x14ac:dyDescent="0.25">
      <c r="A14049" t="str">
        <f>"662516098090"</f>
        <v>662516098090</v>
      </c>
      <c r="B14049" t="s">
        <v>19455</v>
      </c>
      <c r="C14049" t="s">
        <v>7</v>
      </c>
      <c r="D14049" t="s">
        <v>14</v>
      </c>
      <c r="E14049" t="s">
        <v>19036</v>
      </c>
    </row>
    <row r="14050" spans="1:6" x14ac:dyDescent="0.25">
      <c r="A14050" t="str">
        <f>"6626019584"</f>
        <v>6626019584</v>
      </c>
      <c r="B14050" t="s">
        <v>19456</v>
      </c>
      <c r="C14050" t="s">
        <v>7</v>
      </c>
      <c r="D14050" t="s">
        <v>98</v>
      </c>
      <c r="E14050" t="s">
        <v>19036</v>
      </c>
      <c r="F14050" t="s">
        <v>19457</v>
      </c>
    </row>
    <row r="14051" spans="1:6" x14ac:dyDescent="0.25">
      <c r="A14051" t="str">
        <f>"662606413195"</f>
        <v>662606413195</v>
      </c>
      <c r="B14051" t="s">
        <v>19458</v>
      </c>
      <c r="C14051" t="s">
        <v>7</v>
      </c>
      <c r="D14051" t="s">
        <v>14</v>
      </c>
      <c r="E14051" t="s">
        <v>19036</v>
      </c>
    </row>
    <row r="14052" spans="1:6" x14ac:dyDescent="0.25">
      <c r="A14052" t="str">
        <f>"662606474166"</f>
        <v>662606474166</v>
      </c>
      <c r="B14052" t="s">
        <v>19459</v>
      </c>
      <c r="C14052" t="s">
        <v>7</v>
      </c>
      <c r="D14052" t="s">
        <v>14</v>
      </c>
      <c r="E14052" t="s">
        <v>19036</v>
      </c>
    </row>
    <row r="14053" spans="1:6" x14ac:dyDescent="0.25">
      <c r="A14053" t="str">
        <f>"662607113010"</f>
        <v>662607113010</v>
      </c>
      <c r="B14053" t="s">
        <v>19460</v>
      </c>
      <c r="C14053" t="s">
        <v>7</v>
      </c>
      <c r="D14053" t="s">
        <v>14</v>
      </c>
      <c r="E14053" t="s">
        <v>19036</v>
      </c>
    </row>
    <row r="14054" spans="1:6" x14ac:dyDescent="0.25">
      <c r="A14054" t="str">
        <f>"662608254367"</f>
        <v>662608254367</v>
      </c>
      <c r="B14054" t="s">
        <v>19461</v>
      </c>
      <c r="C14054" t="s">
        <v>7</v>
      </c>
      <c r="D14054" t="s">
        <v>14</v>
      </c>
      <c r="E14054" t="s">
        <v>19036</v>
      </c>
    </row>
    <row r="14055" spans="1:6" x14ac:dyDescent="0.25">
      <c r="A14055" t="str">
        <f>"662844108577"</f>
        <v>662844108577</v>
      </c>
      <c r="B14055" t="s">
        <v>19462</v>
      </c>
      <c r="C14055" t="s">
        <v>7</v>
      </c>
      <c r="D14055" t="s">
        <v>14</v>
      </c>
      <c r="E14055" t="s">
        <v>19036</v>
      </c>
    </row>
    <row r="14056" spans="1:6" x14ac:dyDescent="0.25">
      <c r="A14056" t="str">
        <f>"662901223811"</f>
        <v>662901223811</v>
      </c>
      <c r="B14056" t="s">
        <v>19463</v>
      </c>
      <c r="C14056" t="s">
        <v>7</v>
      </c>
      <c r="D14056" t="s">
        <v>14</v>
      </c>
      <c r="E14056" t="s">
        <v>19036</v>
      </c>
    </row>
    <row r="14057" spans="1:6" x14ac:dyDescent="0.25">
      <c r="A14057" t="str">
        <f>"662907907021"</f>
        <v>662907907021</v>
      </c>
      <c r="B14057" t="s">
        <v>19464</v>
      </c>
      <c r="C14057" t="s">
        <v>7</v>
      </c>
      <c r="D14057" t="s">
        <v>14</v>
      </c>
      <c r="E14057" t="s">
        <v>19036</v>
      </c>
    </row>
    <row r="14058" spans="1:6" x14ac:dyDescent="0.25">
      <c r="A14058" t="str">
        <f>"662913614312"</f>
        <v>662913614312</v>
      </c>
      <c r="B14058" t="s">
        <v>19465</v>
      </c>
      <c r="C14058" t="s">
        <v>7</v>
      </c>
      <c r="D14058" t="s">
        <v>14</v>
      </c>
      <c r="E14058" t="s">
        <v>19036</v>
      </c>
    </row>
    <row r="14059" spans="1:6" x14ac:dyDescent="0.25">
      <c r="A14059" t="str">
        <f>"662941458947"</f>
        <v>662941458947</v>
      </c>
      <c r="B14059" t="s">
        <v>19466</v>
      </c>
      <c r="C14059" t="s">
        <v>7</v>
      </c>
      <c r="D14059" t="s">
        <v>12</v>
      </c>
      <c r="E14059" t="s">
        <v>19036</v>
      </c>
    </row>
    <row r="14060" spans="1:6" x14ac:dyDescent="0.25">
      <c r="A14060" t="str">
        <f>"663004786473"</f>
        <v>663004786473</v>
      </c>
      <c r="B14060" t="s">
        <v>19467</v>
      </c>
      <c r="C14060" t="s">
        <v>7</v>
      </c>
      <c r="D14060" t="s">
        <v>12</v>
      </c>
      <c r="E14060" t="s">
        <v>19036</v>
      </c>
    </row>
    <row r="14061" spans="1:6" x14ac:dyDescent="0.25">
      <c r="A14061" t="str">
        <f>"663005325669"</f>
        <v>663005325669</v>
      </c>
      <c r="B14061" t="s">
        <v>19468</v>
      </c>
      <c r="C14061" t="s">
        <v>7</v>
      </c>
      <c r="D14061" t="s">
        <v>14</v>
      </c>
      <c r="E14061" t="s">
        <v>19036</v>
      </c>
    </row>
    <row r="14062" spans="1:6" x14ac:dyDescent="0.25">
      <c r="A14062" t="str">
        <f>"663100204223"</f>
        <v>663100204223</v>
      </c>
      <c r="B14062" t="s">
        <v>19469</v>
      </c>
      <c r="C14062" t="s">
        <v>7</v>
      </c>
      <c r="D14062" t="s">
        <v>14</v>
      </c>
      <c r="E14062" t="s">
        <v>19036</v>
      </c>
    </row>
    <row r="14063" spans="1:6" x14ac:dyDescent="0.25">
      <c r="A14063" t="str">
        <f>"663101242133"</f>
        <v>663101242133</v>
      </c>
      <c r="B14063" t="s">
        <v>19470</v>
      </c>
      <c r="C14063" t="s">
        <v>7</v>
      </c>
      <c r="D14063" t="s">
        <v>14</v>
      </c>
      <c r="E14063" t="s">
        <v>19036</v>
      </c>
    </row>
    <row r="14064" spans="1:6" x14ac:dyDescent="0.25">
      <c r="A14064" t="str">
        <f>"663102719700"</f>
        <v>663102719700</v>
      </c>
      <c r="B14064" t="s">
        <v>19471</v>
      </c>
      <c r="C14064" t="s">
        <v>7</v>
      </c>
      <c r="D14064" t="s">
        <v>14</v>
      </c>
      <c r="E14064" t="s">
        <v>19036</v>
      </c>
    </row>
    <row r="14065" spans="1:6" x14ac:dyDescent="0.25">
      <c r="A14065" t="str">
        <f>"663201135706"</f>
        <v>663201135706</v>
      </c>
      <c r="B14065" t="s">
        <v>19472</v>
      </c>
      <c r="C14065" t="s">
        <v>7</v>
      </c>
      <c r="D14065" t="s">
        <v>14</v>
      </c>
      <c r="E14065" t="s">
        <v>19036</v>
      </c>
    </row>
    <row r="14066" spans="1:6" x14ac:dyDescent="0.25">
      <c r="A14066" t="str">
        <f>"663201847975"</f>
        <v>663201847975</v>
      </c>
      <c r="B14066" t="s">
        <v>19473</v>
      </c>
      <c r="C14066" t="s">
        <v>7</v>
      </c>
      <c r="D14066" t="s">
        <v>14</v>
      </c>
      <c r="E14066" t="s">
        <v>19036</v>
      </c>
    </row>
    <row r="14067" spans="1:6" x14ac:dyDescent="0.25">
      <c r="A14067" t="str">
        <f>"663211470823"</f>
        <v>663211470823</v>
      </c>
      <c r="B14067" t="s">
        <v>19474</v>
      </c>
      <c r="C14067" t="s">
        <v>7</v>
      </c>
      <c r="D14067" t="s">
        <v>14</v>
      </c>
      <c r="E14067" t="s">
        <v>19036</v>
      </c>
    </row>
    <row r="14068" spans="1:6" x14ac:dyDescent="0.25">
      <c r="A14068" t="str">
        <f>"663230584304"</f>
        <v>663230584304</v>
      </c>
      <c r="B14068" t="s">
        <v>19475</v>
      </c>
      <c r="C14068" t="s">
        <v>7</v>
      </c>
      <c r="D14068" t="s">
        <v>14</v>
      </c>
      <c r="E14068" t="s">
        <v>19036</v>
      </c>
    </row>
    <row r="14069" spans="1:6" x14ac:dyDescent="0.25">
      <c r="A14069" t="str">
        <f>"663300173477"</f>
        <v>663300173477</v>
      </c>
      <c r="B14069" t="s">
        <v>19476</v>
      </c>
      <c r="C14069" t="s">
        <v>7</v>
      </c>
      <c r="D14069" t="s">
        <v>14</v>
      </c>
      <c r="E14069" t="s">
        <v>19036</v>
      </c>
    </row>
    <row r="14070" spans="1:6" x14ac:dyDescent="0.25">
      <c r="A14070" t="str">
        <f>"6633017860"</f>
        <v>6633017860</v>
      </c>
      <c r="B14070" t="s">
        <v>9374</v>
      </c>
      <c r="C14070" t="s">
        <v>7</v>
      </c>
      <c r="D14070" t="s">
        <v>14</v>
      </c>
      <c r="E14070" t="s">
        <v>19036</v>
      </c>
      <c r="F14070" t="s">
        <v>19477</v>
      </c>
    </row>
    <row r="14071" spans="1:6" x14ac:dyDescent="0.25">
      <c r="A14071" t="str">
        <f>"663400119089"</f>
        <v>663400119089</v>
      </c>
      <c r="B14071" t="s">
        <v>19478</v>
      </c>
      <c r="C14071" t="s">
        <v>7</v>
      </c>
      <c r="D14071" t="s">
        <v>14</v>
      </c>
      <c r="E14071" t="s">
        <v>19036</v>
      </c>
    </row>
    <row r="14072" spans="1:6" x14ac:dyDescent="0.25">
      <c r="A14072" t="str">
        <f>"6634009438"</f>
        <v>6634009438</v>
      </c>
      <c r="B14072" t="s">
        <v>19479</v>
      </c>
      <c r="C14072" t="s">
        <v>7</v>
      </c>
      <c r="D14072" t="s">
        <v>14</v>
      </c>
      <c r="E14072" t="s">
        <v>19036</v>
      </c>
      <c r="F14072" t="s">
        <v>19480</v>
      </c>
    </row>
    <row r="14073" spans="1:6" x14ac:dyDescent="0.25">
      <c r="A14073" t="str">
        <f>"663900032291"</f>
        <v>663900032291</v>
      </c>
      <c r="B14073" t="s">
        <v>19481</v>
      </c>
      <c r="C14073" t="s">
        <v>7</v>
      </c>
      <c r="D14073" t="s">
        <v>14</v>
      </c>
      <c r="E14073" t="s">
        <v>19036</v>
      </c>
    </row>
    <row r="14074" spans="1:6" x14ac:dyDescent="0.25">
      <c r="A14074" t="str">
        <f>"663901076206"</f>
        <v>663901076206</v>
      </c>
      <c r="B14074" t="s">
        <v>19482</v>
      </c>
      <c r="C14074" t="s">
        <v>7</v>
      </c>
      <c r="D14074" t="s">
        <v>14</v>
      </c>
      <c r="E14074" t="s">
        <v>19036</v>
      </c>
    </row>
    <row r="14075" spans="1:6" x14ac:dyDescent="0.25">
      <c r="A14075" t="str">
        <f>"664000749835"</f>
        <v>664000749835</v>
      </c>
      <c r="B14075" t="s">
        <v>19483</v>
      </c>
      <c r="C14075" t="s">
        <v>7</v>
      </c>
      <c r="D14075" t="s">
        <v>14</v>
      </c>
      <c r="E14075" t="s">
        <v>19036</v>
      </c>
    </row>
    <row r="14076" spans="1:6" x14ac:dyDescent="0.25">
      <c r="A14076" t="str">
        <f>"6641000563"</f>
        <v>6641000563</v>
      </c>
      <c r="B14076" t="s">
        <v>19484</v>
      </c>
      <c r="C14076" t="s">
        <v>7</v>
      </c>
      <c r="D14076" t="s">
        <v>14</v>
      </c>
      <c r="E14076" t="s">
        <v>19036</v>
      </c>
      <c r="F14076" t="s">
        <v>19485</v>
      </c>
    </row>
    <row r="14077" spans="1:6" x14ac:dyDescent="0.25">
      <c r="A14077" t="str">
        <f>"6642000566"</f>
        <v>6642000566</v>
      </c>
      <c r="B14077" t="s">
        <v>19486</v>
      </c>
      <c r="C14077" t="s">
        <v>7</v>
      </c>
      <c r="D14077" t="s">
        <v>14</v>
      </c>
      <c r="E14077" t="s">
        <v>19036</v>
      </c>
      <c r="F14077" t="s">
        <v>19487</v>
      </c>
    </row>
    <row r="14078" spans="1:6" x14ac:dyDescent="0.25">
      <c r="A14078" t="str">
        <f>"664300265850"</f>
        <v>664300265850</v>
      </c>
      <c r="B14078" t="s">
        <v>19488</v>
      </c>
      <c r="C14078" t="s">
        <v>7</v>
      </c>
      <c r="D14078" t="s">
        <v>14</v>
      </c>
      <c r="E14078" t="s">
        <v>19036</v>
      </c>
    </row>
    <row r="14079" spans="1:6" x14ac:dyDescent="0.25">
      <c r="A14079" t="str">
        <f>"664600100859"</f>
        <v>664600100859</v>
      </c>
      <c r="B14079" t="s">
        <v>19489</v>
      </c>
      <c r="C14079" t="s">
        <v>7</v>
      </c>
      <c r="D14079" t="s">
        <v>14</v>
      </c>
      <c r="E14079" t="s">
        <v>19036</v>
      </c>
    </row>
    <row r="14080" spans="1:6" x14ac:dyDescent="0.25">
      <c r="A14080" t="str">
        <f>"664604475023"</f>
        <v>664604475023</v>
      </c>
      <c r="B14080" t="s">
        <v>19490</v>
      </c>
      <c r="C14080" t="s">
        <v>7</v>
      </c>
      <c r="D14080" t="s">
        <v>14</v>
      </c>
      <c r="E14080" t="s">
        <v>19036</v>
      </c>
    </row>
    <row r="14081" spans="1:6" x14ac:dyDescent="0.25">
      <c r="A14081" t="str">
        <f>"860228722229"</f>
        <v>860228722229</v>
      </c>
      <c r="B14081" t="s">
        <v>19491</v>
      </c>
      <c r="C14081" t="s">
        <v>7</v>
      </c>
      <c r="D14081" t="s">
        <v>14</v>
      </c>
      <c r="E14081" t="s">
        <v>19036</v>
      </c>
    </row>
    <row r="14082" spans="1:6" x14ac:dyDescent="0.25">
      <c r="A14082" t="str">
        <f>"860330106238"</f>
        <v>860330106238</v>
      </c>
      <c r="B14082" t="s">
        <v>19492</v>
      </c>
      <c r="C14082" t="s">
        <v>7</v>
      </c>
      <c r="D14082" t="s">
        <v>14</v>
      </c>
      <c r="E14082" t="s">
        <v>19036</v>
      </c>
    </row>
    <row r="14083" spans="1:6" x14ac:dyDescent="0.25">
      <c r="A14083" t="str">
        <f>"744820100100"</f>
        <v>744820100100</v>
      </c>
      <c r="B14083" t="s">
        <v>19493</v>
      </c>
      <c r="C14083" t="s">
        <v>7</v>
      </c>
      <c r="D14083" t="s">
        <v>28</v>
      </c>
      <c r="E14083" t="s">
        <v>19036</v>
      </c>
    </row>
    <row r="14084" spans="1:6" x14ac:dyDescent="0.25">
      <c r="A14084" t="str">
        <f>"661800818169"</f>
        <v>661800818169</v>
      </c>
      <c r="B14084" t="s">
        <v>19494</v>
      </c>
      <c r="C14084" t="s">
        <v>7</v>
      </c>
      <c r="D14084" t="s">
        <v>14</v>
      </c>
      <c r="E14084" t="s">
        <v>19036</v>
      </c>
    </row>
    <row r="14085" spans="1:6" x14ac:dyDescent="0.25">
      <c r="A14085" t="str">
        <f>"661904315480"</f>
        <v>661904315480</v>
      </c>
      <c r="B14085" t="s">
        <v>19495</v>
      </c>
      <c r="C14085" t="s">
        <v>7</v>
      </c>
      <c r="D14085" t="s">
        <v>14</v>
      </c>
      <c r="E14085" t="s">
        <v>19036</v>
      </c>
    </row>
    <row r="14086" spans="1:6" x14ac:dyDescent="0.25">
      <c r="A14086" t="str">
        <f>"661904653539"</f>
        <v>661904653539</v>
      </c>
      <c r="B14086" t="s">
        <v>19496</v>
      </c>
      <c r="C14086" t="s">
        <v>7</v>
      </c>
      <c r="D14086" t="s">
        <v>14</v>
      </c>
      <c r="E14086" t="s">
        <v>19036</v>
      </c>
    </row>
    <row r="14087" spans="1:6" x14ac:dyDescent="0.25">
      <c r="A14087" t="str">
        <f>"661933486402"</f>
        <v>661933486402</v>
      </c>
      <c r="B14087" t="s">
        <v>19497</v>
      </c>
      <c r="C14087" t="s">
        <v>7</v>
      </c>
      <c r="D14087" t="s">
        <v>14</v>
      </c>
      <c r="E14087" t="s">
        <v>19036</v>
      </c>
    </row>
    <row r="14088" spans="1:6" x14ac:dyDescent="0.25">
      <c r="A14088" t="str">
        <f>"662000050377"</f>
        <v>662000050377</v>
      </c>
      <c r="B14088" t="s">
        <v>19498</v>
      </c>
      <c r="C14088" t="s">
        <v>7</v>
      </c>
      <c r="D14088" t="s">
        <v>14</v>
      </c>
      <c r="E14088" t="s">
        <v>19036</v>
      </c>
    </row>
    <row r="14089" spans="1:6" x14ac:dyDescent="0.25">
      <c r="A14089" t="str">
        <f>"6623048795"</f>
        <v>6623048795</v>
      </c>
      <c r="B14089" t="s">
        <v>19499</v>
      </c>
      <c r="C14089" t="s">
        <v>7</v>
      </c>
      <c r="D14089" t="s">
        <v>12</v>
      </c>
      <c r="E14089" t="s">
        <v>19036</v>
      </c>
      <c r="F14089" t="s">
        <v>19500</v>
      </c>
    </row>
    <row r="14090" spans="1:6" x14ac:dyDescent="0.25">
      <c r="A14090" t="str">
        <f>"6623061637"</f>
        <v>6623061637</v>
      </c>
      <c r="B14090" t="s">
        <v>19501</v>
      </c>
      <c r="C14090" t="s">
        <v>7</v>
      </c>
      <c r="D14090" t="s">
        <v>33</v>
      </c>
      <c r="E14090" t="s">
        <v>19036</v>
      </c>
      <c r="F14090" t="s">
        <v>19502</v>
      </c>
    </row>
    <row r="14091" spans="1:6" x14ac:dyDescent="0.25">
      <c r="A14091" t="str">
        <f>"6623081506"</f>
        <v>6623081506</v>
      </c>
      <c r="B14091" t="s">
        <v>19503</v>
      </c>
      <c r="C14091" t="s">
        <v>7</v>
      </c>
      <c r="D14091" t="s">
        <v>12</v>
      </c>
      <c r="E14091" t="s">
        <v>19036</v>
      </c>
      <c r="F14091" t="s">
        <v>19504</v>
      </c>
    </row>
    <row r="14092" spans="1:6" x14ac:dyDescent="0.25">
      <c r="A14092" t="str">
        <f>"662313234245"</f>
        <v>662313234245</v>
      </c>
      <c r="B14092" t="s">
        <v>19505</v>
      </c>
      <c r="C14092" t="s">
        <v>7</v>
      </c>
      <c r="D14092" t="s">
        <v>14</v>
      </c>
      <c r="E14092" t="s">
        <v>19036</v>
      </c>
    </row>
    <row r="14093" spans="1:6" x14ac:dyDescent="0.25">
      <c r="A14093" t="str">
        <f>"662314656698"</f>
        <v>662314656698</v>
      </c>
      <c r="B14093" t="s">
        <v>19506</v>
      </c>
      <c r="C14093" t="s">
        <v>7</v>
      </c>
      <c r="D14093" t="s">
        <v>14</v>
      </c>
      <c r="E14093" t="s">
        <v>19036</v>
      </c>
    </row>
    <row r="14094" spans="1:6" x14ac:dyDescent="0.25">
      <c r="A14094" t="str">
        <f>"6623146591"</f>
        <v>6623146591</v>
      </c>
      <c r="B14094" t="s">
        <v>10463</v>
      </c>
      <c r="C14094" t="s">
        <v>7</v>
      </c>
      <c r="D14094" t="s">
        <v>14</v>
      </c>
      <c r="E14094" t="s">
        <v>19036</v>
      </c>
      <c r="F14094" t="s">
        <v>19507</v>
      </c>
    </row>
    <row r="14095" spans="1:6" x14ac:dyDescent="0.25">
      <c r="A14095" t="str">
        <f>"662316239001"</f>
        <v>662316239001</v>
      </c>
      <c r="B14095" t="s">
        <v>19508</v>
      </c>
      <c r="C14095" t="s">
        <v>7</v>
      </c>
      <c r="D14095" t="s">
        <v>14</v>
      </c>
      <c r="E14095" t="s">
        <v>19036</v>
      </c>
    </row>
    <row r="14096" spans="1:6" x14ac:dyDescent="0.25">
      <c r="A14096" t="str">
        <f>"662330924760"</f>
        <v>662330924760</v>
      </c>
      <c r="B14096" t="s">
        <v>19509</v>
      </c>
      <c r="C14096" t="s">
        <v>7</v>
      </c>
      <c r="D14096" t="s">
        <v>14</v>
      </c>
      <c r="E14096" t="s">
        <v>19036</v>
      </c>
    </row>
    <row r="14097" spans="1:5" x14ac:dyDescent="0.25">
      <c r="A14097" t="str">
        <f>"662332456839"</f>
        <v>662332456839</v>
      </c>
      <c r="B14097" t="s">
        <v>19510</v>
      </c>
      <c r="C14097" t="s">
        <v>7</v>
      </c>
      <c r="D14097" t="s">
        <v>14</v>
      </c>
      <c r="E14097" t="s">
        <v>19036</v>
      </c>
    </row>
    <row r="14098" spans="1:5" x14ac:dyDescent="0.25">
      <c r="A14098" t="str">
        <f>"662333257160"</f>
        <v>662333257160</v>
      </c>
      <c r="B14098" t="s">
        <v>19511</v>
      </c>
      <c r="C14098" t="s">
        <v>7</v>
      </c>
      <c r="D14098" t="s">
        <v>14</v>
      </c>
      <c r="E14098" t="s">
        <v>19036</v>
      </c>
    </row>
    <row r="14099" spans="1:5" x14ac:dyDescent="0.25">
      <c r="A14099" t="str">
        <f>"662333284357"</f>
        <v>662333284357</v>
      </c>
      <c r="B14099" t="s">
        <v>19512</v>
      </c>
      <c r="C14099" t="s">
        <v>7</v>
      </c>
      <c r="D14099" t="s">
        <v>14</v>
      </c>
      <c r="E14099" t="s">
        <v>19036</v>
      </c>
    </row>
    <row r="14100" spans="1:5" x14ac:dyDescent="0.25">
      <c r="A14100" t="str">
        <f>"662500154960"</f>
        <v>662500154960</v>
      </c>
      <c r="B14100" t="s">
        <v>19513</v>
      </c>
      <c r="C14100" t="s">
        <v>7</v>
      </c>
      <c r="D14100" t="s">
        <v>14</v>
      </c>
      <c r="E14100" t="s">
        <v>19036</v>
      </c>
    </row>
    <row r="14101" spans="1:5" x14ac:dyDescent="0.25">
      <c r="A14101" t="str">
        <f>"662500401961"</f>
        <v>662500401961</v>
      </c>
      <c r="B14101" t="s">
        <v>19514</v>
      </c>
      <c r="C14101" t="s">
        <v>7</v>
      </c>
      <c r="D14101" t="s">
        <v>14</v>
      </c>
      <c r="E14101" t="s">
        <v>19036</v>
      </c>
    </row>
    <row r="14102" spans="1:5" x14ac:dyDescent="0.25">
      <c r="A14102" t="str">
        <f>"662503122807"</f>
        <v>662503122807</v>
      </c>
      <c r="B14102" t="s">
        <v>19515</v>
      </c>
      <c r="C14102" t="s">
        <v>7</v>
      </c>
      <c r="D14102" t="s">
        <v>14</v>
      </c>
      <c r="E14102" t="s">
        <v>19036</v>
      </c>
    </row>
    <row r="14103" spans="1:5" x14ac:dyDescent="0.25">
      <c r="A14103" t="str">
        <f>"662508969280"</f>
        <v>662508969280</v>
      </c>
      <c r="B14103" t="s">
        <v>19516</v>
      </c>
      <c r="C14103" t="s">
        <v>7</v>
      </c>
      <c r="D14103" t="s">
        <v>12</v>
      </c>
      <c r="E14103" t="s">
        <v>19036</v>
      </c>
    </row>
    <row r="14104" spans="1:5" x14ac:dyDescent="0.25">
      <c r="A14104" t="str">
        <f>"662513904507"</f>
        <v>662513904507</v>
      </c>
      <c r="B14104" t="s">
        <v>19517</v>
      </c>
      <c r="C14104" t="s">
        <v>7</v>
      </c>
      <c r="D14104" t="s">
        <v>14</v>
      </c>
      <c r="E14104" t="s">
        <v>19036</v>
      </c>
    </row>
    <row r="14105" spans="1:5" x14ac:dyDescent="0.25">
      <c r="A14105" t="str">
        <f>"662600097024"</f>
        <v>662600097024</v>
      </c>
      <c r="B14105" t="s">
        <v>19518</v>
      </c>
      <c r="C14105" t="s">
        <v>7</v>
      </c>
      <c r="D14105" t="s">
        <v>14</v>
      </c>
      <c r="E14105" t="s">
        <v>19036</v>
      </c>
    </row>
    <row r="14106" spans="1:5" x14ac:dyDescent="0.25">
      <c r="A14106" t="str">
        <f>"662600228238"</f>
        <v>662600228238</v>
      </c>
      <c r="B14106" t="s">
        <v>19519</v>
      </c>
      <c r="C14106" t="s">
        <v>7</v>
      </c>
      <c r="D14106" t="s">
        <v>14</v>
      </c>
      <c r="E14106" t="s">
        <v>19036</v>
      </c>
    </row>
    <row r="14107" spans="1:5" x14ac:dyDescent="0.25">
      <c r="A14107" t="str">
        <f>"662604202463"</f>
        <v>662604202463</v>
      </c>
      <c r="B14107" t="s">
        <v>19520</v>
      </c>
      <c r="C14107" t="s">
        <v>7</v>
      </c>
      <c r="D14107" t="s">
        <v>14</v>
      </c>
      <c r="E14107" t="s">
        <v>19036</v>
      </c>
    </row>
    <row r="14108" spans="1:5" x14ac:dyDescent="0.25">
      <c r="A14108" t="str">
        <f>"662608676760"</f>
        <v>662608676760</v>
      </c>
      <c r="B14108" t="s">
        <v>19521</v>
      </c>
      <c r="C14108" t="s">
        <v>7</v>
      </c>
      <c r="D14108" t="s">
        <v>14</v>
      </c>
      <c r="E14108" t="s">
        <v>19036</v>
      </c>
    </row>
    <row r="14109" spans="1:5" x14ac:dyDescent="0.25">
      <c r="A14109" t="str">
        <f>"662700200211"</f>
        <v>662700200211</v>
      </c>
      <c r="B14109" t="s">
        <v>19522</v>
      </c>
      <c r="C14109" t="s">
        <v>7</v>
      </c>
      <c r="D14109" t="s">
        <v>12</v>
      </c>
      <c r="E14109" t="s">
        <v>19036</v>
      </c>
    </row>
    <row r="14110" spans="1:5" x14ac:dyDescent="0.25">
      <c r="A14110" t="str">
        <f>"662700963809"</f>
        <v>662700963809</v>
      </c>
      <c r="B14110" t="s">
        <v>19523</v>
      </c>
      <c r="C14110" t="s">
        <v>7</v>
      </c>
      <c r="D14110" t="s">
        <v>12</v>
      </c>
      <c r="E14110" t="s">
        <v>19036</v>
      </c>
    </row>
    <row r="14111" spans="1:5" x14ac:dyDescent="0.25">
      <c r="A14111" t="str">
        <f>"662704786082"</f>
        <v>662704786082</v>
      </c>
      <c r="B14111" t="s">
        <v>19524</v>
      </c>
      <c r="C14111" t="s">
        <v>7</v>
      </c>
      <c r="D14111" t="s">
        <v>12</v>
      </c>
      <c r="E14111" t="s">
        <v>19036</v>
      </c>
    </row>
    <row r="14112" spans="1:5" x14ac:dyDescent="0.25">
      <c r="A14112" t="str">
        <f>"662800548098"</f>
        <v>662800548098</v>
      </c>
      <c r="B14112" t="s">
        <v>19525</v>
      </c>
      <c r="C14112" t="s">
        <v>7</v>
      </c>
      <c r="D14112" t="s">
        <v>14</v>
      </c>
      <c r="E14112" t="s">
        <v>19036</v>
      </c>
    </row>
    <row r="14113" spans="1:6" x14ac:dyDescent="0.25">
      <c r="A14113" t="str">
        <f>"662900619715"</f>
        <v>662900619715</v>
      </c>
      <c r="B14113" t="s">
        <v>19526</v>
      </c>
      <c r="C14113" t="s">
        <v>7</v>
      </c>
      <c r="D14113" t="s">
        <v>14</v>
      </c>
      <c r="E14113" t="s">
        <v>19036</v>
      </c>
    </row>
    <row r="14114" spans="1:6" x14ac:dyDescent="0.25">
      <c r="A14114" t="str">
        <f>"662941655092"</f>
        <v>662941655092</v>
      </c>
      <c r="B14114" t="s">
        <v>19527</v>
      </c>
      <c r="C14114" t="s">
        <v>7</v>
      </c>
      <c r="D14114" t="s">
        <v>14</v>
      </c>
      <c r="E14114" t="s">
        <v>19036</v>
      </c>
    </row>
    <row r="14115" spans="1:6" x14ac:dyDescent="0.25">
      <c r="A14115" t="str">
        <f>"663006034574"</f>
        <v>663006034574</v>
      </c>
      <c r="B14115" t="s">
        <v>19528</v>
      </c>
      <c r="C14115" t="s">
        <v>7</v>
      </c>
      <c r="D14115" t="s">
        <v>14</v>
      </c>
      <c r="E14115" t="s">
        <v>19036</v>
      </c>
    </row>
    <row r="14116" spans="1:6" x14ac:dyDescent="0.25">
      <c r="A14116" t="str">
        <f>"663200028564"</f>
        <v>663200028564</v>
      </c>
      <c r="B14116" t="s">
        <v>19529</v>
      </c>
      <c r="C14116" t="s">
        <v>7</v>
      </c>
      <c r="D14116" t="s">
        <v>14</v>
      </c>
      <c r="E14116" t="s">
        <v>19036</v>
      </c>
    </row>
    <row r="14117" spans="1:6" x14ac:dyDescent="0.25">
      <c r="A14117" t="str">
        <f>"663200042047"</f>
        <v>663200042047</v>
      </c>
      <c r="B14117" t="s">
        <v>19530</v>
      </c>
      <c r="C14117" t="s">
        <v>7</v>
      </c>
      <c r="D14117" t="s">
        <v>14</v>
      </c>
      <c r="E14117" t="s">
        <v>19036</v>
      </c>
    </row>
    <row r="14118" spans="1:6" x14ac:dyDescent="0.25">
      <c r="A14118" t="str">
        <f>"663200880994"</f>
        <v>663200880994</v>
      </c>
      <c r="B14118" t="s">
        <v>19531</v>
      </c>
      <c r="C14118" t="s">
        <v>7</v>
      </c>
      <c r="D14118" t="s">
        <v>14</v>
      </c>
      <c r="E14118" t="s">
        <v>19036</v>
      </c>
    </row>
    <row r="14119" spans="1:6" x14ac:dyDescent="0.25">
      <c r="A14119" t="str">
        <f>"6632023596"</f>
        <v>6632023596</v>
      </c>
      <c r="B14119" t="s">
        <v>19532</v>
      </c>
      <c r="C14119" t="s">
        <v>7</v>
      </c>
      <c r="D14119" t="s">
        <v>12</v>
      </c>
      <c r="E14119" t="s">
        <v>19036</v>
      </c>
      <c r="F14119" t="s">
        <v>19533</v>
      </c>
    </row>
    <row r="14120" spans="1:6" x14ac:dyDescent="0.25">
      <c r="A14120" t="str">
        <f>"663202372097"</f>
        <v>663202372097</v>
      </c>
      <c r="B14120" t="s">
        <v>19534</v>
      </c>
      <c r="C14120" t="s">
        <v>7</v>
      </c>
      <c r="D14120" t="s">
        <v>14</v>
      </c>
      <c r="E14120" t="s">
        <v>19036</v>
      </c>
    </row>
    <row r="14121" spans="1:6" x14ac:dyDescent="0.25">
      <c r="A14121" t="str">
        <f>"663209231345"</f>
        <v>663209231345</v>
      </c>
      <c r="B14121" t="s">
        <v>19535</v>
      </c>
      <c r="C14121" t="s">
        <v>7</v>
      </c>
      <c r="D14121" t="s">
        <v>14</v>
      </c>
      <c r="E14121" t="s">
        <v>19036</v>
      </c>
    </row>
    <row r="14122" spans="1:6" x14ac:dyDescent="0.25">
      <c r="A14122" t="str">
        <f>"663230804905"</f>
        <v>663230804905</v>
      </c>
      <c r="B14122" t="s">
        <v>19536</v>
      </c>
      <c r="C14122" t="s">
        <v>7</v>
      </c>
      <c r="D14122" t="s">
        <v>14</v>
      </c>
      <c r="E14122" t="s">
        <v>19036</v>
      </c>
    </row>
    <row r="14123" spans="1:6" x14ac:dyDescent="0.25">
      <c r="A14123" t="str">
        <f>"6634012487"</f>
        <v>6634012487</v>
      </c>
      <c r="B14123" t="s">
        <v>19537</v>
      </c>
      <c r="C14123" t="s">
        <v>7</v>
      </c>
      <c r="D14123" t="s">
        <v>14</v>
      </c>
      <c r="E14123" t="s">
        <v>19036</v>
      </c>
      <c r="F14123" t="s">
        <v>19538</v>
      </c>
    </row>
    <row r="14124" spans="1:6" x14ac:dyDescent="0.25">
      <c r="A14124" t="str">
        <f>"663600025494"</f>
        <v>663600025494</v>
      </c>
      <c r="B14124" t="s">
        <v>19539</v>
      </c>
      <c r="C14124" t="s">
        <v>7</v>
      </c>
      <c r="D14124" t="s">
        <v>14</v>
      </c>
      <c r="E14124" t="s">
        <v>19036</v>
      </c>
    </row>
    <row r="14125" spans="1:6" x14ac:dyDescent="0.25">
      <c r="A14125" t="str">
        <f>"663601071253"</f>
        <v>663601071253</v>
      </c>
      <c r="B14125" t="s">
        <v>19540</v>
      </c>
      <c r="C14125" t="s">
        <v>7</v>
      </c>
      <c r="D14125" t="s">
        <v>14</v>
      </c>
      <c r="E14125" t="s">
        <v>19036</v>
      </c>
    </row>
    <row r="14126" spans="1:6" x14ac:dyDescent="0.25">
      <c r="A14126" t="str">
        <f>"663800045836"</f>
        <v>663800045836</v>
      </c>
      <c r="B14126" t="s">
        <v>19541</v>
      </c>
      <c r="C14126" t="s">
        <v>7</v>
      </c>
      <c r="D14126" t="s">
        <v>14</v>
      </c>
      <c r="E14126" t="s">
        <v>19036</v>
      </c>
    </row>
    <row r="14127" spans="1:6" x14ac:dyDescent="0.25">
      <c r="A14127" t="str">
        <f>"6639017785"</f>
        <v>6639017785</v>
      </c>
      <c r="B14127" t="s">
        <v>19542</v>
      </c>
      <c r="C14127" t="s">
        <v>7</v>
      </c>
      <c r="D14127" t="s">
        <v>33</v>
      </c>
      <c r="E14127" t="s">
        <v>19036</v>
      </c>
      <c r="F14127" t="s">
        <v>19543</v>
      </c>
    </row>
    <row r="14128" spans="1:6" x14ac:dyDescent="0.25">
      <c r="A14128" t="str">
        <f>"663903766477"</f>
        <v>663903766477</v>
      </c>
      <c r="B14128" t="s">
        <v>19544</v>
      </c>
      <c r="C14128" t="s">
        <v>7</v>
      </c>
      <c r="D14128" t="s">
        <v>12</v>
      </c>
      <c r="E14128" t="s">
        <v>19036</v>
      </c>
    </row>
    <row r="14129" spans="1:6" x14ac:dyDescent="0.25">
      <c r="A14129" t="str">
        <f>"664000039828"</f>
        <v>664000039828</v>
      </c>
      <c r="B14129" t="s">
        <v>19545</v>
      </c>
      <c r="C14129" t="s">
        <v>7</v>
      </c>
      <c r="D14129" t="s">
        <v>14</v>
      </c>
      <c r="E14129" t="s">
        <v>19036</v>
      </c>
    </row>
    <row r="14130" spans="1:6" x14ac:dyDescent="0.25">
      <c r="A14130" t="str">
        <f>"664000620969"</f>
        <v>664000620969</v>
      </c>
      <c r="B14130" t="s">
        <v>19546</v>
      </c>
      <c r="C14130" t="s">
        <v>7</v>
      </c>
      <c r="D14130" t="s">
        <v>14</v>
      </c>
      <c r="E14130" t="s">
        <v>19036</v>
      </c>
    </row>
    <row r="14131" spans="1:6" x14ac:dyDescent="0.25">
      <c r="A14131" t="str">
        <f>"664800107996"</f>
        <v>664800107996</v>
      </c>
      <c r="B14131" t="s">
        <v>19547</v>
      </c>
      <c r="C14131" t="s">
        <v>7</v>
      </c>
      <c r="D14131" t="s">
        <v>14</v>
      </c>
      <c r="E14131" t="s">
        <v>19036</v>
      </c>
    </row>
    <row r="14132" spans="1:6" x14ac:dyDescent="0.25">
      <c r="A14132" t="str">
        <f>"6652002058"</f>
        <v>6652002058</v>
      </c>
      <c r="B14132" t="s">
        <v>19548</v>
      </c>
      <c r="C14132" t="s">
        <v>7</v>
      </c>
      <c r="D14132" t="s">
        <v>33</v>
      </c>
      <c r="E14132" t="s">
        <v>19036</v>
      </c>
      <c r="F14132" t="s">
        <v>19549</v>
      </c>
    </row>
    <row r="14133" spans="1:6" x14ac:dyDescent="0.25">
      <c r="A14133" t="str">
        <f>"665600184650"</f>
        <v>665600184650</v>
      </c>
      <c r="B14133" t="s">
        <v>19550</v>
      </c>
      <c r="C14133" t="s">
        <v>7</v>
      </c>
      <c r="D14133" t="s">
        <v>14</v>
      </c>
      <c r="E14133" t="s">
        <v>19036</v>
      </c>
    </row>
    <row r="14134" spans="1:6" x14ac:dyDescent="0.25">
      <c r="A14134" t="str">
        <f>"665600422103"</f>
        <v>665600422103</v>
      </c>
      <c r="B14134" t="s">
        <v>19551</v>
      </c>
      <c r="C14134" t="s">
        <v>7</v>
      </c>
      <c r="D14134" t="s">
        <v>12</v>
      </c>
      <c r="E14134" t="s">
        <v>19036</v>
      </c>
    </row>
    <row r="14135" spans="1:6" x14ac:dyDescent="0.25">
      <c r="A14135" t="str">
        <f>"665801713590"</f>
        <v>665801713590</v>
      </c>
      <c r="B14135" t="s">
        <v>19552</v>
      </c>
      <c r="C14135" t="s">
        <v>7</v>
      </c>
      <c r="D14135" t="s">
        <v>12</v>
      </c>
      <c r="E14135" t="s">
        <v>19036</v>
      </c>
    </row>
    <row r="14136" spans="1:6" x14ac:dyDescent="0.25">
      <c r="A14136" t="str">
        <f>"665801802803"</f>
        <v>665801802803</v>
      </c>
      <c r="B14136" t="s">
        <v>19553</v>
      </c>
      <c r="C14136" t="s">
        <v>7</v>
      </c>
      <c r="D14136" t="s">
        <v>12</v>
      </c>
      <c r="E14136" t="s">
        <v>19036</v>
      </c>
    </row>
    <row r="14137" spans="1:6" x14ac:dyDescent="0.25">
      <c r="A14137" t="str">
        <f>"665801991854"</f>
        <v>665801991854</v>
      </c>
      <c r="B14137" t="s">
        <v>19554</v>
      </c>
      <c r="C14137" t="s">
        <v>7</v>
      </c>
      <c r="D14137" t="s">
        <v>12</v>
      </c>
      <c r="E14137" t="s">
        <v>19036</v>
      </c>
    </row>
    <row r="14138" spans="1:6" x14ac:dyDescent="0.25">
      <c r="A14138" t="str">
        <f>"6658086985"</f>
        <v>6658086985</v>
      </c>
      <c r="B14138" t="s">
        <v>19555</v>
      </c>
      <c r="C14138" t="s">
        <v>7</v>
      </c>
      <c r="D14138" t="s">
        <v>12</v>
      </c>
      <c r="E14138" t="s">
        <v>19036</v>
      </c>
      <c r="F14138" t="s">
        <v>19556</v>
      </c>
    </row>
    <row r="14139" spans="1:6" x14ac:dyDescent="0.25">
      <c r="A14139" t="str">
        <f>"665812278155"</f>
        <v>665812278155</v>
      </c>
      <c r="B14139" t="s">
        <v>19557</v>
      </c>
      <c r="C14139" t="s">
        <v>7</v>
      </c>
      <c r="D14139" t="s">
        <v>14</v>
      </c>
      <c r="E14139" t="s">
        <v>19036</v>
      </c>
    </row>
    <row r="14140" spans="1:6" x14ac:dyDescent="0.25">
      <c r="A14140" t="str">
        <f>"665812538540"</f>
        <v>665812538540</v>
      </c>
      <c r="B14140" t="s">
        <v>19558</v>
      </c>
      <c r="C14140" t="s">
        <v>7</v>
      </c>
      <c r="D14140" t="s">
        <v>12</v>
      </c>
      <c r="E14140" t="s">
        <v>19036</v>
      </c>
    </row>
    <row r="14141" spans="1:6" x14ac:dyDescent="0.25">
      <c r="A14141" t="str">
        <f>"6658166341"</f>
        <v>6658166341</v>
      </c>
      <c r="B14141" t="s">
        <v>19559</v>
      </c>
      <c r="C14141" t="s">
        <v>7</v>
      </c>
      <c r="D14141" t="s">
        <v>12</v>
      </c>
      <c r="E14141" t="s">
        <v>19036</v>
      </c>
      <c r="F14141" t="s">
        <v>19560</v>
      </c>
    </row>
    <row r="14142" spans="1:6" x14ac:dyDescent="0.25">
      <c r="A14142" t="str">
        <f>"6658195254"</f>
        <v>6658195254</v>
      </c>
      <c r="B14142" t="s">
        <v>6860</v>
      </c>
      <c r="C14142" t="s">
        <v>7</v>
      </c>
      <c r="D14142" t="s">
        <v>14</v>
      </c>
      <c r="E14142" t="s">
        <v>19036</v>
      </c>
      <c r="F14142" t="s">
        <v>19561</v>
      </c>
    </row>
    <row r="14143" spans="1:6" x14ac:dyDescent="0.25">
      <c r="A14143" t="str">
        <f>"6658216708"</f>
        <v>6658216708</v>
      </c>
      <c r="B14143" t="s">
        <v>19562</v>
      </c>
      <c r="C14143" t="s">
        <v>7</v>
      </c>
      <c r="D14143" t="s">
        <v>12</v>
      </c>
      <c r="E14143" t="s">
        <v>19036</v>
      </c>
      <c r="F14143" t="s">
        <v>19563</v>
      </c>
    </row>
    <row r="14144" spans="1:6" x14ac:dyDescent="0.25">
      <c r="A14144" t="str">
        <f>"6658355204"</f>
        <v>6658355204</v>
      </c>
      <c r="B14144" t="s">
        <v>19564</v>
      </c>
      <c r="C14144" t="s">
        <v>7</v>
      </c>
      <c r="D14144" t="s">
        <v>1430</v>
      </c>
      <c r="E14144" t="s">
        <v>19036</v>
      </c>
      <c r="F14144" t="s">
        <v>19565</v>
      </c>
    </row>
    <row r="14145" spans="1:6" x14ac:dyDescent="0.25">
      <c r="A14145" t="str">
        <f>"6658357674"</f>
        <v>6658357674</v>
      </c>
      <c r="B14145" t="s">
        <v>19566</v>
      </c>
      <c r="C14145" t="s">
        <v>7</v>
      </c>
      <c r="D14145" t="s">
        <v>14</v>
      </c>
      <c r="E14145" t="s">
        <v>19036</v>
      </c>
      <c r="F14145" t="s">
        <v>19567</v>
      </c>
    </row>
    <row r="14146" spans="1:6" x14ac:dyDescent="0.25">
      <c r="A14146" t="str">
        <f>"6658382984"</f>
        <v>6658382984</v>
      </c>
      <c r="B14146" t="s">
        <v>19568</v>
      </c>
      <c r="C14146" t="s">
        <v>7</v>
      </c>
      <c r="D14146" t="s">
        <v>12</v>
      </c>
      <c r="E14146" t="s">
        <v>19036</v>
      </c>
      <c r="F14146" t="s">
        <v>19569</v>
      </c>
    </row>
    <row r="14147" spans="1:6" x14ac:dyDescent="0.25">
      <c r="A14147" t="str">
        <f>"6658429181"</f>
        <v>6658429181</v>
      </c>
      <c r="B14147" t="s">
        <v>19570</v>
      </c>
      <c r="C14147" t="s">
        <v>7</v>
      </c>
      <c r="D14147" t="s">
        <v>33</v>
      </c>
      <c r="E14147" t="s">
        <v>19036</v>
      </c>
      <c r="F14147" t="s">
        <v>19571</v>
      </c>
    </row>
    <row r="14148" spans="1:6" x14ac:dyDescent="0.25">
      <c r="A14148" t="str">
        <f>"6658444447"</f>
        <v>6658444447</v>
      </c>
      <c r="B14148" t="s">
        <v>19572</v>
      </c>
      <c r="C14148" t="s">
        <v>7</v>
      </c>
      <c r="D14148" t="s">
        <v>12</v>
      </c>
      <c r="E14148" t="s">
        <v>19036</v>
      </c>
      <c r="F14148" t="s">
        <v>19573</v>
      </c>
    </row>
    <row r="14149" spans="1:6" x14ac:dyDescent="0.25">
      <c r="A14149" t="str">
        <f>"6658513073"</f>
        <v>6658513073</v>
      </c>
      <c r="B14149" t="s">
        <v>19574</v>
      </c>
      <c r="C14149" t="s">
        <v>7</v>
      </c>
      <c r="D14149" t="s">
        <v>33</v>
      </c>
      <c r="E14149" t="s">
        <v>19036</v>
      </c>
      <c r="F14149" t="s">
        <v>19575</v>
      </c>
    </row>
    <row r="14150" spans="1:6" x14ac:dyDescent="0.25">
      <c r="A14150" t="str">
        <f>"6658516853"</f>
        <v>6658516853</v>
      </c>
      <c r="B14150" t="s">
        <v>19576</v>
      </c>
      <c r="C14150" t="s">
        <v>7</v>
      </c>
      <c r="D14150" t="s">
        <v>14</v>
      </c>
      <c r="E14150" t="s">
        <v>19036</v>
      </c>
      <c r="F14150" t="s">
        <v>19577</v>
      </c>
    </row>
    <row r="14151" spans="1:6" x14ac:dyDescent="0.25">
      <c r="A14151" t="str">
        <f>"6658517991"</f>
        <v>6658517991</v>
      </c>
      <c r="B14151" t="s">
        <v>19578</v>
      </c>
      <c r="C14151" t="s">
        <v>7</v>
      </c>
      <c r="D14151" t="s">
        <v>14</v>
      </c>
      <c r="E14151" t="s">
        <v>19036</v>
      </c>
      <c r="F14151" t="s">
        <v>19579</v>
      </c>
    </row>
    <row r="14152" spans="1:6" x14ac:dyDescent="0.25">
      <c r="A14152" t="str">
        <f>"6658520296"</f>
        <v>6658520296</v>
      </c>
      <c r="B14152" t="s">
        <v>19580</v>
      </c>
      <c r="C14152" t="s">
        <v>7</v>
      </c>
      <c r="D14152" t="s">
        <v>14</v>
      </c>
      <c r="E14152" t="s">
        <v>19036</v>
      </c>
      <c r="F14152" t="s">
        <v>19581</v>
      </c>
    </row>
    <row r="14153" spans="1:6" x14ac:dyDescent="0.25">
      <c r="A14153" t="str">
        <f>"6658537388"</f>
        <v>6658537388</v>
      </c>
      <c r="B14153" t="s">
        <v>19582</v>
      </c>
      <c r="C14153" t="s">
        <v>7</v>
      </c>
      <c r="D14153" t="s">
        <v>14</v>
      </c>
      <c r="E14153" t="s">
        <v>19036</v>
      </c>
      <c r="F14153" t="s">
        <v>19104</v>
      </c>
    </row>
    <row r="14154" spans="1:6" x14ac:dyDescent="0.25">
      <c r="A14154" t="str">
        <f>"6658540800"</f>
        <v>6658540800</v>
      </c>
      <c r="B14154" t="s">
        <v>19583</v>
      </c>
      <c r="C14154" t="s">
        <v>7</v>
      </c>
      <c r="D14154" t="s">
        <v>14</v>
      </c>
      <c r="E14154" t="s">
        <v>19036</v>
      </c>
      <c r="F14154" t="s">
        <v>19584</v>
      </c>
    </row>
    <row r="14155" spans="1:6" x14ac:dyDescent="0.25">
      <c r="A14155" t="str">
        <f>"6658546978"</f>
        <v>6658546978</v>
      </c>
      <c r="B14155" t="s">
        <v>19585</v>
      </c>
      <c r="C14155" t="s">
        <v>7</v>
      </c>
      <c r="D14155" t="s">
        <v>12</v>
      </c>
      <c r="E14155" t="s">
        <v>19036</v>
      </c>
      <c r="F14155" t="s">
        <v>19586</v>
      </c>
    </row>
    <row r="14156" spans="1:6" x14ac:dyDescent="0.25">
      <c r="A14156" t="str">
        <f>"6658554200"</f>
        <v>6658554200</v>
      </c>
      <c r="B14156" t="s">
        <v>19587</v>
      </c>
      <c r="C14156" t="s">
        <v>7</v>
      </c>
      <c r="D14156" t="s">
        <v>14</v>
      </c>
      <c r="E14156" t="s">
        <v>19036</v>
      </c>
      <c r="F14156" t="s">
        <v>19588</v>
      </c>
    </row>
    <row r="14157" spans="1:6" x14ac:dyDescent="0.25">
      <c r="A14157" t="str">
        <f>"6658563973"</f>
        <v>6658563973</v>
      </c>
      <c r="B14157" t="s">
        <v>19589</v>
      </c>
      <c r="C14157" t="s">
        <v>7</v>
      </c>
      <c r="D14157" t="s">
        <v>14</v>
      </c>
      <c r="E14157" t="s">
        <v>19036</v>
      </c>
      <c r="F14157" t="s">
        <v>19590</v>
      </c>
    </row>
    <row r="14158" spans="1:6" x14ac:dyDescent="0.25">
      <c r="A14158" t="str">
        <f>"6658576500"</f>
        <v>6658576500</v>
      </c>
      <c r="B14158" t="s">
        <v>19591</v>
      </c>
      <c r="C14158" t="s">
        <v>7</v>
      </c>
      <c r="D14158" t="s">
        <v>12</v>
      </c>
      <c r="E14158" t="s">
        <v>19036</v>
      </c>
      <c r="F14158" t="s">
        <v>19592</v>
      </c>
    </row>
    <row r="14159" spans="1:6" x14ac:dyDescent="0.25">
      <c r="A14159" t="str">
        <f>"665899070261"</f>
        <v>665899070261</v>
      </c>
      <c r="B14159" t="s">
        <v>19593</v>
      </c>
      <c r="C14159" t="s">
        <v>7</v>
      </c>
      <c r="D14159" t="s">
        <v>12</v>
      </c>
      <c r="E14159" t="s">
        <v>19036</v>
      </c>
    </row>
    <row r="14160" spans="1:6" x14ac:dyDescent="0.25">
      <c r="A14160" t="str">
        <f>"665901601233"</f>
        <v>665901601233</v>
      </c>
      <c r="B14160" t="s">
        <v>19594</v>
      </c>
      <c r="C14160" t="s">
        <v>7</v>
      </c>
      <c r="D14160" t="s">
        <v>14</v>
      </c>
      <c r="E14160" t="s">
        <v>19036</v>
      </c>
    </row>
    <row r="14161" spans="1:6" x14ac:dyDescent="0.25">
      <c r="A14161" t="str">
        <f>"6659053580"</f>
        <v>6659053580</v>
      </c>
      <c r="B14161" t="s">
        <v>19595</v>
      </c>
      <c r="C14161" t="s">
        <v>7</v>
      </c>
      <c r="D14161" t="s">
        <v>12</v>
      </c>
      <c r="E14161" t="s">
        <v>19036</v>
      </c>
      <c r="F14161" t="s">
        <v>19596</v>
      </c>
    </row>
    <row r="14162" spans="1:6" x14ac:dyDescent="0.25">
      <c r="A14162" t="str">
        <f>"6659148521"</f>
        <v>6659148521</v>
      </c>
      <c r="B14162" t="s">
        <v>19597</v>
      </c>
      <c r="C14162" t="s">
        <v>7</v>
      </c>
      <c r="D14162" t="s">
        <v>14</v>
      </c>
      <c r="E14162" t="s">
        <v>19036</v>
      </c>
      <c r="F14162" t="s">
        <v>19598</v>
      </c>
    </row>
    <row r="14163" spans="1:6" x14ac:dyDescent="0.25">
      <c r="A14163" t="str">
        <f>"6659190788"</f>
        <v>6659190788</v>
      </c>
      <c r="B14163" t="s">
        <v>19599</v>
      </c>
      <c r="C14163" t="s">
        <v>7</v>
      </c>
      <c r="D14163" t="s">
        <v>12</v>
      </c>
      <c r="E14163" t="s">
        <v>19036</v>
      </c>
      <c r="F14163" t="s">
        <v>19600</v>
      </c>
    </row>
    <row r="14164" spans="1:6" x14ac:dyDescent="0.25">
      <c r="A14164" t="str">
        <f>"6659210642"</f>
        <v>6659210642</v>
      </c>
      <c r="B14164" t="s">
        <v>19601</v>
      </c>
      <c r="C14164" t="s">
        <v>7</v>
      </c>
      <c r="D14164" t="s">
        <v>14</v>
      </c>
      <c r="E14164" t="s">
        <v>19036</v>
      </c>
      <c r="F14164" t="s">
        <v>19602</v>
      </c>
    </row>
    <row r="14165" spans="1:6" x14ac:dyDescent="0.25">
      <c r="A14165" t="str">
        <f>"666000462219"</f>
        <v>666000462219</v>
      </c>
      <c r="B14165" t="s">
        <v>19603</v>
      </c>
      <c r="C14165" t="s">
        <v>7</v>
      </c>
      <c r="D14165" t="s">
        <v>14</v>
      </c>
      <c r="E14165" t="s">
        <v>19036</v>
      </c>
    </row>
    <row r="14166" spans="1:6" x14ac:dyDescent="0.25">
      <c r="A14166" t="str">
        <f>"666005963201"</f>
        <v>666005963201</v>
      </c>
      <c r="B14166" t="s">
        <v>19604</v>
      </c>
      <c r="C14166" t="s">
        <v>7</v>
      </c>
      <c r="D14166" t="s">
        <v>14</v>
      </c>
      <c r="E14166" t="s">
        <v>19036</v>
      </c>
    </row>
    <row r="14167" spans="1:6" x14ac:dyDescent="0.25">
      <c r="A14167" t="str">
        <f>"666202481454"</f>
        <v>666202481454</v>
      </c>
      <c r="B14167" t="s">
        <v>19605</v>
      </c>
      <c r="C14167" t="s">
        <v>7</v>
      </c>
      <c r="D14167" t="s">
        <v>14</v>
      </c>
      <c r="E14167" t="s">
        <v>19036</v>
      </c>
    </row>
    <row r="14168" spans="1:6" x14ac:dyDescent="0.25">
      <c r="A14168" t="str">
        <f>"666202988124"</f>
        <v>666202988124</v>
      </c>
      <c r="B14168" t="s">
        <v>19606</v>
      </c>
      <c r="C14168" t="s">
        <v>7</v>
      </c>
      <c r="D14168" t="s">
        <v>14</v>
      </c>
      <c r="E14168" t="s">
        <v>19036</v>
      </c>
    </row>
    <row r="14169" spans="1:6" x14ac:dyDescent="0.25">
      <c r="A14169" t="str">
        <f>"666203491110"</f>
        <v>666203491110</v>
      </c>
      <c r="B14169" t="s">
        <v>19607</v>
      </c>
      <c r="C14169" t="s">
        <v>7</v>
      </c>
      <c r="D14169" t="s">
        <v>14</v>
      </c>
      <c r="E14169" t="s">
        <v>19036</v>
      </c>
    </row>
    <row r="14170" spans="1:6" x14ac:dyDescent="0.25">
      <c r="A14170" t="str">
        <f>"6662076901"</f>
        <v>6662076901</v>
      </c>
      <c r="B14170" t="s">
        <v>19608</v>
      </c>
      <c r="C14170" t="s">
        <v>7</v>
      </c>
      <c r="D14170" t="s">
        <v>674</v>
      </c>
      <c r="E14170" t="s">
        <v>19036</v>
      </c>
      <c r="F14170" t="s">
        <v>19609</v>
      </c>
    </row>
    <row r="14171" spans="1:6" x14ac:dyDescent="0.25">
      <c r="A14171" t="str">
        <f>"666300729590"</f>
        <v>666300729590</v>
      </c>
      <c r="B14171" t="s">
        <v>19610</v>
      </c>
      <c r="C14171" t="s">
        <v>7</v>
      </c>
      <c r="D14171" t="s">
        <v>14</v>
      </c>
      <c r="E14171" t="s">
        <v>19036</v>
      </c>
    </row>
    <row r="14172" spans="1:6" x14ac:dyDescent="0.25">
      <c r="A14172" t="str">
        <f>"666300747230"</f>
        <v>666300747230</v>
      </c>
      <c r="B14172" t="s">
        <v>19611</v>
      </c>
      <c r="C14172" t="s">
        <v>7</v>
      </c>
      <c r="D14172" t="s">
        <v>14</v>
      </c>
      <c r="E14172" t="s">
        <v>19036</v>
      </c>
    </row>
    <row r="14173" spans="1:6" x14ac:dyDescent="0.25">
      <c r="A14173" t="str">
        <f>"666300793050"</f>
        <v>666300793050</v>
      </c>
      <c r="B14173" t="s">
        <v>19612</v>
      </c>
      <c r="C14173" t="s">
        <v>7</v>
      </c>
      <c r="D14173" t="s">
        <v>14</v>
      </c>
      <c r="E14173" t="s">
        <v>19036</v>
      </c>
    </row>
    <row r="14174" spans="1:6" x14ac:dyDescent="0.25">
      <c r="A14174" t="str">
        <f>"666303444970"</f>
        <v>666303444970</v>
      </c>
      <c r="B14174" t="s">
        <v>19613</v>
      </c>
      <c r="C14174" t="s">
        <v>7</v>
      </c>
      <c r="D14174" t="s">
        <v>14</v>
      </c>
      <c r="E14174" t="s">
        <v>19036</v>
      </c>
    </row>
    <row r="14175" spans="1:6" x14ac:dyDescent="0.25">
      <c r="A14175" t="str">
        <f>"6663049587"</f>
        <v>6663049587</v>
      </c>
      <c r="B14175" t="s">
        <v>19614</v>
      </c>
      <c r="C14175" t="s">
        <v>7</v>
      </c>
      <c r="D14175" t="s">
        <v>14</v>
      </c>
      <c r="E14175" t="s">
        <v>19036</v>
      </c>
      <c r="F14175" t="s">
        <v>19615</v>
      </c>
    </row>
    <row r="14176" spans="1:6" x14ac:dyDescent="0.25">
      <c r="A14176" t="str">
        <f>"666307274906"</f>
        <v>666307274906</v>
      </c>
      <c r="B14176" t="s">
        <v>19616</v>
      </c>
      <c r="C14176" t="s">
        <v>7</v>
      </c>
      <c r="D14176" t="s">
        <v>14</v>
      </c>
      <c r="E14176" t="s">
        <v>19036</v>
      </c>
    </row>
    <row r="14177" spans="1:6" x14ac:dyDescent="0.25">
      <c r="A14177" t="str">
        <f>"666400125578"</f>
        <v>666400125578</v>
      </c>
      <c r="B14177" t="s">
        <v>19617</v>
      </c>
      <c r="C14177" t="s">
        <v>7</v>
      </c>
      <c r="D14177" t="s">
        <v>12</v>
      </c>
      <c r="E14177" t="s">
        <v>19036</v>
      </c>
    </row>
    <row r="14178" spans="1:6" x14ac:dyDescent="0.25">
      <c r="A14178" t="str">
        <f>"666401783837"</f>
        <v>666401783837</v>
      </c>
      <c r="B14178" t="s">
        <v>19618</v>
      </c>
      <c r="C14178" t="s">
        <v>7</v>
      </c>
      <c r="D14178" t="s">
        <v>14</v>
      </c>
      <c r="E14178" t="s">
        <v>19036</v>
      </c>
    </row>
    <row r="14179" spans="1:6" x14ac:dyDescent="0.25">
      <c r="A14179" t="str">
        <f>"666700303207"</f>
        <v>666700303207</v>
      </c>
      <c r="B14179" t="s">
        <v>19619</v>
      </c>
      <c r="C14179" t="s">
        <v>7</v>
      </c>
      <c r="D14179" t="s">
        <v>14</v>
      </c>
      <c r="E14179" t="s">
        <v>19036</v>
      </c>
    </row>
    <row r="14180" spans="1:6" x14ac:dyDescent="0.25">
      <c r="A14180" t="str">
        <f>"666800111805"</f>
        <v>666800111805</v>
      </c>
      <c r="B14180" t="s">
        <v>19620</v>
      </c>
      <c r="C14180" t="s">
        <v>7</v>
      </c>
      <c r="D14180" t="s">
        <v>14</v>
      </c>
      <c r="E14180" t="s">
        <v>19036</v>
      </c>
    </row>
    <row r="14181" spans="1:6" x14ac:dyDescent="0.25">
      <c r="A14181" t="str">
        <f>"667001464771"</f>
        <v>667001464771</v>
      </c>
      <c r="B14181" t="s">
        <v>19621</v>
      </c>
      <c r="C14181" t="s">
        <v>7</v>
      </c>
      <c r="D14181" t="s">
        <v>33</v>
      </c>
      <c r="E14181" t="s">
        <v>19036</v>
      </c>
    </row>
    <row r="14182" spans="1:6" x14ac:dyDescent="0.25">
      <c r="A14182" t="str">
        <f>"667003954108"</f>
        <v>667003954108</v>
      </c>
      <c r="B14182" t="s">
        <v>19622</v>
      </c>
      <c r="C14182" t="s">
        <v>7</v>
      </c>
      <c r="D14182" t="s">
        <v>12</v>
      </c>
      <c r="E14182" t="s">
        <v>19036</v>
      </c>
    </row>
    <row r="14183" spans="1:6" x14ac:dyDescent="0.25">
      <c r="A14183" t="str">
        <f>"667005546520"</f>
        <v>667005546520</v>
      </c>
      <c r="B14183" t="s">
        <v>19623</v>
      </c>
      <c r="C14183" t="s">
        <v>7</v>
      </c>
      <c r="D14183" t="s">
        <v>14</v>
      </c>
      <c r="E14183" t="s">
        <v>19036</v>
      </c>
    </row>
    <row r="14184" spans="1:6" x14ac:dyDescent="0.25">
      <c r="A14184" t="str">
        <f>"667010721305"</f>
        <v>667010721305</v>
      </c>
      <c r="B14184" t="s">
        <v>19624</v>
      </c>
      <c r="C14184" t="s">
        <v>7</v>
      </c>
      <c r="D14184" t="s">
        <v>14</v>
      </c>
      <c r="E14184" t="s">
        <v>19036</v>
      </c>
    </row>
    <row r="14185" spans="1:6" x14ac:dyDescent="0.25">
      <c r="A14185" t="str">
        <f>"667011068304"</f>
        <v>667011068304</v>
      </c>
      <c r="B14185" t="s">
        <v>19625</v>
      </c>
      <c r="C14185" t="s">
        <v>7</v>
      </c>
      <c r="D14185" t="s">
        <v>12</v>
      </c>
      <c r="E14185" t="s">
        <v>19036</v>
      </c>
    </row>
    <row r="14186" spans="1:6" x14ac:dyDescent="0.25">
      <c r="A14186" t="str">
        <f>"667014538653"</f>
        <v>667014538653</v>
      </c>
      <c r="B14186" t="s">
        <v>19626</v>
      </c>
      <c r="C14186" t="s">
        <v>7</v>
      </c>
      <c r="D14186" t="s">
        <v>14</v>
      </c>
      <c r="E14186" t="s">
        <v>19036</v>
      </c>
    </row>
    <row r="14187" spans="1:6" x14ac:dyDescent="0.25">
      <c r="A14187" t="str">
        <f>"6670178551"</f>
        <v>6670178551</v>
      </c>
      <c r="B14187" t="s">
        <v>19627</v>
      </c>
      <c r="C14187" t="s">
        <v>7</v>
      </c>
      <c r="D14187" t="s">
        <v>12</v>
      </c>
      <c r="E14187" t="s">
        <v>19036</v>
      </c>
      <c r="F14187" t="s">
        <v>19628</v>
      </c>
    </row>
    <row r="14188" spans="1:6" x14ac:dyDescent="0.25">
      <c r="A14188" t="str">
        <f>"6670178576"</f>
        <v>6670178576</v>
      </c>
      <c r="B14188" t="s">
        <v>19629</v>
      </c>
      <c r="C14188" t="s">
        <v>7</v>
      </c>
      <c r="D14188" t="s">
        <v>8</v>
      </c>
      <c r="E14188" t="s">
        <v>19036</v>
      </c>
      <c r="F14188" t="s">
        <v>19630</v>
      </c>
    </row>
    <row r="14189" spans="1:6" x14ac:dyDescent="0.25">
      <c r="A14189" t="str">
        <f>"6670179530"</f>
        <v>6670179530</v>
      </c>
      <c r="B14189" t="s">
        <v>19631</v>
      </c>
      <c r="C14189" t="s">
        <v>7</v>
      </c>
      <c r="D14189" t="s">
        <v>14</v>
      </c>
      <c r="E14189" t="s">
        <v>19036</v>
      </c>
      <c r="F14189" t="s">
        <v>19632</v>
      </c>
    </row>
    <row r="14190" spans="1:6" x14ac:dyDescent="0.25">
      <c r="A14190" t="str">
        <f>"6670344495"</f>
        <v>6670344495</v>
      </c>
      <c r="B14190" t="s">
        <v>19633</v>
      </c>
      <c r="C14190" t="s">
        <v>7</v>
      </c>
      <c r="D14190" t="s">
        <v>14</v>
      </c>
      <c r="E14190" t="s">
        <v>19036</v>
      </c>
      <c r="F14190" t="s">
        <v>19634</v>
      </c>
    </row>
    <row r="14191" spans="1:6" x14ac:dyDescent="0.25">
      <c r="A14191" t="str">
        <f>"6670399832"</f>
        <v>6670399832</v>
      </c>
      <c r="B14191" t="s">
        <v>19635</v>
      </c>
      <c r="C14191" t="s">
        <v>7</v>
      </c>
      <c r="D14191" t="s">
        <v>98</v>
      </c>
      <c r="E14191" t="s">
        <v>19036</v>
      </c>
      <c r="F14191" t="s">
        <v>19636</v>
      </c>
    </row>
    <row r="14192" spans="1:6" x14ac:dyDescent="0.25">
      <c r="A14192" t="str">
        <f>"6670422591"</f>
        <v>6670422591</v>
      </c>
      <c r="B14192" t="s">
        <v>6501</v>
      </c>
      <c r="C14192" t="s">
        <v>7</v>
      </c>
      <c r="D14192" t="s">
        <v>12</v>
      </c>
      <c r="E14192" t="s">
        <v>19036</v>
      </c>
      <c r="F14192" t="s">
        <v>19637</v>
      </c>
    </row>
    <row r="14193" spans="1:6" x14ac:dyDescent="0.25">
      <c r="A14193" t="str">
        <f>"6670449995"</f>
        <v>6670449995</v>
      </c>
      <c r="B14193" t="s">
        <v>19638</v>
      </c>
      <c r="C14193" t="s">
        <v>7</v>
      </c>
      <c r="D14193" t="s">
        <v>12</v>
      </c>
      <c r="E14193" t="s">
        <v>19036</v>
      </c>
      <c r="F14193" t="s">
        <v>19639</v>
      </c>
    </row>
    <row r="14194" spans="1:6" x14ac:dyDescent="0.25">
      <c r="A14194" t="str">
        <f>"6670504727"</f>
        <v>6670504727</v>
      </c>
      <c r="B14194" t="s">
        <v>19640</v>
      </c>
      <c r="C14194" t="s">
        <v>7</v>
      </c>
      <c r="D14194" t="s">
        <v>33</v>
      </c>
      <c r="E14194" t="s">
        <v>19036</v>
      </c>
      <c r="F14194" t="s">
        <v>19641</v>
      </c>
    </row>
    <row r="14195" spans="1:6" x14ac:dyDescent="0.25">
      <c r="A14195" t="str">
        <f>"6670529908"</f>
        <v>6670529908</v>
      </c>
      <c r="B14195" t="s">
        <v>14613</v>
      </c>
      <c r="C14195" t="s">
        <v>7</v>
      </c>
      <c r="D14195" t="s">
        <v>8</v>
      </c>
      <c r="E14195" t="s">
        <v>19036</v>
      </c>
      <c r="F14195" t="s">
        <v>19642</v>
      </c>
    </row>
    <row r="14196" spans="1:6" x14ac:dyDescent="0.25">
      <c r="A14196" t="str">
        <f>"6671002215"</f>
        <v>6671002215</v>
      </c>
      <c r="B14196" t="s">
        <v>19643</v>
      </c>
      <c r="C14196" t="s">
        <v>7</v>
      </c>
      <c r="D14196" t="s">
        <v>14</v>
      </c>
      <c r="E14196" t="s">
        <v>19036</v>
      </c>
      <c r="F14196" t="s">
        <v>19644</v>
      </c>
    </row>
    <row r="14197" spans="1:6" x14ac:dyDescent="0.25">
      <c r="A14197" t="str">
        <f>"6671023575"</f>
        <v>6671023575</v>
      </c>
      <c r="B14197" t="s">
        <v>19645</v>
      </c>
      <c r="C14197" t="s">
        <v>7</v>
      </c>
      <c r="D14197" t="s">
        <v>33</v>
      </c>
      <c r="E14197" t="s">
        <v>19036</v>
      </c>
      <c r="F14197" t="s">
        <v>19646</v>
      </c>
    </row>
    <row r="14198" spans="1:6" x14ac:dyDescent="0.25">
      <c r="A14198" t="str">
        <f>"6671042289"</f>
        <v>6671042289</v>
      </c>
      <c r="B14198" t="s">
        <v>19647</v>
      </c>
      <c r="C14198" t="s">
        <v>7</v>
      </c>
      <c r="D14198" t="s">
        <v>33</v>
      </c>
      <c r="E14198" t="s">
        <v>19036</v>
      </c>
      <c r="F14198" t="s">
        <v>19648</v>
      </c>
    </row>
    <row r="14199" spans="1:6" x14ac:dyDescent="0.25">
      <c r="A14199" t="str">
        <f>"667105694890"</f>
        <v>667105694890</v>
      </c>
      <c r="B14199" t="s">
        <v>19649</v>
      </c>
      <c r="C14199" t="s">
        <v>7</v>
      </c>
      <c r="D14199" t="s">
        <v>14</v>
      </c>
      <c r="E14199" t="s">
        <v>19036</v>
      </c>
    </row>
    <row r="14200" spans="1:6" x14ac:dyDescent="0.25">
      <c r="A14200" t="str">
        <f>"667108343064"</f>
        <v>667108343064</v>
      </c>
      <c r="B14200" t="s">
        <v>19650</v>
      </c>
      <c r="C14200" t="s">
        <v>7</v>
      </c>
      <c r="D14200" t="s">
        <v>14</v>
      </c>
      <c r="E14200" t="s">
        <v>19036</v>
      </c>
    </row>
    <row r="14201" spans="1:6" x14ac:dyDescent="0.25">
      <c r="A14201" t="str">
        <f>"667112270228"</f>
        <v>667112270228</v>
      </c>
      <c r="B14201" t="s">
        <v>19651</v>
      </c>
      <c r="C14201" t="s">
        <v>7</v>
      </c>
      <c r="D14201" t="s">
        <v>14</v>
      </c>
      <c r="E14201" t="s">
        <v>19036</v>
      </c>
    </row>
    <row r="14202" spans="1:6" x14ac:dyDescent="0.25">
      <c r="A14202" t="str">
        <f>"6671134099"</f>
        <v>6671134099</v>
      </c>
      <c r="B14202" t="s">
        <v>3879</v>
      </c>
      <c r="C14202" t="s">
        <v>7</v>
      </c>
      <c r="D14202" t="s">
        <v>14</v>
      </c>
      <c r="E14202" t="s">
        <v>19036</v>
      </c>
      <c r="F14202" t="s">
        <v>19652</v>
      </c>
    </row>
    <row r="14203" spans="1:6" x14ac:dyDescent="0.25">
      <c r="A14203" t="str">
        <f>"667115128621"</f>
        <v>667115128621</v>
      </c>
      <c r="B14203" t="s">
        <v>19653</v>
      </c>
      <c r="C14203" t="s">
        <v>7</v>
      </c>
      <c r="D14203" t="s">
        <v>12</v>
      </c>
      <c r="E14203" t="s">
        <v>19036</v>
      </c>
    </row>
    <row r="14204" spans="1:6" x14ac:dyDescent="0.25">
      <c r="A14204" t="str">
        <f>"6671173041"</f>
        <v>6671173041</v>
      </c>
      <c r="B14204" t="s">
        <v>13740</v>
      </c>
      <c r="C14204" t="s">
        <v>7</v>
      </c>
      <c r="D14204" t="s">
        <v>8</v>
      </c>
      <c r="E14204" t="s">
        <v>19036</v>
      </c>
      <c r="F14204" t="s">
        <v>19654</v>
      </c>
    </row>
    <row r="14205" spans="1:6" x14ac:dyDescent="0.25">
      <c r="A14205" t="str">
        <f>"6671214467"</f>
        <v>6671214467</v>
      </c>
      <c r="B14205" t="s">
        <v>19655</v>
      </c>
      <c r="C14205" t="s">
        <v>7</v>
      </c>
      <c r="D14205" t="s">
        <v>33</v>
      </c>
      <c r="E14205" t="s">
        <v>19036</v>
      </c>
      <c r="F14205" t="s">
        <v>19656</v>
      </c>
    </row>
    <row r="14206" spans="1:6" x14ac:dyDescent="0.25">
      <c r="A14206" t="str">
        <f>"6671307560"</f>
        <v>6671307560</v>
      </c>
      <c r="B14206" t="s">
        <v>19657</v>
      </c>
      <c r="C14206" t="s">
        <v>7</v>
      </c>
      <c r="D14206" t="s">
        <v>674</v>
      </c>
      <c r="E14206" t="s">
        <v>19036</v>
      </c>
      <c r="F14206" t="s">
        <v>19658</v>
      </c>
    </row>
    <row r="14207" spans="1:6" x14ac:dyDescent="0.25">
      <c r="A14207" t="str">
        <f>"6671322303"</f>
        <v>6671322303</v>
      </c>
      <c r="B14207" t="s">
        <v>19659</v>
      </c>
      <c r="C14207" t="s">
        <v>7</v>
      </c>
      <c r="D14207" t="s">
        <v>8</v>
      </c>
      <c r="E14207" t="s">
        <v>19036</v>
      </c>
      <c r="F14207" t="s">
        <v>19660</v>
      </c>
    </row>
    <row r="14208" spans="1:6" x14ac:dyDescent="0.25">
      <c r="A14208" t="str">
        <f>"6671323138"</f>
        <v>6671323138</v>
      </c>
      <c r="B14208" t="s">
        <v>19661</v>
      </c>
      <c r="C14208" t="s">
        <v>7</v>
      </c>
      <c r="D14208" t="s">
        <v>8</v>
      </c>
      <c r="E14208" t="s">
        <v>19036</v>
      </c>
      <c r="F14208" t="s">
        <v>19662</v>
      </c>
    </row>
    <row r="14209" spans="1:6" x14ac:dyDescent="0.25">
      <c r="A14209" t="str">
        <f>"6671440226"</f>
        <v>6671440226</v>
      </c>
      <c r="B14209" t="s">
        <v>19663</v>
      </c>
      <c r="C14209" t="s">
        <v>7</v>
      </c>
      <c r="D14209" t="s">
        <v>14</v>
      </c>
      <c r="E14209" t="s">
        <v>19036</v>
      </c>
      <c r="F14209" t="s">
        <v>19664</v>
      </c>
    </row>
    <row r="14210" spans="1:6" x14ac:dyDescent="0.25">
      <c r="A14210" t="str">
        <f>"667208550233"</f>
        <v>667208550233</v>
      </c>
      <c r="B14210" t="s">
        <v>19665</v>
      </c>
      <c r="C14210" t="s">
        <v>7</v>
      </c>
      <c r="D14210" t="s">
        <v>14</v>
      </c>
      <c r="E14210" t="s">
        <v>19036</v>
      </c>
    </row>
    <row r="14211" spans="1:6" x14ac:dyDescent="0.25">
      <c r="A14211" t="str">
        <f>"667209805780"</f>
        <v>667209805780</v>
      </c>
      <c r="B14211" t="s">
        <v>19666</v>
      </c>
      <c r="C14211" t="s">
        <v>7</v>
      </c>
      <c r="D14211" t="s">
        <v>14</v>
      </c>
      <c r="E14211" t="s">
        <v>19036</v>
      </c>
    </row>
    <row r="14212" spans="1:6" x14ac:dyDescent="0.25">
      <c r="A14212" t="str">
        <f>"667209809873"</f>
        <v>667209809873</v>
      </c>
      <c r="B14212" t="s">
        <v>19667</v>
      </c>
      <c r="C14212" t="s">
        <v>7</v>
      </c>
      <c r="D14212" t="s">
        <v>12</v>
      </c>
      <c r="E14212" t="s">
        <v>19036</v>
      </c>
    </row>
    <row r="14213" spans="1:6" x14ac:dyDescent="0.25">
      <c r="A14213" t="str">
        <f>"664898522467"</f>
        <v>664898522467</v>
      </c>
      <c r="B14213" t="s">
        <v>19668</v>
      </c>
      <c r="C14213" t="s">
        <v>7</v>
      </c>
      <c r="D14213" t="s">
        <v>14</v>
      </c>
      <c r="E14213" t="s">
        <v>19036</v>
      </c>
    </row>
    <row r="14214" spans="1:6" x14ac:dyDescent="0.25">
      <c r="A14214" t="str">
        <f>"664898697869"</f>
        <v>664898697869</v>
      </c>
      <c r="B14214" t="s">
        <v>19669</v>
      </c>
      <c r="C14214" t="s">
        <v>7</v>
      </c>
      <c r="D14214" t="s">
        <v>33</v>
      </c>
      <c r="E14214" t="s">
        <v>19036</v>
      </c>
    </row>
    <row r="14215" spans="1:6" x14ac:dyDescent="0.25">
      <c r="A14215" t="str">
        <f>"665203036817"</f>
        <v>665203036817</v>
      </c>
      <c r="B14215" t="s">
        <v>19670</v>
      </c>
      <c r="C14215" t="s">
        <v>7</v>
      </c>
      <c r="D14215" t="s">
        <v>12</v>
      </c>
      <c r="E14215" t="s">
        <v>19036</v>
      </c>
    </row>
    <row r="14216" spans="1:6" x14ac:dyDescent="0.25">
      <c r="A14216" t="str">
        <f>"665203920409"</f>
        <v>665203920409</v>
      </c>
      <c r="B14216" t="s">
        <v>19671</v>
      </c>
      <c r="C14216" t="s">
        <v>7</v>
      </c>
      <c r="D14216" t="s">
        <v>14</v>
      </c>
      <c r="E14216" t="s">
        <v>19036</v>
      </c>
    </row>
    <row r="14217" spans="1:6" x14ac:dyDescent="0.25">
      <c r="A14217" t="str">
        <f>"665206070164"</f>
        <v>665206070164</v>
      </c>
      <c r="B14217" t="s">
        <v>19672</v>
      </c>
      <c r="C14217" t="s">
        <v>7</v>
      </c>
      <c r="D14217" t="s">
        <v>14</v>
      </c>
      <c r="E14217" t="s">
        <v>19036</v>
      </c>
    </row>
    <row r="14218" spans="1:6" x14ac:dyDescent="0.25">
      <c r="A14218" t="str">
        <f>"665404288331"</f>
        <v>665404288331</v>
      </c>
      <c r="B14218" t="s">
        <v>19673</v>
      </c>
      <c r="C14218" t="s">
        <v>7</v>
      </c>
      <c r="D14218" t="s">
        <v>14</v>
      </c>
      <c r="E14218" t="s">
        <v>19036</v>
      </c>
    </row>
    <row r="14219" spans="1:6" x14ac:dyDescent="0.25">
      <c r="A14219" t="str">
        <f>"665501973741"</f>
        <v>665501973741</v>
      </c>
      <c r="B14219" t="s">
        <v>19674</v>
      </c>
      <c r="C14219" t="s">
        <v>7</v>
      </c>
      <c r="D14219" t="s">
        <v>14</v>
      </c>
      <c r="E14219" t="s">
        <v>19036</v>
      </c>
    </row>
    <row r="14220" spans="1:6" x14ac:dyDescent="0.25">
      <c r="A14220" t="str">
        <f>"665800374270"</f>
        <v>665800374270</v>
      </c>
      <c r="B14220" t="s">
        <v>19675</v>
      </c>
      <c r="C14220" t="s">
        <v>7</v>
      </c>
      <c r="D14220" t="s">
        <v>12</v>
      </c>
      <c r="E14220" t="s">
        <v>19036</v>
      </c>
    </row>
    <row r="14221" spans="1:6" x14ac:dyDescent="0.25">
      <c r="A14221" t="str">
        <f>"665800585225"</f>
        <v>665800585225</v>
      </c>
      <c r="B14221" t="s">
        <v>19676</v>
      </c>
      <c r="C14221" t="s">
        <v>7</v>
      </c>
      <c r="D14221" t="s">
        <v>14</v>
      </c>
      <c r="E14221" t="s">
        <v>19036</v>
      </c>
    </row>
    <row r="14222" spans="1:6" x14ac:dyDescent="0.25">
      <c r="A14222" t="str">
        <f>"665800960846"</f>
        <v>665800960846</v>
      </c>
      <c r="B14222" t="s">
        <v>19677</v>
      </c>
      <c r="C14222" t="s">
        <v>7</v>
      </c>
      <c r="D14222" t="s">
        <v>14</v>
      </c>
      <c r="E14222" t="s">
        <v>19036</v>
      </c>
    </row>
    <row r="14223" spans="1:6" x14ac:dyDescent="0.25">
      <c r="A14223" t="str">
        <f>"665805821331"</f>
        <v>665805821331</v>
      </c>
      <c r="B14223" t="s">
        <v>19678</v>
      </c>
      <c r="C14223" t="s">
        <v>7</v>
      </c>
      <c r="D14223" t="s">
        <v>12</v>
      </c>
      <c r="E14223" t="s">
        <v>19036</v>
      </c>
    </row>
    <row r="14224" spans="1:6" x14ac:dyDescent="0.25">
      <c r="A14224" t="str">
        <f>"665811867743"</f>
        <v>665811867743</v>
      </c>
      <c r="B14224" t="s">
        <v>19679</v>
      </c>
      <c r="C14224" t="s">
        <v>7</v>
      </c>
      <c r="D14224" t="s">
        <v>14</v>
      </c>
      <c r="E14224" t="s">
        <v>19036</v>
      </c>
    </row>
    <row r="14225" spans="1:6" x14ac:dyDescent="0.25">
      <c r="A14225" t="str">
        <f>"665812895479"</f>
        <v>665812895479</v>
      </c>
      <c r="B14225" t="s">
        <v>19680</v>
      </c>
      <c r="C14225" t="s">
        <v>7</v>
      </c>
      <c r="D14225" t="s">
        <v>12</v>
      </c>
      <c r="E14225" t="s">
        <v>19036</v>
      </c>
    </row>
    <row r="14226" spans="1:6" x14ac:dyDescent="0.25">
      <c r="A14226" t="str">
        <f>"6658215630"</f>
        <v>6658215630</v>
      </c>
      <c r="B14226" t="s">
        <v>19681</v>
      </c>
      <c r="C14226" t="s">
        <v>7</v>
      </c>
      <c r="D14226" t="s">
        <v>14</v>
      </c>
      <c r="E14226" t="s">
        <v>19036</v>
      </c>
      <c r="F14226" t="s">
        <v>19682</v>
      </c>
    </row>
    <row r="14227" spans="1:6" x14ac:dyDescent="0.25">
      <c r="A14227" t="str">
        <f>"6658264476"</f>
        <v>6658264476</v>
      </c>
      <c r="B14227" t="s">
        <v>533</v>
      </c>
      <c r="C14227" t="s">
        <v>7</v>
      </c>
      <c r="D14227" t="s">
        <v>146</v>
      </c>
      <c r="E14227" t="s">
        <v>19036</v>
      </c>
      <c r="F14227" t="s">
        <v>19683</v>
      </c>
    </row>
    <row r="14228" spans="1:6" x14ac:dyDescent="0.25">
      <c r="A14228" t="str">
        <f>"6658281506"</f>
        <v>6658281506</v>
      </c>
      <c r="B14228" t="s">
        <v>19684</v>
      </c>
      <c r="C14228" t="s">
        <v>7</v>
      </c>
      <c r="D14228" t="s">
        <v>14</v>
      </c>
      <c r="E14228" t="s">
        <v>19036</v>
      </c>
      <c r="F14228" t="s">
        <v>19685</v>
      </c>
    </row>
    <row r="14229" spans="1:6" x14ac:dyDescent="0.25">
      <c r="A14229" t="str">
        <f>"6658311599"</f>
        <v>6658311599</v>
      </c>
      <c r="B14229" t="s">
        <v>19686</v>
      </c>
      <c r="C14229" t="s">
        <v>7</v>
      </c>
      <c r="D14229" t="s">
        <v>14</v>
      </c>
      <c r="E14229" t="s">
        <v>19036</v>
      </c>
      <c r="F14229" t="s">
        <v>19567</v>
      </c>
    </row>
    <row r="14230" spans="1:6" x14ac:dyDescent="0.25">
      <c r="A14230" t="str">
        <f>"6658319982"</f>
        <v>6658319982</v>
      </c>
      <c r="B14230" t="s">
        <v>19687</v>
      </c>
      <c r="C14230" t="s">
        <v>7</v>
      </c>
      <c r="D14230" t="s">
        <v>14</v>
      </c>
      <c r="E14230" t="s">
        <v>19036</v>
      </c>
      <c r="F14230" t="s">
        <v>19688</v>
      </c>
    </row>
    <row r="14231" spans="1:6" x14ac:dyDescent="0.25">
      <c r="A14231" t="str">
        <f>"6658398582"</f>
        <v>6658398582</v>
      </c>
      <c r="B14231" t="s">
        <v>19689</v>
      </c>
      <c r="C14231" t="s">
        <v>7</v>
      </c>
      <c r="D14231" t="s">
        <v>33</v>
      </c>
      <c r="E14231" t="s">
        <v>19036</v>
      </c>
      <c r="F14231" t="s">
        <v>19690</v>
      </c>
    </row>
    <row r="14232" spans="1:6" x14ac:dyDescent="0.25">
      <c r="A14232" t="str">
        <f>"6658421986"</f>
        <v>6658421986</v>
      </c>
      <c r="B14232" t="s">
        <v>19691</v>
      </c>
      <c r="C14232" t="s">
        <v>7</v>
      </c>
      <c r="D14232" t="s">
        <v>33</v>
      </c>
      <c r="E14232" t="s">
        <v>19036</v>
      </c>
      <c r="F14232" t="s">
        <v>19692</v>
      </c>
    </row>
    <row r="14233" spans="1:6" x14ac:dyDescent="0.25">
      <c r="A14233" t="str">
        <f>"6658429576"</f>
        <v>6658429576</v>
      </c>
      <c r="B14233" t="s">
        <v>2417</v>
      </c>
      <c r="C14233" t="s">
        <v>7</v>
      </c>
      <c r="D14233" t="s">
        <v>33</v>
      </c>
      <c r="E14233" t="s">
        <v>19036</v>
      </c>
      <c r="F14233" t="s">
        <v>19693</v>
      </c>
    </row>
    <row r="14234" spans="1:6" x14ac:dyDescent="0.25">
      <c r="A14234" t="str">
        <f>"6658432762"</f>
        <v>6658432762</v>
      </c>
      <c r="B14234" t="s">
        <v>19694</v>
      </c>
      <c r="C14234" t="s">
        <v>7</v>
      </c>
      <c r="D14234" t="s">
        <v>12</v>
      </c>
      <c r="E14234" t="s">
        <v>19036</v>
      </c>
      <c r="F14234" t="s">
        <v>19685</v>
      </c>
    </row>
    <row r="14235" spans="1:6" x14ac:dyDescent="0.25">
      <c r="A14235" t="str">
        <f>"6658447568"</f>
        <v>6658447568</v>
      </c>
      <c r="B14235" t="s">
        <v>19695</v>
      </c>
      <c r="C14235" t="s">
        <v>7</v>
      </c>
      <c r="D14235" t="s">
        <v>8</v>
      </c>
      <c r="E14235" t="s">
        <v>19036</v>
      </c>
      <c r="F14235" t="s">
        <v>19696</v>
      </c>
    </row>
    <row r="14236" spans="1:6" x14ac:dyDescent="0.25">
      <c r="A14236" t="str">
        <f>"6658448681"</f>
        <v>6658448681</v>
      </c>
      <c r="B14236" t="s">
        <v>19697</v>
      </c>
      <c r="C14236" t="s">
        <v>7</v>
      </c>
      <c r="D14236" t="s">
        <v>33</v>
      </c>
      <c r="E14236" t="s">
        <v>19036</v>
      </c>
      <c r="F14236" t="s">
        <v>19698</v>
      </c>
    </row>
    <row r="14237" spans="1:6" x14ac:dyDescent="0.25">
      <c r="A14237" t="str">
        <f>"6658481343"</f>
        <v>6658481343</v>
      </c>
      <c r="B14237" t="s">
        <v>19699</v>
      </c>
      <c r="C14237" t="s">
        <v>7</v>
      </c>
      <c r="D14237" t="s">
        <v>12</v>
      </c>
      <c r="E14237" t="s">
        <v>19036</v>
      </c>
      <c r="F14237" t="s">
        <v>19700</v>
      </c>
    </row>
    <row r="14238" spans="1:6" x14ac:dyDescent="0.25">
      <c r="A14238" t="str">
        <f>"6658521275"</f>
        <v>6658521275</v>
      </c>
      <c r="B14238" t="s">
        <v>19701</v>
      </c>
      <c r="C14238" t="s">
        <v>7</v>
      </c>
      <c r="D14238" t="s">
        <v>12</v>
      </c>
      <c r="E14238" t="s">
        <v>19036</v>
      </c>
      <c r="F14238" t="s">
        <v>19702</v>
      </c>
    </row>
    <row r="14239" spans="1:6" x14ac:dyDescent="0.25">
      <c r="A14239" t="str">
        <f>"6658542733"</f>
        <v>6658542733</v>
      </c>
      <c r="B14239" t="s">
        <v>19703</v>
      </c>
      <c r="C14239" t="s">
        <v>7</v>
      </c>
      <c r="D14239" t="s">
        <v>14</v>
      </c>
      <c r="E14239" t="s">
        <v>19036</v>
      </c>
      <c r="F14239" t="s">
        <v>19704</v>
      </c>
    </row>
    <row r="14240" spans="1:6" x14ac:dyDescent="0.25">
      <c r="A14240" t="str">
        <f>"6658546992"</f>
        <v>6658546992</v>
      </c>
      <c r="B14240" t="s">
        <v>19705</v>
      </c>
      <c r="C14240" t="s">
        <v>7</v>
      </c>
      <c r="D14240" t="s">
        <v>14</v>
      </c>
      <c r="E14240" t="s">
        <v>19036</v>
      </c>
      <c r="F14240" t="s">
        <v>19706</v>
      </c>
    </row>
    <row r="14241" spans="1:6" x14ac:dyDescent="0.25">
      <c r="A14241" t="str">
        <f>"6658564737"</f>
        <v>6658564737</v>
      </c>
      <c r="B14241" t="s">
        <v>19707</v>
      </c>
      <c r="C14241" t="s">
        <v>7</v>
      </c>
      <c r="D14241" t="s">
        <v>14</v>
      </c>
      <c r="E14241" t="s">
        <v>19036</v>
      </c>
      <c r="F14241" t="s">
        <v>19708</v>
      </c>
    </row>
    <row r="14242" spans="1:6" x14ac:dyDescent="0.25">
      <c r="A14242" t="str">
        <f>"6658573361"</f>
        <v>6658573361</v>
      </c>
      <c r="B14242" t="s">
        <v>19709</v>
      </c>
      <c r="C14242" t="s">
        <v>7</v>
      </c>
      <c r="D14242" t="s">
        <v>674</v>
      </c>
      <c r="E14242" t="s">
        <v>19036</v>
      </c>
      <c r="F14242" t="s">
        <v>19710</v>
      </c>
    </row>
    <row r="14243" spans="1:6" x14ac:dyDescent="0.25">
      <c r="A14243" t="str">
        <f>"6658575746"</f>
        <v>6658575746</v>
      </c>
      <c r="B14243" t="s">
        <v>19711</v>
      </c>
      <c r="C14243" t="s">
        <v>7</v>
      </c>
      <c r="D14243" t="s">
        <v>33</v>
      </c>
      <c r="E14243" t="s">
        <v>19036</v>
      </c>
      <c r="F14243" t="s">
        <v>19712</v>
      </c>
    </row>
    <row r="14244" spans="1:6" x14ac:dyDescent="0.25">
      <c r="A14244" t="str">
        <f>"665895106622"</f>
        <v>665895106622</v>
      </c>
      <c r="B14244" t="s">
        <v>19713</v>
      </c>
      <c r="C14244" t="s">
        <v>7</v>
      </c>
      <c r="D14244" t="s">
        <v>14</v>
      </c>
      <c r="E14244" t="s">
        <v>19036</v>
      </c>
    </row>
    <row r="14245" spans="1:6" x14ac:dyDescent="0.25">
      <c r="A14245" t="str">
        <f>"665898330140"</f>
        <v>665898330140</v>
      </c>
      <c r="B14245" t="s">
        <v>19714</v>
      </c>
      <c r="C14245" t="s">
        <v>7</v>
      </c>
      <c r="D14245" t="s">
        <v>12</v>
      </c>
      <c r="E14245" t="s">
        <v>19036</v>
      </c>
    </row>
    <row r="14246" spans="1:6" x14ac:dyDescent="0.25">
      <c r="A14246" t="str">
        <f>"665900099010"</f>
        <v>665900099010</v>
      </c>
      <c r="B14246" t="s">
        <v>19715</v>
      </c>
      <c r="C14246" t="s">
        <v>7</v>
      </c>
      <c r="D14246" t="s">
        <v>33</v>
      </c>
      <c r="E14246" t="s">
        <v>19036</v>
      </c>
    </row>
    <row r="14247" spans="1:6" x14ac:dyDescent="0.25">
      <c r="A14247" t="str">
        <f>"665901981730"</f>
        <v>665901981730</v>
      </c>
      <c r="B14247" t="s">
        <v>19716</v>
      </c>
      <c r="C14247" t="s">
        <v>7</v>
      </c>
      <c r="D14247" t="s">
        <v>12</v>
      </c>
      <c r="E14247" t="s">
        <v>19036</v>
      </c>
    </row>
    <row r="14248" spans="1:6" x14ac:dyDescent="0.25">
      <c r="A14248" t="str">
        <f>"6659031315"</f>
        <v>6659031315</v>
      </c>
      <c r="B14248" t="s">
        <v>19717</v>
      </c>
      <c r="C14248" t="s">
        <v>7</v>
      </c>
      <c r="D14248" t="s">
        <v>12</v>
      </c>
      <c r="E14248" t="s">
        <v>19036</v>
      </c>
      <c r="F14248" t="s">
        <v>19718</v>
      </c>
    </row>
    <row r="14249" spans="1:6" x14ac:dyDescent="0.25">
      <c r="A14249" t="str">
        <f>"6659195546"</f>
        <v>6659195546</v>
      </c>
      <c r="B14249" t="s">
        <v>19719</v>
      </c>
      <c r="C14249" t="s">
        <v>7</v>
      </c>
      <c r="D14249" t="s">
        <v>28</v>
      </c>
      <c r="E14249" t="s">
        <v>19036</v>
      </c>
      <c r="F14249" t="s">
        <v>19720</v>
      </c>
    </row>
    <row r="14250" spans="1:6" x14ac:dyDescent="0.25">
      <c r="A14250" t="str">
        <f>"6659204582"</f>
        <v>6659204582</v>
      </c>
      <c r="B14250" t="s">
        <v>19721</v>
      </c>
      <c r="C14250" t="s">
        <v>7</v>
      </c>
      <c r="D14250" t="s">
        <v>12</v>
      </c>
      <c r="E14250" t="s">
        <v>19036</v>
      </c>
      <c r="F14250" t="s">
        <v>19722</v>
      </c>
    </row>
    <row r="14251" spans="1:6" x14ac:dyDescent="0.25">
      <c r="A14251" t="str">
        <f>"6660099068"</f>
        <v>6660099068</v>
      </c>
      <c r="B14251" t="s">
        <v>19723</v>
      </c>
      <c r="C14251" t="s">
        <v>7</v>
      </c>
      <c r="D14251" t="s">
        <v>14</v>
      </c>
      <c r="E14251" t="s">
        <v>19036</v>
      </c>
      <c r="F14251" t="s">
        <v>19724</v>
      </c>
    </row>
    <row r="14252" spans="1:6" x14ac:dyDescent="0.25">
      <c r="A14252" t="str">
        <f>"6660131441"</f>
        <v>6660131441</v>
      </c>
      <c r="B14252" t="s">
        <v>19725</v>
      </c>
      <c r="C14252" t="s">
        <v>7</v>
      </c>
      <c r="D14252" t="s">
        <v>12</v>
      </c>
      <c r="E14252" t="s">
        <v>19036</v>
      </c>
      <c r="F14252" t="s">
        <v>19726</v>
      </c>
    </row>
    <row r="14253" spans="1:6" x14ac:dyDescent="0.25">
      <c r="A14253" t="str">
        <f>"6662112638"</f>
        <v>6662112638</v>
      </c>
      <c r="B14253" t="s">
        <v>19727</v>
      </c>
      <c r="C14253" t="s">
        <v>7</v>
      </c>
      <c r="D14253" t="s">
        <v>33</v>
      </c>
      <c r="E14253" t="s">
        <v>19036</v>
      </c>
      <c r="F14253" t="s">
        <v>19728</v>
      </c>
    </row>
    <row r="14254" spans="1:6" x14ac:dyDescent="0.25">
      <c r="A14254" t="str">
        <f>"6662123118"</f>
        <v>6662123118</v>
      </c>
      <c r="B14254" t="s">
        <v>19729</v>
      </c>
      <c r="C14254" t="s">
        <v>7</v>
      </c>
      <c r="D14254" t="s">
        <v>12</v>
      </c>
      <c r="E14254" t="s">
        <v>19036</v>
      </c>
      <c r="F14254" t="s">
        <v>19730</v>
      </c>
    </row>
    <row r="14255" spans="1:6" x14ac:dyDescent="0.25">
      <c r="A14255" t="str">
        <f>"6662127289"</f>
        <v>6662127289</v>
      </c>
      <c r="B14255" t="s">
        <v>19731</v>
      </c>
      <c r="C14255" t="s">
        <v>7</v>
      </c>
      <c r="D14255" t="s">
        <v>12</v>
      </c>
      <c r="E14255" t="s">
        <v>19036</v>
      </c>
      <c r="F14255" t="s">
        <v>19732</v>
      </c>
    </row>
    <row r="14256" spans="1:6" x14ac:dyDescent="0.25">
      <c r="A14256" t="str">
        <f>"666300477833"</f>
        <v>666300477833</v>
      </c>
      <c r="B14256" t="s">
        <v>19733</v>
      </c>
      <c r="C14256" t="s">
        <v>7</v>
      </c>
      <c r="D14256" t="s">
        <v>14</v>
      </c>
      <c r="E14256" t="s">
        <v>19036</v>
      </c>
    </row>
    <row r="14257" spans="1:6" x14ac:dyDescent="0.25">
      <c r="A14257" t="str">
        <f>"666300486740"</f>
        <v>666300486740</v>
      </c>
      <c r="B14257" t="s">
        <v>19734</v>
      </c>
      <c r="C14257" t="s">
        <v>7</v>
      </c>
      <c r="D14257" t="s">
        <v>14</v>
      </c>
      <c r="E14257" t="s">
        <v>19036</v>
      </c>
    </row>
    <row r="14258" spans="1:6" x14ac:dyDescent="0.25">
      <c r="A14258" t="str">
        <f>"666300919697"</f>
        <v>666300919697</v>
      </c>
      <c r="B14258" t="s">
        <v>19735</v>
      </c>
      <c r="C14258" t="s">
        <v>7</v>
      </c>
      <c r="D14258" t="s">
        <v>14</v>
      </c>
      <c r="E14258" t="s">
        <v>19036</v>
      </c>
    </row>
    <row r="14259" spans="1:6" x14ac:dyDescent="0.25">
      <c r="A14259" t="str">
        <f>"666301864105"</f>
        <v>666301864105</v>
      </c>
      <c r="B14259" t="s">
        <v>19736</v>
      </c>
      <c r="C14259" t="s">
        <v>7</v>
      </c>
      <c r="D14259" t="s">
        <v>14</v>
      </c>
      <c r="E14259" t="s">
        <v>19036</v>
      </c>
    </row>
    <row r="14260" spans="1:6" x14ac:dyDescent="0.25">
      <c r="A14260" t="str">
        <f>"666307191537"</f>
        <v>666307191537</v>
      </c>
      <c r="B14260" t="s">
        <v>19737</v>
      </c>
      <c r="C14260" t="s">
        <v>7</v>
      </c>
      <c r="D14260" t="s">
        <v>14</v>
      </c>
      <c r="E14260" t="s">
        <v>19036</v>
      </c>
    </row>
    <row r="14261" spans="1:6" x14ac:dyDescent="0.25">
      <c r="A14261" t="str">
        <f>"666400331161"</f>
        <v>666400331161</v>
      </c>
      <c r="B14261" t="s">
        <v>19738</v>
      </c>
      <c r="C14261" t="s">
        <v>7</v>
      </c>
      <c r="D14261" t="s">
        <v>14</v>
      </c>
      <c r="E14261" t="s">
        <v>19036</v>
      </c>
    </row>
    <row r="14262" spans="1:6" x14ac:dyDescent="0.25">
      <c r="A14262" t="str">
        <f>"666400699942"</f>
        <v>666400699942</v>
      </c>
      <c r="B14262" t="s">
        <v>19739</v>
      </c>
      <c r="C14262" t="s">
        <v>7</v>
      </c>
      <c r="D14262" t="s">
        <v>14</v>
      </c>
      <c r="E14262" t="s">
        <v>19036</v>
      </c>
    </row>
    <row r="14263" spans="1:6" x14ac:dyDescent="0.25">
      <c r="A14263" t="str">
        <f>"666401946993"</f>
        <v>666401946993</v>
      </c>
      <c r="B14263" t="s">
        <v>19740</v>
      </c>
      <c r="C14263" t="s">
        <v>7</v>
      </c>
      <c r="D14263" t="s">
        <v>14</v>
      </c>
      <c r="E14263" t="s">
        <v>19036</v>
      </c>
    </row>
    <row r="14264" spans="1:6" x14ac:dyDescent="0.25">
      <c r="A14264" t="str">
        <f>"666404250185"</f>
        <v>666404250185</v>
      </c>
      <c r="B14264" t="s">
        <v>19741</v>
      </c>
      <c r="C14264" t="s">
        <v>7</v>
      </c>
      <c r="D14264" t="s">
        <v>14</v>
      </c>
      <c r="E14264" t="s">
        <v>19036</v>
      </c>
    </row>
    <row r="14265" spans="1:6" x14ac:dyDescent="0.25">
      <c r="A14265" t="str">
        <f>"666404709599"</f>
        <v>666404709599</v>
      </c>
      <c r="B14265" t="s">
        <v>19742</v>
      </c>
      <c r="C14265" t="s">
        <v>7</v>
      </c>
      <c r="D14265" t="s">
        <v>463</v>
      </c>
      <c r="E14265" t="s">
        <v>19036</v>
      </c>
    </row>
    <row r="14266" spans="1:6" x14ac:dyDescent="0.25">
      <c r="A14266" t="str">
        <f>"6664057781"</f>
        <v>6664057781</v>
      </c>
      <c r="B14266" t="s">
        <v>19743</v>
      </c>
      <c r="C14266" t="s">
        <v>7</v>
      </c>
      <c r="D14266" t="s">
        <v>14</v>
      </c>
      <c r="E14266" t="s">
        <v>19036</v>
      </c>
      <c r="F14266" t="s">
        <v>19744</v>
      </c>
    </row>
    <row r="14267" spans="1:6" x14ac:dyDescent="0.25">
      <c r="A14267" t="str">
        <f>"666700088937"</f>
        <v>666700088937</v>
      </c>
      <c r="B14267" t="s">
        <v>19745</v>
      </c>
      <c r="C14267" t="s">
        <v>7</v>
      </c>
      <c r="D14267" t="s">
        <v>14</v>
      </c>
      <c r="E14267" t="s">
        <v>19036</v>
      </c>
    </row>
    <row r="14268" spans="1:6" x14ac:dyDescent="0.25">
      <c r="A14268" t="str">
        <f>"666700486705"</f>
        <v>666700486705</v>
      </c>
      <c r="B14268" t="s">
        <v>19746</v>
      </c>
      <c r="C14268" t="s">
        <v>7</v>
      </c>
      <c r="D14268" t="s">
        <v>14</v>
      </c>
      <c r="E14268" t="s">
        <v>19036</v>
      </c>
    </row>
    <row r="14269" spans="1:6" x14ac:dyDescent="0.25">
      <c r="A14269" t="str">
        <f>"666900350388"</f>
        <v>666900350388</v>
      </c>
      <c r="B14269" t="s">
        <v>19747</v>
      </c>
      <c r="C14269" t="s">
        <v>7</v>
      </c>
      <c r="D14269" t="s">
        <v>12</v>
      </c>
      <c r="E14269" t="s">
        <v>19036</v>
      </c>
    </row>
    <row r="14270" spans="1:6" x14ac:dyDescent="0.25">
      <c r="A14270" t="str">
        <f>"667002046336"</f>
        <v>667002046336</v>
      </c>
      <c r="B14270" t="s">
        <v>19748</v>
      </c>
      <c r="C14270" t="s">
        <v>7</v>
      </c>
      <c r="D14270" t="s">
        <v>14</v>
      </c>
      <c r="E14270" t="s">
        <v>19036</v>
      </c>
    </row>
    <row r="14271" spans="1:6" x14ac:dyDescent="0.25">
      <c r="A14271" t="str">
        <f>"6670022392"</f>
        <v>6670022392</v>
      </c>
      <c r="B14271" t="s">
        <v>19749</v>
      </c>
      <c r="C14271" t="s">
        <v>7</v>
      </c>
      <c r="D14271" t="s">
        <v>33</v>
      </c>
      <c r="E14271" t="s">
        <v>19036</v>
      </c>
      <c r="F14271" t="s">
        <v>19750</v>
      </c>
    </row>
    <row r="14272" spans="1:6" x14ac:dyDescent="0.25">
      <c r="A14272" t="str">
        <f>"667005859964"</f>
        <v>667005859964</v>
      </c>
      <c r="B14272" t="s">
        <v>19751</v>
      </c>
      <c r="C14272" t="s">
        <v>7</v>
      </c>
      <c r="D14272" t="s">
        <v>14</v>
      </c>
      <c r="E14272" t="s">
        <v>19036</v>
      </c>
    </row>
    <row r="14273" spans="1:6" x14ac:dyDescent="0.25">
      <c r="A14273" t="str">
        <f>"6670059963"</f>
        <v>6670059963</v>
      </c>
      <c r="B14273" t="s">
        <v>19752</v>
      </c>
      <c r="C14273" t="s">
        <v>7</v>
      </c>
      <c r="D14273" t="s">
        <v>8</v>
      </c>
      <c r="E14273" t="s">
        <v>19036</v>
      </c>
      <c r="F14273" t="s">
        <v>19630</v>
      </c>
    </row>
    <row r="14274" spans="1:6" x14ac:dyDescent="0.25">
      <c r="A14274" t="str">
        <f>"6670079127"</f>
        <v>6670079127</v>
      </c>
      <c r="B14274" t="s">
        <v>19753</v>
      </c>
      <c r="C14274" t="s">
        <v>7</v>
      </c>
      <c r="D14274" t="s">
        <v>1430</v>
      </c>
      <c r="E14274" t="s">
        <v>19036</v>
      </c>
      <c r="F14274" t="s">
        <v>19754</v>
      </c>
    </row>
    <row r="14275" spans="1:6" x14ac:dyDescent="0.25">
      <c r="A14275" t="str">
        <f>"667009400307"</f>
        <v>667009400307</v>
      </c>
      <c r="B14275" t="s">
        <v>19755</v>
      </c>
      <c r="C14275" t="s">
        <v>7</v>
      </c>
      <c r="D14275" t="s">
        <v>14</v>
      </c>
      <c r="E14275" t="s">
        <v>19036</v>
      </c>
    </row>
    <row r="14276" spans="1:6" x14ac:dyDescent="0.25">
      <c r="A14276" t="str">
        <f>"667010711434"</f>
        <v>667010711434</v>
      </c>
      <c r="B14276" t="s">
        <v>19756</v>
      </c>
      <c r="C14276" t="s">
        <v>7</v>
      </c>
      <c r="D14276" t="s">
        <v>14</v>
      </c>
      <c r="E14276" t="s">
        <v>19036</v>
      </c>
    </row>
    <row r="14277" spans="1:6" x14ac:dyDescent="0.25">
      <c r="A14277" t="str">
        <f>"667010936124"</f>
        <v>667010936124</v>
      </c>
      <c r="B14277" t="s">
        <v>19757</v>
      </c>
      <c r="C14277" t="s">
        <v>7</v>
      </c>
      <c r="D14277" t="s">
        <v>14</v>
      </c>
      <c r="E14277" t="s">
        <v>19036</v>
      </c>
    </row>
    <row r="14278" spans="1:6" x14ac:dyDescent="0.25">
      <c r="A14278" t="str">
        <f>"6670178625"</f>
        <v>6670178625</v>
      </c>
      <c r="B14278" t="s">
        <v>19758</v>
      </c>
      <c r="C14278" t="s">
        <v>7</v>
      </c>
      <c r="D14278" t="s">
        <v>12</v>
      </c>
      <c r="E14278" t="s">
        <v>19036</v>
      </c>
      <c r="F14278" t="s">
        <v>19630</v>
      </c>
    </row>
    <row r="14279" spans="1:6" x14ac:dyDescent="0.25">
      <c r="A14279" t="str">
        <f>"6670192764"</f>
        <v>6670192764</v>
      </c>
      <c r="B14279" t="s">
        <v>19759</v>
      </c>
      <c r="C14279" t="s">
        <v>7</v>
      </c>
      <c r="D14279" t="s">
        <v>8</v>
      </c>
      <c r="E14279" t="s">
        <v>19036</v>
      </c>
      <c r="F14279" t="s">
        <v>19630</v>
      </c>
    </row>
    <row r="14280" spans="1:6" x14ac:dyDescent="0.25">
      <c r="A14280" t="str">
        <f>"6670280682"</f>
        <v>6670280682</v>
      </c>
      <c r="B14280" t="s">
        <v>19760</v>
      </c>
      <c r="C14280" t="s">
        <v>7</v>
      </c>
      <c r="D14280" t="s">
        <v>33</v>
      </c>
      <c r="E14280" t="s">
        <v>19036</v>
      </c>
      <c r="F14280" t="s">
        <v>19761</v>
      </c>
    </row>
    <row r="14281" spans="1:6" x14ac:dyDescent="0.25">
      <c r="A14281" t="str">
        <f>"6670312253"</f>
        <v>6670312253</v>
      </c>
      <c r="B14281" t="s">
        <v>19762</v>
      </c>
      <c r="C14281" t="s">
        <v>7</v>
      </c>
      <c r="D14281" t="s">
        <v>12</v>
      </c>
      <c r="E14281" t="s">
        <v>19036</v>
      </c>
      <c r="F14281" t="s">
        <v>19763</v>
      </c>
    </row>
    <row r="14282" spans="1:6" x14ac:dyDescent="0.25">
      <c r="A14282" t="str">
        <f>"6670357487"</f>
        <v>6670357487</v>
      </c>
      <c r="B14282" t="s">
        <v>19764</v>
      </c>
      <c r="C14282" t="s">
        <v>7</v>
      </c>
      <c r="D14282" t="s">
        <v>33</v>
      </c>
      <c r="E14282" t="s">
        <v>19036</v>
      </c>
      <c r="F14282" t="s">
        <v>19765</v>
      </c>
    </row>
    <row r="14283" spans="1:6" x14ac:dyDescent="0.25">
      <c r="A14283" t="str">
        <f>"6670383261"</f>
        <v>6670383261</v>
      </c>
      <c r="B14283" t="s">
        <v>19766</v>
      </c>
      <c r="C14283" t="s">
        <v>7</v>
      </c>
      <c r="D14283" t="s">
        <v>12</v>
      </c>
      <c r="E14283" t="s">
        <v>19036</v>
      </c>
      <c r="F14283" t="s">
        <v>19767</v>
      </c>
    </row>
    <row r="14284" spans="1:6" x14ac:dyDescent="0.25">
      <c r="A14284" t="str">
        <f>"6670402940"</f>
        <v>6670402940</v>
      </c>
      <c r="B14284" t="s">
        <v>19768</v>
      </c>
      <c r="C14284" t="s">
        <v>7</v>
      </c>
      <c r="D14284" t="s">
        <v>98</v>
      </c>
      <c r="E14284" t="s">
        <v>19036</v>
      </c>
      <c r="F14284" t="s">
        <v>19769</v>
      </c>
    </row>
    <row r="14285" spans="1:6" x14ac:dyDescent="0.25">
      <c r="A14285" t="str">
        <f>"6670412603"</f>
        <v>6670412603</v>
      </c>
      <c r="B14285" t="s">
        <v>19770</v>
      </c>
      <c r="C14285" t="s">
        <v>7</v>
      </c>
      <c r="D14285" t="s">
        <v>33</v>
      </c>
      <c r="E14285" t="s">
        <v>19036</v>
      </c>
      <c r="F14285" t="s">
        <v>19771</v>
      </c>
    </row>
    <row r="14286" spans="1:6" x14ac:dyDescent="0.25">
      <c r="A14286" t="str">
        <f>"6670420731"</f>
        <v>6670420731</v>
      </c>
      <c r="B14286" t="s">
        <v>19772</v>
      </c>
      <c r="C14286" t="s">
        <v>7</v>
      </c>
      <c r="D14286" t="s">
        <v>14</v>
      </c>
      <c r="E14286" t="s">
        <v>19036</v>
      </c>
      <c r="F14286" t="s">
        <v>19773</v>
      </c>
    </row>
    <row r="14287" spans="1:6" x14ac:dyDescent="0.25">
      <c r="A14287" t="str">
        <f>"6670465884"</f>
        <v>6670465884</v>
      </c>
      <c r="B14287" t="s">
        <v>19774</v>
      </c>
      <c r="C14287" t="s">
        <v>7</v>
      </c>
      <c r="D14287" t="s">
        <v>33</v>
      </c>
      <c r="E14287" t="s">
        <v>19036</v>
      </c>
      <c r="F14287" t="s">
        <v>19775</v>
      </c>
    </row>
    <row r="14288" spans="1:6" x14ac:dyDescent="0.25">
      <c r="A14288" t="str">
        <f>"6670470796"</f>
        <v>6670470796</v>
      </c>
      <c r="B14288" t="s">
        <v>19776</v>
      </c>
      <c r="C14288" t="s">
        <v>7</v>
      </c>
      <c r="D14288" t="s">
        <v>33</v>
      </c>
      <c r="E14288" t="s">
        <v>19036</v>
      </c>
      <c r="F14288" t="s">
        <v>19777</v>
      </c>
    </row>
    <row r="14289" spans="1:6" x14ac:dyDescent="0.25">
      <c r="A14289" t="str">
        <f>"6670474078"</f>
        <v>6670474078</v>
      </c>
      <c r="B14289" t="s">
        <v>19778</v>
      </c>
      <c r="C14289" t="s">
        <v>7</v>
      </c>
      <c r="D14289" t="s">
        <v>33</v>
      </c>
      <c r="E14289" t="s">
        <v>19036</v>
      </c>
      <c r="F14289" t="s">
        <v>19779</v>
      </c>
    </row>
    <row r="14290" spans="1:6" x14ac:dyDescent="0.25">
      <c r="A14290" t="str">
        <f>"6670484710"</f>
        <v>6670484710</v>
      </c>
      <c r="B14290" t="s">
        <v>19780</v>
      </c>
      <c r="C14290" t="s">
        <v>7</v>
      </c>
      <c r="D14290" t="s">
        <v>12</v>
      </c>
      <c r="E14290" t="s">
        <v>19036</v>
      </c>
      <c r="F14290" t="s">
        <v>19781</v>
      </c>
    </row>
    <row r="14291" spans="1:6" x14ac:dyDescent="0.25">
      <c r="A14291" t="str">
        <f>"6670509002"</f>
        <v>6670509002</v>
      </c>
      <c r="B14291" t="s">
        <v>19782</v>
      </c>
      <c r="C14291" t="s">
        <v>7</v>
      </c>
      <c r="D14291" t="s">
        <v>674</v>
      </c>
      <c r="E14291" t="s">
        <v>19036</v>
      </c>
      <c r="F14291" t="s">
        <v>19783</v>
      </c>
    </row>
    <row r="14292" spans="1:6" x14ac:dyDescent="0.25">
      <c r="A14292" t="str">
        <f>"6670509323"</f>
        <v>6670509323</v>
      </c>
      <c r="B14292" t="s">
        <v>19784</v>
      </c>
      <c r="C14292" t="s">
        <v>7</v>
      </c>
      <c r="D14292" t="s">
        <v>33</v>
      </c>
      <c r="E14292" t="s">
        <v>19036</v>
      </c>
      <c r="F14292" t="s">
        <v>19785</v>
      </c>
    </row>
    <row r="14293" spans="1:6" x14ac:dyDescent="0.25">
      <c r="A14293" t="str">
        <f>"6670509637"</f>
        <v>6670509637</v>
      </c>
      <c r="B14293" t="s">
        <v>19786</v>
      </c>
      <c r="C14293" t="s">
        <v>7</v>
      </c>
      <c r="D14293" t="s">
        <v>12</v>
      </c>
      <c r="E14293" t="s">
        <v>19036</v>
      </c>
      <c r="F14293" t="s">
        <v>19787</v>
      </c>
    </row>
    <row r="14294" spans="1:6" x14ac:dyDescent="0.25">
      <c r="A14294" t="str">
        <f>"6670529619"</f>
        <v>6670529619</v>
      </c>
      <c r="B14294" t="s">
        <v>6983</v>
      </c>
      <c r="C14294" t="s">
        <v>7</v>
      </c>
      <c r="D14294" t="s">
        <v>33</v>
      </c>
      <c r="E14294" t="s">
        <v>19036</v>
      </c>
      <c r="F14294" t="s">
        <v>19788</v>
      </c>
    </row>
    <row r="14295" spans="1:6" x14ac:dyDescent="0.25">
      <c r="A14295" t="str">
        <f>"6671021151"</f>
        <v>6671021151</v>
      </c>
      <c r="B14295" t="s">
        <v>19789</v>
      </c>
      <c r="C14295" t="s">
        <v>7</v>
      </c>
      <c r="D14295" t="s">
        <v>12</v>
      </c>
      <c r="E14295" t="s">
        <v>19036</v>
      </c>
      <c r="F14295" t="s">
        <v>19790</v>
      </c>
    </row>
    <row r="14296" spans="1:6" x14ac:dyDescent="0.25">
      <c r="A14296" t="str">
        <f>"667111753423"</f>
        <v>667111753423</v>
      </c>
      <c r="B14296" t="s">
        <v>19791</v>
      </c>
      <c r="C14296" t="s">
        <v>7</v>
      </c>
      <c r="D14296" t="s">
        <v>14</v>
      </c>
      <c r="E14296" t="s">
        <v>19036</v>
      </c>
    </row>
    <row r="14297" spans="1:6" x14ac:dyDescent="0.25">
      <c r="A14297" t="str">
        <f>"667112199529"</f>
        <v>667112199529</v>
      </c>
      <c r="B14297" t="s">
        <v>19792</v>
      </c>
      <c r="C14297" t="s">
        <v>7</v>
      </c>
      <c r="D14297" t="s">
        <v>14</v>
      </c>
      <c r="E14297" t="s">
        <v>19036</v>
      </c>
    </row>
    <row r="14298" spans="1:6" x14ac:dyDescent="0.25">
      <c r="A14298" t="str">
        <f>"6671125390"</f>
        <v>6671125390</v>
      </c>
      <c r="B14298" t="s">
        <v>14613</v>
      </c>
      <c r="C14298" t="s">
        <v>7</v>
      </c>
      <c r="D14298" t="s">
        <v>146</v>
      </c>
      <c r="E14298" t="s">
        <v>19036</v>
      </c>
      <c r="F14298" t="s">
        <v>19793</v>
      </c>
    </row>
    <row r="14299" spans="1:6" x14ac:dyDescent="0.25">
      <c r="A14299" t="str">
        <f>"667116371636"</f>
        <v>667116371636</v>
      </c>
      <c r="B14299" t="s">
        <v>19794</v>
      </c>
      <c r="C14299" t="s">
        <v>7</v>
      </c>
      <c r="D14299" t="s">
        <v>14</v>
      </c>
      <c r="E14299" t="s">
        <v>19036</v>
      </c>
    </row>
    <row r="14300" spans="1:6" x14ac:dyDescent="0.25">
      <c r="A14300" t="str">
        <f>"6671165330"</f>
        <v>6671165330</v>
      </c>
      <c r="B14300" t="s">
        <v>19795</v>
      </c>
      <c r="C14300" t="s">
        <v>7</v>
      </c>
      <c r="D14300" t="s">
        <v>12</v>
      </c>
      <c r="E14300" t="s">
        <v>19036</v>
      </c>
      <c r="F14300" t="s">
        <v>19796</v>
      </c>
    </row>
    <row r="14301" spans="1:6" x14ac:dyDescent="0.25">
      <c r="A14301" t="str">
        <f>"6671170643"</f>
        <v>6671170643</v>
      </c>
      <c r="B14301" t="s">
        <v>19797</v>
      </c>
      <c r="C14301" t="s">
        <v>7</v>
      </c>
      <c r="D14301" t="s">
        <v>12</v>
      </c>
      <c r="E14301" t="s">
        <v>19036</v>
      </c>
      <c r="F14301" t="s">
        <v>19798</v>
      </c>
    </row>
    <row r="14302" spans="1:6" x14ac:dyDescent="0.25">
      <c r="A14302" t="str">
        <f>"590615242326"</f>
        <v>590615242326</v>
      </c>
      <c r="B14302" t="s">
        <v>19799</v>
      </c>
      <c r="C14302" t="s">
        <v>7</v>
      </c>
      <c r="D14302" t="s">
        <v>14</v>
      </c>
      <c r="E14302" t="s">
        <v>19036</v>
      </c>
    </row>
    <row r="14303" spans="1:6" x14ac:dyDescent="0.25">
      <c r="A14303" t="str">
        <f>"592010055363"</f>
        <v>592010055363</v>
      </c>
      <c r="B14303" t="s">
        <v>19800</v>
      </c>
      <c r="C14303" t="s">
        <v>7</v>
      </c>
      <c r="D14303" t="s">
        <v>14</v>
      </c>
      <c r="E14303" t="s">
        <v>19036</v>
      </c>
    </row>
    <row r="14304" spans="1:6" x14ac:dyDescent="0.25">
      <c r="A14304" t="str">
        <f>"8616007706"</f>
        <v>8616007706</v>
      </c>
      <c r="B14304" t="s">
        <v>19801</v>
      </c>
      <c r="C14304" t="s">
        <v>7</v>
      </c>
      <c r="D14304" t="s">
        <v>14</v>
      </c>
      <c r="E14304" t="s">
        <v>19036</v>
      </c>
      <c r="F14304" t="s">
        <v>19802</v>
      </c>
    </row>
    <row r="14305" spans="1:6" x14ac:dyDescent="0.25">
      <c r="A14305" t="str">
        <f>"591109417780"</f>
        <v>591109417780</v>
      </c>
      <c r="B14305" t="s">
        <v>19803</v>
      </c>
      <c r="C14305" t="s">
        <v>7</v>
      </c>
      <c r="D14305" t="s">
        <v>14</v>
      </c>
      <c r="E14305" t="s">
        <v>19036</v>
      </c>
    </row>
    <row r="14306" spans="1:6" x14ac:dyDescent="0.25">
      <c r="A14306" t="str">
        <f>"592006924067"</f>
        <v>592006924067</v>
      </c>
      <c r="B14306" t="s">
        <v>19804</v>
      </c>
      <c r="C14306" t="s">
        <v>7</v>
      </c>
      <c r="D14306" t="s">
        <v>14</v>
      </c>
      <c r="E14306" t="s">
        <v>19036</v>
      </c>
    </row>
    <row r="14307" spans="1:6" x14ac:dyDescent="0.25">
      <c r="A14307" t="str">
        <f>"665202561500"</f>
        <v>665202561500</v>
      </c>
      <c r="B14307" t="s">
        <v>19805</v>
      </c>
      <c r="C14307" t="s">
        <v>7</v>
      </c>
      <c r="D14307" t="s">
        <v>14</v>
      </c>
      <c r="E14307" t="s">
        <v>19036</v>
      </c>
    </row>
    <row r="14308" spans="1:6" x14ac:dyDescent="0.25">
      <c r="A14308" t="str">
        <f>"665401210947"</f>
        <v>665401210947</v>
      </c>
      <c r="B14308" t="s">
        <v>19806</v>
      </c>
      <c r="C14308" t="s">
        <v>7</v>
      </c>
      <c r="D14308" t="s">
        <v>14</v>
      </c>
      <c r="E14308" t="s">
        <v>19036</v>
      </c>
    </row>
    <row r="14309" spans="1:6" x14ac:dyDescent="0.25">
      <c r="A14309" t="str">
        <f>"665401217607"</f>
        <v>665401217607</v>
      </c>
      <c r="B14309" t="s">
        <v>19807</v>
      </c>
      <c r="C14309" t="s">
        <v>7</v>
      </c>
      <c r="D14309" t="s">
        <v>14</v>
      </c>
      <c r="E14309" t="s">
        <v>19036</v>
      </c>
    </row>
    <row r="14310" spans="1:6" x14ac:dyDescent="0.25">
      <c r="A14310" t="str">
        <f>"665403782379"</f>
        <v>665403782379</v>
      </c>
      <c r="B14310" t="s">
        <v>19808</v>
      </c>
      <c r="C14310" t="s">
        <v>7</v>
      </c>
      <c r="D14310" t="s">
        <v>14</v>
      </c>
      <c r="E14310" t="s">
        <v>19036</v>
      </c>
    </row>
    <row r="14311" spans="1:6" x14ac:dyDescent="0.25">
      <c r="A14311" t="str">
        <f>"665635094615"</f>
        <v>665635094615</v>
      </c>
      <c r="B14311" t="s">
        <v>19809</v>
      </c>
      <c r="C14311" t="s">
        <v>7</v>
      </c>
      <c r="D14311" t="s">
        <v>12</v>
      </c>
      <c r="E14311" t="s">
        <v>19036</v>
      </c>
    </row>
    <row r="14312" spans="1:6" x14ac:dyDescent="0.25">
      <c r="A14312" t="str">
        <f>"6657000110"</f>
        <v>6657000110</v>
      </c>
      <c r="B14312" t="s">
        <v>19810</v>
      </c>
      <c r="C14312" t="s">
        <v>7</v>
      </c>
      <c r="D14312" t="s">
        <v>14</v>
      </c>
      <c r="E14312" t="s">
        <v>19036</v>
      </c>
      <c r="F14312" t="s">
        <v>19811</v>
      </c>
    </row>
    <row r="14313" spans="1:6" x14ac:dyDescent="0.25">
      <c r="A14313" t="str">
        <f>"665800690413"</f>
        <v>665800690413</v>
      </c>
      <c r="B14313" t="s">
        <v>19812</v>
      </c>
      <c r="C14313" t="s">
        <v>7</v>
      </c>
      <c r="D14313" t="s">
        <v>12</v>
      </c>
      <c r="E14313" t="s">
        <v>19036</v>
      </c>
    </row>
    <row r="14314" spans="1:6" x14ac:dyDescent="0.25">
      <c r="A14314" t="str">
        <f>"665813308518"</f>
        <v>665813308518</v>
      </c>
      <c r="B14314" t="s">
        <v>19813</v>
      </c>
      <c r="C14314" t="s">
        <v>7</v>
      </c>
      <c r="D14314" t="s">
        <v>14</v>
      </c>
      <c r="E14314" t="s">
        <v>19036</v>
      </c>
    </row>
    <row r="14315" spans="1:6" x14ac:dyDescent="0.25">
      <c r="A14315" t="str">
        <f>"6658251773"</f>
        <v>6658251773</v>
      </c>
      <c r="B14315" t="s">
        <v>19814</v>
      </c>
      <c r="C14315" t="s">
        <v>7</v>
      </c>
      <c r="D14315" t="s">
        <v>14</v>
      </c>
      <c r="E14315" t="s">
        <v>19036</v>
      </c>
      <c r="F14315" t="s">
        <v>19815</v>
      </c>
    </row>
    <row r="14316" spans="1:6" x14ac:dyDescent="0.25">
      <c r="A14316" t="str">
        <f>"6658348542"</f>
        <v>6658348542</v>
      </c>
      <c r="B14316" t="s">
        <v>19816</v>
      </c>
      <c r="C14316" t="s">
        <v>7</v>
      </c>
      <c r="D14316" t="s">
        <v>33</v>
      </c>
      <c r="E14316" t="s">
        <v>19036</v>
      </c>
      <c r="F14316" t="s">
        <v>19817</v>
      </c>
    </row>
    <row r="14317" spans="1:6" x14ac:dyDescent="0.25">
      <c r="A14317" t="str">
        <f>"6658379163"</f>
        <v>6658379163</v>
      </c>
      <c r="B14317" t="s">
        <v>19818</v>
      </c>
      <c r="C14317" t="s">
        <v>7</v>
      </c>
      <c r="D14317" t="s">
        <v>14</v>
      </c>
      <c r="E14317" t="s">
        <v>19036</v>
      </c>
      <c r="F14317" t="s">
        <v>19693</v>
      </c>
    </row>
    <row r="14318" spans="1:6" x14ac:dyDescent="0.25">
      <c r="A14318" t="str">
        <f>"6658456523"</f>
        <v>6658456523</v>
      </c>
      <c r="B14318" t="s">
        <v>19819</v>
      </c>
      <c r="C14318" t="s">
        <v>7</v>
      </c>
      <c r="D14318" t="s">
        <v>33</v>
      </c>
      <c r="E14318" t="s">
        <v>19036</v>
      </c>
      <c r="F14318" t="s">
        <v>19820</v>
      </c>
    </row>
    <row r="14319" spans="1:6" x14ac:dyDescent="0.25">
      <c r="A14319" t="str">
        <f>"6658456731"</f>
        <v>6658456731</v>
      </c>
      <c r="B14319" t="s">
        <v>19821</v>
      </c>
      <c r="C14319" t="s">
        <v>7</v>
      </c>
      <c r="D14319" t="s">
        <v>33</v>
      </c>
      <c r="E14319" t="s">
        <v>19036</v>
      </c>
      <c r="F14319" t="s">
        <v>19822</v>
      </c>
    </row>
    <row r="14320" spans="1:6" x14ac:dyDescent="0.25">
      <c r="A14320" t="str">
        <f>"6658461178"</f>
        <v>6658461178</v>
      </c>
      <c r="B14320" t="s">
        <v>19823</v>
      </c>
      <c r="C14320" t="s">
        <v>7</v>
      </c>
      <c r="D14320" t="s">
        <v>33</v>
      </c>
      <c r="E14320" t="s">
        <v>19036</v>
      </c>
      <c r="F14320" t="s">
        <v>19824</v>
      </c>
    </row>
    <row r="14321" spans="1:6" x14ac:dyDescent="0.25">
      <c r="A14321" t="str">
        <f>"6658521170"</f>
        <v>6658521170</v>
      </c>
      <c r="B14321" t="s">
        <v>19825</v>
      </c>
      <c r="C14321" t="s">
        <v>7</v>
      </c>
      <c r="D14321" t="s">
        <v>14</v>
      </c>
      <c r="E14321" t="s">
        <v>19036</v>
      </c>
      <c r="F14321" t="s">
        <v>19826</v>
      </c>
    </row>
    <row r="14322" spans="1:6" x14ac:dyDescent="0.25">
      <c r="A14322" t="str">
        <f>"6658521187"</f>
        <v>6658521187</v>
      </c>
      <c r="B14322" t="s">
        <v>19827</v>
      </c>
      <c r="C14322" t="s">
        <v>7</v>
      </c>
      <c r="D14322" t="s">
        <v>14</v>
      </c>
      <c r="E14322" t="s">
        <v>19036</v>
      </c>
      <c r="F14322" t="s">
        <v>19828</v>
      </c>
    </row>
    <row r="14323" spans="1:6" x14ac:dyDescent="0.25">
      <c r="A14323" t="str">
        <f>"6658521204"</f>
        <v>6658521204</v>
      </c>
      <c r="B14323" t="s">
        <v>19829</v>
      </c>
      <c r="C14323" t="s">
        <v>7</v>
      </c>
      <c r="D14323" t="s">
        <v>8</v>
      </c>
      <c r="E14323" t="s">
        <v>19036</v>
      </c>
      <c r="F14323" t="s">
        <v>19830</v>
      </c>
    </row>
    <row r="14324" spans="1:6" x14ac:dyDescent="0.25">
      <c r="A14324" t="str">
        <f>"6658521356"</f>
        <v>6658521356</v>
      </c>
      <c r="B14324" t="s">
        <v>19831</v>
      </c>
      <c r="C14324" t="s">
        <v>7</v>
      </c>
      <c r="D14324" t="s">
        <v>14</v>
      </c>
      <c r="E14324" t="s">
        <v>19036</v>
      </c>
      <c r="F14324" t="s">
        <v>19581</v>
      </c>
    </row>
    <row r="14325" spans="1:6" x14ac:dyDescent="0.25">
      <c r="A14325" t="str">
        <f>"6658554369"</f>
        <v>6658554369</v>
      </c>
      <c r="B14325" t="s">
        <v>19832</v>
      </c>
      <c r="C14325" t="s">
        <v>7</v>
      </c>
      <c r="D14325" t="s">
        <v>33</v>
      </c>
      <c r="E14325" t="s">
        <v>19036</v>
      </c>
      <c r="F14325" t="s">
        <v>19833</v>
      </c>
    </row>
    <row r="14326" spans="1:6" x14ac:dyDescent="0.25">
      <c r="A14326" t="str">
        <f>"6658560683"</f>
        <v>6658560683</v>
      </c>
      <c r="B14326" t="s">
        <v>19834</v>
      </c>
      <c r="C14326" t="s">
        <v>7</v>
      </c>
      <c r="D14326" t="s">
        <v>14</v>
      </c>
      <c r="E14326" t="s">
        <v>19036</v>
      </c>
      <c r="F14326" t="s">
        <v>19706</v>
      </c>
    </row>
    <row r="14327" spans="1:6" x14ac:dyDescent="0.25">
      <c r="A14327" t="str">
        <f>"6658577944"</f>
        <v>6658577944</v>
      </c>
      <c r="B14327" t="s">
        <v>19835</v>
      </c>
      <c r="C14327" t="s">
        <v>7</v>
      </c>
      <c r="D14327" t="s">
        <v>33</v>
      </c>
      <c r="E14327" t="s">
        <v>19036</v>
      </c>
      <c r="F14327" t="s">
        <v>19836</v>
      </c>
    </row>
    <row r="14328" spans="1:6" x14ac:dyDescent="0.25">
      <c r="A14328" t="str">
        <f>"665902694738"</f>
        <v>665902694738</v>
      </c>
      <c r="B14328" t="s">
        <v>19837</v>
      </c>
      <c r="C14328" t="s">
        <v>7</v>
      </c>
      <c r="D14328" t="s">
        <v>14</v>
      </c>
      <c r="E14328" t="s">
        <v>19036</v>
      </c>
    </row>
    <row r="14329" spans="1:6" x14ac:dyDescent="0.25">
      <c r="A14329" t="str">
        <f>"665902843838"</f>
        <v>665902843838</v>
      </c>
      <c r="B14329" t="s">
        <v>19838</v>
      </c>
      <c r="C14329" t="s">
        <v>7</v>
      </c>
      <c r="D14329" t="s">
        <v>14</v>
      </c>
      <c r="E14329" t="s">
        <v>19036</v>
      </c>
    </row>
    <row r="14330" spans="1:6" x14ac:dyDescent="0.25">
      <c r="A14330" t="str">
        <f>"665912193875"</f>
        <v>665912193875</v>
      </c>
      <c r="B14330" t="s">
        <v>19839</v>
      </c>
      <c r="C14330" t="s">
        <v>7</v>
      </c>
      <c r="D14330" t="s">
        <v>12</v>
      </c>
      <c r="E14330" t="s">
        <v>19036</v>
      </c>
    </row>
    <row r="14331" spans="1:6" x14ac:dyDescent="0.25">
      <c r="A14331" t="str">
        <f>"6659123661"</f>
        <v>6659123661</v>
      </c>
      <c r="B14331" t="s">
        <v>19840</v>
      </c>
      <c r="C14331" t="s">
        <v>7</v>
      </c>
      <c r="D14331" t="s">
        <v>14</v>
      </c>
      <c r="E14331" t="s">
        <v>19036</v>
      </c>
      <c r="F14331" t="s">
        <v>19841</v>
      </c>
    </row>
    <row r="14332" spans="1:6" x14ac:dyDescent="0.25">
      <c r="A14332" t="str">
        <f>"6659173567"</f>
        <v>6659173567</v>
      </c>
      <c r="B14332" t="s">
        <v>19842</v>
      </c>
      <c r="C14332" t="s">
        <v>7</v>
      </c>
      <c r="D14332" t="s">
        <v>14</v>
      </c>
      <c r="E14332" t="s">
        <v>19036</v>
      </c>
      <c r="F14332" t="s">
        <v>19843</v>
      </c>
    </row>
    <row r="14333" spans="1:6" x14ac:dyDescent="0.25">
      <c r="A14333" t="str">
        <f>"666000307044"</f>
        <v>666000307044</v>
      </c>
      <c r="B14333" t="s">
        <v>19844</v>
      </c>
      <c r="C14333" t="s">
        <v>7</v>
      </c>
      <c r="D14333" t="s">
        <v>586</v>
      </c>
      <c r="E14333" t="s">
        <v>19036</v>
      </c>
    </row>
    <row r="14334" spans="1:6" x14ac:dyDescent="0.25">
      <c r="A14334" t="str">
        <f>"666004908783"</f>
        <v>666004908783</v>
      </c>
      <c r="B14334" t="s">
        <v>19845</v>
      </c>
      <c r="C14334" t="s">
        <v>7</v>
      </c>
      <c r="D14334" t="s">
        <v>14</v>
      </c>
      <c r="E14334" t="s">
        <v>19036</v>
      </c>
    </row>
    <row r="14335" spans="1:6" x14ac:dyDescent="0.25">
      <c r="A14335" t="str">
        <f>"666100243796"</f>
        <v>666100243796</v>
      </c>
      <c r="B14335" t="s">
        <v>19846</v>
      </c>
      <c r="C14335" t="s">
        <v>7</v>
      </c>
      <c r="D14335" t="s">
        <v>189</v>
      </c>
      <c r="E14335" t="s">
        <v>19036</v>
      </c>
    </row>
    <row r="14336" spans="1:6" x14ac:dyDescent="0.25">
      <c r="A14336" t="str">
        <f>"666101609740"</f>
        <v>666101609740</v>
      </c>
      <c r="B14336" t="s">
        <v>19847</v>
      </c>
      <c r="C14336" t="s">
        <v>7</v>
      </c>
      <c r="D14336" t="s">
        <v>14</v>
      </c>
      <c r="E14336" t="s">
        <v>19036</v>
      </c>
    </row>
    <row r="14337" spans="1:6" x14ac:dyDescent="0.25">
      <c r="A14337" t="str">
        <f>"6662078560"</f>
        <v>6662078560</v>
      </c>
      <c r="B14337" t="s">
        <v>19848</v>
      </c>
      <c r="C14337" t="s">
        <v>7</v>
      </c>
      <c r="D14337" t="s">
        <v>14</v>
      </c>
      <c r="E14337" t="s">
        <v>19036</v>
      </c>
      <c r="F14337" t="s">
        <v>19126</v>
      </c>
    </row>
    <row r="14338" spans="1:6" x14ac:dyDescent="0.25">
      <c r="A14338" t="str">
        <f>"6662118750"</f>
        <v>6662118750</v>
      </c>
      <c r="B14338" t="s">
        <v>19849</v>
      </c>
      <c r="C14338" t="s">
        <v>7</v>
      </c>
      <c r="D14338" t="s">
        <v>33</v>
      </c>
      <c r="E14338" t="s">
        <v>19036</v>
      </c>
      <c r="F14338" t="s">
        <v>19850</v>
      </c>
    </row>
    <row r="14339" spans="1:6" x14ac:dyDescent="0.25">
      <c r="A14339" t="str">
        <f>"666300235746"</f>
        <v>666300235746</v>
      </c>
      <c r="B14339" t="s">
        <v>19851</v>
      </c>
      <c r="C14339" t="s">
        <v>7</v>
      </c>
      <c r="D14339" t="s">
        <v>12</v>
      </c>
      <c r="E14339" t="s">
        <v>19036</v>
      </c>
    </row>
    <row r="14340" spans="1:6" x14ac:dyDescent="0.25">
      <c r="A14340" t="str">
        <f>"666300372005"</f>
        <v>666300372005</v>
      </c>
      <c r="B14340" t="s">
        <v>19852</v>
      </c>
      <c r="C14340" t="s">
        <v>7</v>
      </c>
      <c r="D14340" t="s">
        <v>14</v>
      </c>
      <c r="E14340" t="s">
        <v>19036</v>
      </c>
    </row>
    <row r="14341" spans="1:6" x14ac:dyDescent="0.25">
      <c r="A14341" t="str">
        <f>"666304829878"</f>
        <v>666304829878</v>
      </c>
      <c r="B14341" t="s">
        <v>19853</v>
      </c>
      <c r="C14341" t="s">
        <v>7</v>
      </c>
      <c r="D14341" t="s">
        <v>14</v>
      </c>
      <c r="E14341" t="s">
        <v>19036</v>
      </c>
    </row>
    <row r="14342" spans="1:6" x14ac:dyDescent="0.25">
      <c r="A14342" t="str">
        <f>"6663070349"</f>
        <v>6663070349</v>
      </c>
      <c r="B14342" t="s">
        <v>19854</v>
      </c>
      <c r="C14342" t="s">
        <v>7</v>
      </c>
      <c r="D14342" t="s">
        <v>14</v>
      </c>
      <c r="E14342" t="s">
        <v>19036</v>
      </c>
      <c r="F14342" t="s">
        <v>19855</v>
      </c>
    </row>
    <row r="14343" spans="1:6" x14ac:dyDescent="0.25">
      <c r="A14343" t="str">
        <f>"6664049269"</f>
        <v>6664049269</v>
      </c>
      <c r="B14343" t="s">
        <v>19856</v>
      </c>
      <c r="C14343" t="s">
        <v>7</v>
      </c>
      <c r="D14343" t="s">
        <v>12</v>
      </c>
      <c r="E14343" t="s">
        <v>19036</v>
      </c>
      <c r="F14343" t="s">
        <v>19857</v>
      </c>
    </row>
    <row r="14344" spans="1:6" x14ac:dyDescent="0.25">
      <c r="A14344" t="str">
        <f>"666500191038"</f>
        <v>666500191038</v>
      </c>
      <c r="B14344" t="s">
        <v>19858</v>
      </c>
      <c r="C14344" t="s">
        <v>7</v>
      </c>
      <c r="D14344" t="s">
        <v>12</v>
      </c>
      <c r="E14344" t="s">
        <v>19036</v>
      </c>
    </row>
    <row r="14345" spans="1:6" x14ac:dyDescent="0.25">
      <c r="A14345" t="str">
        <f>"666700186123"</f>
        <v>666700186123</v>
      </c>
      <c r="B14345" t="s">
        <v>19859</v>
      </c>
      <c r="C14345" t="s">
        <v>7</v>
      </c>
      <c r="D14345" t="s">
        <v>12</v>
      </c>
      <c r="E14345" t="s">
        <v>19036</v>
      </c>
    </row>
    <row r="14346" spans="1:6" x14ac:dyDescent="0.25">
      <c r="A14346" t="str">
        <f>"666800279050"</f>
        <v>666800279050</v>
      </c>
      <c r="B14346" t="s">
        <v>19860</v>
      </c>
      <c r="C14346" t="s">
        <v>7</v>
      </c>
      <c r="D14346" t="s">
        <v>14</v>
      </c>
      <c r="E14346" t="s">
        <v>19036</v>
      </c>
    </row>
    <row r="14347" spans="1:6" x14ac:dyDescent="0.25">
      <c r="A14347" t="str">
        <f>"666800522675"</f>
        <v>666800522675</v>
      </c>
      <c r="B14347" t="s">
        <v>2706</v>
      </c>
      <c r="C14347" t="s">
        <v>7</v>
      </c>
      <c r="D14347" t="s">
        <v>14</v>
      </c>
      <c r="E14347" t="s">
        <v>19036</v>
      </c>
    </row>
    <row r="14348" spans="1:6" x14ac:dyDescent="0.25">
      <c r="A14348" t="str">
        <f>"666900085490"</f>
        <v>666900085490</v>
      </c>
      <c r="B14348" t="s">
        <v>19861</v>
      </c>
      <c r="C14348" t="s">
        <v>7</v>
      </c>
      <c r="D14348" t="s">
        <v>14</v>
      </c>
      <c r="E14348" t="s">
        <v>19036</v>
      </c>
    </row>
    <row r="14349" spans="1:6" x14ac:dyDescent="0.25">
      <c r="A14349" t="str">
        <f>"666900085563"</f>
        <v>666900085563</v>
      </c>
      <c r="B14349" t="s">
        <v>19862</v>
      </c>
      <c r="C14349" t="s">
        <v>7</v>
      </c>
      <c r="D14349" t="s">
        <v>12</v>
      </c>
      <c r="E14349" t="s">
        <v>19036</v>
      </c>
    </row>
    <row r="14350" spans="1:6" x14ac:dyDescent="0.25">
      <c r="A14350" t="str">
        <f>"6670027577"</f>
        <v>6670027577</v>
      </c>
      <c r="B14350" t="s">
        <v>19863</v>
      </c>
      <c r="C14350" t="s">
        <v>7</v>
      </c>
      <c r="D14350" t="s">
        <v>189</v>
      </c>
      <c r="E14350" t="s">
        <v>19036</v>
      </c>
      <c r="F14350" t="s">
        <v>19864</v>
      </c>
    </row>
    <row r="14351" spans="1:6" x14ac:dyDescent="0.25">
      <c r="A14351" t="str">
        <f>"667008527935"</f>
        <v>667008527935</v>
      </c>
      <c r="B14351" t="s">
        <v>19865</v>
      </c>
      <c r="C14351" t="s">
        <v>7</v>
      </c>
      <c r="D14351" t="s">
        <v>12</v>
      </c>
      <c r="E14351" t="s">
        <v>19036</v>
      </c>
    </row>
    <row r="14352" spans="1:6" x14ac:dyDescent="0.25">
      <c r="A14352" t="str">
        <f>"667009090623"</f>
        <v>667009090623</v>
      </c>
      <c r="B14352" t="s">
        <v>19866</v>
      </c>
      <c r="C14352" t="s">
        <v>7</v>
      </c>
      <c r="D14352" t="s">
        <v>586</v>
      </c>
      <c r="E14352" t="s">
        <v>19036</v>
      </c>
    </row>
    <row r="14353" spans="1:6" x14ac:dyDescent="0.25">
      <c r="A14353" t="str">
        <f>"6670167782"</f>
        <v>6670167782</v>
      </c>
      <c r="B14353" t="s">
        <v>19867</v>
      </c>
      <c r="C14353" t="s">
        <v>7</v>
      </c>
      <c r="D14353" t="s">
        <v>12</v>
      </c>
      <c r="E14353" t="s">
        <v>19036</v>
      </c>
      <c r="F14353" t="s">
        <v>19868</v>
      </c>
    </row>
    <row r="14354" spans="1:6" x14ac:dyDescent="0.25">
      <c r="A14354" t="str">
        <f>"6670178583"</f>
        <v>6670178583</v>
      </c>
      <c r="B14354" t="s">
        <v>19869</v>
      </c>
      <c r="C14354" t="s">
        <v>7</v>
      </c>
      <c r="D14354" t="s">
        <v>12</v>
      </c>
      <c r="E14354" t="s">
        <v>19036</v>
      </c>
      <c r="F14354" t="s">
        <v>19870</v>
      </c>
    </row>
    <row r="14355" spans="1:6" x14ac:dyDescent="0.25">
      <c r="A14355" t="str">
        <f>"6670187443"</f>
        <v>6670187443</v>
      </c>
      <c r="B14355" t="s">
        <v>19871</v>
      </c>
      <c r="C14355" t="s">
        <v>7</v>
      </c>
      <c r="D14355" t="s">
        <v>33</v>
      </c>
      <c r="E14355" t="s">
        <v>19036</v>
      </c>
      <c r="F14355" t="s">
        <v>19872</v>
      </c>
    </row>
    <row r="14356" spans="1:6" x14ac:dyDescent="0.25">
      <c r="A14356" t="str">
        <f>"6670204191"</f>
        <v>6670204191</v>
      </c>
      <c r="B14356" t="s">
        <v>19873</v>
      </c>
      <c r="C14356" t="s">
        <v>7</v>
      </c>
      <c r="D14356" t="s">
        <v>12</v>
      </c>
      <c r="E14356" t="s">
        <v>19036</v>
      </c>
      <c r="F14356" t="s">
        <v>19569</v>
      </c>
    </row>
    <row r="14357" spans="1:6" x14ac:dyDescent="0.25">
      <c r="A14357" t="str">
        <f>"6670391907"</f>
        <v>6670391907</v>
      </c>
      <c r="B14357" t="s">
        <v>19874</v>
      </c>
      <c r="C14357" t="s">
        <v>7</v>
      </c>
      <c r="D14357" t="s">
        <v>14</v>
      </c>
      <c r="E14357" t="s">
        <v>19036</v>
      </c>
      <c r="F14357" t="s">
        <v>19875</v>
      </c>
    </row>
    <row r="14358" spans="1:6" x14ac:dyDescent="0.25">
      <c r="A14358" t="str">
        <f>"6670393125"</f>
        <v>6670393125</v>
      </c>
      <c r="B14358" t="s">
        <v>19876</v>
      </c>
      <c r="C14358" t="s">
        <v>7</v>
      </c>
      <c r="D14358" t="s">
        <v>189</v>
      </c>
      <c r="E14358" t="s">
        <v>19036</v>
      </c>
      <c r="F14358" t="s">
        <v>19877</v>
      </c>
    </row>
    <row r="14359" spans="1:6" x14ac:dyDescent="0.25">
      <c r="A14359" t="str">
        <f>"6670404017"</f>
        <v>6670404017</v>
      </c>
      <c r="B14359" t="s">
        <v>19878</v>
      </c>
      <c r="C14359" t="s">
        <v>7</v>
      </c>
      <c r="D14359" t="s">
        <v>12</v>
      </c>
      <c r="E14359" t="s">
        <v>19036</v>
      </c>
      <c r="F14359" t="s">
        <v>19879</v>
      </c>
    </row>
    <row r="14360" spans="1:6" x14ac:dyDescent="0.25">
      <c r="A14360" t="str">
        <f>"6670422665"</f>
        <v>6670422665</v>
      </c>
      <c r="B14360" t="s">
        <v>19684</v>
      </c>
      <c r="C14360" t="s">
        <v>7</v>
      </c>
      <c r="D14360" t="s">
        <v>12</v>
      </c>
      <c r="E14360" t="s">
        <v>19036</v>
      </c>
      <c r="F14360" t="s">
        <v>19880</v>
      </c>
    </row>
    <row r="14361" spans="1:6" x14ac:dyDescent="0.25">
      <c r="A14361" t="str">
        <f>"6670437245"</f>
        <v>6670437245</v>
      </c>
      <c r="B14361" t="s">
        <v>19881</v>
      </c>
      <c r="C14361" t="s">
        <v>7</v>
      </c>
      <c r="D14361" t="s">
        <v>12</v>
      </c>
      <c r="E14361" t="s">
        <v>19036</v>
      </c>
      <c r="F14361" t="s">
        <v>19882</v>
      </c>
    </row>
    <row r="14362" spans="1:6" x14ac:dyDescent="0.25">
      <c r="A14362" t="str">
        <f>"6670463862"</f>
        <v>6670463862</v>
      </c>
      <c r="B14362" t="s">
        <v>3179</v>
      </c>
      <c r="C14362" t="s">
        <v>7</v>
      </c>
      <c r="D14362" t="s">
        <v>33</v>
      </c>
      <c r="E14362" t="s">
        <v>19036</v>
      </c>
      <c r="F14362" t="s">
        <v>19883</v>
      </c>
    </row>
    <row r="14363" spans="1:6" x14ac:dyDescent="0.25">
      <c r="A14363" t="str">
        <f>"6670520704"</f>
        <v>6670520704</v>
      </c>
      <c r="B14363" t="s">
        <v>19884</v>
      </c>
      <c r="C14363" t="s">
        <v>7</v>
      </c>
      <c r="D14363" t="s">
        <v>33</v>
      </c>
      <c r="E14363" t="s">
        <v>19036</v>
      </c>
      <c r="F14363" t="s">
        <v>19885</v>
      </c>
    </row>
    <row r="14364" spans="1:6" x14ac:dyDescent="0.25">
      <c r="A14364" t="str">
        <f>"6670526223"</f>
        <v>6670526223</v>
      </c>
      <c r="B14364" t="s">
        <v>19886</v>
      </c>
      <c r="C14364" t="s">
        <v>7</v>
      </c>
      <c r="D14364" t="s">
        <v>33</v>
      </c>
      <c r="E14364" t="s">
        <v>19036</v>
      </c>
      <c r="F14364" t="s">
        <v>19887</v>
      </c>
    </row>
    <row r="14365" spans="1:6" x14ac:dyDescent="0.25">
      <c r="A14365" t="str">
        <f>"6671013930"</f>
        <v>6671013930</v>
      </c>
      <c r="B14365" t="s">
        <v>19888</v>
      </c>
      <c r="C14365" t="s">
        <v>7</v>
      </c>
      <c r="D14365" t="s">
        <v>33</v>
      </c>
      <c r="E14365" t="s">
        <v>19036</v>
      </c>
      <c r="F14365" t="s">
        <v>19889</v>
      </c>
    </row>
    <row r="14366" spans="1:6" x14ac:dyDescent="0.25">
      <c r="A14366" t="str">
        <f>"6671015856"</f>
        <v>6671015856</v>
      </c>
      <c r="B14366" t="s">
        <v>19890</v>
      </c>
      <c r="C14366" t="s">
        <v>7</v>
      </c>
      <c r="D14366" t="s">
        <v>8</v>
      </c>
      <c r="E14366" t="s">
        <v>19036</v>
      </c>
      <c r="F14366" t="s">
        <v>19891</v>
      </c>
    </row>
    <row r="14367" spans="1:6" x14ac:dyDescent="0.25">
      <c r="A14367" t="str">
        <f>"6671084320"</f>
        <v>6671084320</v>
      </c>
      <c r="B14367" t="s">
        <v>19892</v>
      </c>
      <c r="C14367" t="s">
        <v>7</v>
      </c>
      <c r="D14367" t="s">
        <v>33</v>
      </c>
      <c r="E14367" t="s">
        <v>19036</v>
      </c>
      <c r="F14367" t="s">
        <v>19893</v>
      </c>
    </row>
    <row r="14368" spans="1:6" x14ac:dyDescent="0.25">
      <c r="A14368" t="str">
        <f>"667108946979"</f>
        <v>667108946979</v>
      </c>
      <c r="B14368" t="s">
        <v>19894</v>
      </c>
      <c r="C14368" t="s">
        <v>7</v>
      </c>
      <c r="D14368" t="s">
        <v>14</v>
      </c>
      <c r="E14368" t="s">
        <v>19036</v>
      </c>
    </row>
    <row r="14369" spans="1:6" x14ac:dyDescent="0.25">
      <c r="A14369" t="str">
        <f>"667112439234"</f>
        <v>667112439234</v>
      </c>
      <c r="B14369" t="s">
        <v>19895</v>
      </c>
      <c r="C14369" t="s">
        <v>7</v>
      </c>
      <c r="D14369" t="s">
        <v>14</v>
      </c>
      <c r="E14369" t="s">
        <v>19036</v>
      </c>
    </row>
    <row r="14370" spans="1:6" x14ac:dyDescent="0.25">
      <c r="A14370" t="str">
        <f>"667113133200"</f>
        <v>667113133200</v>
      </c>
      <c r="B14370" t="s">
        <v>19896</v>
      </c>
      <c r="C14370" t="s">
        <v>7</v>
      </c>
      <c r="D14370" t="s">
        <v>12</v>
      </c>
      <c r="E14370" t="s">
        <v>19036</v>
      </c>
    </row>
    <row r="14371" spans="1:6" x14ac:dyDescent="0.25">
      <c r="A14371" t="str">
        <f>"6671151030"</f>
        <v>6671151030</v>
      </c>
      <c r="B14371" t="s">
        <v>19897</v>
      </c>
      <c r="C14371" t="s">
        <v>7</v>
      </c>
      <c r="D14371" t="s">
        <v>33</v>
      </c>
      <c r="E14371" t="s">
        <v>19036</v>
      </c>
      <c r="F14371" t="s">
        <v>19898</v>
      </c>
    </row>
    <row r="14372" spans="1:6" x14ac:dyDescent="0.25">
      <c r="A14372" t="str">
        <f>"667115441344"</f>
        <v>667115441344</v>
      </c>
      <c r="B14372" t="s">
        <v>19899</v>
      </c>
      <c r="C14372" t="s">
        <v>7</v>
      </c>
      <c r="D14372" t="s">
        <v>14</v>
      </c>
      <c r="E14372" t="s">
        <v>19036</v>
      </c>
    </row>
    <row r="14373" spans="1:6" x14ac:dyDescent="0.25">
      <c r="A14373" t="str">
        <f>"667115487638"</f>
        <v>667115487638</v>
      </c>
      <c r="B14373" t="s">
        <v>19900</v>
      </c>
      <c r="C14373" t="s">
        <v>7</v>
      </c>
      <c r="D14373" t="s">
        <v>14</v>
      </c>
      <c r="E14373" t="s">
        <v>19036</v>
      </c>
    </row>
    <row r="14374" spans="1:6" x14ac:dyDescent="0.25">
      <c r="A14374" t="str">
        <f>"667115928900"</f>
        <v>667115928900</v>
      </c>
      <c r="B14374" t="s">
        <v>19901</v>
      </c>
      <c r="C14374" t="s">
        <v>7</v>
      </c>
      <c r="D14374" t="s">
        <v>12</v>
      </c>
      <c r="E14374" t="s">
        <v>19036</v>
      </c>
    </row>
    <row r="14375" spans="1:6" x14ac:dyDescent="0.25">
      <c r="A14375" t="str">
        <f>"667118189703"</f>
        <v>667118189703</v>
      </c>
      <c r="B14375" t="s">
        <v>19902</v>
      </c>
      <c r="C14375" t="s">
        <v>7</v>
      </c>
      <c r="D14375" t="s">
        <v>14</v>
      </c>
      <c r="E14375" t="s">
        <v>19036</v>
      </c>
    </row>
    <row r="14376" spans="1:6" x14ac:dyDescent="0.25">
      <c r="A14376" t="str">
        <f>"6671206917"</f>
        <v>6671206917</v>
      </c>
      <c r="B14376" t="s">
        <v>19903</v>
      </c>
      <c r="C14376" t="s">
        <v>7</v>
      </c>
      <c r="D14376" t="s">
        <v>12</v>
      </c>
      <c r="E14376" t="s">
        <v>19036</v>
      </c>
      <c r="F14376" t="s">
        <v>19904</v>
      </c>
    </row>
    <row r="14377" spans="1:6" x14ac:dyDescent="0.25">
      <c r="A14377" t="str">
        <f>"6671211057"</f>
        <v>6671211057</v>
      </c>
      <c r="B14377" t="s">
        <v>19905</v>
      </c>
      <c r="C14377" t="s">
        <v>7</v>
      </c>
      <c r="D14377" t="s">
        <v>12</v>
      </c>
      <c r="E14377" t="s">
        <v>19036</v>
      </c>
      <c r="F14377" t="s">
        <v>19906</v>
      </c>
    </row>
    <row r="14378" spans="1:6" x14ac:dyDescent="0.25">
      <c r="A14378" t="str">
        <f>"6671211917"</f>
        <v>6671211917</v>
      </c>
      <c r="B14378" t="s">
        <v>19907</v>
      </c>
      <c r="C14378" t="s">
        <v>7</v>
      </c>
      <c r="D14378" t="s">
        <v>12</v>
      </c>
      <c r="E14378" t="s">
        <v>19036</v>
      </c>
      <c r="F14378" t="s">
        <v>19908</v>
      </c>
    </row>
    <row r="14379" spans="1:6" x14ac:dyDescent="0.25">
      <c r="A14379" t="str">
        <f>"6671242979"</f>
        <v>6671242979</v>
      </c>
      <c r="B14379" t="s">
        <v>19909</v>
      </c>
      <c r="C14379" t="s">
        <v>7</v>
      </c>
      <c r="D14379" t="s">
        <v>12</v>
      </c>
      <c r="E14379" t="s">
        <v>19036</v>
      </c>
      <c r="F14379" t="s">
        <v>19910</v>
      </c>
    </row>
    <row r="14380" spans="1:6" x14ac:dyDescent="0.25">
      <c r="A14380" t="str">
        <f>"6671318610"</f>
        <v>6671318610</v>
      </c>
      <c r="B14380" t="s">
        <v>19911</v>
      </c>
      <c r="C14380" t="s">
        <v>7</v>
      </c>
      <c r="D14380" t="s">
        <v>14</v>
      </c>
      <c r="E14380" t="s">
        <v>19036</v>
      </c>
      <c r="F14380" t="s">
        <v>19912</v>
      </c>
    </row>
    <row r="14381" spans="1:6" x14ac:dyDescent="0.25">
      <c r="A14381" t="str">
        <f>"6672315443"</f>
        <v>6672315443</v>
      </c>
      <c r="B14381" t="s">
        <v>19913</v>
      </c>
      <c r="C14381" t="s">
        <v>7</v>
      </c>
      <c r="D14381" t="s">
        <v>1430</v>
      </c>
      <c r="E14381" t="s">
        <v>19036</v>
      </c>
      <c r="F14381" t="s">
        <v>19914</v>
      </c>
    </row>
    <row r="14382" spans="1:6" x14ac:dyDescent="0.25">
      <c r="A14382" t="str">
        <f>"667302163545"</f>
        <v>667302163545</v>
      </c>
      <c r="B14382" t="s">
        <v>19915</v>
      </c>
      <c r="C14382" t="s">
        <v>7</v>
      </c>
      <c r="D14382" t="s">
        <v>14</v>
      </c>
      <c r="E14382" t="s">
        <v>19036</v>
      </c>
    </row>
    <row r="14383" spans="1:6" x14ac:dyDescent="0.25">
      <c r="A14383" t="str">
        <f>"6673115140"</f>
        <v>6673115140</v>
      </c>
      <c r="B14383" t="s">
        <v>19916</v>
      </c>
      <c r="C14383" t="s">
        <v>7</v>
      </c>
      <c r="D14383" t="s">
        <v>463</v>
      </c>
      <c r="E14383" t="s">
        <v>19036</v>
      </c>
      <c r="F14383" t="s">
        <v>19917</v>
      </c>
    </row>
    <row r="14384" spans="1:6" x14ac:dyDescent="0.25">
      <c r="A14384" t="str">
        <f>"6673174266"</f>
        <v>6673174266</v>
      </c>
      <c r="B14384" t="s">
        <v>3282</v>
      </c>
      <c r="C14384" t="s">
        <v>7</v>
      </c>
      <c r="D14384" t="s">
        <v>14</v>
      </c>
      <c r="E14384" t="s">
        <v>19036</v>
      </c>
      <c r="F14384" t="s">
        <v>19918</v>
      </c>
    </row>
    <row r="14385" spans="1:6" x14ac:dyDescent="0.25">
      <c r="A14385" t="str">
        <f>"667320104158"</f>
        <v>667320104158</v>
      </c>
      <c r="B14385" t="s">
        <v>19919</v>
      </c>
      <c r="C14385" t="s">
        <v>7</v>
      </c>
      <c r="D14385" t="s">
        <v>12</v>
      </c>
      <c r="E14385" t="s">
        <v>19036</v>
      </c>
    </row>
    <row r="14386" spans="1:6" x14ac:dyDescent="0.25">
      <c r="A14386" t="str">
        <f>"667328964268"</f>
        <v>667328964268</v>
      </c>
      <c r="B14386" t="s">
        <v>19920</v>
      </c>
      <c r="C14386" t="s">
        <v>7</v>
      </c>
      <c r="D14386" t="s">
        <v>586</v>
      </c>
      <c r="E14386" t="s">
        <v>19036</v>
      </c>
    </row>
    <row r="14387" spans="1:6" x14ac:dyDescent="0.25">
      <c r="A14387" t="str">
        <f>"667329672290"</f>
        <v>667329672290</v>
      </c>
      <c r="B14387" t="s">
        <v>19921</v>
      </c>
      <c r="C14387" t="s">
        <v>7</v>
      </c>
      <c r="D14387" t="s">
        <v>12</v>
      </c>
      <c r="E14387" t="s">
        <v>19036</v>
      </c>
    </row>
    <row r="14388" spans="1:6" x14ac:dyDescent="0.25">
      <c r="A14388" t="str">
        <f>"667330433320"</f>
        <v>667330433320</v>
      </c>
      <c r="B14388" t="s">
        <v>19922</v>
      </c>
      <c r="C14388" t="s">
        <v>7</v>
      </c>
      <c r="D14388" t="s">
        <v>14</v>
      </c>
      <c r="E14388" t="s">
        <v>19036</v>
      </c>
    </row>
    <row r="14389" spans="1:6" x14ac:dyDescent="0.25">
      <c r="A14389" t="str">
        <f>"667353098774"</f>
        <v>667353098774</v>
      </c>
      <c r="B14389" t="s">
        <v>19923</v>
      </c>
      <c r="C14389" t="s">
        <v>7</v>
      </c>
      <c r="D14389" t="s">
        <v>14</v>
      </c>
      <c r="E14389" t="s">
        <v>19036</v>
      </c>
    </row>
    <row r="14390" spans="1:6" x14ac:dyDescent="0.25">
      <c r="A14390" t="str">
        <f>"667354311089"</f>
        <v>667354311089</v>
      </c>
      <c r="B14390" t="s">
        <v>19924</v>
      </c>
      <c r="C14390" t="s">
        <v>7</v>
      </c>
      <c r="D14390" t="s">
        <v>14</v>
      </c>
      <c r="E14390" t="s">
        <v>19036</v>
      </c>
    </row>
    <row r="14391" spans="1:6" x14ac:dyDescent="0.25">
      <c r="A14391" t="str">
        <f>"667357219148"</f>
        <v>667357219148</v>
      </c>
      <c r="B14391" t="s">
        <v>19925</v>
      </c>
      <c r="C14391" t="s">
        <v>7</v>
      </c>
      <c r="D14391" t="s">
        <v>14</v>
      </c>
      <c r="E14391" t="s">
        <v>19036</v>
      </c>
    </row>
    <row r="14392" spans="1:6" x14ac:dyDescent="0.25">
      <c r="A14392" t="str">
        <f>"667357656860"</f>
        <v>667357656860</v>
      </c>
      <c r="B14392" t="s">
        <v>19926</v>
      </c>
      <c r="C14392" t="s">
        <v>7</v>
      </c>
      <c r="D14392" t="s">
        <v>12</v>
      </c>
      <c r="E14392" t="s">
        <v>19036</v>
      </c>
    </row>
    <row r="14393" spans="1:6" x14ac:dyDescent="0.25">
      <c r="A14393" t="str">
        <f>"667400767552"</f>
        <v>667400767552</v>
      </c>
      <c r="B14393" t="s">
        <v>19927</v>
      </c>
      <c r="C14393" t="s">
        <v>7</v>
      </c>
      <c r="D14393" t="s">
        <v>14</v>
      </c>
      <c r="E14393" t="s">
        <v>19036</v>
      </c>
    </row>
    <row r="14394" spans="1:6" x14ac:dyDescent="0.25">
      <c r="A14394" t="str">
        <f>"667408077198"</f>
        <v>667408077198</v>
      </c>
      <c r="B14394" t="s">
        <v>19928</v>
      </c>
      <c r="C14394" t="s">
        <v>7</v>
      </c>
      <c r="D14394" t="s">
        <v>14</v>
      </c>
      <c r="E14394" t="s">
        <v>19036</v>
      </c>
    </row>
    <row r="14395" spans="1:6" x14ac:dyDescent="0.25">
      <c r="A14395" t="str">
        <f>"6674093147"</f>
        <v>6674093147</v>
      </c>
      <c r="B14395" t="s">
        <v>19929</v>
      </c>
      <c r="C14395" t="s">
        <v>7</v>
      </c>
      <c r="D14395" t="s">
        <v>14</v>
      </c>
      <c r="E14395" t="s">
        <v>19036</v>
      </c>
      <c r="F14395" t="s">
        <v>19930</v>
      </c>
    </row>
    <row r="14396" spans="1:6" x14ac:dyDescent="0.25">
      <c r="A14396" t="str">
        <f>"6674112625"</f>
        <v>6674112625</v>
      </c>
      <c r="B14396" t="s">
        <v>19931</v>
      </c>
      <c r="C14396" t="s">
        <v>7</v>
      </c>
      <c r="D14396" t="s">
        <v>12</v>
      </c>
      <c r="E14396" t="s">
        <v>19036</v>
      </c>
      <c r="F14396" t="s">
        <v>19932</v>
      </c>
    </row>
    <row r="14397" spans="1:6" x14ac:dyDescent="0.25">
      <c r="A14397" t="str">
        <f>"667411351852"</f>
        <v>667411351852</v>
      </c>
      <c r="B14397" t="s">
        <v>19933</v>
      </c>
      <c r="C14397" t="s">
        <v>7</v>
      </c>
      <c r="D14397" t="s">
        <v>14</v>
      </c>
      <c r="E14397" t="s">
        <v>19036</v>
      </c>
    </row>
    <row r="14398" spans="1:6" x14ac:dyDescent="0.25">
      <c r="A14398" t="str">
        <f>"6674229990"</f>
        <v>6674229990</v>
      </c>
      <c r="B14398" t="s">
        <v>19934</v>
      </c>
      <c r="C14398" t="s">
        <v>7</v>
      </c>
      <c r="D14398" t="s">
        <v>14</v>
      </c>
      <c r="E14398" t="s">
        <v>19036</v>
      </c>
      <c r="F14398" t="s">
        <v>19935</v>
      </c>
    </row>
    <row r="14399" spans="1:6" x14ac:dyDescent="0.25">
      <c r="A14399" t="str">
        <f>"6674232305"</f>
        <v>6674232305</v>
      </c>
      <c r="B14399" t="s">
        <v>18820</v>
      </c>
      <c r="C14399" t="s">
        <v>7</v>
      </c>
      <c r="D14399" t="s">
        <v>33</v>
      </c>
      <c r="E14399" t="s">
        <v>19036</v>
      </c>
      <c r="F14399" t="s">
        <v>19936</v>
      </c>
    </row>
    <row r="14400" spans="1:6" x14ac:dyDescent="0.25">
      <c r="A14400" t="str">
        <f>"6674300001"</f>
        <v>6674300001</v>
      </c>
      <c r="B14400" t="s">
        <v>19937</v>
      </c>
      <c r="C14400" t="s">
        <v>7</v>
      </c>
      <c r="D14400" t="s">
        <v>14</v>
      </c>
      <c r="E14400" t="s">
        <v>19036</v>
      </c>
      <c r="F14400" t="s">
        <v>19938</v>
      </c>
    </row>
    <row r="14401" spans="1:6" x14ac:dyDescent="0.25">
      <c r="A14401" t="str">
        <f>"6674319443"</f>
        <v>6674319443</v>
      </c>
      <c r="B14401" t="s">
        <v>19939</v>
      </c>
      <c r="C14401" t="s">
        <v>7</v>
      </c>
      <c r="D14401" t="s">
        <v>12</v>
      </c>
      <c r="E14401" t="s">
        <v>19036</v>
      </c>
      <c r="F14401" t="s">
        <v>19940</v>
      </c>
    </row>
    <row r="14402" spans="1:6" x14ac:dyDescent="0.25">
      <c r="A14402" t="str">
        <f>"6674342724"</f>
        <v>6674342724</v>
      </c>
      <c r="B14402" t="s">
        <v>19941</v>
      </c>
      <c r="C14402" t="s">
        <v>7</v>
      </c>
      <c r="D14402" t="s">
        <v>14</v>
      </c>
      <c r="E14402" t="s">
        <v>19036</v>
      </c>
      <c r="F14402" t="s">
        <v>19942</v>
      </c>
    </row>
    <row r="14403" spans="1:6" x14ac:dyDescent="0.25">
      <c r="A14403" t="str">
        <f>"6674347056"</f>
        <v>6674347056</v>
      </c>
      <c r="B14403" t="s">
        <v>100</v>
      </c>
      <c r="C14403" t="s">
        <v>7</v>
      </c>
      <c r="D14403" t="s">
        <v>12</v>
      </c>
      <c r="E14403" t="s">
        <v>19036</v>
      </c>
      <c r="F14403" t="s">
        <v>19943</v>
      </c>
    </row>
    <row r="14404" spans="1:6" x14ac:dyDescent="0.25">
      <c r="A14404" t="str">
        <f>"6674364559"</f>
        <v>6674364559</v>
      </c>
      <c r="B14404" t="s">
        <v>13283</v>
      </c>
      <c r="C14404" t="s">
        <v>7</v>
      </c>
      <c r="D14404" t="s">
        <v>33</v>
      </c>
      <c r="E14404" t="s">
        <v>19036</v>
      </c>
      <c r="F14404" t="s">
        <v>19944</v>
      </c>
    </row>
    <row r="14405" spans="1:6" x14ac:dyDescent="0.25">
      <c r="A14405" t="str">
        <f>"667475103220"</f>
        <v>667475103220</v>
      </c>
      <c r="B14405" t="s">
        <v>19945</v>
      </c>
      <c r="C14405" t="s">
        <v>7</v>
      </c>
      <c r="D14405" t="s">
        <v>14</v>
      </c>
      <c r="E14405" t="s">
        <v>19036</v>
      </c>
    </row>
    <row r="14406" spans="1:6" x14ac:dyDescent="0.25">
      <c r="A14406" t="str">
        <f>"667477010846"</f>
        <v>667477010846</v>
      </c>
      <c r="B14406" t="s">
        <v>19946</v>
      </c>
      <c r="C14406" t="s">
        <v>7</v>
      </c>
      <c r="D14406" t="s">
        <v>14</v>
      </c>
      <c r="E14406" t="s">
        <v>19036</v>
      </c>
    </row>
    <row r="14407" spans="1:6" x14ac:dyDescent="0.25">
      <c r="A14407" t="str">
        <f>"667690050806"</f>
        <v>667690050806</v>
      </c>
      <c r="B14407" t="s">
        <v>19947</v>
      </c>
      <c r="C14407" t="s">
        <v>7</v>
      </c>
      <c r="D14407" t="s">
        <v>14</v>
      </c>
      <c r="E14407" t="s">
        <v>19036</v>
      </c>
    </row>
    <row r="14408" spans="1:6" x14ac:dyDescent="0.25">
      <c r="A14408" t="str">
        <f>"6678000591"</f>
        <v>6678000591</v>
      </c>
      <c r="B14408" t="s">
        <v>19948</v>
      </c>
      <c r="C14408" t="s">
        <v>7</v>
      </c>
      <c r="D14408" t="s">
        <v>12</v>
      </c>
      <c r="E14408" t="s">
        <v>19036</v>
      </c>
      <c r="F14408" t="s">
        <v>19949</v>
      </c>
    </row>
    <row r="14409" spans="1:6" x14ac:dyDescent="0.25">
      <c r="A14409" t="str">
        <f>"6678010617"</f>
        <v>6678010617</v>
      </c>
      <c r="B14409" t="s">
        <v>19950</v>
      </c>
      <c r="C14409" t="s">
        <v>7</v>
      </c>
      <c r="D14409" t="s">
        <v>33</v>
      </c>
      <c r="E14409" t="s">
        <v>19036</v>
      </c>
      <c r="F14409" t="s">
        <v>19951</v>
      </c>
    </row>
    <row r="14410" spans="1:6" x14ac:dyDescent="0.25">
      <c r="A14410" t="str">
        <f>"6678011836"</f>
        <v>6678011836</v>
      </c>
      <c r="B14410" t="s">
        <v>19952</v>
      </c>
      <c r="C14410" t="s">
        <v>7</v>
      </c>
      <c r="D14410" t="s">
        <v>12</v>
      </c>
      <c r="E14410" t="s">
        <v>19036</v>
      </c>
      <c r="F14410" t="s">
        <v>19953</v>
      </c>
    </row>
    <row r="14411" spans="1:6" x14ac:dyDescent="0.25">
      <c r="A14411" t="str">
        <f>"6678014763"</f>
        <v>6678014763</v>
      </c>
      <c r="B14411" t="s">
        <v>19954</v>
      </c>
      <c r="C14411" t="s">
        <v>7</v>
      </c>
      <c r="D14411" t="s">
        <v>12</v>
      </c>
      <c r="E14411" t="s">
        <v>19036</v>
      </c>
      <c r="F14411" t="s">
        <v>19953</v>
      </c>
    </row>
    <row r="14412" spans="1:6" x14ac:dyDescent="0.25">
      <c r="A14412" t="str">
        <f>"667801630989"</f>
        <v>667801630989</v>
      </c>
      <c r="B14412" t="s">
        <v>19955</v>
      </c>
      <c r="C14412" t="s">
        <v>7</v>
      </c>
      <c r="D14412" t="s">
        <v>14</v>
      </c>
      <c r="E14412" t="s">
        <v>19036</v>
      </c>
    </row>
    <row r="14413" spans="1:6" x14ac:dyDescent="0.25">
      <c r="A14413" t="str">
        <f>"667802553663"</f>
        <v>667802553663</v>
      </c>
      <c r="B14413" t="s">
        <v>19956</v>
      </c>
      <c r="C14413" t="s">
        <v>7</v>
      </c>
      <c r="D14413" t="s">
        <v>14</v>
      </c>
      <c r="E14413" t="s">
        <v>19036</v>
      </c>
    </row>
    <row r="14414" spans="1:6" x14ac:dyDescent="0.25">
      <c r="A14414" t="str">
        <f>"6678028036"</f>
        <v>6678028036</v>
      </c>
      <c r="B14414" t="s">
        <v>19957</v>
      </c>
      <c r="C14414" t="s">
        <v>7</v>
      </c>
      <c r="D14414" t="s">
        <v>14</v>
      </c>
      <c r="E14414" t="s">
        <v>19036</v>
      </c>
      <c r="F14414" t="s">
        <v>19958</v>
      </c>
    </row>
    <row r="14415" spans="1:6" x14ac:dyDescent="0.25">
      <c r="A14415" t="str">
        <f>"667804090160"</f>
        <v>667804090160</v>
      </c>
      <c r="B14415" t="s">
        <v>19959</v>
      </c>
      <c r="C14415" t="s">
        <v>7</v>
      </c>
      <c r="D14415" t="s">
        <v>14</v>
      </c>
      <c r="E14415" t="s">
        <v>19036</v>
      </c>
    </row>
    <row r="14416" spans="1:6" x14ac:dyDescent="0.25">
      <c r="A14416" t="str">
        <f>"6678062534"</f>
        <v>6678062534</v>
      </c>
      <c r="B14416" t="s">
        <v>19960</v>
      </c>
      <c r="C14416" t="s">
        <v>7</v>
      </c>
      <c r="D14416" t="s">
        <v>33</v>
      </c>
      <c r="E14416" t="s">
        <v>19036</v>
      </c>
      <c r="F14416" t="s">
        <v>19961</v>
      </c>
    </row>
    <row r="14417" spans="1:6" x14ac:dyDescent="0.25">
      <c r="A14417" t="str">
        <f>"6678064041"</f>
        <v>6678064041</v>
      </c>
      <c r="B14417" t="s">
        <v>19962</v>
      </c>
      <c r="C14417" t="s">
        <v>7</v>
      </c>
      <c r="D14417" t="s">
        <v>14</v>
      </c>
      <c r="E14417" t="s">
        <v>19036</v>
      </c>
      <c r="F14417" t="s">
        <v>19963</v>
      </c>
    </row>
    <row r="14418" spans="1:6" x14ac:dyDescent="0.25">
      <c r="A14418" t="str">
        <f>"6678079520"</f>
        <v>6678079520</v>
      </c>
      <c r="B14418" t="s">
        <v>19964</v>
      </c>
      <c r="C14418" t="s">
        <v>7</v>
      </c>
      <c r="D14418" t="s">
        <v>12</v>
      </c>
      <c r="E14418" t="s">
        <v>19036</v>
      </c>
      <c r="F14418" t="s">
        <v>19965</v>
      </c>
    </row>
    <row r="14419" spans="1:6" x14ac:dyDescent="0.25">
      <c r="A14419" t="str">
        <f>"6678099083"</f>
        <v>6678099083</v>
      </c>
      <c r="B14419" t="s">
        <v>19966</v>
      </c>
      <c r="C14419" t="s">
        <v>7</v>
      </c>
      <c r="D14419" t="s">
        <v>463</v>
      </c>
      <c r="E14419" t="s">
        <v>19036</v>
      </c>
      <c r="F14419" t="s">
        <v>19967</v>
      </c>
    </row>
    <row r="14420" spans="1:6" x14ac:dyDescent="0.25">
      <c r="A14420" t="str">
        <f>"6678102667"</f>
        <v>6678102667</v>
      </c>
      <c r="B14420" t="s">
        <v>19968</v>
      </c>
      <c r="C14420" t="s">
        <v>7</v>
      </c>
      <c r="D14420" t="s">
        <v>14</v>
      </c>
      <c r="E14420" t="s">
        <v>19036</v>
      </c>
      <c r="F14420" t="s">
        <v>19969</v>
      </c>
    </row>
    <row r="14421" spans="1:6" x14ac:dyDescent="0.25">
      <c r="A14421" t="str">
        <f>"6678103981"</f>
        <v>6678103981</v>
      </c>
      <c r="B14421" t="s">
        <v>19970</v>
      </c>
      <c r="C14421" t="s">
        <v>7</v>
      </c>
      <c r="D14421" t="s">
        <v>33</v>
      </c>
      <c r="E14421" t="s">
        <v>19036</v>
      </c>
      <c r="F14421" t="s">
        <v>19971</v>
      </c>
    </row>
    <row r="14422" spans="1:6" x14ac:dyDescent="0.25">
      <c r="A14422" t="str">
        <f>"6678104174"</f>
        <v>6678104174</v>
      </c>
      <c r="B14422" t="s">
        <v>19972</v>
      </c>
      <c r="C14422" t="s">
        <v>7</v>
      </c>
      <c r="D14422" t="s">
        <v>14</v>
      </c>
      <c r="E14422" t="s">
        <v>19036</v>
      </c>
      <c r="F14422" t="s">
        <v>19973</v>
      </c>
    </row>
    <row r="14423" spans="1:6" x14ac:dyDescent="0.25">
      <c r="A14423" t="str">
        <f>"6678112023"</f>
        <v>6678112023</v>
      </c>
      <c r="B14423" t="s">
        <v>19974</v>
      </c>
      <c r="C14423" t="s">
        <v>7</v>
      </c>
      <c r="D14423" t="s">
        <v>12</v>
      </c>
      <c r="E14423" t="s">
        <v>19036</v>
      </c>
      <c r="F14423" t="s">
        <v>19975</v>
      </c>
    </row>
    <row r="14424" spans="1:6" x14ac:dyDescent="0.25">
      <c r="A14424" t="str">
        <f>"6678122624"</f>
        <v>6678122624</v>
      </c>
      <c r="B14424" t="s">
        <v>19976</v>
      </c>
      <c r="C14424" t="s">
        <v>7</v>
      </c>
      <c r="D14424" t="s">
        <v>33</v>
      </c>
      <c r="E14424" t="s">
        <v>19036</v>
      </c>
      <c r="F14424" t="s">
        <v>19977</v>
      </c>
    </row>
    <row r="14425" spans="1:6" x14ac:dyDescent="0.25">
      <c r="A14425" t="str">
        <f>"6678141786"</f>
        <v>6678141786</v>
      </c>
      <c r="B14425" t="s">
        <v>4131</v>
      </c>
      <c r="C14425" t="s">
        <v>7</v>
      </c>
      <c r="D14425" t="s">
        <v>12</v>
      </c>
      <c r="E14425" t="s">
        <v>19036</v>
      </c>
      <c r="F14425" t="s">
        <v>19978</v>
      </c>
    </row>
    <row r="14426" spans="1:6" x14ac:dyDescent="0.25">
      <c r="A14426" t="str">
        <f>"6679018168"</f>
        <v>6679018168</v>
      </c>
      <c r="B14426" t="s">
        <v>19979</v>
      </c>
      <c r="C14426" t="s">
        <v>7</v>
      </c>
      <c r="D14426" t="s">
        <v>33</v>
      </c>
      <c r="E14426" t="s">
        <v>19036</v>
      </c>
      <c r="F14426" t="s">
        <v>19980</v>
      </c>
    </row>
    <row r="14427" spans="1:6" x14ac:dyDescent="0.25">
      <c r="A14427" t="str">
        <f>"6679077195"</f>
        <v>6679077195</v>
      </c>
      <c r="B14427" t="s">
        <v>19981</v>
      </c>
      <c r="C14427" t="s">
        <v>7</v>
      </c>
      <c r="D14427" t="s">
        <v>33</v>
      </c>
      <c r="E14427" t="s">
        <v>19036</v>
      </c>
      <c r="F14427" t="s">
        <v>19982</v>
      </c>
    </row>
    <row r="14428" spans="1:6" x14ac:dyDescent="0.25">
      <c r="A14428" t="str">
        <f>"6679080470"</f>
        <v>6679080470</v>
      </c>
      <c r="B14428" t="s">
        <v>19983</v>
      </c>
      <c r="C14428" t="s">
        <v>7</v>
      </c>
      <c r="D14428" t="s">
        <v>12</v>
      </c>
      <c r="E14428" t="s">
        <v>19036</v>
      </c>
      <c r="F14428" t="s">
        <v>19984</v>
      </c>
    </row>
    <row r="14429" spans="1:6" x14ac:dyDescent="0.25">
      <c r="A14429" t="str">
        <f>"6679090140"</f>
        <v>6679090140</v>
      </c>
      <c r="B14429" t="s">
        <v>19985</v>
      </c>
      <c r="C14429" t="s">
        <v>7</v>
      </c>
      <c r="D14429" t="s">
        <v>14</v>
      </c>
      <c r="E14429" t="s">
        <v>19036</v>
      </c>
      <c r="F14429" t="s">
        <v>19986</v>
      </c>
    </row>
    <row r="14430" spans="1:6" x14ac:dyDescent="0.25">
      <c r="A14430" t="str">
        <f>"6679104850"</f>
        <v>6679104850</v>
      </c>
      <c r="B14430" t="s">
        <v>19987</v>
      </c>
      <c r="C14430" t="s">
        <v>7</v>
      </c>
      <c r="D14430" t="s">
        <v>12</v>
      </c>
      <c r="E14430" t="s">
        <v>19036</v>
      </c>
      <c r="F14430" t="s">
        <v>19988</v>
      </c>
    </row>
    <row r="14431" spans="1:6" x14ac:dyDescent="0.25">
      <c r="A14431" t="str">
        <f>"6679118772"</f>
        <v>6679118772</v>
      </c>
      <c r="B14431" t="s">
        <v>19989</v>
      </c>
      <c r="C14431" t="s">
        <v>7</v>
      </c>
      <c r="D14431" t="s">
        <v>14</v>
      </c>
      <c r="E14431" t="s">
        <v>19036</v>
      </c>
      <c r="F14431" t="s">
        <v>19990</v>
      </c>
    </row>
    <row r="14432" spans="1:6" x14ac:dyDescent="0.25">
      <c r="A14432" t="str">
        <f>"6679130755"</f>
        <v>6679130755</v>
      </c>
      <c r="B14432" t="s">
        <v>2438</v>
      </c>
      <c r="C14432" t="s">
        <v>7</v>
      </c>
      <c r="D14432" t="s">
        <v>33</v>
      </c>
      <c r="E14432" t="s">
        <v>19036</v>
      </c>
      <c r="F14432" t="s">
        <v>19991</v>
      </c>
    </row>
    <row r="14433" spans="1:6" x14ac:dyDescent="0.25">
      <c r="A14433" t="str">
        <f>"6679137750"</f>
        <v>6679137750</v>
      </c>
      <c r="B14433" t="s">
        <v>11348</v>
      </c>
      <c r="C14433" t="s">
        <v>7</v>
      </c>
      <c r="D14433" t="s">
        <v>12</v>
      </c>
      <c r="E14433" t="s">
        <v>19036</v>
      </c>
      <c r="F14433" t="s">
        <v>19992</v>
      </c>
    </row>
    <row r="14434" spans="1:6" x14ac:dyDescent="0.25">
      <c r="A14434" t="str">
        <f>"6679142278"</f>
        <v>6679142278</v>
      </c>
      <c r="B14434" t="s">
        <v>19993</v>
      </c>
      <c r="C14434" t="s">
        <v>7</v>
      </c>
      <c r="D14434" t="s">
        <v>12</v>
      </c>
      <c r="E14434" t="s">
        <v>19036</v>
      </c>
      <c r="F14434" t="s">
        <v>19994</v>
      </c>
    </row>
    <row r="14435" spans="1:6" x14ac:dyDescent="0.25">
      <c r="A14435" t="str">
        <f>"6679145550"</f>
        <v>6679145550</v>
      </c>
      <c r="B14435" t="s">
        <v>19995</v>
      </c>
      <c r="C14435" t="s">
        <v>7</v>
      </c>
      <c r="D14435" t="s">
        <v>12</v>
      </c>
      <c r="E14435" t="s">
        <v>19036</v>
      </c>
      <c r="F14435" t="s">
        <v>19996</v>
      </c>
    </row>
    <row r="14436" spans="1:6" x14ac:dyDescent="0.25">
      <c r="A14436" t="str">
        <f>"6679165437"</f>
        <v>6679165437</v>
      </c>
      <c r="B14436" t="s">
        <v>19997</v>
      </c>
      <c r="C14436" t="s">
        <v>7</v>
      </c>
      <c r="D14436" t="s">
        <v>586</v>
      </c>
      <c r="E14436" t="s">
        <v>19036</v>
      </c>
      <c r="F14436" t="s">
        <v>19998</v>
      </c>
    </row>
    <row r="14437" spans="1:6" x14ac:dyDescent="0.25">
      <c r="A14437" t="str">
        <f>"6679166102"</f>
        <v>6679166102</v>
      </c>
      <c r="B14437" t="s">
        <v>19999</v>
      </c>
      <c r="C14437" t="s">
        <v>7</v>
      </c>
      <c r="D14437" t="s">
        <v>12</v>
      </c>
      <c r="E14437" t="s">
        <v>19036</v>
      </c>
      <c r="F14437" t="s">
        <v>20000</v>
      </c>
    </row>
    <row r="14438" spans="1:6" x14ac:dyDescent="0.25">
      <c r="A14438" t="str">
        <f>"6679175795"</f>
        <v>6679175795</v>
      </c>
      <c r="B14438" t="s">
        <v>20001</v>
      </c>
      <c r="C14438" t="s">
        <v>7</v>
      </c>
      <c r="D14438" t="s">
        <v>12</v>
      </c>
      <c r="E14438" t="s">
        <v>19036</v>
      </c>
      <c r="F14438" t="s">
        <v>20002</v>
      </c>
    </row>
    <row r="14439" spans="1:6" x14ac:dyDescent="0.25">
      <c r="A14439" t="str">
        <f>"6679175837"</f>
        <v>6679175837</v>
      </c>
      <c r="B14439" t="s">
        <v>20003</v>
      </c>
      <c r="C14439" t="s">
        <v>7</v>
      </c>
      <c r="D14439" t="s">
        <v>12</v>
      </c>
      <c r="E14439" t="s">
        <v>19036</v>
      </c>
      <c r="F14439" t="s">
        <v>20004</v>
      </c>
    </row>
    <row r="14440" spans="1:6" x14ac:dyDescent="0.25">
      <c r="A14440" t="str">
        <f>"668100477438"</f>
        <v>668100477438</v>
      </c>
      <c r="B14440" t="s">
        <v>20005</v>
      </c>
      <c r="C14440" t="s">
        <v>7</v>
      </c>
      <c r="D14440" t="s">
        <v>12</v>
      </c>
      <c r="E14440" t="s">
        <v>19036</v>
      </c>
    </row>
    <row r="14441" spans="1:6" x14ac:dyDescent="0.25">
      <c r="A14441" t="str">
        <f>"6683015138"</f>
        <v>6683015138</v>
      </c>
      <c r="B14441" t="s">
        <v>20006</v>
      </c>
      <c r="C14441" t="s">
        <v>7</v>
      </c>
      <c r="D14441" t="s">
        <v>12</v>
      </c>
      <c r="E14441" t="s">
        <v>19036</v>
      </c>
      <c r="F14441" t="s">
        <v>20007</v>
      </c>
    </row>
    <row r="14442" spans="1:6" x14ac:dyDescent="0.25">
      <c r="A14442" t="str">
        <f>"6684011802"</f>
        <v>6684011802</v>
      </c>
      <c r="B14442" t="s">
        <v>20008</v>
      </c>
      <c r="C14442" t="s">
        <v>7</v>
      </c>
      <c r="D14442" t="s">
        <v>12</v>
      </c>
      <c r="E14442" t="s">
        <v>19036</v>
      </c>
      <c r="F14442" t="s">
        <v>20009</v>
      </c>
    </row>
    <row r="14443" spans="1:6" x14ac:dyDescent="0.25">
      <c r="A14443" t="str">
        <f>"6685017532"</f>
        <v>6685017532</v>
      </c>
      <c r="B14443" t="s">
        <v>20010</v>
      </c>
      <c r="C14443" t="s">
        <v>7</v>
      </c>
      <c r="D14443" t="s">
        <v>674</v>
      </c>
      <c r="E14443" t="s">
        <v>19036</v>
      </c>
      <c r="F14443" t="s">
        <v>20011</v>
      </c>
    </row>
    <row r="14444" spans="1:6" x14ac:dyDescent="0.25">
      <c r="A14444" t="str">
        <f>"6685039920"</f>
        <v>6685039920</v>
      </c>
      <c r="B14444" t="s">
        <v>20012</v>
      </c>
      <c r="C14444" t="s">
        <v>7</v>
      </c>
      <c r="D14444" t="s">
        <v>674</v>
      </c>
      <c r="E14444" t="s">
        <v>19036</v>
      </c>
      <c r="F14444" t="s">
        <v>20013</v>
      </c>
    </row>
    <row r="14445" spans="1:6" x14ac:dyDescent="0.25">
      <c r="A14445" t="str">
        <f>"6685068400"</f>
        <v>6685068400</v>
      </c>
      <c r="B14445" t="s">
        <v>20014</v>
      </c>
      <c r="C14445" t="s">
        <v>7</v>
      </c>
      <c r="D14445" t="s">
        <v>33</v>
      </c>
      <c r="E14445" t="s">
        <v>19036</v>
      </c>
      <c r="F14445" t="s">
        <v>20015</v>
      </c>
    </row>
    <row r="14446" spans="1:6" x14ac:dyDescent="0.25">
      <c r="A14446" t="str">
        <f>"6685085300"</f>
        <v>6685085300</v>
      </c>
      <c r="B14446" t="s">
        <v>20016</v>
      </c>
      <c r="C14446" t="s">
        <v>7</v>
      </c>
      <c r="D14446" t="s">
        <v>12</v>
      </c>
      <c r="E14446" t="s">
        <v>19036</v>
      </c>
      <c r="F14446" t="s">
        <v>20017</v>
      </c>
    </row>
    <row r="14447" spans="1:6" x14ac:dyDescent="0.25">
      <c r="A14447" t="str">
        <f>"6685089470"</f>
        <v>6685089470</v>
      </c>
      <c r="B14447" t="s">
        <v>20018</v>
      </c>
      <c r="C14447" t="s">
        <v>7</v>
      </c>
      <c r="D14447" t="s">
        <v>14</v>
      </c>
      <c r="E14447" t="s">
        <v>19036</v>
      </c>
      <c r="F14447" t="s">
        <v>20019</v>
      </c>
    </row>
    <row r="14448" spans="1:6" x14ac:dyDescent="0.25">
      <c r="A14448" t="str">
        <f>"6685094086"</f>
        <v>6685094086</v>
      </c>
      <c r="B14448" t="s">
        <v>20020</v>
      </c>
      <c r="C14448" t="s">
        <v>7</v>
      </c>
      <c r="D14448" t="s">
        <v>12</v>
      </c>
      <c r="E14448" t="s">
        <v>19036</v>
      </c>
      <c r="F14448" t="s">
        <v>20021</v>
      </c>
    </row>
    <row r="14449" spans="1:6" x14ac:dyDescent="0.25">
      <c r="A14449" t="str">
        <f>"6685172538"</f>
        <v>6685172538</v>
      </c>
      <c r="B14449" t="s">
        <v>20022</v>
      </c>
      <c r="C14449" t="s">
        <v>7</v>
      </c>
      <c r="D14449" t="s">
        <v>12</v>
      </c>
      <c r="E14449" t="s">
        <v>19036</v>
      </c>
      <c r="F14449" t="s">
        <v>20023</v>
      </c>
    </row>
    <row r="14450" spans="1:6" x14ac:dyDescent="0.25">
      <c r="A14450" t="str">
        <f>"6685178113"</f>
        <v>6685178113</v>
      </c>
      <c r="B14450" t="s">
        <v>20024</v>
      </c>
      <c r="C14450" t="s">
        <v>7</v>
      </c>
      <c r="D14450" t="s">
        <v>12</v>
      </c>
      <c r="E14450" t="s">
        <v>19036</v>
      </c>
      <c r="F14450" t="s">
        <v>20025</v>
      </c>
    </row>
    <row r="14451" spans="1:6" x14ac:dyDescent="0.25">
      <c r="A14451" t="str">
        <f>"6685212815"</f>
        <v>6685212815</v>
      </c>
      <c r="B14451" t="s">
        <v>20026</v>
      </c>
      <c r="C14451" t="s">
        <v>7</v>
      </c>
      <c r="D14451" t="s">
        <v>33</v>
      </c>
      <c r="E14451" t="s">
        <v>19036</v>
      </c>
      <c r="F14451" t="s">
        <v>20027</v>
      </c>
    </row>
    <row r="14452" spans="1:6" x14ac:dyDescent="0.25">
      <c r="A14452" t="str">
        <f>"6686008442"</f>
        <v>6686008442</v>
      </c>
      <c r="B14452" t="s">
        <v>20028</v>
      </c>
      <c r="C14452" t="s">
        <v>7</v>
      </c>
      <c r="D14452" t="s">
        <v>14</v>
      </c>
      <c r="E14452" t="s">
        <v>19036</v>
      </c>
      <c r="F14452" t="s">
        <v>20029</v>
      </c>
    </row>
    <row r="14453" spans="1:6" x14ac:dyDescent="0.25">
      <c r="A14453" t="str">
        <f>"6686021620"</f>
        <v>6686021620</v>
      </c>
      <c r="B14453" t="s">
        <v>20030</v>
      </c>
      <c r="C14453" t="s">
        <v>7</v>
      </c>
      <c r="D14453" t="s">
        <v>12</v>
      </c>
      <c r="E14453" t="s">
        <v>19036</v>
      </c>
      <c r="F14453" t="s">
        <v>20031</v>
      </c>
    </row>
    <row r="14454" spans="1:6" x14ac:dyDescent="0.25">
      <c r="A14454" t="str">
        <f>"6686045116"</f>
        <v>6686045116</v>
      </c>
      <c r="B14454" t="s">
        <v>20032</v>
      </c>
      <c r="C14454" t="s">
        <v>7</v>
      </c>
      <c r="D14454" t="s">
        <v>33</v>
      </c>
      <c r="E14454" t="s">
        <v>19036</v>
      </c>
      <c r="F14454" t="s">
        <v>20033</v>
      </c>
    </row>
    <row r="14455" spans="1:6" x14ac:dyDescent="0.25">
      <c r="A14455" t="str">
        <f>"6686049520"</f>
        <v>6686049520</v>
      </c>
      <c r="B14455" t="s">
        <v>20034</v>
      </c>
      <c r="C14455" t="s">
        <v>7</v>
      </c>
      <c r="D14455" t="s">
        <v>14</v>
      </c>
      <c r="E14455" t="s">
        <v>19036</v>
      </c>
      <c r="F14455" t="s">
        <v>20035</v>
      </c>
    </row>
    <row r="14456" spans="1:6" x14ac:dyDescent="0.25">
      <c r="A14456" t="str">
        <f>"6686072448"</f>
        <v>6686072448</v>
      </c>
      <c r="B14456" t="s">
        <v>1212</v>
      </c>
      <c r="C14456" t="s">
        <v>7</v>
      </c>
      <c r="D14456" t="s">
        <v>12</v>
      </c>
      <c r="E14456" t="s">
        <v>19036</v>
      </c>
      <c r="F14456" t="s">
        <v>20036</v>
      </c>
    </row>
    <row r="14457" spans="1:6" x14ac:dyDescent="0.25">
      <c r="A14457" t="str">
        <f>"6686072790"</f>
        <v>6686072790</v>
      </c>
      <c r="B14457" t="s">
        <v>5459</v>
      </c>
      <c r="C14457" t="s">
        <v>7</v>
      </c>
      <c r="D14457" t="s">
        <v>14</v>
      </c>
      <c r="E14457" t="s">
        <v>19036</v>
      </c>
      <c r="F14457" t="s">
        <v>20037</v>
      </c>
    </row>
    <row r="14458" spans="1:6" x14ac:dyDescent="0.25">
      <c r="A14458" t="str">
        <f>"6686093310"</f>
        <v>6686093310</v>
      </c>
      <c r="B14458" t="s">
        <v>20038</v>
      </c>
      <c r="C14458" t="s">
        <v>7</v>
      </c>
      <c r="D14458" t="s">
        <v>33</v>
      </c>
      <c r="E14458" t="s">
        <v>19036</v>
      </c>
      <c r="F14458" t="s">
        <v>20039</v>
      </c>
    </row>
    <row r="14459" spans="1:6" x14ac:dyDescent="0.25">
      <c r="A14459" t="str">
        <f>"6686093529"</f>
        <v>6686093529</v>
      </c>
      <c r="B14459" t="s">
        <v>20040</v>
      </c>
      <c r="C14459" t="s">
        <v>7</v>
      </c>
      <c r="D14459" t="s">
        <v>12</v>
      </c>
      <c r="E14459" t="s">
        <v>19036</v>
      </c>
      <c r="F14459" t="s">
        <v>20041</v>
      </c>
    </row>
    <row r="14460" spans="1:6" x14ac:dyDescent="0.25">
      <c r="A14460" t="str">
        <f>"6686108327"</f>
        <v>6686108327</v>
      </c>
      <c r="B14460" t="s">
        <v>20042</v>
      </c>
      <c r="C14460" t="s">
        <v>7</v>
      </c>
      <c r="D14460" t="s">
        <v>33</v>
      </c>
      <c r="E14460" t="s">
        <v>19036</v>
      </c>
      <c r="F14460" t="s">
        <v>20043</v>
      </c>
    </row>
    <row r="14461" spans="1:6" x14ac:dyDescent="0.25">
      <c r="A14461" t="str">
        <f>"6686129687"</f>
        <v>6686129687</v>
      </c>
      <c r="B14461" t="s">
        <v>20044</v>
      </c>
      <c r="C14461" t="s">
        <v>7</v>
      </c>
      <c r="D14461" t="s">
        <v>12</v>
      </c>
      <c r="E14461" t="s">
        <v>19036</v>
      </c>
      <c r="F14461" t="s">
        <v>20045</v>
      </c>
    </row>
    <row r="14462" spans="1:6" x14ac:dyDescent="0.25">
      <c r="A14462" t="str">
        <f>"6671248184"</f>
        <v>6671248184</v>
      </c>
      <c r="B14462" t="s">
        <v>20046</v>
      </c>
      <c r="C14462" t="s">
        <v>7</v>
      </c>
      <c r="D14462" t="s">
        <v>12</v>
      </c>
      <c r="E14462" t="s">
        <v>19036</v>
      </c>
      <c r="F14462" t="s">
        <v>20047</v>
      </c>
    </row>
    <row r="14463" spans="1:6" x14ac:dyDescent="0.25">
      <c r="A14463" t="str">
        <f>"6671249710"</f>
        <v>6671249710</v>
      </c>
      <c r="B14463" t="s">
        <v>20048</v>
      </c>
      <c r="C14463" t="s">
        <v>7</v>
      </c>
      <c r="D14463" t="s">
        <v>12</v>
      </c>
      <c r="E14463" t="s">
        <v>19036</v>
      </c>
      <c r="F14463" t="s">
        <v>20049</v>
      </c>
    </row>
    <row r="14464" spans="1:6" x14ac:dyDescent="0.25">
      <c r="A14464" t="str">
        <f>"6671259732"</f>
        <v>6671259732</v>
      </c>
      <c r="B14464" t="s">
        <v>8989</v>
      </c>
      <c r="C14464" t="s">
        <v>7</v>
      </c>
      <c r="D14464" t="s">
        <v>33</v>
      </c>
      <c r="E14464" t="s">
        <v>19036</v>
      </c>
      <c r="F14464" t="s">
        <v>20050</v>
      </c>
    </row>
    <row r="14465" spans="1:6" x14ac:dyDescent="0.25">
      <c r="A14465" t="str">
        <f>"6671270119"</f>
        <v>6671270119</v>
      </c>
      <c r="B14465" t="s">
        <v>20051</v>
      </c>
      <c r="C14465" t="s">
        <v>7</v>
      </c>
      <c r="D14465" t="s">
        <v>189</v>
      </c>
      <c r="E14465" t="s">
        <v>19036</v>
      </c>
      <c r="F14465" t="s">
        <v>20052</v>
      </c>
    </row>
    <row r="14466" spans="1:6" x14ac:dyDescent="0.25">
      <c r="A14466" t="str">
        <f>"6671286207"</f>
        <v>6671286207</v>
      </c>
      <c r="B14466" t="s">
        <v>11822</v>
      </c>
      <c r="C14466" t="s">
        <v>7</v>
      </c>
      <c r="D14466" t="s">
        <v>33</v>
      </c>
      <c r="E14466" t="s">
        <v>19036</v>
      </c>
      <c r="F14466" t="s">
        <v>20053</v>
      </c>
    </row>
    <row r="14467" spans="1:6" x14ac:dyDescent="0.25">
      <c r="A14467" t="str">
        <f>"6671330784"</f>
        <v>6671330784</v>
      </c>
      <c r="B14467" t="s">
        <v>6275</v>
      </c>
      <c r="C14467" t="s">
        <v>7</v>
      </c>
      <c r="D14467" t="s">
        <v>189</v>
      </c>
      <c r="E14467" t="s">
        <v>19036</v>
      </c>
      <c r="F14467" t="s">
        <v>20054</v>
      </c>
    </row>
    <row r="14468" spans="1:6" x14ac:dyDescent="0.25">
      <c r="A14468" t="str">
        <f>"6671406916"</f>
        <v>6671406916</v>
      </c>
      <c r="B14468" t="s">
        <v>20055</v>
      </c>
      <c r="C14468" t="s">
        <v>7</v>
      </c>
      <c r="D14468" t="s">
        <v>33</v>
      </c>
      <c r="E14468" t="s">
        <v>19036</v>
      </c>
      <c r="F14468" t="s">
        <v>20056</v>
      </c>
    </row>
    <row r="14469" spans="1:6" x14ac:dyDescent="0.25">
      <c r="A14469" t="str">
        <f>"6671414811"</f>
        <v>6671414811</v>
      </c>
      <c r="B14469" t="s">
        <v>20057</v>
      </c>
      <c r="C14469" t="s">
        <v>7</v>
      </c>
      <c r="D14469" t="s">
        <v>189</v>
      </c>
      <c r="E14469" t="s">
        <v>19036</v>
      </c>
      <c r="F14469" t="s">
        <v>20058</v>
      </c>
    </row>
    <row r="14470" spans="1:6" x14ac:dyDescent="0.25">
      <c r="A14470" t="str">
        <f>"6671458294"</f>
        <v>6671458294</v>
      </c>
      <c r="B14470" t="s">
        <v>20059</v>
      </c>
      <c r="C14470" t="s">
        <v>7</v>
      </c>
      <c r="D14470" t="s">
        <v>33</v>
      </c>
      <c r="E14470" t="s">
        <v>19036</v>
      </c>
      <c r="F14470" t="s">
        <v>20060</v>
      </c>
    </row>
    <row r="14471" spans="1:6" x14ac:dyDescent="0.25">
      <c r="A14471" t="str">
        <f>"667206405008"</f>
        <v>667206405008</v>
      </c>
      <c r="B14471" t="s">
        <v>20061</v>
      </c>
      <c r="C14471" t="s">
        <v>7</v>
      </c>
      <c r="D14471" t="s">
        <v>14</v>
      </c>
      <c r="E14471" t="s">
        <v>19036</v>
      </c>
    </row>
    <row r="14472" spans="1:6" x14ac:dyDescent="0.25">
      <c r="A14472" t="str">
        <f>"667209220220"</f>
        <v>667209220220</v>
      </c>
      <c r="B14472" t="s">
        <v>20062</v>
      </c>
      <c r="C14472" t="s">
        <v>7</v>
      </c>
      <c r="D14472" t="s">
        <v>14</v>
      </c>
      <c r="E14472" t="s">
        <v>19036</v>
      </c>
    </row>
    <row r="14473" spans="1:6" x14ac:dyDescent="0.25">
      <c r="A14473" t="str">
        <f>"6672171350"</f>
        <v>6672171350</v>
      </c>
      <c r="B14473" t="s">
        <v>20063</v>
      </c>
      <c r="C14473" t="s">
        <v>7</v>
      </c>
      <c r="D14473" t="s">
        <v>14</v>
      </c>
      <c r="E14473" t="s">
        <v>19036</v>
      </c>
      <c r="F14473" t="s">
        <v>20064</v>
      </c>
    </row>
    <row r="14474" spans="1:6" x14ac:dyDescent="0.25">
      <c r="A14474" t="str">
        <f>"667220189831"</f>
        <v>667220189831</v>
      </c>
      <c r="B14474" t="s">
        <v>20065</v>
      </c>
      <c r="C14474" t="s">
        <v>7</v>
      </c>
      <c r="D14474" t="s">
        <v>12</v>
      </c>
      <c r="E14474" t="s">
        <v>19036</v>
      </c>
    </row>
    <row r="14475" spans="1:6" x14ac:dyDescent="0.25">
      <c r="A14475" t="str">
        <f>"667220612983"</f>
        <v>667220612983</v>
      </c>
      <c r="B14475" t="s">
        <v>20066</v>
      </c>
      <c r="C14475" t="s">
        <v>7</v>
      </c>
      <c r="D14475" t="s">
        <v>33</v>
      </c>
      <c r="E14475" t="s">
        <v>19036</v>
      </c>
    </row>
    <row r="14476" spans="1:6" x14ac:dyDescent="0.25">
      <c r="A14476" t="str">
        <f>"667221241315"</f>
        <v>667221241315</v>
      </c>
      <c r="B14476" t="s">
        <v>20067</v>
      </c>
      <c r="C14476" t="s">
        <v>7</v>
      </c>
      <c r="D14476" t="s">
        <v>14</v>
      </c>
      <c r="E14476" t="s">
        <v>19036</v>
      </c>
    </row>
    <row r="14477" spans="1:6" x14ac:dyDescent="0.25">
      <c r="A14477" t="str">
        <f>"667221473228"</f>
        <v>667221473228</v>
      </c>
      <c r="B14477" t="s">
        <v>20068</v>
      </c>
      <c r="C14477" t="s">
        <v>7</v>
      </c>
      <c r="D14477" t="s">
        <v>14</v>
      </c>
      <c r="E14477" t="s">
        <v>19036</v>
      </c>
    </row>
    <row r="14478" spans="1:6" x14ac:dyDescent="0.25">
      <c r="A14478" t="str">
        <f>"6672259848"</f>
        <v>6672259848</v>
      </c>
      <c r="B14478" t="s">
        <v>10425</v>
      </c>
      <c r="C14478" t="s">
        <v>7</v>
      </c>
      <c r="D14478" t="s">
        <v>12</v>
      </c>
      <c r="E14478" t="s">
        <v>19036</v>
      </c>
      <c r="F14478" t="s">
        <v>20069</v>
      </c>
    </row>
    <row r="14479" spans="1:6" x14ac:dyDescent="0.25">
      <c r="A14479" t="str">
        <f>"6672293782"</f>
        <v>6672293782</v>
      </c>
      <c r="B14479" t="s">
        <v>20070</v>
      </c>
      <c r="C14479" t="s">
        <v>7</v>
      </c>
      <c r="D14479" t="s">
        <v>33</v>
      </c>
      <c r="E14479" t="s">
        <v>19036</v>
      </c>
      <c r="F14479" t="s">
        <v>20071</v>
      </c>
    </row>
    <row r="14480" spans="1:6" x14ac:dyDescent="0.25">
      <c r="A14480" t="str">
        <f>"6672294761"</f>
        <v>6672294761</v>
      </c>
      <c r="B14480" t="s">
        <v>20072</v>
      </c>
      <c r="C14480" t="s">
        <v>7</v>
      </c>
      <c r="D14480" t="s">
        <v>146</v>
      </c>
      <c r="E14480" t="s">
        <v>19036</v>
      </c>
      <c r="F14480" t="s">
        <v>20073</v>
      </c>
    </row>
    <row r="14481" spans="1:6" x14ac:dyDescent="0.25">
      <c r="A14481" t="str">
        <f>"6672295028"</f>
        <v>6672295028</v>
      </c>
      <c r="B14481" t="s">
        <v>20074</v>
      </c>
      <c r="C14481" t="s">
        <v>7</v>
      </c>
      <c r="D14481" t="s">
        <v>33</v>
      </c>
      <c r="E14481" t="s">
        <v>19036</v>
      </c>
      <c r="F14481" t="s">
        <v>20075</v>
      </c>
    </row>
    <row r="14482" spans="1:6" x14ac:dyDescent="0.25">
      <c r="A14482" t="str">
        <f>"6672311294"</f>
        <v>6672311294</v>
      </c>
      <c r="B14482" t="s">
        <v>20076</v>
      </c>
      <c r="C14482" t="s">
        <v>7</v>
      </c>
      <c r="D14482" t="s">
        <v>14</v>
      </c>
      <c r="E14482" t="s">
        <v>19036</v>
      </c>
      <c r="F14482" t="s">
        <v>20077</v>
      </c>
    </row>
    <row r="14483" spans="1:6" x14ac:dyDescent="0.25">
      <c r="A14483" t="str">
        <f>"6672330265"</f>
        <v>6672330265</v>
      </c>
      <c r="B14483" t="s">
        <v>20078</v>
      </c>
      <c r="C14483" t="s">
        <v>7</v>
      </c>
      <c r="D14483" t="s">
        <v>12</v>
      </c>
      <c r="E14483" t="s">
        <v>19036</v>
      </c>
      <c r="F14483" t="s">
        <v>20079</v>
      </c>
    </row>
    <row r="14484" spans="1:6" x14ac:dyDescent="0.25">
      <c r="A14484" t="str">
        <f>"6673163835"</f>
        <v>6673163835</v>
      </c>
      <c r="B14484" t="s">
        <v>20080</v>
      </c>
      <c r="C14484" t="s">
        <v>7</v>
      </c>
      <c r="D14484" t="s">
        <v>14</v>
      </c>
      <c r="E14484" t="s">
        <v>19036</v>
      </c>
      <c r="F14484" t="s">
        <v>20081</v>
      </c>
    </row>
    <row r="14485" spans="1:6" x14ac:dyDescent="0.25">
      <c r="A14485" t="str">
        <f>"667327436138"</f>
        <v>667327436138</v>
      </c>
      <c r="B14485" t="s">
        <v>20082</v>
      </c>
      <c r="C14485" t="s">
        <v>7</v>
      </c>
      <c r="D14485" t="s">
        <v>1430</v>
      </c>
      <c r="E14485" t="s">
        <v>19036</v>
      </c>
    </row>
    <row r="14486" spans="1:6" x14ac:dyDescent="0.25">
      <c r="A14486" t="str">
        <f>"667328536230"</f>
        <v>667328536230</v>
      </c>
      <c r="B14486" t="s">
        <v>20083</v>
      </c>
      <c r="C14486" t="s">
        <v>7</v>
      </c>
      <c r="D14486" t="s">
        <v>14</v>
      </c>
      <c r="E14486" t="s">
        <v>19036</v>
      </c>
    </row>
    <row r="14487" spans="1:6" x14ac:dyDescent="0.25">
      <c r="A14487" t="str">
        <f>"667330512131"</f>
        <v>667330512131</v>
      </c>
      <c r="B14487" t="s">
        <v>20084</v>
      </c>
      <c r="C14487" t="s">
        <v>7</v>
      </c>
      <c r="D14487" t="s">
        <v>12</v>
      </c>
      <c r="E14487" t="s">
        <v>19036</v>
      </c>
    </row>
    <row r="14488" spans="1:6" x14ac:dyDescent="0.25">
      <c r="A14488" t="str">
        <f>"667351822906"</f>
        <v>667351822906</v>
      </c>
      <c r="B14488" t="s">
        <v>20085</v>
      </c>
      <c r="C14488" t="s">
        <v>7</v>
      </c>
      <c r="D14488" t="s">
        <v>14</v>
      </c>
      <c r="E14488" t="s">
        <v>19036</v>
      </c>
    </row>
    <row r="14489" spans="1:6" x14ac:dyDescent="0.25">
      <c r="A14489" t="str">
        <f>"667356593992"</f>
        <v>667356593992</v>
      </c>
      <c r="B14489" t="s">
        <v>20086</v>
      </c>
      <c r="C14489" t="s">
        <v>7</v>
      </c>
      <c r="D14489" t="s">
        <v>14</v>
      </c>
      <c r="E14489" t="s">
        <v>19036</v>
      </c>
    </row>
    <row r="14490" spans="1:6" x14ac:dyDescent="0.25">
      <c r="A14490" t="str">
        <f>"667416304158"</f>
        <v>667416304158</v>
      </c>
      <c r="B14490" t="s">
        <v>20087</v>
      </c>
      <c r="C14490" t="s">
        <v>7</v>
      </c>
      <c r="D14490" t="s">
        <v>12</v>
      </c>
      <c r="E14490" t="s">
        <v>19036</v>
      </c>
    </row>
    <row r="14491" spans="1:6" x14ac:dyDescent="0.25">
      <c r="A14491" t="str">
        <f>"6674167078"</f>
        <v>6674167078</v>
      </c>
      <c r="B14491" t="s">
        <v>20088</v>
      </c>
      <c r="C14491" t="s">
        <v>7</v>
      </c>
      <c r="D14491" t="s">
        <v>33</v>
      </c>
      <c r="E14491" t="s">
        <v>19036</v>
      </c>
      <c r="F14491" t="s">
        <v>20089</v>
      </c>
    </row>
    <row r="14492" spans="1:6" x14ac:dyDescent="0.25">
      <c r="A14492" t="str">
        <f>"667417439550"</f>
        <v>667417439550</v>
      </c>
      <c r="B14492" t="s">
        <v>20090</v>
      </c>
      <c r="C14492" t="s">
        <v>7</v>
      </c>
      <c r="D14492" t="s">
        <v>12</v>
      </c>
      <c r="E14492" t="s">
        <v>19036</v>
      </c>
    </row>
    <row r="14493" spans="1:6" x14ac:dyDescent="0.25">
      <c r="A14493" t="str">
        <f>"667417811640"</f>
        <v>667417811640</v>
      </c>
      <c r="B14493" t="s">
        <v>20091</v>
      </c>
      <c r="C14493" t="s">
        <v>7</v>
      </c>
      <c r="D14493" t="s">
        <v>14</v>
      </c>
      <c r="E14493" t="s">
        <v>19036</v>
      </c>
    </row>
    <row r="14494" spans="1:6" x14ac:dyDescent="0.25">
      <c r="A14494" t="str">
        <f>"6674235458"</f>
        <v>6674235458</v>
      </c>
      <c r="B14494" t="s">
        <v>20092</v>
      </c>
      <c r="C14494" t="s">
        <v>7</v>
      </c>
      <c r="D14494" t="s">
        <v>14</v>
      </c>
      <c r="E14494" t="s">
        <v>19036</v>
      </c>
      <c r="F14494" t="s">
        <v>20093</v>
      </c>
    </row>
    <row r="14495" spans="1:6" x14ac:dyDescent="0.25">
      <c r="A14495" t="str">
        <f>"6674321379"</f>
        <v>6674321379</v>
      </c>
      <c r="B14495" t="s">
        <v>20094</v>
      </c>
      <c r="C14495" t="s">
        <v>7</v>
      </c>
      <c r="D14495" t="s">
        <v>14</v>
      </c>
      <c r="E14495" t="s">
        <v>19036</v>
      </c>
      <c r="F14495" t="s">
        <v>20095</v>
      </c>
    </row>
    <row r="14496" spans="1:6" x14ac:dyDescent="0.25">
      <c r="A14496" t="str">
        <f>"6674347602"</f>
        <v>6674347602</v>
      </c>
      <c r="B14496" t="s">
        <v>20096</v>
      </c>
      <c r="C14496" t="s">
        <v>7</v>
      </c>
      <c r="D14496" t="s">
        <v>33</v>
      </c>
      <c r="E14496" t="s">
        <v>19036</v>
      </c>
      <c r="F14496" t="s">
        <v>20097</v>
      </c>
    </row>
    <row r="14497" spans="1:6" x14ac:dyDescent="0.25">
      <c r="A14497" t="str">
        <f>"6676002882"</f>
        <v>6676002882</v>
      </c>
      <c r="B14497" t="s">
        <v>20098</v>
      </c>
      <c r="C14497" t="s">
        <v>7</v>
      </c>
      <c r="D14497" t="s">
        <v>14</v>
      </c>
      <c r="E14497" t="s">
        <v>19036</v>
      </c>
      <c r="F14497" t="s">
        <v>20099</v>
      </c>
    </row>
    <row r="14498" spans="1:6" x14ac:dyDescent="0.25">
      <c r="A14498" t="str">
        <f>"6678042633"</f>
        <v>6678042633</v>
      </c>
      <c r="B14498" t="s">
        <v>20100</v>
      </c>
      <c r="C14498" t="s">
        <v>7</v>
      </c>
      <c r="D14498" t="s">
        <v>33</v>
      </c>
      <c r="E14498" t="s">
        <v>19036</v>
      </c>
      <c r="F14498" t="s">
        <v>20101</v>
      </c>
    </row>
    <row r="14499" spans="1:6" x14ac:dyDescent="0.25">
      <c r="A14499" t="str">
        <f>"6678043813"</f>
        <v>6678043813</v>
      </c>
      <c r="B14499" t="s">
        <v>10071</v>
      </c>
      <c r="C14499" t="s">
        <v>7</v>
      </c>
      <c r="D14499" t="s">
        <v>14</v>
      </c>
      <c r="E14499" t="s">
        <v>19036</v>
      </c>
      <c r="F14499" t="s">
        <v>20102</v>
      </c>
    </row>
    <row r="14500" spans="1:6" x14ac:dyDescent="0.25">
      <c r="A14500" t="str">
        <f>"6678052744"</f>
        <v>6678052744</v>
      </c>
      <c r="B14500" t="s">
        <v>20103</v>
      </c>
      <c r="C14500" t="s">
        <v>7</v>
      </c>
      <c r="D14500" t="s">
        <v>33</v>
      </c>
      <c r="E14500" t="s">
        <v>19036</v>
      </c>
      <c r="F14500" t="s">
        <v>19971</v>
      </c>
    </row>
    <row r="14501" spans="1:6" x14ac:dyDescent="0.25">
      <c r="A14501" t="str">
        <f>"6678060382"</f>
        <v>6678060382</v>
      </c>
      <c r="B14501" t="s">
        <v>12521</v>
      </c>
      <c r="C14501" t="s">
        <v>7</v>
      </c>
      <c r="D14501" t="s">
        <v>8</v>
      </c>
      <c r="E14501" t="s">
        <v>19036</v>
      </c>
      <c r="F14501" t="s">
        <v>20104</v>
      </c>
    </row>
    <row r="14502" spans="1:6" x14ac:dyDescent="0.25">
      <c r="A14502" t="str">
        <f>"6678063023"</f>
        <v>6678063023</v>
      </c>
      <c r="B14502" t="s">
        <v>20105</v>
      </c>
      <c r="C14502" t="s">
        <v>7</v>
      </c>
      <c r="D14502" t="s">
        <v>14</v>
      </c>
      <c r="E14502" t="s">
        <v>19036</v>
      </c>
      <c r="F14502" t="s">
        <v>20106</v>
      </c>
    </row>
    <row r="14503" spans="1:6" x14ac:dyDescent="0.25">
      <c r="A14503" t="str">
        <f>"6678078781"</f>
        <v>6678078781</v>
      </c>
      <c r="B14503" t="s">
        <v>20107</v>
      </c>
      <c r="C14503" t="s">
        <v>7</v>
      </c>
      <c r="D14503" t="s">
        <v>33</v>
      </c>
      <c r="E14503" t="s">
        <v>19036</v>
      </c>
      <c r="F14503" t="s">
        <v>20108</v>
      </c>
    </row>
    <row r="14504" spans="1:6" x14ac:dyDescent="0.25">
      <c r="A14504" t="str">
        <f>"6678086870"</f>
        <v>6678086870</v>
      </c>
      <c r="B14504" t="s">
        <v>20109</v>
      </c>
      <c r="C14504" t="s">
        <v>7</v>
      </c>
      <c r="D14504" t="s">
        <v>33</v>
      </c>
      <c r="E14504" t="s">
        <v>19036</v>
      </c>
      <c r="F14504" t="s">
        <v>20110</v>
      </c>
    </row>
    <row r="14505" spans="1:6" x14ac:dyDescent="0.25">
      <c r="A14505" t="str">
        <f>"6678113041"</f>
        <v>6678113041</v>
      </c>
      <c r="B14505" t="s">
        <v>20111</v>
      </c>
      <c r="C14505" t="s">
        <v>7</v>
      </c>
      <c r="D14505" t="s">
        <v>33</v>
      </c>
      <c r="E14505" t="s">
        <v>19036</v>
      </c>
      <c r="F14505" t="s">
        <v>20112</v>
      </c>
    </row>
    <row r="14506" spans="1:6" x14ac:dyDescent="0.25">
      <c r="A14506" t="str">
        <f>"6678123427"</f>
        <v>6678123427</v>
      </c>
      <c r="B14506" t="s">
        <v>20113</v>
      </c>
      <c r="C14506" t="s">
        <v>7</v>
      </c>
      <c r="D14506" t="s">
        <v>12</v>
      </c>
      <c r="E14506" t="s">
        <v>19036</v>
      </c>
      <c r="F14506" t="s">
        <v>20114</v>
      </c>
    </row>
    <row r="14507" spans="1:6" x14ac:dyDescent="0.25">
      <c r="A14507" t="str">
        <f>"6678130390"</f>
        <v>6678130390</v>
      </c>
      <c r="B14507" t="s">
        <v>20115</v>
      </c>
      <c r="C14507" t="s">
        <v>7</v>
      </c>
      <c r="D14507" t="s">
        <v>28</v>
      </c>
      <c r="E14507" t="s">
        <v>19036</v>
      </c>
      <c r="F14507" t="s">
        <v>20116</v>
      </c>
    </row>
    <row r="14508" spans="1:6" x14ac:dyDescent="0.25">
      <c r="A14508" t="str">
        <f>"6678138230"</f>
        <v>6678138230</v>
      </c>
      <c r="B14508" t="s">
        <v>20117</v>
      </c>
      <c r="C14508" t="s">
        <v>7</v>
      </c>
      <c r="D14508" t="s">
        <v>14</v>
      </c>
      <c r="E14508" t="s">
        <v>19036</v>
      </c>
      <c r="F14508" t="s">
        <v>20118</v>
      </c>
    </row>
    <row r="14509" spans="1:6" x14ac:dyDescent="0.25">
      <c r="A14509" t="str">
        <f>"6679080455"</f>
        <v>6679080455</v>
      </c>
      <c r="B14509" t="s">
        <v>20119</v>
      </c>
      <c r="C14509" t="s">
        <v>7</v>
      </c>
      <c r="D14509" t="s">
        <v>12</v>
      </c>
      <c r="E14509" t="s">
        <v>19036</v>
      </c>
      <c r="F14509" t="s">
        <v>20120</v>
      </c>
    </row>
    <row r="14510" spans="1:6" x14ac:dyDescent="0.25">
      <c r="A14510" t="str">
        <f>"6679101948"</f>
        <v>6679101948</v>
      </c>
      <c r="B14510" t="s">
        <v>20121</v>
      </c>
      <c r="C14510" t="s">
        <v>7</v>
      </c>
      <c r="D14510" t="s">
        <v>33</v>
      </c>
      <c r="E14510" t="s">
        <v>19036</v>
      </c>
      <c r="F14510" t="s">
        <v>20122</v>
      </c>
    </row>
    <row r="14511" spans="1:6" x14ac:dyDescent="0.25">
      <c r="A14511" t="str">
        <f>"6679105533"</f>
        <v>6679105533</v>
      </c>
      <c r="B14511" t="s">
        <v>20123</v>
      </c>
      <c r="C14511" t="s">
        <v>7</v>
      </c>
      <c r="D14511" t="s">
        <v>12</v>
      </c>
      <c r="E14511" t="s">
        <v>19036</v>
      </c>
      <c r="F14511" t="s">
        <v>20124</v>
      </c>
    </row>
    <row r="14512" spans="1:6" x14ac:dyDescent="0.25">
      <c r="A14512" t="str">
        <f>"6679124310"</f>
        <v>6679124310</v>
      </c>
      <c r="B14512" t="s">
        <v>20125</v>
      </c>
      <c r="C14512" t="s">
        <v>7</v>
      </c>
      <c r="D14512" t="s">
        <v>463</v>
      </c>
      <c r="E14512" t="s">
        <v>19036</v>
      </c>
      <c r="F14512" t="s">
        <v>20126</v>
      </c>
    </row>
    <row r="14513" spans="1:6" x14ac:dyDescent="0.25">
      <c r="A14513" t="str">
        <f>"6679126519"</f>
        <v>6679126519</v>
      </c>
      <c r="B14513" t="s">
        <v>20127</v>
      </c>
      <c r="C14513" t="s">
        <v>7</v>
      </c>
      <c r="D14513" t="s">
        <v>33</v>
      </c>
      <c r="E14513" t="s">
        <v>19036</v>
      </c>
      <c r="F14513" t="s">
        <v>20128</v>
      </c>
    </row>
    <row r="14514" spans="1:6" x14ac:dyDescent="0.25">
      <c r="A14514" t="str">
        <f>"6679130152"</f>
        <v>6679130152</v>
      </c>
      <c r="B14514" t="s">
        <v>20129</v>
      </c>
      <c r="C14514" t="s">
        <v>7</v>
      </c>
      <c r="D14514" t="s">
        <v>12</v>
      </c>
      <c r="E14514" t="s">
        <v>19036</v>
      </c>
      <c r="F14514" t="s">
        <v>20130</v>
      </c>
    </row>
    <row r="14515" spans="1:6" x14ac:dyDescent="0.25">
      <c r="A14515" t="str">
        <f>"6679130850"</f>
        <v>6679130850</v>
      </c>
      <c r="B14515" t="s">
        <v>20131</v>
      </c>
      <c r="C14515" t="s">
        <v>7</v>
      </c>
      <c r="D14515" t="s">
        <v>674</v>
      </c>
      <c r="E14515" t="s">
        <v>19036</v>
      </c>
      <c r="F14515" t="s">
        <v>20132</v>
      </c>
    </row>
    <row r="14516" spans="1:6" x14ac:dyDescent="0.25">
      <c r="A14516" t="str">
        <f>"6679134661"</f>
        <v>6679134661</v>
      </c>
      <c r="B14516" t="s">
        <v>20133</v>
      </c>
      <c r="C14516" t="s">
        <v>7</v>
      </c>
      <c r="D14516" t="s">
        <v>674</v>
      </c>
      <c r="E14516" t="s">
        <v>19036</v>
      </c>
      <c r="F14516" t="s">
        <v>20134</v>
      </c>
    </row>
    <row r="14517" spans="1:6" x14ac:dyDescent="0.25">
      <c r="A14517" t="str">
        <f>"6679139476"</f>
        <v>6679139476</v>
      </c>
      <c r="B14517" t="s">
        <v>20135</v>
      </c>
      <c r="C14517" t="s">
        <v>7</v>
      </c>
      <c r="D14517" t="s">
        <v>12</v>
      </c>
      <c r="E14517" t="s">
        <v>19036</v>
      </c>
      <c r="F14517" t="s">
        <v>20136</v>
      </c>
    </row>
    <row r="14518" spans="1:6" x14ac:dyDescent="0.25">
      <c r="A14518" t="str">
        <f>"6679140270"</f>
        <v>6679140270</v>
      </c>
      <c r="B14518" t="s">
        <v>20137</v>
      </c>
      <c r="C14518" t="s">
        <v>7</v>
      </c>
      <c r="D14518" t="s">
        <v>12</v>
      </c>
      <c r="E14518" t="s">
        <v>19036</v>
      </c>
      <c r="F14518" t="s">
        <v>20138</v>
      </c>
    </row>
    <row r="14519" spans="1:6" x14ac:dyDescent="0.25">
      <c r="A14519" t="str">
        <f>"6679141852"</f>
        <v>6679141852</v>
      </c>
      <c r="B14519" t="s">
        <v>20139</v>
      </c>
      <c r="C14519" t="s">
        <v>7</v>
      </c>
      <c r="D14519" t="s">
        <v>12</v>
      </c>
      <c r="E14519" t="s">
        <v>19036</v>
      </c>
      <c r="F14519" t="s">
        <v>20140</v>
      </c>
    </row>
    <row r="14520" spans="1:6" x14ac:dyDescent="0.25">
      <c r="A14520" t="str">
        <f>"6679148657"</f>
        <v>6679148657</v>
      </c>
      <c r="B14520" t="s">
        <v>13942</v>
      </c>
      <c r="C14520" t="s">
        <v>7</v>
      </c>
      <c r="D14520" t="s">
        <v>12</v>
      </c>
      <c r="E14520" t="s">
        <v>19036</v>
      </c>
      <c r="F14520" t="s">
        <v>20141</v>
      </c>
    </row>
    <row r="14521" spans="1:6" x14ac:dyDescent="0.25">
      <c r="A14521" t="str">
        <f>"6679154481"</f>
        <v>6679154481</v>
      </c>
      <c r="B14521" t="s">
        <v>20142</v>
      </c>
      <c r="C14521" t="s">
        <v>7</v>
      </c>
      <c r="D14521" t="s">
        <v>12</v>
      </c>
      <c r="E14521" t="s">
        <v>19036</v>
      </c>
      <c r="F14521" t="s">
        <v>20143</v>
      </c>
    </row>
    <row r="14522" spans="1:6" x14ac:dyDescent="0.25">
      <c r="A14522" t="str">
        <f>"6679157210"</f>
        <v>6679157210</v>
      </c>
      <c r="B14522" t="s">
        <v>20144</v>
      </c>
      <c r="C14522" t="s">
        <v>7</v>
      </c>
      <c r="D14522" t="s">
        <v>12</v>
      </c>
      <c r="E14522" t="s">
        <v>19036</v>
      </c>
      <c r="F14522" t="s">
        <v>20145</v>
      </c>
    </row>
    <row r="14523" spans="1:6" x14ac:dyDescent="0.25">
      <c r="A14523" t="str">
        <f>"6679160816"</f>
        <v>6679160816</v>
      </c>
      <c r="B14523" t="s">
        <v>20146</v>
      </c>
      <c r="C14523" t="s">
        <v>7</v>
      </c>
      <c r="D14523" t="s">
        <v>12</v>
      </c>
      <c r="E14523" t="s">
        <v>19036</v>
      </c>
      <c r="F14523" t="s">
        <v>20147</v>
      </c>
    </row>
    <row r="14524" spans="1:6" x14ac:dyDescent="0.25">
      <c r="A14524" t="str">
        <f>"6679166310"</f>
        <v>6679166310</v>
      </c>
      <c r="B14524" t="s">
        <v>20148</v>
      </c>
      <c r="C14524" t="s">
        <v>7</v>
      </c>
      <c r="D14524" t="s">
        <v>12</v>
      </c>
      <c r="E14524" t="s">
        <v>19036</v>
      </c>
      <c r="F14524" t="s">
        <v>20149</v>
      </c>
    </row>
    <row r="14525" spans="1:6" x14ac:dyDescent="0.25">
      <c r="A14525" t="str">
        <f>"6679170317"</f>
        <v>6679170317</v>
      </c>
      <c r="B14525" t="s">
        <v>20150</v>
      </c>
      <c r="C14525" t="s">
        <v>7</v>
      </c>
      <c r="D14525" t="s">
        <v>12</v>
      </c>
      <c r="E14525" t="s">
        <v>19036</v>
      </c>
      <c r="F14525" t="s">
        <v>20151</v>
      </c>
    </row>
    <row r="14526" spans="1:6" x14ac:dyDescent="0.25">
      <c r="A14526" t="str">
        <f>"6679175805"</f>
        <v>6679175805</v>
      </c>
      <c r="B14526" t="s">
        <v>20152</v>
      </c>
      <c r="C14526" t="s">
        <v>7</v>
      </c>
      <c r="D14526" t="s">
        <v>12</v>
      </c>
      <c r="E14526" t="s">
        <v>19036</v>
      </c>
      <c r="F14526" t="s">
        <v>20153</v>
      </c>
    </row>
    <row r="14527" spans="1:6" x14ac:dyDescent="0.25">
      <c r="A14527" t="str">
        <f>"6679181630"</f>
        <v>6679181630</v>
      </c>
      <c r="B14527" t="s">
        <v>20154</v>
      </c>
      <c r="C14527" t="s">
        <v>7</v>
      </c>
      <c r="D14527" t="s">
        <v>33</v>
      </c>
      <c r="E14527" t="s">
        <v>19036</v>
      </c>
      <c r="F14527" t="s">
        <v>20155</v>
      </c>
    </row>
    <row r="14528" spans="1:6" x14ac:dyDescent="0.25">
      <c r="A14528" t="str">
        <f>"6681011924"</f>
        <v>6681011924</v>
      </c>
      <c r="B14528" t="s">
        <v>20156</v>
      </c>
      <c r="C14528" t="s">
        <v>7</v>
      </c>
      <c r="D14528" t="s">
        <v>33</v>
      </c>
      <c r="E14528" t="s">
        <v>19036</v>
      </c>
      <c r="F14528" t="s">
        <v>20157</v>
      </c>
    </row>
    <row r="14529" spans="1:6" x14ac:dyDescent="0.25">
      <c r="A14529" t="str">
        <f>"6682015343"</f>
        <v>6682015343</v>
      </c>
      <c r="B14529" t="s">
        <v>20158</v>
      </c>
      <c r="C14529" t="s">
        <v>7</v>
      </c>
      <c r="D14529" t="s">
        <v>14</v>
      </c>
      <c r="E14529" t="s">
        <v>19036</v>
      </c>
      <c r="F14529" t="s">
        <v>20159</v>
      </c>
    </row>
    <row r="14530" spans="1:6" x14ac:dyDescent="0.25">
      <c r="A14530" t="str">
        <f>"6682021883"</f>
        <v>6682021883</v>
      </c>
      <c r="B14530" t="s">
        <v>20160</v>
      </c>
      <c r="C14530" t="s">
        <v>7</v>
      </c>
      <c r="D14530" t="s">
        <v>12</v>
      </c>
      <c r="E14530" t="s">
        <v>19036</v>
      </c>
      <c r="F14530" t="s">
        <v>20161</v>
      </c>
    </row>
    <row r="14531" spans="1:6" x14ac:dyDescent="0.25">
      <c r="A14531" t="str">
        <f>"6684035384"</f>
        <v>6684035384</v>
      </c>
      <c r="B14531" t="s">
        <v>20162</v>
      </c>
      <c r="C14531" t="s">
        <v>7</v>
      </c>
      <c r="D14531" t="s">
        <v>14</v>
      </c>
      <c r="E14531" t="s">
        <v>19036</v>
      </c>
      <c r="F14531" t="s">
        <v>20163</v>
      </c>
    </row>
    <row r="14532" spans="1:6" x14ac:dyDescent="0.25">
      <c r="A14532" t="str">
        <f>"6685074354"</f>
        <v>6685074354</v>
      </c>
      <c r="B14532" t="s">
        <v>10092</v>
      </c>
      <c r="C14532" t="s">
        <v>7</v>
      </c>
      <c r="D14532" t="s">
        <v>12</v>
      </c>
      <c r="E14532" t="s">
        <v>19036</v>
      </c>
      <c r="F14532" t="s">
        <v>20164</v>
      </c>
    </row>
    <row r="14533" spans="1:6" x14ac:dyDescent="0.25">
      <c r="A14533" t="str">
        <f>"6685126556"</f>
        <v>6685126556</v>
      </c>
      <c r="B14533" t="s">
        <v>20165</v>
      </c>
      <c r="C14533" t="s">
        <v>7</v>
      </c>
      <c r="D14533" t="s">
        <v>1430</v>
      </c>
      <c r="E14533" t="s">
        <v>19036</v>
      </c>
      <c r="F14533" t="s">
        <v>20166</v>
      </c>
    </row>
    <row r="14534" spans="1:6" x14ac:dyDescent="0.25">
      <c r="A14534" t="str">
        <f>"6685159537"</f>
        <v>6685159537</v>
      </c>
      <c r="B14534" t="s">
        <v>8449</v>
      </c>
      <c r="C14534" t="s">
        <v>7</v>
      </c>
      <c r="D14534" t="s">
        <v>12</v>
      </c>
      <c r="E14534" t="s">
        <v>19036</v>
      </c>
      <c r="F14534" t="s">
        <v>20167</v>
      </c>
    </row>
    <row r="14535" spans="1:6" x14ac:dyDescent="0.25">
      <c r="A14535" t="str">
        <f>"6685169775"</f>
        <v>6685169775</v>
      </c>
      <c r="B14535" t="s">
        <v>20168</v>
      </c>
      <c r="C14535" t="s">
        <v>7</v>
      </c>
      <c r="D14535" t="s">
        <v>14</v>
      </c>
      <c r="E14535" t="s">
        <v>19036</v>
      </c>
      <c r="F14535" t="s">
        <v>20169</v>
      </c>
    </row>
    <row r="14536" spans="1:6" x14ac:dyDescent="0.25">
      <c r="A14536" t="str">
        <f>"6685172873"</f>
        <v>6685172873</v>
      </c>
      <c r="B14536" t="s">
        <v>20170</v>
      </c>
      <c r="C14536" t="s">
        <v>7</v>
      </c>
      <c r="D14536" t="s">
        <v>33</v>
      </c>
      <c r="E14536" t="s">
        <v>19036</v>
      </c>
      <c r="F14536" t="s">
        <v>20171</v>
      </c>
    </row>
    <row r="14537" spans="1:6" x14ac:dyDescent="0.25">
      <c r="A14537" t="str">
        <f>"6685180521"</f>
        <v>6685180521</v>
      </c>
      <c r="B14537" t="s">
        <v>6958</v>
      </c>
      <c r="C14537" t="s">
        <v>7</v>
      </c>
      <c r="D14537" t="s">
        <v>189</v>
      </c>
      <c r="E14537" t="s">
        <v>19036</v>
      </c>
      <c r="F14537" t="s">
        <v>20172</v>
      </c>
    </row>
    <row r="14538" spans="1:6" x14ac:dyDescent="0.25">
      <c r="A14538" t="str">
        <f>"6685201330"</f>
        <v>6685201330</v>
      </c>
      <c r="B14538" t="s">
        <v>20173</v>
      </c>
      <c r="C14538" t="s">
        <v>7</v>
      </c>
      <c r="D14538" t="s">
        <v>146</v>
      </c>
      <c r="E14538" t="s">
        <v>19036</v>
      </c>
      <c r="F14538" t="s">
        <v>20174</v>
      </c>
    </row>
    <row r="14539" spans="1:6" x14ac:dyDescent="0.25">
      <c r="A14539" t="str">
        <f>"6685221016"</f>
        <v>6685221016</v>
      </c>
      <c r="B14539" t="s">
        <v>20175</v>
      </c>
      <c r="C14539" t="s">
        <v>7</v>
      </c>
      <c r="D14539" t="s">
        <v>12</v>
      </c>
      <c r="E14539" t="s">
        <v>19036</v>
      </c>
      <c r="F14539" t="s">
        <v>20176</v>
      </c>
    </row>
    <row r="14540" spans="1:6" x14ac:dyDescent="0.25">
      <c r="A14540" t="str">
        <f>"6686054167"</f>
        <v>6686054167</v>
      </c>
      <c r="B14540" t="s">
        <v>20177</v>
      </c>
      <c r="C14540" t="s">
        <v>7</v>
      </c>
      <c r="D14540" t="s">
        <v>189</v>
      </c>
      <c r="E14540" t="s">
        <v>19036</v>
      </c>
      <c r="F14540" t="s">
        <v>20178</v>
      </c>
    </row>
    <row r="14541" spans="1:6" x14ac:dyDescent="0.25">
      <c r="A14541" t="str">
        <f>"6686057190"</f>
        <v>6686057190</v>
      </c>
      <c r="B14541" t="s">
        <v>20179</v>
      </c>
      <c r="C14541" t="s">
        <v>7</v>
      </c>
      <c r="D14541" t="s">
        <v>14</v>
      </c>
      <c r="E14541" t="s">
        <v>19036</v>
      </c>
      <c r="F14541" t="s">
        <v>20029</v>
      </c>
    </row>
    <row r="14542" spans="1:6" x14ac:dyDescent="0.25">
      <c r="A14542" t="str">
        <f>"6686073321"</f>
        <v>6686073321</v>
      </c>
      <c r="B14542" t="s">
        <v>20180</v>
      </c>
      <c r="C14542" t="s">
        <v>7</v>
      </c>
      <c r="D14542" t="s">
        <v>586</v>
      </c>
      <c r="E14542" t="s">
        <v>19036</v>
      </c>
      <c r="F14542" t="s">
        <v>20181</v>
      </c>
    </row>
    <row r="14543" spans="1:6" x14ac:dyDescent="0.25">
      <c r="A14543" t="str">
        <f>"6686091930"</f>
        <v>6686091930</v>
      </c>
      <c r="B14543" t="s">
        <v>20182</v>
      </c>
      <c r="C14543" t="s">
        <v>7</v>
      </c>
      <c r="D14543" t="s">
        <v>12</v>
      </c>
      <c r="E14543" t="s">
        <v>19036</v>
      </c>
      <c r="F14543" t="s">
        <v>20183</v>
      </c>
    </row>
    <row r="14544" spans="1:6" x14ac:dyDescent="0.25">
      <c r="A14544" t="str">
        <f>"6686113800"</f>
        <v>6686113800</v>
      </c>
      <c r="B14544" t="s">
        <v>20184</v>
      </c>
      <c r="C14544" t="s">
        <v>7</v>
      </c>
      <c r="D14544" t="s">
        <v>14</v>
      </c>
      <c r="E14544" t="s">
        <v>19036</v>
      </c>
      <c r="F14544" t="s">
        <v>19158</v>
      </c>
    </row>
    <row r="14545" spans="1:6" x14ac:dyDescent="0.25">
      <c r="A14545" t="str">
        <f>"6686142769"</f>
        <v>6686142769</v>
      </c>
      <c r="B14545" t="s">
        <v>20185</v>
      </c>
      <c r="C14545" t="s">
        <v>7</v>
      </c>
      <c r="D14545" t="s">
        <v>8</v>
      </c>
      <c r="E14545" t="s">
        <v>19036</v>
      </c>
      <c r="F14545" t="s">
        <v>20186</v>
      </c>
    </row>
    <row r="14546" spans="1:6" x14ac:dyDescent="0.25">
      <c r="A14546" t="str">
        <f>"6686153175"</f>
        <v>6686153175</v>
      </c>
      <c r="B14546" t="s">
        <v>20187</v>
      </c>
      <c r="C14546" t="s">
        <v>7</v>
      </c>
      <c r="D14546" t="s">
        <v>12</v>
      </c>
      <c r="E14546" t="s">
        <v>19036</v>
      </c>
      <c r="F14546" t="s">
        <v>20188</v>
      </c>
    </row>
    <row r="14547" spans="1:6" x14ac:dyDescent="0.25">
      <c r="A14547" t="str">
        <f>"593402343188"</f>
        <v>593402343188</v>
      </c>
      <c r="B14547" t="s">
        <v>20189</v>
      </c>
      <c r="C14547" t="s">
        <v>7</v>
      </c>
      <c r="D14547" t="s">
        <v>14</v>
      </c>
      <c r="E14547" t="s">
        <v>19036</v>
      </c>
    </row>
    <row r="14548" spans="1:6" x14ac:dyDescent="0.25">
      <c r="A14548" t="str">
        <f>"593402353820"</f>
        <v>593402353820</v>
      </c>
      <c r="B14548" t="s">
        <v>20190</v>
      </c>
      <c r="C14548" t="s">
        <v>7</v>
      </c>
      <c r="D14548" t="s">
        <v>14</v>
      </c>
      <c r="E14548" t="s">
        <v>19036</v>
      </c>
    </row>
    <row r="14549" spans="1:6" x14ac:dyDescent="0.25">
      <c r="A14549" t="str">
        <f>"6671405623"</f>
        <v>6671405623</v>
      </c>
      <c r="B14549" t="s">
        <v>20191</v>
      </c>
      <c r="C14549" t="s">
        <v>7</v>
      </c>
      <c r="D14549" t="s">
        <v>146</v>
      </c>
      <c r="E14549" t="s">
        <v>19036</v>
      </c>
      <c r="F14549" t="s">
        <v>20192</v>
      </c>
    </row>
    <row r="14550" spans="1:6" x14ac:dyDescent="0.25">
      <c r="A14550" t="str">
        <f>"6671407395"</f>
        <v>6671407395</v>
      </c>
      <c r="B14550" t="s">
        <v>13773</v>
      </c>
      <c r="C14550" t="s">
        <v>7</v>
      </c>
      <c r="D14550" t="s">
        <v>12</v>
      </c>
      <c r="E14550" t="s">
        <v>19036</v>
      </c>
      <c r="F14550" t="s">
        <v>20193</v>
      </c>
    </row>
    <row r="14551" spans="1:6" x14ac:dyDescent="0.25">
      <c r="A14551" t="str">
        <f>"6671427634"</f>
        <v>6671427634</v>
      </c>
      <c r="B14551" t="s">
        <v>20194</v>
      </c>
      <c r="C14551" t="s">
        <v>7</v>
      </c>
      <c r="D14551" t="s">
        <v>12</v>
      </c>
      <c r="E14551" t="s">
        <v>19036</v>
      </c>
      <c r="F14551" t="s">
        <v>20195</v>
      </c>
    </row>
    <row r="14552" spans="1:6" x14ac:dyDescent="0.25">
      <c r="A14552" t="str">
        <f>"667210595464"</f>
        <v>667210595464</v>
      </c>
      <c r="B14552" t="s">
        <v>20196</v>
      </c>
      <c r="C14552" t="s">
        <v>7</v>
      </c>
      <c r="D14552" t="s">
        <v>14</v>
      </c>
      <c r="E14552" t="s">
        <v>19036</v>
      </c>
    </row>
    <row r="14553" spans="1:6" x14ac:dyDescent="0.25">
      <c r="A14553" t="str">
        <f>"6672195087"</f>
        <v>6672195087</v>
      </c>
      <c r="B14553" t="s">
        <v>20197</v>
      </c>
      <c r="C14553" t="s">
        <v>7</v>
      </c>
      <c r="D14553" t="s">
        <v>12</v>
      </c>
      <c r="E14553" t="s">
        <v>19036</v>
      </c>
      <c r="F14553" t="s">
        <v>20198</v>
      </c>
    </row>
    <row r="14554" spans="1:6" x14ac:dyDescent="0.25">
      <c r="A14554" t="str">
        <f>"667223239230"</f>
        <v>667223239230</v>
      </c>
      <c r="B14554" t="s">
        <v>20199</v>
      </c>
      <c r="C14554" t="s">
        <v>7</v>
      </c>
      <c r="D14554" t="s">
        <v>12</v>
      </c>
      <c r="E14554" t="s">
        <v>19036</v>
      </c>
    </row>
    <row r="14555" spans="1:6" x14ac:dyDescent="0.25">
      <c r="A14555" t="str">
        <f>"6672267207"</f>
        <v>6672267207</v>
      </c>
      <c r="B14555" t="s">
        <v>20200</v>
      </c>
      <c r="C14555" t="s">
        <v>7</v>
      </c>
      <c r="D14555" t="s">
        <v>8</v>
      </c>
      <c r="E14555" t="s">
        <v>19036</v>
      </c>
      <c r="F14555" t="s">
        <v>20069</v>
      </c>
    </row>
    <row r="14556" spans="1:6" x14ac:dyDescent="0.25">
      <c r="A14556" t="str">
        <f>"667302333677"</f>
        <v>667302333677</v>
      </c>
      <c r="B14556" t="s">
        <v>20201</v>
      </c>
      <c r="C14556" t="s">
        <v>7</v>
      </c>
      <c r="D14556" t="s">
        <v>12</v>
      </c>
      <c r="E14556" t="s">
        <v>19036</v>
      </c>
    </row>
    <row r="14557" spans="1:6" x14ac:dyDescent="0.25">
      <c r="A14557" t="str">
        <f>"667305649157"</f>
        <v>667305649157</v>
      </c>
      <c r="B14557" t="s">
        <v>20202</v>
      </c>
      <c r="C14557" t="s">
        <v>7</v>
      </c>
      <c r="D14557" t="s">
        <v>12</v>
      </c>
      <c r="E14557" t="s">
        <v>19036</v>
      </c>
    </row>
    <row r="14558" spans="1:6" x14ac:dyDescent="0.25">
      <c r="A14558" t="str">
        <f>"667310240063"</f>
        <v>667310240063</v>
      </c>
      <c r="B14558" t="s">
        <v>20203</v>
      </c>
      <c r="C14558" t="s">
        <v>7</v>
      </c>
      <c r="D14558" t="s">
        <v>14</v>
      </c>
      <c r="E14558" t="s">
        <v>19036</v>
      </c>
    </row>
    <row r="14559" spans="1:6" x14ac:dyDescent="0.25">
      <c r="A14559" t="str">
        <f>"6673182940"</f>
        <v>6673182940</v>
      </c>
      <c r="B14559" t="s">
        <v>20204</v>
      </c>
      <c r="C14559" t="s">
        <v>7</v>
      </c>
      <c r="D14559" t="s">
        <v>14</v>
      </c>
      <c r="E14559" t="s">
        <v>19036</v>
      </c>
      <c r="F14559" t="s">
        <v>20029</v>
      </c>
    </row>
    <row r="14560" spans="1:6" x14ac:dyDescent="0.25">
      <c r="A14560" t="str">
        <f>"6673188646"</f>
        <v>6673188646</v>
      </c>
      <c r="B14560" t="s">
        <v>20205</v>
      </c>
      <c r="C14560" t="s">
        <v>7</v>
      </c>
      <c r="D14560" t="s">
        <v>586</v>
      </c>
      <c r="E14560" t="s">
        <v>19036</v>
      </c>
      <c r="F14560" t="s">
        <v>19917</v>
      </c>
    </row>
    <row r="14561" spans="1:6" x14ac:dyDescent="0.25">
      <c r="A14561" t="str">
        <f>"6673191462"</f>
        <v>6673191462</v>
      </c>
      <c r="B14561" t="s">
        <v>16266</v>
      </c>
      <c r="C14561" t="s">
        <v>7</v>
      </c>
      <c r="D14561" t="s">
        <v>33</v>
      </c>
      <c r="E14561" t="s">
        <v>19036</v>
      </c>
      <c r="F14561" t="s">
        <v>20206</v>
      </c>
    </row>
    <row r="14562" spans="1:6" x14ac:dyDescent="0.25">
      <c r="A14562" t="str">
        <f>"6673194216"</f>
        <v>6673194216</v>
      </c>
      <c r="B14562" t="s">
        <v>20207</v>
      </c>
      <c r="C14562" t="s">
        <v>7</v>
      </c>
      <c r="D14562" t="s">
        <v>14</v>
      </c>
      <c r="E14562" t="s">
        <v>19036</v>
      </c>
      <c r="F14562" t="s">
        <v>20208</v>
      </c>
    </row>
    <row r="14563" spans="1:6" x14ac:dyDescent="0.25">
      <c r="A14563" t="str">
        <f>"667320830907"</f>
        <v>667320830907</v>
      </c>
      <c r="B14563" t="s">
        <v>20209</v>
      </c>
      <c r="C14563" t="s">
        <v>7</v>
      </c>
      <c r="D14563" t="s">
        <v>14</v>
      </c>
      <c r="E14563" t="s">
        <v>19036</v>
      </c>
    </row>
    <row r="14564" spans="1:6" x14ac:dyDescent="0.25">
      <c r="A14564" t="str">
        <f>"6673240208"</f>
        <v>6673240208</v>
      </c>
      <c r="B14564" t="s">
        <v>20210</v>
      </c>
      <c r="C14564" t="s">
        <v>7</v>
      </c>
      <c r="D14564" t="s">
        <v>14</v>
      </c>
      <c r="E14564" t="s">
        <v>19036</v>
      </c>
      <c r="F14564" t="s">
        <v>20211</v>
      </c>
    </row>
    <row r="14565" spans="1:6" x14ac:dyDescent="0.25">
      <c r="A14565" t="str">
        <f>"6673252228"</f>
        <v>6673252228</v>
      </c>
      <c r="B14565" t="s">
        <v>20212</v>
      </c>
      <c r="C14565" t="s">
        <v>7</v>
      </c>
      <c r="D14565" t="s">
        <v>189</v>
      </c>
      <c r="E14565" t="s">
        <v>19036</v>
      </c>
      <c r="F14565" t="s">
        <v>20213</v>
      </c>
    </row>
    <row r="14566" spans="1:6" x14ac:dyDescent="0.25">
      <c r="A14566" t="str">
        <f>"667356637720"</f>
        <v>667356637720</v>
      </c>
      <c r="B14566" t="s">
        <v>20214</v>
      </c>
      <c r="C14566" t="s">
        <v>7</v>
      </c>
      <c r="D14566" t="s">
        <v>12</v>
      </c>
      <c r="E14566" t="s">
        <v>19036</v>
      </c>
    </row>
    <row r="14567" spans="1:6" x14ac:dyDescent="0.25">
      <c r="A14567" t="str">
        <f>"667358880142"</f>
        <v>667358880142</v>
      </c>
      <c r="B14567" t="s">
        <v>20215</v>
      </c>
      <c r="C14567" t="s">
        <v>7</v>
      </c>
      <c r="D14567" t="s">
        <v>12</v>
      </c>
      <c r="E14567" t="s">
        <v>19036</v>
      </c>
    </row>
    <row r="14568" spans="1:6" x14ac:dyDescent="0.25">
      <c r="A14568" t="str">
        <f>"6674242818"</f>
        <v>6674242818</v>
      </c>
      <c r="B14568" t="s">
        <v>20216</v>
      </c>
      <c r="C14568" t="s">
        <v>7</v>
      </c>
      <c r="D14568" t="s">
        <v>14</v>
      </c>
      <c r="E14568" t="s">
        <v>19036</v>
      </c>
      <c r="F14568" t="s">
        <v>20217</v>
      </c>
    </row>
    <row r="14569" spans="1:6" x14ac:dyDescent="0.25">
      <c r="A14569" t="str">
        <f>"667472271530"</f>
        <v>667472271530</v>
      </c>
      <c r="B14569" t="s">
        <v>20218</v>
      </c>
      <c r="C14569" t="s">
        <v>7</v>
      </c>
      <c r="D14569" t="s">
        <v>28</v>
      </c>
      <c r="E14569" t="s">
        <v>19036</v>
      </c>
    </row>
    <row r="14570" spans="1:6" x14ac:dyDescent="0.25">
      <c r="A14570" t="str">
        <f>"667472363735"</f>
        <v>667472363735</v>
      </c>
      <c r="B14570" t="s">
        <v>20219</v>
      </c>
      <c r="C14570" t="s">
        <v>7</v>
      </c>
      <c r="D14570" t="s">
        <v>12</v>
      </c>
      <c r="E14570" t="s">
        <v>19036</v>
      </c>
    </row>
    <row r="14571" spans="1:6" x14ac:dyDescent="0.25">
      <c r="A14571" t="str">
        <f>"6676000719"</f>
        <v>6676000719</v>
      </c>
      <c r="B14571" t="s">
        <v>20220</v>
      </c>
      <c r="C14571" t="s">
        <v>7</v>
      </c>
      <c r="D14571" t="s">
        <v>14</v>
      </c>
      <c r="E14571" t="s">
        <v>19036</v>
      </c>
      <c r="F14571" t="s">
        <v>20221</v>
      </c>
    </row>
    <row r="14572" spans="1:6" x14ac:dyDescent="0.25">
      <c r="A14572" t="str">
        <f>"6678014964"</f>
        <v>6678014964</v>
      </c>
      <c r="B14572" t="s">
        <v>20222</v>
      </c>
      <c r="C14572" t="s">
        <v>7</v>
      </c>
      <c r="D14572" t="s">
        <v>14</v>
      </c>
      <c r="E14572" t="s">
        <v>19036</v>
      </c>
      <c r="F14572" t="s">
        <v>20223</v>
      </c>
    </row>
    <row r="14573" spans="1:6" x14ac:dyDescent="0.25">
      <c r="A14573" t="str">
        <f>"667801568709"</f>
        <v>667801568709</v>
      </c>
      <c r="B14573" t="s">
        <v>20224</v>
      </c>
      <c r="C14573" t="s">
        <v>7</v>
      </c>
      <c r="D14573" t="s">
        <v>14</v>
      </c>
      <c r="E14573" t="s">
        <v>19036</v>
      </c>
    </row>
    <row r="14574" spans="1:6" x14ac:dyDescent="0.25">
      <c r="A14574" t="str">
        <f>"6678021224"</f>
        <v>6678021224</v>
      </c>
      <c r="B14574" t="s">
        <v>20225</v>
      </c>
      <c r="C14574" t="s">
        <v>7</v>
      </c>
      <c r="D14574" t="s">
        <v>189</v>
      </c>
      <c r="E14574" t="s">
        <v>19036</v>
      </c>
      <c r="F14574" t="s">
        <v>20226</v>
      </c>
    </row>
    <row r="14575" spans="1:6" x14ac:dyDescent="0.25">
      <c r="A14575" t="str">
        <f>"6678023091"</f>
        <v>6678023091</v>
      </c>
      <c r="B14575" t="s">
        <v>20227</v>
      </c>
      <c r="C14575" t="s">
        <v>7</v>
      </c>
      <c r="D14575" t="s">
        <v>33</v>
      </c>
      <c r="E14575" t="s">
        <v>19036</v>
      </c>
      <c r="F14575" t="s">
        <v>20228</v>
      </c>
    </row>
    <row r="14576" spans="1:6" x14ac:dyDescent="0.25">
      <c r="A14576" t="str">
        <f>"6678040280"</f>
        <v>6678040280</v>
      </c>
      <c r="B14576" t="s">
        <v>20229</v>
      </c>
      <c r="C14576" t="s">
        <v>7</v>
      </c>
      <c r="D14576" t="s">
        <v>33</v>
      </c>
      <c r="E14576" t="s">
        <v>19036</v>
      </c>
      <c r="F14576" t="s">
        <v>19971</v>
      </c>
    </row>
    <row r="14577" spans="1:6" x14ac:dyDescent="0.25">
      <c r="A14577" t="str">
        <f>"6678041598"</f>
        <v>6678041598</v>
      </c>
      <c r="B14577" t="s">
        <v>20230</v>
      </c>
      <c r="C14577" t="s">
        <v>7</v>
      </c>
      <c r="D14577" t="s">
        <v>33</v>
      </c>
      <c r="E14577" t="s">
        <v>19036</v>
      </c>
      <c r="F14577" t="s">
        <v>20231</v>
      </c>
    </row>
    <row r="14578" spans="1:6" x14ac:dyDescent="0.25">
      <c r="A14578" t="str">
        <f>"6678042111"</f>
        <v>6678042111</v>
      </c>
      <c r="B14578" t="s">
        <v>20232</v>
      </c>
      <c r="C14578" t="s">
        <v>7</v>
      </c>
      <c r="D14578" t="s">
        <v>12</v>
      </c>
      <c r="E14578" t="s">
        <v>19036</v>
      </c>
      <c r="F14578" t="s">
        <v>20233</v>
      </c>
    </row>
    <row r="14579" spans="1:6" x14ac:dyDescent="0.25">
      <c r="A14579" t="str">
        <f>"6678077241"</f>
        <v>6678077241</v>
      </c>
      <c r="B14579" t="s">
        <v>20234</v>
      </c>
      <c r="C14579" t="s">
        <v>7</v>
      </c>
      <c r="D14579" t="s">
        <v>14</v>
      </c>
      <c r="E14579" t="s">
        <v>19036</v>
      </c>
      <c r="F14579" t="s">
        <v>20235</v>
      </c>
    </row>
    <row r="14580" spans="1:6" x14ac:dyDescent="0.25">
      <c r="A14580" t="str">
        <f>"6678082890"</f>
        <v>6678082890</v>
      </c>
      <c r="B14580" t="s">
        <v>20236</v>
      </c>
      <c r="C14580" t="s">
        <v>7</v>
      </c>
      <c r="D14580" t="s">
        <v>14</v>
      </c>
      <c r="E14580" t="s">
        <v>19036</v>
      </c>
      <c r="F14580" t="s">
        <v>20237</v>
      </c>
    </row>
    <row r="14581" spans="1:6" x14ac:dyDescent="0.25">
      <c r="A14581" t="str">
        <f>"6678089092"</f>
        <v>6678089092</v>
      </c>
      <c r="B14581" t="s">
        <v>20238</v>
      </c>
      <c r="C14581" t="s">
        <v>7</v>
      </c>
      <c r="D14581" t="s">
        <v>674</v>
      </c>
      <c r="E14581" t="s">
        <v>19036</v>
      </c>
      <c r="F14581" t="s">
        <v>20239</v>
      </c>
    </row>
    <row r="14582" spans="1:6" x14ac:dyDescent="0.25">
      <c r="A14582" t="str">
        <f>"6678091101"</f>
        <v>6678091101</v>
      </c>
      <c r="B14582" t="s">
        <v>20240</v>
      </c>
      <c r="C14582" t="s">
        <v>7</v>
      </c>
      <c r="D14582" t="s">
        <v>12</v>
      </c>
      <c r="E14582" t="s">
        <v>19036</v>
      </c>
      <c r="F14582" t="s">
        <v>20241</v>
      </c>
    </row>
    <row r="14583" spans="1:6" x14ac:dyDescent="0.25">
      <c r="A14583" t="str">
        <f>"6678092955"</f>
        <v>6678092955</v>
      </c>
      <c r="B14583" t="s">
        <v>20242</v>
      </c>
      <c r="C14583" t="s">
        <v>7</v>
      </c>
      <c r="D14583" t="s">
        <v>14</v>
      </c>
      <c r="E14583" t="s">
        <v>19036</v>
      </c>
      <c r="F14583" t="s">
        <v>20243</v>
      </c>
    </row>
    <row r="14584" spans="1:6" x14ac:dyDescent="0.25">
      <c r="A14584" t="str">
        <f>"6678111862"</f>
        <v>6678111862</v>
      </c>
      <c r="B14584" t="s">
        <v>20244</v>
      </c>
      <c r="C14584" t="s">
        <v>7</v>
      </c>
      <c r="D14584" t="s">
        <v>33</v>
      </c>
      <c r="E14584" t="s">
        <v>19036</v>
      </c>
      <c r="F14584" t="s">
        <v>20245</v>
      </c>
    </row>
    <row r="14585" spans="1:6" x14ac:dyDescent="0.25">
      <c r="A14585" t="str">
        <f>"6678139177"</f>
        <v>6678139177</v>
      </c>
      <c r="B14585" t="s">
        <v>20246</v>
      </c>
      <c r="C14585" t="s">
        <v>7</v>
      </c>
      <c r="D14585" t="s">
        <v>14</v>
      </c>
      <c r="E14585" t="s">
        <v>19036</v>
      </c>
      <c r="F14585" t="s">
        <v>20247</v>
      </c>
    </row>
    <row r="14586" spans="1:6" x14ac:dyDescent="0.25">
      <c r="A14586" t="str">
        <f>"6679049818"</f>
        <v>6679049818</v>
      </c>
      <c r="B14586" t="s">
        <v>20248</v>
      </c>
      <c r="C14586" t="s">
        <v>7</v>
      </c>
      <c r="D14586" t="s">
        <v>14</v>
      </c>
      <c r="E14586" t="s">
        <v>19036</v>
      </c>
      <c r="F14586" t="s">
        <v>20249</v>
      </c>
    </row>
    <row r="14587" spans="1:6" x14ac:dyDescent="0.25">
      <c r="A14587" t="str">
        <f>"6679053451"</f>
        <v>6679053451</v>
      </c>
      <c r="B14587" t="s">
        <v>20250</v>
      </c>
      <c r="C14587" t="s">
        <v>7</v>
      </c>
      <c r="D14587" t="s">
        <v>14</v>
      </c>
      <c r="E14587" t="s">
        <v>19036</v>
      </c>
      <c r="F14587" t="s">
        <v>20251</v>
      </c>
    </row>
    <row r="14588" spans="1:6" x14ac:dyDescent="0.25">
      <c r="A14588" t="str">
        <f>"6679067670"</f>
        <v>6679067670</v>
      </c>
      <c r="B14588" t="s">
        <v>20252</v>
      </c>
      <c r="C14588" t="s">
        <v>7</v>
      </c>
      <c r="D14588" t="s">
        <v>14</v>
      </c>
      <c r="E14588" t="s">
        <v>19036</v>
      </c>
      <c r="F14588" t="s">
        <v>20253</v>
      </c>
    </row>
    <row r="14589" spans="1:6" x14ac:dyDescent="0.25">
      <c r="A14589" t="str">
        <f>"6679072060"</f>
        <v>6679072060</v>
      </c>
      <c r="B14589" t="s">
        <v>20254</v>
      </c>
      <c r="C14589" t="s">
        <v>7</v>
      </c>
      <c r="D14589" t="s">
        <v>12</v>
      </c>
      <c r="E14589" t="s">
        <v>19036</v>
      </c>
      <c r="F14589" t="s">
        <v>20255</v>
      </c>
    </row>
    <row r="14590" spans="1:6" x14ac:dyDescent="0.25">
      <c r="A14590" t="str">
        <f>"6679076032"</f>
        <v>6679076032</v>
      </c>
      <c r="B14590" t="s">
        <v>20256</v>
      </c>
      <c r="C14590" t="s">
        <v>7</v>
      </c>
      <c r="D14590" t="s">
        <v>33</v>
      </c>
      <c r="E14590" t="s">
        <v>19036</v>
      </c>
      <c r="F14590" t="s">
        <v>20257</v>
      </c>
    </row>
    <row r="14591" spans="1:6" x14ac:dyDescent="0.25">
      <c r="A14591" t="str">
        <f>"6679089722"</f>
        <v>6679089722</v>
      </c>
      <c r="B14591" t="s">
        <v>20258</v>
      </c>
      <c r="C14591" t="s">
        <v>7</v>
      </c>
      <c r="D14591" t="s">
        <v>14</v>
      </c>
      <c r="E14591" t="s">
        <v>19036</v>
      </c>
      <c r="F14591" t="s">
        <v>19986</v>
      </c>
    </row>
    <row r="14592" spans="1:6" x14ac:dyDescent="0.25">
      <c r="A14592" t="str">
        <f>"6679107428"</f>
        <v>6679107428</v>
      </c>
      <c r="B14592" t="s">
        <v>20259</v>
      </c>
      <c r="C14592" t="s">
        <v>7</v>
      </c>
      <c r="D14592" t="s">
        <v>33</v>
      </c>
      <c r="E14592" t="s">
        <v>19036</v>
      </c>
      <c r="F14592" t="s">
        <v>20260</v>
      </c>
    </row>
    <row r="14593" spans="1:6" x14ac:dyDescent="0.25">
      <c r="A14593" t="str">
        <f>"6679111230"</f>
        <v>6679111230</v>
      </c>
      <c r="B14593" t="s">
        <v>20261</v>
      </c>
      <c r="C14593" t="s">
        <v>7</v>
      </c>
      <c r="D14593" t="s">
        <v>33</v>
      </c>
      <c r="E14593" t="s">
        <v>19036</v>
      </c>
      <c r="F14593" t="s">
        <v>20262</v>
      </c>
    </row>
    <row r="14594" spans="1:6" x14ac:dyDescent="0.25">
      <c r="A14594" t="str">
        <f>"6679124085"</f>
        <v>6679124085</v>
      </c>
      <c r="B14594" t="s">
        <v>20263</v>
      </c>
      <c r="C14594" t="s">
        <v>7</v>
      </c>
      <c r="D14594" t="s">
        <v>12</v>
      </c>
      <c r="E14594" t="s">
        <v>19036</v>
      </c>
      <c r="F14594" t="s">
        <v>20264</v>
      </c>
    </row>
    <row r="14595" spans="1:6" x14ac:dyDescent="0.25">
      <c r="A14595" t="str">
        <f>"6679136147"</f>
        <v>6679136147</v>
      </c>
      <c r="B14595" t="s">
        <v>20265</v>
      </c>
      <c r="C14595" t="s">
        <v>7</v>
      </c>
      <c r="D14595" t="s">
        <v>12</v>
      </c>
      <c r="E14595" t="s">
        <v>19036</v>
      </c>
      <c r="F14595" t="s">
        <v>20266</v>
      </c>
    </row>
    <row r="14596" spans="1:6" x14ac:dyDescent="0.25">
      <c r="A14596" t="str">
        <f>"6679137013"</f>
        <v>6679137013</v>
      </c>
      <c r="B14596" t="s">
        <v>20267</v>
      </c>
      <c r="C14596" t="s">
        <v>7</v>
      </c>
      <c r="D14596" t="s">
        <v>12</v>
      </c>
      <c r="E14596" t="s">
        <v>19036</v>
      </c>
      <c r="F14596" t="s">
        <v>20268</v>
      </c>
    </row>
    <row r="14597" spans="1:6" x14ac:dyDescent="0.25">
      <c r="A14597" t="str">
        <f>"6679146410"</f>
        <v>6679146410</v>
      </c>
      <c r="B14597" t="s">
        <v>20269</v>
      </c>
      <c r="C14597" t="s">
        <v>7</v>
      </c>
      <c r="D14597" t="s">
        <v>12</v>
      </c>
      <c r="E14597" t="s">
        <v>19036</v>
      </c>
      <c r="F14597" t="s">
        <v>20270</v>
      </c>
    </row>
    <row r="14598" spans="1:6" x14ac:dyDescent="0.25">
      <c r="A14598" t="str">
        <f>"6679154153"</f>
        <v>6679154153</v>
      </c>
      <c r="B14598" t="s">
        <v>20271</v>
      </c>
      <c r="C14598" t="s">
        <v>7</v>
      </c>
      <c r="D14598" t="s">
        <v>14</v>
      </c>
      <c r="E14598" t="s">
        <v>19036</v>
      </c>
      <c r="F14598" t="s">
        <v>20272</v>
      </c>
    </row>
    <row r="14599" spans="1:6" x14ac:dyDescent="0.25">
      <c r="A14599" t="str">
        <f>"6679154629"</f>
        <v>6679154629</v>
      </c>
      <c r="B14599" t="s">
        <v>20273</v>
      </c>
      <c r="C14599" t="s">
        <v>7</v>
      </c>
      <c r="D14599" t="s">
        <v>12</v>
      </c>
      <c r="E14599" t="s">
        <v>19036</v>
      </c>
      <c r="F14599" t="s">
        <v>20274</v>
      </c>
    </row>
    <row r="14600" spans="1:6" x14ac:dyDescent="0.25">
      <c r="A14600" t="str">
        <f>"6679168734"</f>
        <v>6679168734</v>
      </c>
      <c r="B14600" t="s">
        <v>20275</v>
      </c>
      <c r="C14600" t="s">
        <v>7</v>
      </c>
      <c r="D14600" t="s">
        <v>12</v>
      </c>
      <c r="E14600" t="s">
        <v>19036</v>
      </c>
      <c r="F14600" t="s">
        <v>20276</v>
      </c>
    </row>
    <row r="14601" spans="1:6" x14ac:dyDescent="0.25">
      <c r="A14601" t="str">
        <f>"6679178612"</f>
        <v>6679178612</v>
      </c>
      <c r="B14601" t="s">
        <v>20277</v>
      </c>
      <c r="C14601" t="s">
        <v>7</v>
      </c>
      <c r="D14601" t="s">
        <v>12</v>
      </c>
      <c r="E14601" t="s">
        <v>19036</v>
      </c>
      <c r="F14601" t="s">
        <v>20278</v>
      </c>
    </row>
    <row r="14602" spans="1:6" x14ac:dyDescent="0.25">
      <c r="A14602" t="str">
        <f>"6679181492"</f>
        <v>6679181492</v>
      </c>
      <c r="B14602" t="s">
        <v>20279</v>
      </c>
      <c r="C14602" t="s">
        <v>7</v>
      </c>
      <c r="D14602" t="s">
        <v>14</v>
      </c>
      <c r="E14602" t="s">
        <v>19036</v>
      </c>
      <c r="F14602" t="s">
        <v>20280</v>
      </c>
    </row>
    <row r="14603" spans="1:6" x14ac:dyDescent="0.25">
      <c r="A14603" t="str">
        <f>"6679182182"</f>
        <v>6679182182</v>
      </c>
      <c r="B14603" t="s">
        <v>20281</v>
      </c>
      <c r="C14603" t="s">
        <v>7</v>
      </c>
      <c r="D14603" t="s">
        <v>8</v>
      </c>
      <c r="E14603" t="s">
        <v>19036</v>
      </c>
      <c r="F14603" t="s">
        <v>20282</v>
      </c>
    </row>
    <row r="14604" spans="1:6" x14ac:dyDescent="0.25">
      <c r="A14604" t="str">
        <f>"667932851283"</f>
        <v>667932851283</v>
      </c>
      <c r="B14604" t="s">
        <v>20283</v>
      </c>
      <c r="C14604" t="s">
        <v>7</v>
      </c>
      <c r="D14604" t="s">
        <v>14</v>
      </c>
      <c r="E14604" t="s">
        <v>19036</v>
      </c>
    </row>
    <row r="14605" spans="1:6" x14ac:dyDescent="0.25">
      <c r="A14605" t="str">
        <f>"6680004120"</f>
        <v>6680004120</v>
      </c>
      <c r="B14605" t="s">
        <v>20284</v>
      </c>
      <c r="C14605" t="s">
        <v>7</v>
      </c>
      <c r="D14605" t="s">
        <v>33</v>
      </c>
      <c r="E14605" t="s">
        <v>19036</v>
      </c>
      <c r="F14605" t="s">
        <v>20285</v>
      </c>
    </row>
    <row r="14606" spans="1:6" x14ac:dyDescent="0.25">
      <c r="A14606" t="str">
        <f>"6681012004"</f>
        <v>6681012004</v>
      </c>
      <c r="B14606" t="s">
        <v>450</v>
      </c>
      <c r="C14606" t="s">
        <v>7</v>
      </c>
      <c r="D14606" t="s">
        <v>14</v>
      </c>
      <c r="E14606" t="s">
        <v>19036</v>
      </c>
      <c r="F14606" t="s">
        <v>20286</v>
      </c>
    </row>
    <row r="14607" spans="1:6" x14ac:dyDescent="0.25">
      <c r="A14607" t="str">
        <f>"6685046117"</f>
        <v>6685046117</v>
      </c>
      <c r="B14607" t="s">
        <v>20287</v>
      </c>
      <c r="C14607" t="s">
        <v>7</v>
      </c>
      <c r="D14607" t="s">
        <v>33</v>
      </c>
      <c r="E14607" t="s">
        <v>19036</v>
      </c>
      <c r="F14607" t="s">
        <v>20288</v>
      </c>
    </row>
    <row r="14608" spans="1:6" x14ac:dyDescent="0.25">
      <c r="A14608" t="str">
        <f>"6685085211"</f>
        <v>6685085211</v>
      </c>
      <c r="B14608" t="s">
        <v>20289</v>
      </c>
      <c r="C14608" t="s">
        <v>7</v>
      </c>
      <c r="D14608" t="s">
        <v>33</v>
      </c>
      <c r="E14608" t="s">
        <v>19036</v>
      </c>
      <c r="F14608" t="s">
        <v>20290</v>
      </c>
    </row>
    <row r="14609" spans="1:6" x14ac:dyDescent="0.25">
      <c r="A14609" t="str">
        <f>"6685091014"</f>
        <v>6685091014</v>
      </c>
      <c r="B14609" t="s">
        <v>20291</v>
      </c>
      <c r="C14609" t="s">
        <v>7</v>
      </c>
      <c r="D14609" t="s">
        <v>146</v>
      </c>
      <c r="E14609" t="s">
        <v>19036</v>
      </c>
      <c r="F14609" t="s">
        <v>20292</v>
      </c>
    </row>
    <row r="14610" spans="1:6" x14ac:dyDescent="0.25">
      <c r="A14610" t="str">
        <f>"6685112867"</f>
        <v>6685112867</v>
      </c>
      <c r="B14610" t="s">
        <v>20293</v>
      </c>
      <c r="C14610" t="s">
        <v>7</v>
      </c>
      <c r="D14610" t="s">
        <v>12</v>
      </c>
      <c r="E14610" t="s">
        <v>19036</v>
      </c>
      <c r="F14610" t="s">
        <v>20294</v>
      </c>
    </row>
    <row r="14611" spans="1:6" x14ac:dyDescent="0.25">
      <c r="A14611" t="str">
        <f>"6685130369"</f>
        <v>6685130369</v>
      </c>
      <c r="B14611" t="s">
        <v>20295</v>
      </c>
      <c r="C14611" t="s">
        <v>7</v>
      </c>
      <c r="D14611" t="s">
        <v>12</v>
      </c>
      <c r="E14611" t="s">
        <v>19036</v>
      </c>
      <c r="F14611" t="s">
        <v>20296</v>
      </c>
    </row>
    <row r="14612" spans="1:6" x14ac:dyDescent="0.25">
      <c r="A14612" t="str">
        <f>"6685166365"</f>
        <v>6685166365</v>
      </c>
      <c r="B14612" t="s">
        <v>20297</v>
      </c>
      <c r="C14612" t="s">
        <v>7</v>
      </c>
      <c r="D14612" t="s">
        <v>14</v>
      </c>
      <c r="E14612" t="s">
        <v>19036</v>
      </c>
      <c r="F14612" t="s">
        <v>20298</v>
      </c>
    </row>
    <row r="14613" spans="1:6" x14ac:dyDescent="0.25">
      <c r="A14613" t="str">
        <f>"6685184477"</f>
        <v>6685184477</v>
      </c>
      <c r="B14613" t="s">
        <v>20299</v>
      </c>
      <c r="C14613" t="s">
        <v>7</v>
      </c>
      <c r="D14613" t="s">
        <v>14</v>
      </c>
      <c r="E14613" t="s">
        <v>19036</v>
      </c>
      <c r="F14613" t="s">
        <v>20300</v>
      </c>
    </row>
    <row r="14614" spans="1:6" x14ac:dyDescent="0.25">
      <c r="A14614" t="str">
        <f>"6685211459"</f>
        <v>6685211459</v>
      </c>
      <c r="B14614" t="s">
        <v>20301</v>
      </c>
      <c r="C14614" t="s">
        <v>7</v>
      </c>
      <c r="D14614" t="s">
        <v>14</v>
      </c>
      <c r="E14614" t="s">
        <v>19036</v>
      </c>
      <c r="F14614" t="s">
        <v>20302</v>
      </c>
    </row>
    <row r="14615" spans="1:6" x14ac:dyDescent="0.25">
      <c r="A14615" t="str">
        <f>"6686044680"</f>
        <v>6686044680</v>
      </c>
      <c r="B14615" t="s">
        <v>20303</v>
      </c>
      <c r="C14615" t="s">
        <v>7</v>
      </c>
      <c r="D14615" t="s">
        <v>1430</v>
      </c>
      <c r="E14615" t="s">
        <v>19036</v>
      </c>
      <c r="F14615" t="s">
        <v>20304</v>
      </c>
    </row>
    <row r="14616" spans="1:6" x14ac:dyDescent="0.25">
      <c r="A14616" t="str">
        <f>"6686078351"</f>
        <v>6686078351</v>
      </c>
      <c r="B14616" t="s">
        <v>20305</v>
      </c>
      <c r="C14616" t="s">
        <v>7</v>
      </c>
      <c r="D14616" t="s">
        <v>14</v>
      </c>
      <c r="E14616" t="s">
        <v>19036</v>
      </c>
      <c r="F14616" t="s">
        <v>20306</v>
      </c>
    </row>
    <row r="14617" spans="1:6" x14ac:dyDescent="0.25">
      <c r="A14617" t="str">
        <f>"6686084154"</f>
        <v>6686084154</v>
      </c>
      <c r="B14617" t="s">
        <v>20307</v>
      </c>
      <c r="C14617" t="s">
        <v>7</v>
      </c>
      <c r="D14617" t="s">
        <v>12</v>
      </c>
      <c r="E14617" t="s">
        <v>19036</v>
      </c>
      <c r="F14617" t="s">
        <v>20308</v>
      </c>
    </row>
    <row r="14618" spans="1:6" x14ac:dyDescent="0.25">
      <c r="A14618" t="str">
        <f>"6686107612"</f>
        <v>6686107612</v>
      </c>
      <c r="B14618" t="s">
        <v>20309</v>
      </c>
      <c r="C14618" t="s">
        <v>7</v>
      </c>
      <c r="D14618" t="s">
        <v>8</v>
      </c>
      <c r="E14618" t="s">
        <v>19036</v>
      </c>
      <c r="F14618" t="s">
        <v>20310</v>
      </c>
    </row>
    <row r="14619" spans="1:6" x14ac:dyDescent="0.25">
      <c r="A14619" t="str">
        <f>"6686116649"</f>
        <v>6686116649</v>
      </c>
      <c r="B14619" t="s">
        <v>20311</v>
      </c>
      <c r="C14619" t="s">
        <v>7</v>
      </c>
      <c r="D14619" t="s">
        <v>586</v>
      </c>
      <c r="E14619" t="s">
        <v>19036</v>
      </c>
      <c r="F14619" t="s">
        <v>20312</v>
      </c>
    </row>
    <row r="14620" spans="1:6" x14ac:dyDescent="0.25">
      <c r="A14620" t="str">
        <f>"6686119456"</f>
        <v>6686119456</v>
      </c>
      <c r="B14620" t="s">
        <v>20313</v>
      </c>
      <c r="C14620" t="s">
        <v>7</v>
      </c>
      <c r="D14620" t="s">
        <v>33</v>
      </c>
      <c r="E14620" t="s">
        <v>19036</v>
      </c>
      <c r="F14620" t="s">
        <v>20314</v>
      </c>
    </row>
    <row r="14621" spans="1:6" x14ac:dyDescent="0.25">
      <c r="A14621" t="str">
        <f>"6686132111"</f>
        <v>6686132111</v>
      </c>
      <c r="B14621" t="s">
        <v>20315</v>
      </c>
      <c r="C14621" t="s">
        <v>7</v>
      </c>
      <c r="D14621" t="s">
        <v>33</v>
      </c>
      <c r="E14621" t="s">
        <v>19036</v>
      </c>
      <c r="F14621" t="s">
        <v>20316</v>
      </c>
    </row>
    <row r="14622" spans="1:6" x14ac:dyDescent="0.25">
      <c r="A14622" t="str">
        <f>"7727306594"</f>
        <v>7727306594</v>
      </c>
      <c r="B14622" t="s">
        <v>20317</v>
      </c>
      <c r="C14622" t="s">
        <v>7</v>
      </c>
      <c r="D14622" t="s">
        <v>674</v>
      </c>
      <c r="E14622" t="s">
        <v>20318</v>
      </c>
      <c r="F14622" t="s">
        <v>20319</v>
      </c>
    </row>
    <row r="14623" spans="1:6" x14ac:dyDescent="0.25">
      <c r="A14623" t="str">
        <f>"519052604578"</f>
        <v>519052604578</v>
      </c>
      <c r="B14623" t="s">
        <v>20320</v>
      </c>
      <c r="C14623" t="s">
        <v>7</v>
      </c>
      <c r="D14623" t="s">
        <v>14</v>
      </c>
      <c r="E14623" t="s">
        <v>20318</v>
      </c>
    </row>
    <row r="14624" spans="1:6" x14ac:dyDescent="0.25">
      <c r="A14624" t="str">
        <f>"6234054683"</f>
        <v>6234054683</v>
      </c>
      <c r="B14624" t="s">
        <v>20321</v>
      </c>
      <c r="C14624" t="s">
        <v>7</v>
      </c>
      <c r="D14624" t="s">
        <v>33</v>
      </c>
      <c r="E14624" t="s">
        <v>20318</v>
      </c>
      <c r="F14624" t="s">
        <v>20322</v>
      </c>
    </row>
    <row r="14625" spans="1:6" x14ac:dyDescent="0.25">
      <c r="A14625" t="str">
        <f>"221002608669"</f>
        <v>221002608669</v>
      </c>
      <c r="B14625" t="s">
        <v>20323</v>
      </c>
      <c r="C14625" t="s">
        <v>7</v>
      </c>
      <c r="D14625" t="s">
        <v>14</v>
      </c>
      <c r="E14625" t="s">
        <v>20318</v>
      </c>
    </row>
    <row r="14626" spans="1:6" x14ac:dyDescent="0.25">
      <c r="A14626" t="str">
        <f>"7804369626"</f>
        <v>7804369626</v>
      </c>
      <c r="B14626" t="s">
        <v>20324</v>
      </c>
      <c r="C14626" t="s">
        <v>7</v>
      </c>
      <c r="D14626" t="s">
        <v>33</v>
      </c>
      <c r="E14626" t="s">
        <v>20318</v>
      </c>
      <c r="F14626" t="s">
        <v>20325</v>
      </c>
    </row>
    <row r="14627" spans="1:6" x14ac:dyDescent="0.25">
      <c r="A14627" t="str">
        <f>"672304394506"</f>
        <v>672304394506</v>
      </c>
      <c r="B14627" t="s">
        <v>20326</v>
      </c>
      <c r="C14627" t="s">
        <v>7</v>
      </c>
      <c r="D14627" t="s">
        <v>14</v>
      </c>
      <c r="E14627" t="s">
        <v>20318</v>
      </c>
    </row>
    <row r="14628" spans="1:6" x14ac:dyDescent="0.25">
      <c r="A14628" t="str">
        <f>"672600003953"</f>
        <v>672600003953</v>
      </c>
      <c r="B14628" t="s">
        <v>20327</v>
      </c>
      <c r="C14628" t="s">
        <v>7</v>
      </c>
      <c r="D14628" t="s">
        <v>12</v>
      </c>
      <c r="E14628" t="s">
        <v>20318</v>
      </c>
    </row>
    <row r="14629" spans="1:6" x14ac:dyDescent="0.25">
      <c r="A14629" t="str">
        <f>"672900061473"</f>
        <v>672900061473</v>
      </c>
      <c r="B14629" t="s">
        <v>20328</v>
      </c>
      <c r="C14629" t="s">
        <v>7</v>
      </c>
      <c r="D14629" t="s">
        <v>14</v>
      </c>
      <c r="E14629" t="s">
        <v>20318</v>
      </c>
    </row>
    <row r="14630" spans="1:6" x14ac:dyDescent="0.25">
      <c r="A14630" t="str">
        <f>"672903198878"</f>
        <v>672903198878</v>
      </c>
      <c r="B14630" t="s">
        <v>20329</v>
      </c>
      <c r="C14630" t="s">
        <v>7</v>
      </c>
      <c r="D14630" t="s">
        <v>14</v>
      </c>
      <c r="E14630" t="s">
        <v>20318</v>
      </c>
    </row>
    <row r="14631" spans="1:6" x14ac:dyDescent="0.25">
      <c r="A14631" t="str">
        <f>"6731030805"</f>
        <v>6731030805</v>
      </c>
      <c r="B14631" t="s">
        <v>20330</v>
      </c>
      <c r="C14631" t="s">
        <v>7</v>
      </c>
      <c r="D14631" t="s">
        <v>12</v>
      </c>
      <c r="E14631" t="s">
        <v>20318</v>
      </c>
      <c r="F14631" t="s">
        <v>20331</v>
      </c>
    </row>
    <row r="14632" spans="1:6" x14ac:dyDescent="0.25">
      <c r="A14632" t="str">
        <f>"6732038469"</f>
        <v>6732038469</v>
      </c>
      <c r="B14632" t="s">
        <v>20332</v>
      </c>
      <c r="C14632" t="s">
        <v>7</v>
      </c>
      <c r="D14632" t="s">
        <v>33</v>
      </c>
      <c r="E14632" t="s">
        <v>20318</v>
      </c>
      <c r="F14632" t="s">
        <v>20333</v>
      </c>
    </row>
    <row r="14633" spans="1:6" x14ac:dyDescent="0.25">
      <c r="A14633" t="str">
        <f>"6732052230"</f>
        <v>6732052230</v>
      </c>
      <c r="B14633" t="s">
        <v>20334</v>
      </c>
      <c r="C14633" t="s">
        <v>7</v>
      </c>
      <c r="D14633" t="s">
        <v>12</v>
      </c>
      <c r="E14633" t="s">
        <v>20318</v>
      </c>
      <c r="F14633" t="s">
        <v>20335</v>
      </c>
    </row>
    <row r="14634" spans="1:6" x14ac:dyDescent="0.25">
      <c r="A14634" t="str">
        <f>"6732170883"</f>
        <v>6732170883</v>
      </c>
      <c r="B14634" t="s">
        <v>6805</v>
      </c>
      <c r="C14634" t="s">
        <v>7</v>
      </c>
      <c r="D14634" t="s">
        <v>14</v>
      </c>
      <c r="E14634" t="s">
        <v>20318</v>
      </c>
      <c r="F14634" t="s">
        <v>20336</v>
      </c>
    </row>
    <row r="14635" spans="1:6" x14ac:dyDescent="0.25">
      <c r="A14635" t="str">
        <f>"661001217771"</f>
        <v>661001217771</v>
      </c>
      <c r="B14635" t="s">
        <v>20337</v>
      </c>
      <c r="C14635" t="s">
        <v>7</v>
      </c>
      <c r="D14635" t="s">
        <v>14</v>
      </c>
      <c r="E14635" t="s">
        <v>20318</v>
      </c>
    </row>
    <row r="14636" spans="1:6" x14ac:dyDescent="0.25">
      <c r="A14636" t="str">
        <f>"7701718931"</f>
        <v>7701718931</v>
      </c>
      <c r="B14636" t="s">
        <v>20338</v>
      </c>
      <c r="C14636" t="s">
        <v>7</v>
      </c>
      <c r="D14636" t="s">
        <v>674</v>
      </c>
      <c r="E14636" t="s">
        <v>20318</v>
      </c>
      <c r="F14636" t="s">
        <v>20339</v>
      </c>
    </row>
    <row r="14637" spans="1:6" x14ac:dyDescent="0.25">
      <c r="A14637" t="str">
        <f>"6700015860"</f>
        <v>6700015860</v>
      </c>
      <c r="B14637" t="s">
        <v>8445</v>
      </c>
      <c r="C14637" t="s">
        <v>7</v>
      </c>
      <c r="D14637" t="s">
        <v>12</v>
      </c>
      <c r="E14637" t="s">
        <v>20318</v>
      </c>
      <c r="F14637" t="s">
        <v>20340</v>
      </c>
    </row>
    <row r="14638" spans="1:6" x14ac:dyDescent="0.25">
      <c r="A14638" t="str">
        <f>"6700016695"</f>
        <v>6700016695</v>
      </c>
      <c r="B14638" t="s">
        <v>20341</v>
      </c>
      <c r="C14638" t="s">
        <v>7</v>
      </c>
      <c r="D14638" t="s">
        <v>33</v>
      </c>
      <c r="E14638" t="s">
        <v>20318</v>
      </c>
      <c r="F14638" t="s">
        <v>20342</v>
      </c>
    </row>
    <row r="14639" spans="1:6" x14ac:dyDescent="0.25">
      <c r="A14639" t="str">
        <f>"6700033122"</f>
        <v>6700033122</v>
      </c>
      <c r="B14639" t="s">
        <v>20343</v>
      </c>
      <c r="C14639" t="s">
        <v>7</v>
      </c>
      <c r="D14639" t="s">
        <v>674</v>
      </c>
      <c r="E14639" t="s">
        <v>20318</v>
      </c>
      <c r="F14639" t="s">
        <v>20344</v>
      </c>
    </row>
    <row r="14640" spans="1:6" x14ac:dyDescent="0.25">
      <c r="A14640" t="str">
        <f>"670101031197"</f>
        <v>670101031197</v>
      </c>
      <c r="B14640" t="s">
        <v>20345</v>
      </c>
      <c r="C14640" t="s">
        <v>7</v>
      </c>
      <c r="D14640" t="s">
        <v>14</v>
      </c>
      <c r="E14640" t="s">
        <v>20318</v>
      </c>
    </row>
    <row r="14641" spans="1:6" x14ac:dyDescent="0.25">
      <c r="A14641" t="str">
        <f>"670700131240"</f>
        <v>670700131240</v>
      </c>
      <c r="B14641" t="s">
        <v>20346</v>
      </c>
      <c r="C14641" t="s">
        <v>7</v>
      </c>
      <c r="D14641" t="s">
        <v>14</v>
      </c>
      <c r="E14641" t="s">
        <v>20318</v>
      </c>
    </row>
    <row r="14642" spans="1:6" x14ac:dyDescent="0.25">
      <c r="A14642" t="str">
        <f>"671200588463"</f>
        <v>671200588463</v>
      </c>
      <c r="B14642" t="s">
        <v>20347</v>
      </c>
      <c r="C14642" t="s">
        <v>7</v>
      </c>
      <c r="D14642" t="s">
        <v>14</v>
      </c>
      <c r="E14642" t="s">
        <v>20318</v>
      </c>
    </row>
    <row r="14643" spans="1:6" x14ac:dyDescent="0.25">
      <c r="A14643" t="str">
        <f>"671305222000"</f>
        <v>671305222000</v>
      </c>
      <c r="B14643" t="s">
        <v>20348</v>
      </c>
      <c r="C14643" t="s">
        <v>7</v>
      </c>
      <c r="D14643" t="s">
        <v>28</v>
      </c>
      <c r="E14643" t="s">
        <v>20318</v>
      </c>
    </row>
    <row r="14644" spans="1:6" x14ac:dyDescent="0.25">
      <c r="A14644" t="str">
        <f>"6714005580"</f>
        <v>6714005580</v>
      </c>
      <c r="B14644" t="s">
        <v>20349</v>
      </c>
      <c r="C14644" t="s">
        <v>7</v>
      </c>
      <c r="D14644" t="s">
        <v>14</v>
      </c>
      <c r="E14644" t="s">
        <v>20318</v>
      </c>
      <c r="F14644" t="s">
        <v>20350</v>
      </c>
    </row>
    <row r="14645" spans="1:6" x14ac:dyDescent="0.25">
      <c r="A14645" t="str">
        <f>"671401823903"</f>
        <v>671401823903</v>
      </c>
      <c r="B14645" t="s">
        <v>20351</v>
      </c>
      <c r="C14645" t="s">
        <v>7</v>
      </c>
      <c r="D14645" t="s">
        <v>28</v>
      </c>
      <c r="E14645" t="s">
        <v>20318</v>
      </c>
    </row>
    <row r="14646" spans="1:6" x14ac:dyDescent="0.25">
      <c r="A14646" t="str">
        <f>"6714024777"</f>
        <v>6714024777</v>
      </c>
      <c r="B14646" t="s">
        <v>20352</v>
      </c>
      <c r="C14646" t="s">
        <v>7</v>
      </c>
      <c r="D14646" t="s">
        <v>14</v>
      </c>
      <c r="E14646" t="s">
        <v>20318</v>
      </c>
      <c r="F14646" t="s">
        <v>20353</v>
      </c>
    </row>
    <row r="14647" spans="1:6" x14ac:dyDescent="0.25">
      <c r="A14647" t="str">
        <f>"671404067003"</f>
        <v>671404067003</v>
      </c>
      <c r="B14647" t="s">
        <v>20354</v>
      </c>
      <c r="C14647" t="s">
        <v>7</v>
      </c>
      <c r="D14647" t="s">
        <v>14</v>
      </c>
      <c r="E14647" t="s">
        <v>20318</v>
      </c>
    </row>
    <row r="14648" spans="1:6" x14ac:dyDescent="0.25">
      <c r="A14648" t="str">
        <f>"6714050992"</f>
        <v>6714050992</v>
      </c>
      <c r="B14648" t="s">
        <v>20355</v>
      </c>
      <c r="C14648" t="s">
        <v>7</v>
      </c>
      <c r="D14648" t="s">
        <v>33</v>
      </c>
      <c r="E14648" t="s">
        <v>20318</v>
      </c>
      <c r="F14648" t="s">
        <v>20356</v>
      </c>
    </row>
    <row r="14649" spans="1:6" x14ac:dyDescent="0.25">
      <c r="A14649" t="str">
        <f>"671701917239"</f>
        <v>671701917239</v>
      </c>
      <c r="B14649" t="s">
        <v>20357</v>
      </c>
      <c r="C14649" t="s">
        <v>7</v>
      </c>
      <c r="D14649" t="s">
        <v>33</v>
      </c>
      <c r="E14649" t="s">
        <v>20318</v>
      </c>
    </row>
    <row r="14650" spans="1:6" x14ac:dyDescent="0.25">
      <c r="A14650" t="str">
        <f>"672200887240"</f>
        <v>672200887240</v>
      </c>
      <c r="B14650" t="s">
        <v>20358</v>
      </c>
      <c r="C14650" t="s">
        <v>7</v>
      </c>
      <c r="D14650" t="s">
        <v>14</v>
      </c>
      <c r="E14650" t="s">
        <v>20318</v>
      </c>
    </row>
    <row r="14651" spans="1:6" x14ac:dyDescent="0.25">
      <c r="A14651" t="str">
        <f>"672202578529"</f>
        <v>672202578529</v>
      </c>
      <c r="B14651" t="s">
        <v>20359</v>
      </c>
      <c r="C14651" t="s">
        <v>7</v>
      </c>
      <c r="D14651" t="s">
        <v>12</v>
      </c>
      <c r="E14651" t="s">
        <v>20318</v>
      </c>
    </row>
    <row r="14652" spans="1:6" x14ac:dyDescent="0.25">
      <c r="A14652" t="str">
        <f>"672203462132"</f>
        <v>672203462132</v>
      </c>
      <c r="B14652" t="s">
        <v>20360</v>
      </c>
      <c r="C14652" t="s">
        <v>7</v>
      </c>
      <c r="D14652" t="s">
        <v>12</v>
      </c>
      <c r="E14652" t="s">
        <v>20318</v>
      </c>
    </row>
    <row r="14653" spans="1:6" x14ac:dyDescent="0.25">
      <c r="A14653" t="str">
        <f>"6722042762"</f>
        <v>6722042762</v>
      </c>
      <c r="B14653" t="s">
        <v>20361</v>
      </c>
      <c r="C14653" t="s">
        <v>7</v>
      </c>
      <c r="D14653" t="s">
        <v>14</v>
      </c>
      <c r="E14653" t="s">
        <v>20318</v>
      </c>
      <c r="F14653" t="s">
        <v>20362</v>
      </c>
    </row>
    <row r="14654" spans="1:6" x14ac:dyDescent="0.25">
      <c r="A14654" t="str">
        <f>"6700007958"</f>
        <v>6700007958</v>
      </c>
      <c r="B14654" t="s">
        <v>20363</v>
      </c>
      <c r="C14654" t="s">
        <v>7</v>
      </c>
      <c r="D14654" t="s">
        <v>33</v>
      </c>
      <c r="E14654" t="s">
        <v>20318</v>
      </c>
      <c r="F14654" t="s">
        <v>20364</v>
      </c>
    </row>
    <row r="14655" spans="1:6" x14ac:dyDescent="0.25">
      <c r="A14655" t="str">
        <f>"670900493053"</f>
        <v>670900493053</v>
      </c>
      <c r="B14655" t="s">
        <v>20365</v>
      </c>
      <c r="C14655" t="s">
        <v>7</v>
      </c>
      <c r="D14655" t="s">
        <v>14</v>
      </c>
      <c r="E14655" t="s">
        <v>20318</v>
      </c>
    </row>
    <row r="14656" spans="1:6" x14ac:dyDescent="0.25">
      <c r="A14656" t="str">
        <f>"670900944813"</f>
        <v>670900944813</v>
      </c>
      <c r="B14656" t="s">
        <v>20366</v>
      </c>
      <c r="C14656" t="s">
        <v>7</v>
      </c>
      <c r="D14656" t="s">
        <v>14</v>
      </c>
      <c r="E14656" t="s">
        <v>20318</v>
      </c>
    </row>
    <row r="14657" spans="1:6" x14ac:dyDescent="0.25">
      <c r="A14657" t="str">
        <f>"671400000801"</f>
        <v>671400000801</v>
      </c>
      <c r="B14657" t="s">
        <v>20367</v>
      </c>
      <c r="C14657" t="s">
        <v>7</v>
      </c>
      <c r="D14657" t="s">
        <v>14</v>
      </c>
      <c r="E14657" t="s">
        <v>20318</v>
      </c>
    </row>
    <row r="14658" spans="1:6" x14ac:dyDescent="0.25">
      <c r="A14658" t="str">
        <f>"671400144779"</f>
        <v>671400144779</v>
      </c>
      <c r="B14658" t="s">
        <v>20368</v>
      </c>
      <c r="C14658" t="s">
        <v>7</v>
      </c>
      <c r="D14658" t="s">
        <v>12</v>
      </c>
      <c r="E14658" t="s">
        <v>20318</v>
      </c>
    </row>
    <row r="14659" spans="1:6" x14ac:dyDescent="0.25">
      <c r="A14659" t="str">
        <f>"6714004516"</f>
        <v>6714004516</v>
      </c>
      <c r="B14659" t="s">
        <v>20369</v>
      </c>
      <c r="C14659" t="s">
        <v>7</v>
      </c>
      <c r="D14659" t="s">
        <v>14</v>
      </c>
      <c r="E14659" t="s">
        <v>20318</v>
      </c>
      <c r="F14659" t="s">
        <v>20370</v>
      </c>
    </row>
    <row r="14660" spans="1:6" x14ac:dyDescent="0.25">
      <c r="A14660" t="str">
        <f>"6714028771"</f>
        <v>6714028771</v>
      </c>
      <c r="B14660" t="s">
        <v>20371</v>
      </c>
      <c r="C14660" t="s">
        <v>7</v>
      </c>
      <c r="D14660" t="s">
        <v>33</v>
      </c>
      <c r="E14660" t="s">
        <v>20318</v>
      </c>
      <c r="F14660" t="s">
        <v>20372</v>
      </c>
    </row>
    <row r="14661" spans="1:6" x14ac:dyDescent="0.25">
      <c r="A14661" t="str">
        <f>"6714033965"</f>
        <v>6714033965</v>
      </c>
      <c r="B14661" t="s">
        <v>20373</v>
      </c>
      <c r="C14661" t="s">
        <v>7</v>
      </c>
      <c r="D14661" t="s">
        <v>674</v>
      </c>
      <c r="E14661" t="s">
        <v>20318</v>
      </c>
      <c r="F14661" t="s">
        <v>20374</v>
      </c>
    </row>
    <row r="14662" spans="1:6" x14ac:dyDescent="0.25">
      <c r="A14662" t="str">
        <f>"6714047887"</f>
        <v>6714047887</v>
      </c>
      <c r="B14662" t="s">
        <v>20375</v>
      </c>
      <c r="C14662" t="s">
        <v>7</v>
      </c>
      <c r="D14662" t="s">
        <v>33</v>
      </c>
      <c r="E14662" t="s">
        <v>20318</v>
      </c>
      <c r="F14662" t="s">
        <v>20376</v>
      </c>
    </row>
    <row r="14663" spans="1:6" x14ac:dyDescent="0.25">
      <c r="A14663" t="str">
        <f>"6714051749"</f>
        <v>6714051749</v>
      </c>
      <c r="B14663" t="s">
        <v>20377</v>
      </c>
      <c r="C14663" t="s">
        <v>7</v>
      </c>
      <c r="D14663" t="s">
        <v>189</v>
      </c>
      <c r="E14663" t="s">
        <v>20318</v>
      </c>
      <c r="F14663" t="s">
        <v>20378</v>
      </c>
    </row>
    <row r="14664" spans="1:6" x14ac:dyDescent="0.25">
      <c r="A14664" t="str">
        <f>"670100029460"</f>
        <v>670100029460</v>
      </c>
      <c r="B14664" t="s">
        <v>20379</v>
      </c>
      <c r="C14664" t="s">
        <v>7</v>
      </c>
      <c r="D14664" t="s">
        <v>14</v>
      </c>
      <c r="E14664" t="s">
        <v>20318</v>
      </c>
    </row>
    <row r="14665" spans="1:6" x14ac:dyDescent="0.25">
      <c r="A14665" t="str">
        <f>"6701004999"</f>
        <v>6701004999</v>
      </c>
      <c r="B14665" t="s">
        <v>20380</v>
      </c>
      <c r="C14665" t="s">
        <v>7</v>
      </c>
      <c r="D14665" t="s">
        <v>14</v>
      </c>
      <c r="E14665" t="s">
        <v>20318</v>
      </c>
      <c r="F14665" t="s">
        <v>20381</v>
      </c>
    </row>
    <row r="14666" spans="1:6" x14ac:dyDescent="0.25">
      <c r="A14666" t="str">
        <f>"670400118505"</f>
        <v>670400118505</v>
      </c>
      <c r="B14666" t="s">
        <v>20382</v>
      </c>
      <c r="C14666" t="s">
        <v>7</v>
      </c>
      <c r="D14666" t="s">
        <v>14</v>
      </c>
      <c r="E14666" t="s">
        <v>20318</v>
      </c>
    </row>
    <row r="14667" spans="1:6" x14ac:dyDescent="0.25">
      <c r="A14667" t="str">
        <f>"670500278414"</f>
        <v>670500278414</v>
      </c>
      <c r="B14667" t="s">
        <v>20383</v>
      </c>
      <c r="C14667" t="s">
        <v>7</v>
      </c>
      <c r="D14667" t="s">
        <v>14</v>
      </c>
      <c r="E14667" t="s">
        <v>20318</v>
      </c>
    </row>
    <row r="14668" spans="1:6" x14ac:dyDescent="0.25">
      <c r="A14668" t="str">
        <f>"671100851745"</f>
        <v>671100851745</v>
      </c>
      <c r="B14668" t="s">
        <v>20384</v>
      </c>
      <c r="C14668" t="s">
        <v>7</v>
      </c>
      <c r="D14668" t="s">
        <v>14</v>
      </c>
      <c r="E14668" t="s">
        <v>20318</v>
      </c>
    </row>
    <row r="14669" spans="1:6" x14ac:dyDescent="0.25">
      <c r="A14669" t="str">
        <f>"6711011949"</f>
        <v>6711011949</v>
      </c>
      <c r="B14669" t="s">
        <v>20385</v>
      </c>
      <c r="C14669" t="s">
        <v>7</v>
      </c>
      <c r="D14669" t="s">
        <v>14</v>
      </c>
      <c r="E14669" t="s">
        <v>20318</v>
      </c>
      <c r="F14669" t="s">
        <v>20386</v>
      </c>
    </row>
    <row r="14670" spans="1:6" x14ac:dyDescent="0.25">
      <c r="A14670" t="str">
        <f>"671300045904"</f>
        <v>671300045904</v>
      </c>
      <c r="B14670" t="s">
        <v>20387</v>
      </c>
      <c r="C14670" t="s">
        <v>7</v>
      </c>
      <c r="D14670" t="s">
        <v>14</v>
      </c>
      <c r="E14670" t="s">
        <v>20318</v>
      </c>
    </row>
    <row r="14671" spans="1:6" x14ac:dyDescent="0.25">
      <c r="A14671" t="str">
        <f>"6713016678"</f>
        <v>6713016678</v>
      </c>
      <c r="B14671" t="s">
        <v>20388</v>
      </c>
      <c r="C14671" t="s">
        <v>7</v>
      </c>
      <c r="D14671" t="s">
        <v>33</v>
      </c>
      <c r="E14671" t="s">
        <v>20318</v>
      </c>
      <c r="F14671" t="s">
        <v>20389</v>
      </c>
    </row>
    <row r="14672" spans="1:6" x14ac:dyDescent="0.25">
      <c r="A14672" t="str">
        <f>"671302457406"</f>
        <v>671302457406</v>
      </c>
      <c r="B14672" t="s">
        <v>20390</v>
      </c>
      <c r="C14672" t="s">
        <v>7</v>
      </c>
      <c r="D14672" t="s">
        <v>14</v>
      </c>
      <c r="E14672" t="s">
        <v>20318</v>
      </c>
    </row>
    <row r="14673" spans="1:6" x14ac:dyDescent="0.25">
      <c r="A14673" t="str">
        <f>"6714000960"</f>
        <v>6714000960</v>
      </c>
      <c r="B14673" t="s">
        <v>20391</v>
      </c>
      <c r="C14673" t="s">
        <v>7</v>
      </c>
      <c r="D14673" t="s">
        <v>14</v>
      </c>
      <c r="E14673" t="s">
        <v>20318</v>
      </c>
      <c r="F14673" t="s">
        <v>20392</v>
      </c>
    </row>
    <row r="14674" spans="1:6" x14ac:dyDescent="0.25">
      <c r="A14674" t="str">
        <f>"671400119109"</f>
        <v>671400119109</v>
      </c>
      <c r="B14674" t="s">
        <v>20393</v>
      </c>
      <c r="C14674" t="s">
        <v>7</v>
      </c>
      <c r="D14674" t="s">
        <v>14</v>
      </c>
      <c r="E14674" t="s">
        <v>20318</v>
      </c>
    </row>
    <row r="14675" spans="1:6" x14ac:dyDescent="0.25">
      <c r="A14675" t="str">
        <f>"6714028186"</f>
        <v>6714028186</v>
      </c>
      <c r="B14675" t="s">
        <v>20394</v>
      </c>
      <c r="C14675" t="s">
        <v>7</v>
      </c>
      <c r="D14675" t="s">
        <v>33</v>
      </c>
      <c r="E14675" t="s">
        <v>20318</v>
      </c>
      <c r="F14675" t="s">
        <v>20395</v>
      </c>
    </row>
    <row r="14676" spans="1:6" x14ac:dyDescent="0.25">
      <c r="A14676" t="str">
        <f>"6714045801"</f>
        <v>6714045801</v>
      </c>
      <c r="B14676" t="s">
        <v>20396</v>
      </c>
      <c r="C14676" t="s">
        <v>7</v>
      </c>
      <c r="D14676" t="s">
        <v>33</v>
      </c>
      <c r="E14676" t="s">
        <v>20318</v>
      </c>
      <c r="F14676" t="s">
        <v>20397</v>
      </c>
    </row>
    <row r="14677" spans="1:6" x14ac:dyDescent="0.25">
      <c r="A14677" t="str">
        <f>"6714048633"</f>
        <v>6714048633</v>
      </c>
      <c r="B14677" t="s">
        <v>20398</v>
      </c>
      <c r="C14677" t="s">
        <v>7</v>
      </c>
      <c r="D14677" t="s">
        <v>12</v>
      </c>
      <c r="E14677" t="s">
        <v>20318</v>
      </c>
      <c r="F14677" t="s">
        <v>20356</v>
      </c>
    </row>
    <row r="14678" spans="1:6" x14ac:dyDescent="0.25">
      <c r="A14678" t="str">
        <f>"671500881712"</f>
        <v>671500881712</v>
      </c>
      <c r="B14678" t="s">
        <v>20399</v>
      </c>
      <c r="C14678" t="s">
        <v>7</v>
      </c>
      <c r="D14678" t="s">
        <v>14</v>
      </c>
      <c r="E14678" t="s">
        <v>20318</v>
      </c>
    </row>
    <row r="14679" spans="1:6" x14ac:dyDescent="0.25">
      <c r="A14679" t="str">
        <f>"672000013702"</f>
        <v>672000013702</v>
      </c>
      <c r="B14679" t="s">
        <v>20400</v>
      </c>
      <c r="C14679" t="s">
        <v>7</v>
      </c>
      <c r="D14679" t="s">
        <v>14</v>
      </c>
      <c r="E14679" t="s">
        <v>20318</v>
      </c>
    </row>
    <row r="14680" spans="1:6" x14ac:dyDescent="0.25">
      <c r="A14680" t="str">
        <f>"672208304002"</f>
        <v>672208304002</v>
      </c>
      <c r="B14680" t="s">
        <v>20401</v>
      </c>
      <c r="C14680" t="s">
        <v>7</v>
      </c>
      <c r="D14680" t="s">
        <v>14</v>
      </c>
      <c r="E14680" t="s">
        <v>20318</v>
      </c>
    </row>
    <row r="14681" spans="1:6" x14ac:dyDescent="0.25">
      <c r="A14681" t="str">
        <f>"672302391154"</f>
        <v>672302391154</v>
      </c>
      <c r="B14681" t="s">
        <v>20402</v>
      </c>
      <c r="C14681" t="s">
        <v>7</v>
      </c>
      <c r="D14681" t="s">
        <v>14</v>
      </c>
      <c r="E14681" t="s">
        <v>20318</v>
      </c>
    </row>
    <row r="14682" spans="1:6" x14ac:dyDescent="0.25">
      <c r="A14682" t="str">
        <f>"672502559260"</f>
        <v>672502559260</v>
      </c>
      <c r="B14682" t="s">
        <v>20403</v>
      </c>
      <c r="C14682" t="s">
        <v>7</v>
      </c>
      <c r="D14682" t="s">
        <v>14</v>
      </c>
      <c r="E14682" t="s">
        <v>20318</v>
      </c>
    </row>
    <row r="14683" spans="1:6" x14ac:dyDescent="0.25">
      <c r="A14683" t="str">
        <f>"672505455371"</f>
        <v>672505455371</v>
      </c>
      <c r="B14683" t="s">
        <v>20404</v>
      </c>
      <c r="C14683" t="s">
        <v>7</v>
      </c>
      <c r="D14683" t="s">
        <v>12</v>
      </c>
      <c r="E14683" t="s">
        <v>20318</v>
      </c>
    </row>
    <row r="14684" spans="1:6" x14ac:dyDescent="0.25">
      <c r="A14684" t="str">
        <f>"672506109945"</f>
        <v>672506109945</v>
      </c>
      <c r="B14684" t="s">
        <v>20405</v>
      </c>
      <c r="C14684" t="s">
        <v>7</v>
      </c>
      <c r="D14684" t="s">
        <v>14</v>
      </c>
      <c r="E14684" t="s">
        <v>20318</v>
      </c>
    </row>
    <row r="14685" spans="1:6" x14ac:dyDescent="0.25">
      <c r="A14685" t="str">
        <f>"672506399306"</f>
        <v>672506399306</v>
      </c>
      <c r="B14685" t="s">
        <v>20406</v>
      </c>
      <c r="C14685" t="s">
        <v>7</v>
      </c>
      <c r="D14685" t="s">
        <v>14</v>
      </c>
      <c r="E14685" t="s">
        <v>20318</v>
      </c>
    </row>
    <row r="14686" spans="1:6" x14ac:dyDescent="0.25">
      <c r="A14686" t="str">
        <f>"672600418740"</f>
        <v>672600418740</v>
      </c>
      <c r="B14686" t="s">
        <v>20407</v>
      </c>
      <c r="C14686" t="s">
        <v>7</v>
      </c>
      <c r="D14686" t="s">
        <v>14</v>
      </c>
      <c r="E14686" t="s">
        <v>20318</v>
      </c>
    </row>
    <row r="14687" spans="1:6" x14ac:dyDescent="0.25">
      <c r="A14687" t="str">
        <f>"6727011976"</f>
        <v>6727011976</v>
      </c>
      <c r="B14687" t="s">
        <v>20408</v>
      </c>
      <c r="C14687" t="s">
        <v>7</v>
      </c>
      <c r="D14687" t="s">
        <v>12</v>
      </c>
      <c r="E14687" t="s">
        <v>20318</v>
      </c>
      <c r="F14687" t="s">
        <v>20409</v>
      </c>
    </row>
    <row r="14688" spans="1:6" x14ac:dyDescent="0.25">
      <c r="A14688" t="str">
        <f>"672702896985"</f>
        <v>672702896985</v>
      </c>
      <c r="B14688" t="s">
        <v>20410</v>
      </c>
      <c r="C14688" t="s">
        <v>7</v>
      </c>
      <c r="D14688" t="s">
        <v>14</v>
      </c>
      <c r="E14688" t="s">
        <v>20318</v>
      </c>
    </row>
    <row r="14689" spans="1:6" x14ac:dyDescent="0.25">
      <c r="A14689" t="str">
        <f>"672704475206"</f>
        <v>672704475206</v>
      </c>
      <c r="B14689" t="s">
        <v>20411</v>
      </c>
      <c r="C14689" t="s">
        <v>7</v>
      </c>
      <c r="D14689" t="s">
        <v>12</v>
      </c>
      <c r="E14689" t="s">
        <v>20318</v>
      </c>
    </row>
    <row r="14690" spans="1:6" x14ac:dyDescent="0.25">
      <c r="A14690" t="str">
        <f>"672707770859"</f>
        <v>672707770859</v>
      </c>
      <c r="B14690" t="s">
        <v>20412</v>
      </c>
      <c r="C14690" t="s">
        <v>7</v>
      </c>
      <c r="D14690" t="s">
        <v>14</v>
      </c>
      <c r="E14690" t="s">
        <v>20318</v>
      </c>
    </row>
    <row r="14691" spans="1:6" x14ac:dyDescent="0.25">
      <c r="A14691" t="str">
        <f>"672900404201"</f>
        <v>672900404201</v>
      </c>
      <c r="B14691" t="s">
        <v>20413</v>
      </c>
      <c r="C14691" t="s">
        <v>7</v>
      </c>
      <c r="D14691" t="s">
        <v>12</v>
      </c>
      <c r="E14691" t="s">
        <v>20318</v>
      </c>
    </row>
    <row r="14692" spans="1:6" x14ac:dyDescent="0.25">
      <c r="A14692" t="str">
        <f>"672900868588"</f>
        <v>672900868588</v>
      </c>
      <c r="B14692" t="s">
        <v>20414</v>
      </c>
      <c r="C14692" t="s">
        <v>7</v>
      </c>
      <c r="D14692" t="s">
        <v>14</v>
      </c>
      <c r="E14692" t="s">
        <v>20318</v>
      </c>
    </row>
    <row r="14693" spans="1:6" x14ac:dyDescent="0.25">
      <c r="A14693" t="str">
        <f>"672906837106"</f>
        <v>672906837106</v>
      </c>
      <c r="B14693" t="s">
        <v>20415</v>
      </c>
      <c r="C14693" t="s">
        <v>7</v>
      </c>
      <c r="D14693" t="s">
        <v>14</v>
      </c>
      <c r="E14693" t="s">
        <v>20318</v>
      </c>
    </row>
    <row r="14694" spans="1:6" x14ac:dyDescent="0.25">
      <c r="A14694" t="str">
        <f>"673000913134"</f>
        <v>673000913134</v>
      </c>
      <c r="B14694" t="s">
        <v>20416</v>
      </c>
      <c r="C14694" t="s">
        <v>7</v>
      </c>
      <c r="D14694" t="s">
        <v>12</v>
      </c>
      <c r="E14694" t="s">
        <v>20318</v>
      </c>
    </row>
    <row r="14695" spans="1:6" x14ac:dyDescent="0.25">
      <c r="A14695" t="str">
        <f>"673002035630"</f>
        <v>673002035630</v>
      </c>
      <c r="B14695" t="s">
        <v>20417</v>
      </c>
      <c r="C14695" t="s">
        <v>7</v>
      </c>
      <c r="D14695" t="s">
        <v>12</v>
      </c>
      <c r="E14695" t="s">
        <v>20318</v>
      </c>
    </row>
    <row r="14696" spans="1:6" x14ac:dyDescent="0.25">
      <c r="A14696" t="str">
        <f>"673002326068"</f>
        <v>673002326068</v>
      </c>
      <c r="B14696" t="s">
        <v>20418</v>
      </c>
      <c r="C14696" t="s">
        <v>7</v>
      </c>
      <c r="D14696" t="s">
        <v>12</v>
      </c>
      <c r="E14696" t="s">
        <v>20318</v>
      </c>
    </row>
    <row r="14697" spans="1:6" x14ac:dyDescent="0.25">
      <c r="A14697" t="str">
        <f>"673006562108"</f>
        <v>673006562108</v>
      </c>
      <c r="B14697" t="s">
        <v>20419</v>
      </c>
      <c r="C14697" t="s">
        <v>7</v>
      </c>
      <c r="D14697" t="s">
        <v>12</v>
      </c>
      <c r="E14697" t="s">
        <v>20318</v>
      </c>
    </row>
    <row r="14698" spans="1:6" x14ac:dyDescent="0.25">
      <c r="A14698" t="str">
        <f>"673006580499"</f>
        <v>673006580499</v>
      </c>
      <c r="B14698" t="s">
        <v>20420</v>
      </c>
      <c r="C14698" t="s">
        <v>7</v>
      </c>
      <c r="D14698" t="s">
        <v>12</v>
      </c>
      <c r="E14698" t="s">
        <v>20318</v>
      </c>
    </row>
    <row r="14699" spans="1:6" x14ac:dyDescent="0.25">
      <c r="A14699" t="str">
        <f>"6730070509"</f>
        <v>6730070509</v>
      </c>
      <c r="B14699" t="s">
        <v>20421</v>
      </c>
      <c r="C14699" t="s">
        <v>7</v>
      </c>
      <c r="D14699" t="s">
        <v>12</v>
      </c>
      <c r="E14699" t="s">
        <v>20318</v>
      </c>
      <c r="F14699" t="s">
        <v>20422</v>
      </c>
    </row>
    <row r="14700" spans="1:6" x14ac:dyDescent="0.25">
      <c r="A14700" t="str">
        <f>"6730079815"</f>
        <v>6730079815</v>
      </c>
      <c r="B14700" t="s">
        <v>20423</v>
      </c>
      <c r="C14700" t="s">
        <v>7</v>
      </c>
      <c r="D14700" t="s">
        <v>33</v>
      </c>
      <c r="E14700" t="s">
        <v>20318</v>
      </c>
      <c r="F14700" t="s">
        <v>20424</v>
      </c>
    </row>
    <row r="14701" spans="1:6" x14ac:dyDescent="0.25">
      <c r="A14701" t="str">
        <f>"673008726841"</f>
        <v>673008726841</v>
      </c>
      <c r="B14701" t="s">
        <v>20425</v>
      </c>
      <c r="C14701" t="s">
        <v>7</v>
      </c>
      <c r="D14701" t="s">
        <v>12</v>
      </c>
      <c r="E14701" t="s">
        <v>20318</v>
      </c>
    </row>
    <row r="14702" spans="1:6" x14ac:dyDescent="0.25">
      <c r="A14702" t="str">
        <f>"673009264501"</f>
        <v>673009264501</v>
      </c>
      <c r="B14702" t="s">
        <v>20426</v>
      </c>
      <c r="C14702" t="s">
        <v>7</v>
      </c>
      <c r="D14702" t="s">
        <v>33</v>
      </c>
      <c r="E14702" t="s">
        <v>20318</v>
      </c>
    </row>
    <row r="14703" spans="1:6" x14ac:dyDescent="0.25">
      <c r="A14703" t="str">
        <f>"673100343921"</f>
        <v>673100343921</v>
      </c>
      <c r="B14703" t="s">
        <v>20427</v>
      </c>
      <c r="C14703" t="s">
        <v>7</v>
      </c>
      <c r="D14703" t="s">
        <v>12</v>
      </c>
      <c r="E14703" t="s">
        <v>20318</v>
      </c>
    </row>
    <row r="14704" spans="1:6" x14ac:dyDescent="0.25">
      <c r="A14704" t="str">
        <f>"673108950950"</f>
        <v>673108950950</v>
      </c>
      <c r="B14704" t="s">
        <v>20428</v>
      </c>
      <c r="C14704" t="s">
        <v>7</v>
      </c>
      <c r="D14704" t="s">
        <v>33</v>
      </c>
      <c r="E14704" t="s">
        <v>20318</v>
      </c>
    </row>
    <row r="14705" spans="1:6" x14ac:dyDescent="0.25">
      <c r="A14705" t="str">
        <f>"6732021218"</f>
        <v>6732021218</v>
      </c>
      <c r="B14705" t="s">
        <v>20429</v>
      </c>
      <c r="C14705" t="s">
        <v>7</v>
      </c>
      <c r="D14705" t="s">
        <v>674</v>
      </c>
      <c r="E14705" t="s">
        <v>20318</v>
      </c>
      <c r="F14705" t="s">
        <v>20430</v>
      </c>
    </row>
    <row r="14706" spans="1:6" x14ac:dyDescent="0.25">
      <c r="A14706" t="str">
        <f>"6732061820"</f>
        <v>6732061820</v>
      </c>
      <c r="B14706" t="s">
        <v>20431</v>
      </c>
      <c r="C14706" t="s">
        <v>7</v>
      </c>
      <c r="D14706" t="s">
        <v>8</v>
      </c>
      <c r="E14706" t="s">
        <v>20318</v>
      </c>
      <c r="F14706" t="s">
        <v>20432</v>
      </c>
    </row>
    <row r="14707" spans="1:6" x14ac:dyDescent="0.25">
      <c r="A14707" t="str">
        <f>"6732112384"</f>
        <v>6732112384</v>
      </c>
      <c r="B14707" t="s">
        <v>20433</v>
      </c>
      <c r="C14707" t="s">
        <v>7</v>
      </c>
      <c r="D14707" t="s">
        <v>674</v>
      </c>
      <c r="E14707" t="s">
        <v>20318</v>
      </c>
      <c r="F14707" t="s">
        <v>20434</v>
      </c>
    </row>
    <row r="14708" spans="1:6" x14ac:dyDescent="0.25">
      <c r="A14708" t="str">
        <f>"6732140014"</f>
        <v>6732140014</v>
      </c>
      <c r="B14708" t="s">
        <v>20435</v>
      </c>
      <c r="C14708" t="s">
        <v>7</v>
      </c>
      <c r="D14708" t="s">
        <v>14</v>
      </c>
      <c r="E14708" t="s">
        <v>20318</v>
      </c>
      <c r="F14708" t="s">
        <v>20436</v>
      </c>
    </row>
    <row r="14709" spans="1:6" x14ac:dyDescent="0.25">
      <c r="A14709" t="str">
        <f>"6732140039"</f>
        <v>6732140039</v>
      </c>
      <c r="B14709" t="s">
        <v>20437</v>
      </c>
      <c r="C14709" t="s">
        <v>7</v>
      </c>
      <c r="D14709" t="s">
        <v>189</v>
      </c>
      <c r="E14709" t="s">
        <v>20318</v>
      </c>
      <c r="F14709" t="s">
        <v>20438</v>
      </c>
    </row>
    <row r="14710" spans="1:6" x14ac:dyDescent="0.25">
      <c r="A14710" t="str">
        <f>"6732148239"</f>
        <v>6732148239</v>
      </c>
      <c r="B14710" t="s">
        <v>8386</v>
      </c>
      <c r="C14710" t="s">
        <v>7</v>
      </c>
      <c r="D14710" t="s">
        <v>674</v>
      </c>
      <c r="E14710" t="s">
        <v>20318</v>
      </c>
      <c r="F14710" t="s">
        <v>20439</v>
      </c>
    </row>
    <row r="14711" spans="1:6" x14ac:dyDescent="0.25">
      <c r="A14711" t="str">
        <f>"6732183025"</f>
        <v>6732183025</v>
      </c>
      <c r="B14711" t="s">
        <v>20440</v>
      </c>
      <c r="C14711" t="s">
        <v>7</v>
      </c>
      <c r="D14711" t="s">
        <v>189</v>
      </c>
      <c r="E14711" t="s">
        <v>20318</v>
      </c>
      <c r="F14711" t="s">
        <v>20441</v>
      </c>
    </row>
    <row r="14712" spans="1:6" x14ac:dyDescent="0.25">
      <c r="A14712" t="str">
        <f>"6732199642"</f>
        <v>6732199642</v>
      </c>
      <c r="B14712" t="s">
        <v>20442</v>
      </c>
      <c r="C14712" t="s">
        <v>7</v>
      </c>
      <c r="D14712" t="s">
        <v>189</v>
      </c>
      <c r="E14712" t="s">
        <v>20318</v>
      </c>
      <c r="F14712" t="s">
        <v>20443</v>
      </c>
    </row>
    <row r="14713" spans="1:6" x14ac:dyDescent="0.25">
      <c r="A14713" t="str">
        <f>"6732202479"</f>
        <v>6732202479</v>
      </c>
      <c r="B14713" t="s">
        <v>20444</v>
      </c>
      <c r="C14713" t="s">
        <v>7</v>
      </c>
      <c r="D14713" t="s">
        <v>12</v>
      </c>
      <c r="E14713" t="s">
        <v>20318</v>
      </c>
      <c r="F14713" t="s">
        <v>20445</v>
      </c>
    </row>
    <row r="14714" spans="1:6" x14ac:dyDescent="0.25">
      <c r="A14714" t="str">
        <f>"6732237680"</f>
        <v>6732237680</v>
      </c>
      <c r="B14714" t="s">
        <v>20446</v>
      </c>
      <c r="C14714" t="s">
        <v>7</v>
      </c>
      <c r="D14714" t="s">
        <v>33</v>
      </c>
      <c r="E14714" t="s">
        <v>20318</v>
      </c>
      <c r="F14714" t="s">
        <v>20447</v>
      </c>
    </row>
    <row r="14715" spans="1:6" x14ac:dyDescent="0.25">
      <c r="A14715" t="str">
        <f>"6714052630"</f>
        <v>6714052630</v>
      </c>
      <c r="B14715" t="s">
        <v>20448</v>
      </c>
      <c r="C14715" t="s">
        <v>7</v>
      </c>
      <c r="D14715" t="s">
        <v>12</v>
      </c>
      <c r="E14715" t="s">
        <v>20318</v>
      </c>
      <c r="F14715" t="s">
        <v>20449</v>
      </c>
    </row>
    <row r="14716" spans="1:6" x14ac:dyDescent="0.25">
      <c r="A14716" t="str">
        <f>"671701944810"</f>
        <v>671701944810</v>
      </c>
      <c r="B14716" t="s">
        <v>20450</v>
      </c>
      <c r="C14716" t="s">
        <v>7</v>
      </c>
      <c r="D14716" t="s">
        <v>12</v>
      </c>
      <c r="E14716" t="s">
        <v>20318</v>
      </c>
    </row>
    <row r="14717" spans="1:6" x14ac:dyDescent="0.25">
      <c r="A14717" t="str">
        <f>"672201450276"</f>
        <v>672201450276</v>
      </c>
      <c r="B14717" t="s">
        <v>20451</v>
      </c>
      <c r="C14717" t="s">
        <v>7</v>
      </c>
      <c r="D14717" t="s">
        <v>12</v>
      </c>
      <c r="E14717" t="s">
        <v>20318</v>
      </c>
    </row>
    <row r="14718" spans="1:6" x14ac:dyDescent="0.25">
      <c r="A14718" t="str">
        <f>"672204008309"</f>
        <v>672204008309</v>
      </c>
      <c r="B14718" t="s">
        <v>20452</v>
      </c>
      <c r="C14718" t="s">
        <v>7</v>
      </c>
      <c r="D14718" t="s">
        <v>14</v>
      </c>
      <c r="E14718" t="s">
        <v>20318</v>
      </c>
    </row>
    <row r="14719" spans="1:6" x14ac:dyDescent="0.25">
      <c r="A14719" t="str">
        <f>"672206569067"</f>
        <v>672206569067</v>
      </c>
      <c r="B14719" t="s">
        <v>20453</v>
      </c>
      <c r="C14719" t="s">
        <v>7</v>
      </c>
      <c r="D14719" t="s">
        <v>14</v>
      </c>
      <c r="E14719" t="s">
        <v>20318</v>
      </c>
    </row>
    <row r="14720" spans="1:6" x14ac:dyDescent="0.25">
      <c r="A14720" t="str">
        <f>"672213408952"</f>
        <v>672213408952</v>
      </c>
      <c r="B14720" t="s">
        <v>20454</v>
      </c>
      <c r="C14720" t="s">
        <v>7</v>
      </c>
      <c r="D14720" t="s">
        <v>12</v>
      </c>
      <c r="E14720" t="s">
        <v>20318</v>
      </c>
    </row>
    <row r="14721" spans="1:6" x14ac:dyDescent="0.25">
      <c r="A14721" t="str">
        <f>"672301526659"</f>
        <v>672301526659</v>
      </c>
      <c r="B14721" t="s">
        <v>20455</v>
      </c>
      <c r="C14721" t="s">
        <v>7</v>
      </c>
      <c r="D14721" t="s">
        <v>14</v>
      </c>
      <c r="E14721" t="s">
        <v>20318</v>
      </c>
    </row>
    <row r="14722" spans="1:6" x14ac:dyDescent="0.25">
      <c r="A14722" t="str">
        <f>"672301997440"</f>
        <v>672301997440</v>
      </c>
      <c r="B14722" t="s">
        <v>20456</v>
      </c>
      <c r="C14722" t="s">
        <v>7</v>
      </c>
      <c r="D14722" t="s">
        <v>14</v>
      </c>
      <c r="E14722" t="s">
        <v>20318</v>
      </c>
    </row>
    <row r="14723" spans="1:6" x14ac:dyDescent="0.25">
      <c r="A14723" t="str">
        <f>"672304096002"</f>
        <v>672304096002</v>
      </c>
      <c r="B14723" t="s">
        <v>20457</v>
      </c>
      <c r="C14723" t="s">
        <v>7</v>
      </c>
      <c r="D14723" t="s">
        <v>14</v>
      </c>
      <c r="E14723" t="s">
        <v>20318</v>
      </c>
    </row>
    <row r="14724" spans="1:6" x14ac:dyDescent="0.25">
      <c r="A14724" t="str">
        <f>"672400513918"</f>
        <v>672400513918</v>
      </c>
      <c r="B14724" t="s">
        <v>20458</v>
      </c>
      <c r="C14724" t="s">
        <v>7</v>
      </c>
      <c r="D14724" t="s">
        <v>586</v>
      </c>
      <c r="E14724" t="s">
        <v>20318</v>
      </c>
    </row>
    <row r="14725" spans="1:6" x14ac:dyDescent="0.25">
      <c r="A14725" t="str">
        <f>"672402821347"</f>
        <v>672402821347</v>
      </c>
      <c r="B14725" t="s">
        <v>20459</v>
      </c>
      <c r="C14725" t="s">
        <v>7</v>
      </c>
      <c r="D14725" t="s">
        <v>14</v>
      </c>
      <c r="E14725" t="s">
        <v>20318</v>
      </c>
    </row>
    <row r="14726" spans="1:6" x14ac:dyDescent="0.25">
      <c r="A14726" t="str">
        <f>"672604195950"</f>
        <v>672604195950</v>
      </c>
      <c r="B14726" t="s">
        <v>20460</v>
      </c>
      <c r="C14726" t="s">
        <v>7</v>
      </c>
      <c r="D14726" t="s">
        <v>12</v>
      </c>
      <c r="E14726" t="s">
        <v>20318</v>
      </c>
    </row>
    <row r="14727" spans="1:6" x14ac:dyDescent="0.25">
      <c r="A14727" t="str">
        <f>"6727001590"</f>
        <v>6727001590</v>
      </c>
      <c r="B14727" t="s">
        <v>20461</v>
      </c>
      <c r="C14727" t="s">
        <v>7</v>
      </c>
      <c r="D14727" t="s">
        <v>14</v>
      </c>
      <c r="E14727" t="s">
        <v>20318</v>
      </c>
      <c r="F14727" t="s">
        <v>20462</v>
      </c>
    </row>
    <row r="14728" spans="1:6" x14ac:dyDescent="0.25">
      <c r="A14728" t="str">
        <f>"672700204004"</f>
        <v>672700204004</v>
      </c>
      <c r="B14728" t="s">
        <v>20463</v>
      </c>
      <c r="C14728" t="s">
        <v>7</v>
      </c>
      <c r="D14728" t="s">
        <v>14</v>
      </c>
      <c r="E14728" t="s">
        <v>20318</v>
      </c>
    </row>
    <row r="14729" spans="1:6" x14ac:dyDescent="0.25">
      <c r="A14729" t="str">
        <f>"672700354218"</f>
        <v>672700354218</v>
      </c>
      <c r="B14729" t="s">
        <v>20464</v>
      </c>
      <c r="C14729" t="s">
        <v>7</v>
      </c>
      <c r="D14729" t="s">
        <v>12</v>
      </c>
      <c r="E14729" t="s">
        <v>20318</v>
      </c>
    </row>
    <row r="14730" spans="1:6" x14ac:dyDescent="0.25">
      <c r="A14730" t="str">
        <f>"6729015366"</f>
        <v>6729015366</v>
      </c>
      <c r="B14730" t="s">
        <v>20465</v>
      </c>
      <c r="C14730" t="s">
        <v>7</v>
      </c>
      <c r="D14730" t="s">
        <v>586</v>
      </c>
      <c r="E14730" t="s">
        <v>20318</v>
      </c>
      <c r="F14730" t="s">
        <v>20466</v>
      </c>
    </row>
    <row r="14731" spans="1:6" x14ac:dyDescent="0.25">
      <c r="A14731" t="str">
        <f>"6729033823"</f>
        <v>6729033823</v>
      </c>
      <c r="B14731" t="s">
        <v>20467</v>
      </c>
      <c r="C14731" t="s">
        <v>7</v>
      </c>
      <c r="D14731" t="s">
        <v>12</v>
      </c>
      <c r="E14731" t="s">
        <v>20318</v>
      </c>
      <c r="F14731" t="s">
        <v>20468</v>
      </c>
    </row>
    <row r="14732" spans="1:6" x14ac:dyDescent="0.25">
      <c r="A14732" t="str">
        <f>"673000208598"</f>
        <v>673000208598</v>
      </c>
      <c r="B14732" t="s">
        <v>20469</v>
      </c>
      <c r="C14732" t="s">
        <v>7</v>
      </c>
      <c r="D14732" t="s">
        <v>12</v>
      </c>
      <c r="E14732" t="s">
        <v>20318</v>
      </c>
    </row>
    <row r="14733" spans="1:6" x14ac:dyDescent="0.25">
      <c r="A14733" t="str">
        <f>"673000508859"</f>
        <v>673000508859</v>
      </c>
      <c r="B14733" t="s">
        <v>20470</v>
      </c>
      <c r="C14733" t="s">
        <v>7</v>
      </c>
      <c r="D14733" t="s">
        <v>12</v>
      </c>
      <c r="E14733" t="s">
        <v>20318</v>
      </c>
    </row>
    <row r="14734" spans="1:6" x14ac:dyDescent="0.25">
      <c r="A14734" t="str">
        <f>"6730016621"</f>
        <v>6730016621</v>
      </c>
      <c r="B14734" t="s">
        <v>20471</v>
      </c>
      <c r="C14734" t="s">
        <v>7</v>
      </c>
      <c r="D14734" t="s">
        <v>14</v>
      </c>
      <c r="E14734" t="s">
        <v>20318</v>
      </c>
      <c r="F14734" t="s">
        <v>20472</v>
      </c>
    </row>
    <row r="14735" spans="1:6" x14ac:dyDescent="0.25">
      <c r="A14735" t="str">
        <f>"6730018058"</f>
        <v>6730018058</v>
      </c>
      <c r="B14735" t="s">
        <v>20473</v>
      </c>
      <c r="C14735" t="s">
        <v>7</v>
      </c>
      <c r="D14735" t="s">
        <v>14</v>
      </c>
      <c r="E14735" t="s">
        <v>20318</v>
      </c>
      <c r="F14735" t="s">
        <v>20474</v>
      </c>
    </row>
    <row r="14736" spans="1:6" x14ac:dyDescent="0.25">
      <c r="A14736" t="str">
        <f>"6730028024"</f>
        <v>6730028024</v>
      </c>
      <c r="B14736" t="s">
        <v>20475</v>
      </c>
      <c r="C14736" t="s">
        <v>7</v>
      </c>
      <c r="D14736" t="s">
        <v>14</v>
      </c>
      <c r="E14736" t="s">
        <v>20318</v>
      </c>
      <c r="F14736" t="s">
        <v>20476</v>
      </c>
    </row>
    <row r="14737" spans="1:6" x14ac:dyDescent="0.25">
      <c r="A14737" t="str">
        <f>"6730028521"</f>
        <v>6730028521</v>
      </c>
      <c r="B14737" t="s">
        <v>20477</v>
      </c>
      <c r="C14737" t="s">
        <v>7</v>
      </c>
      <c r="D14737" t="s">
        <v>8</v>
      </c>
      <c r="E14737" t="s">
        <v>20318</v>
      </c>
      <c r="F14737" t="s">
        <v>20478</v>
      </c>
    </row>
    <row r="14738" spans="1:6" x14ac:dyDescent="0.25">
      <c r="A14738" t="str">
        <f>"6730046520"</f>
        <v>6730046520</v>
      </c>
      <c r="B14738" t="s">
        <v>20479</v>
      </c>
      <c r="C14738" t="s">
        <v>7</v>
      </c>
      <c r="D14738" t="s">
        <v>14</v>
      </c>
      <c r="E14738" t="s">
        <v>20318</v>
      </c>
      <c r="F14738" t="s">
        <v>20480</v>
      </c>
    </row>
    <row r="14739" spans="1:6" x14ac:dyDescent="0.25">
      <c r="A14739" t="str">
        <f>"673006302519"</f>
        <v>673006302519</v>
      </c>
      <c r="B14739" t="s">
        <v>20481</v>
      </c>
      <c r="C14739" t="s">
        <v>7</v>
      </c>
      <c r="D14739" t="s">
        <v>12</v>
      </c>
      <c r="E14739" t="s">
        <v>20318</v>
      </c>
    </row>
    <row r="14740" spans="1:6" x14ac:dyDescent="0.25">
      <c r="A14740" t="str">
        <f>"6730082039"</f>
        <v>6730082039</v>
      </c>
      <c r="B14740" t="s">
        <v>20482</v>
      </c>
      <c r="C14740" t="s">
        <v>7</v>
      </c>
      <c r="D14740" t="s">
        <v>12</v>
      </c>
      <c r="E14740" t="s">
        <v>20318</v>
      </c>
      <c r="F14740" t="s">
        <v>20483</v>
      </c>
    </row>
    <row r="14741" spans="1:6" x14ac:dyDescent="0.25">
      <c r="A14741" t="str">
        <f>"673008669167"</f>
        <v>673008669167</v>
      </c>
      <c r="B14741" t="s">
        <v>20484</v>
      </c>
      <c r="C14741" t="s">
        <v>7</v>
      </c>
      <c r="D14741" t="s">
        <v>14</v>
      </c>
      <c r="E14741" t="s">
        <v>20318</v>
      </c>
    </row>
    <row r="14742" spans="1:6" x14ac:dyDescent="0.25">
      <c r="A14742" t="str">
        <f>"673008703347"</f>
        <v>673008703347</v>
      </c>
      <c r="B14742" t="s">
        <v>20485</v>
      </c>
      <c r="C14742" t="s">
        <v>7</v>
      </c>
      <c r="D14742" t="s">
        <v>14</v>
      </c>
      <c r="E14742" t="s">
        <v>20318</v>
      </c>
    </row>
    <row r="14743" spans="1:6" x14ac:dyDescent="0.25">
      <c r="A14743" t="str">
        <f>"6731015596"</f>
        <v>6731015596</v>
      </c>
      <c r="B14743" t="s">
        <v>20486</v>
      </c>
      <c r="C14743" t="s">
        <v>7</v>
      </c>
      <c r="D14743" t="s">
        <v>33</v>
      </c>
      <c r="E14743" t="s">
        <v>20318</v>
      </c>
      <c r="F14743" t="s">
        <v>20487</v>
      </c>
    </row>
    <row r="14744" spans="1:6" x14ac:dyDescent="0.25">
      <c r="A14744" t="str">
        <f>"673103718495"</f>
        <v>673103718495</v>
      </c>
      <c r="B14744" t="s">
        <v>20488</v>
      </c>
      <c r="C14744" t="s">
        <v>7</v>
      </c>
      <c r="D14744" t="s">
        <v>33</v>
      </c>
      <c r="E14744" t="s">
        <v>20318</v>
      </c>
    </row>
    <row r="14745" spans="1:6" x14ac:dyDescent="0.25">
      <c r="A14745" t="str">
        <f>"6731037695"</f>
        <v>6731037695</v>
      </c>
      <c r="B14745" t="s">
        <v>20489</v>
      </c>
      <c r="C14745" t="s">
        <v>7</v>
      </c>
      <c r="D14745" t="s">
        <v>12</v>
      </c>
      <c r="E14745" t="s">
        <v>20318</v>
      </c>
      <c r="F14745" t="s">
        <v>20490</v>
      </c>
    </row>
    <row r="14746" spans="1:6" x14ac:dyDescent="0.25">
      <c r="A14746" t="str">
        <f>"673110874079"</f>
        <v>673110874079</v>
      </c>
      <c r="B14746" t="s">
        <v>20491</v>
      </c>
      <c r="C14746" t="s">
        <v>7</v>
      </c>
      <c r="D14746" t="s">
        <v>14</v>
      </c>
      <c r="E14746" t="s">
        <v>20318</v>
      </c>
    </row>
    <row r="14747" spans="1:6" x14ac:dyDescent="0.25">
      <c r="A14747" t="str">
        <f>"673111115229"</f>
        <v>673111115229</v>
      </c>
      <c r="B14747" t="s">
        <v>20492</v>
      </c>
      <c r="C14747" t="s">
        <v>7</v>
      </c>
      <c r="D14747" t="s">
        <v>33</v>
      </c>
      <c r="E14747" t="s">
        <v>20318</v>
      </c>
    </row>
    <row r="14748" spans="1:6" x14ac:dyDescent="0.25">
      <c r="A14748" t="str">
        <f>"6732023014"</f>
        <v>6732023014</v>
      </c>
      <c r="B14748" t="s">
        <v>20493</v>
      </c>
      <c r="C14748" t="s">
        <v>7</v>
      </c>
      <c r="D14748" t="s">
        <v>8</v>
      </c>
      <c r="E14748" t="s">
        <v>20318</v>
      </c>
      <c r="F14748" t="s">
        <v>20494</v>
      </c>
    </row>
    <row r="14749" spans="1:6" x14ac:dyDescent="0.25">
      <c r="A14749" t="str">
        <f>"6732025050"</f>
        <v>6732025050</v>
      </c>
      <c r="B14749" t="s">
        <v>1159</v>
      </c>
      <c r="C14749" t="s">
        <v>7</v>
      </c>
      <c r="D14749" t="s">
        <v>12</v>
      </c>
      <c r="E14749" t="s">
        <v>20318</v>
      </c>
      <c r="F14749" t="s">
        <v>20495</v>
      </c>
    </row>
    <row r="14750" spans="1:6" x14ac:dyDescent="0.25">
      <c r="A14750" t="str">
        <f>"6732052992"</f>
        <v>6732052992</v>
      </c>
      <c r="B14750" t="s">
        <v>20496</v>
      </c>
      <c r="C14750" t="s">
        <v>7</v>
      </c>
      <c r="D14750" t="s">
        <v>674</v>
      </c>
      <c r="E14750" t="s">
        <v>20318</v>
      </c>
      <c r="F14750" t="s">
        <v>20497</v>
      </c>
    </row>
    <row r="14751" spans="1:6" x14ac:dyDescent="0.25">
      <c r="A14751" t="str">
        <f>"6732061450"</f>
        <v>6732061450</v>
      </c>
      <c r="B14751" t="s">
        <v>20498</v>
      </c>
      <c r="C14751" t="s">
        <v>7</v>
      </c>
      <c r="D14751" t="s">
        <v>33</v>
      </c>
      <c r="E14751" t="s">
        <v>20318</v>
      </c>
      <c r="F14751" t="s">
        <v>20499</v>
      </c>
    </row>
    <row r="14752" spans="1:6" x14ac:dyDescent="0.25">
      <c r="A14752" t="str">
        <f>"6732116773"</f>
        <v>6732116773</v>
      </c>
      <c r="B14752" t="s">
        <v>450</v>
      </c>
      <c r="C14752" t="s">
        <v>7</v>
      </c>
      <c r="D14752" t="s">
        <v>674</v>
      </c>
      <c r="E14752" t="s">
        <v>20318</v>
      </c>
      <c r="F14752" t="s">
        <v>20500</v>
      </c>
    </row>
    <row r="14753" spans="1:6" x14ac:dyDescent="0.25">
      <c r="A14753" t="str">
        <f>"6732129927"</f>
        <v>6732129927</v>
      </c>
      <c r="B14753" t="s">
        <v>20501</v>
      </c>
      <c r="C14753" t="s">
        <v>7</v>
      </c>
      <c r="D14753" t="s">
        <v>189</v>
      </c>
      <c r="E14753" t="s">
        <v>20318</v>
      </c>
      <c r="F14753" t="s">
        <v>20502</v>
      </c>
    </row>
    <row r="14754" spans="1:6" x14ac:dyDescent="0.25">
      <c r="A14754" t="str">
        <f>"6732134878"</f>
        <v>6732134878</v>
      </c>
      <c r="B14754" t="s">
        <v>20503</v>
      </c>
      <c r="C14754" t="s">
        <v>7</v>
      </c>
      <c r="D14754" t="s">
        <v>33</v>
      </c>
      <c r="E14754" t="s">
        <v>20318</v>
      </c>
      <c r="F14754" t="s">
        <v>20504</v>
      </c>
    </row>
    <row r="14755" spans="1:6" x14ac:dyDescent="0.25">
      <c r="A14755" t="str">
        <f>"6732159008"</f>
        <v>6732159008</v>
      </c>
      <c r="B14755" t="s">
        <v>20505</v>
      </c>
      <c r="C14755" t="s">
        <v>7</v>
      </c>
      <c r="D14755" t="s">
        <v>12</v>
      </c>
      <c r="E14755" t="s">
        <v>20318</v>
      </c>
      <c r="F14755" t="s">
        <v>20506</v>
      </c>
    </row>
    <row r="14756" spans="1:6" x14ac:dyDescent="0.25">
      <c r="A14756" t="str">
        <f>"6732166799"</f>
        <v>6732166799</v>
      </c>
      <c r="B14756" t="s">
        <v>3136</v>
      </c>
      <c r="C14756" t="s">
        <v>7</v>
      </c>
      <c r="D14756" t="s">
        <v>674</v>
      </c>
      <c r="E14756" t="s">
        <v>20318</v>
      </c>
      <c r="F14756" t="s">
        <v>20507</v>
      </c>
    </row>
    <row r="14757" spans="1:6" x14ac:dyDescent="0.25">
      <c r="A14757" t="str">
        <f>"6732214876"</f>
        <v>6732214876</v>
      </c>
      <c r="B14757" t="s">
        <v>20508</v>
      </c>
      <c r="C14757" t="s">
        <v>7</v>
      </c>
      <c r="D14757" t="s">
        <v>189</v>
      </c>
      <c r="E14757" t="s">
        <v>20318</v>
      </c>
      <c r="F14757" t="s">
        <v>20509</v>
      </c>
    </row>
    <row r="14758" spans="1:6" x14ac:dyDescent="0.25">
      <c r="A14758" t="str">
        <f>"6732219063"</f>
        <v>6732219063</v>
      </c>
      <c r="B14758" t="s">
        <v>20510</v>
      </c>
      <c r="C14758" t="s">
        <v>7</v>
      </c>
      <c r="D14758" t="s">
        <v>14</v>
      </c>
      <c r="E14758" t="s">
        <v>20318</v>
      </c>
      <c r="F14758" t="s">
        <v>20511</v>
      </c>
    </row>
    <row r="14759" spans="1:6" x14ac:dyDescent="0.25">
      <c r="A14759" t="str">
        <f>"6732227868"</f>
        <v>6732227868</v>
      </c>
      <c r="B14759" t="s">
        <v>20512</v>
      </c>
      <c r="C14759" t="s">
        <v>7</v>
      </c>
      <c r="D14759" t="s">
        <v>189</v>
      </c>
      <c r="E14759" t="s">
        <v>20318</v>
      </c>
      <c r="F14759" t="s">
        <v>20513</v>
      </c>
    </row>
    <row r="14760" spans="1:6" x14ac:dyDescent="0.25">
      <c r="A14760" t="str">
        <f>"6732241647"</f>
        <v>6732241647</v>
      </c>
      <c r="B14760" t="s">
        <v>20514</v>
      </c>
      <c r="C14760" t="s">
        <v>7</v>
      </c>
      <c r="D14760" t="s">
        <v>14</v>
      </c>
      <c r="E14760" t="s">
        <v>20318</v>
      </c>
      <c r="F14760" t="s">
        <v>20515</v>
      </c>
    </row>
    <row r="14761" spans="1:6" x14ac:dyDescent="0.25">
      <c r="A14761" t="str">
        <f>"672200115846"</f>
        <v>672200115846</v>
      </c>
      <c r="B14761" t="s">
        <v>20516</v>
      </c>
      <c r="C14761" t="s">
        <v>7</v>
      </c>
      <c r="D14761" t="s">
        <v>14</v>
      </c>
      <c r="E14761" t="s">
        <v>20318</v>
      </c>
    </row>
    <row r="14762" spans="1:6" x14ac:dyDescent="0.25">
      <c r="A14762" t="str">
        <f>"6722016593"</f>
        <v>6722016593</v>
      </c>
      <c r="B14762" t="s">
        <v>20517</v>
      </c>
      <c r="C14762" t="s">
        <v>7</v>
      </c>
      <c r="D14762" t="s">
        <v>98</v>
      </c>
      <c r="E14762" t="s">
        <v>20318</v>
      </c>
      <c r="F14762" t="s">
        <v>20518</v>
      </c>
    </row>
    <row r="14763" spans="1:6" x14ac:dyDescent="0.25">
      <c r="A14763" t="str">
        <f>"672204886984"</f>
        <v>672204886984</v>
      </c>
      <c r="B14763" t="s">
        <v>20519</v>
      </c>
      <c r="C14763" t="s">
        <v>7</v>
      </c>
      <c r="D14763" t="s">
        <v>12</v>
      </c>
      <c r="E14763" t="s">
        <v>20318</v>
      </c>
    </row>
    <row r="14764" spans="1:6" x14ac:dyDescent="0.25">
      <c r="A14764" t="str">
        <f>"672206409842"</f>
        <v>672206409842</v>
      </c>
      <c r="B14764" t="s">
        <v>20520</v>
      </c>
      <c r="C14764" t="s">
        <v>7</v>
      </c>
      <c r="D14764" t="s">
        <v>33</v>
      </c>
      <c r="E14764" t="s">
        <v>20318</v>
      </c>
    </row>
    <row r="14765" spans="1:6" x14ac:dyDescent="0.25">
      <c r="A14765" t="str">
        <f>"672300118400"</f>
        <v>672300118400</v>
      </c>
      <c r="B14765" t="s">
        <v>20521</v>
      </c>
      <c r="C14765" t="s">
        <v>7</v>
      </c>
      <c r="D14765" t="s">
        <v>14</v>
      </c>
      <c r="E14765" t="s">
        <v>20318</v>
      </c>
    </row>
    <row r="14766" spans="1:6" x14ac:dyDescent="0.25">
      <c r="A14766" t="str">
        <f>"672303728474"</f>
        <v>672303728474</v>
      </c>
      <c r="B14766" t="s">
        <v>20522</v>
      </c>
      <c r="C14766" t="s">
        <v>7</v>
      </c>
      <c r="D14766" t="s">
        <v>14</v>
      </c>
      <c r="E14766" t="s">
        <v>20318</v>
      </c>
    </row>
    <row r="14767" spans="1:6" x14ac:dyDescent="0.25">
      <c r="A14767" t="str">
        <f>"672304033588"</f>
        <v>672304033588</v>
      </c>
      <c r="B14767" t="s">
        <v>20523</v>
      </c>
      <c r="C14767" t="s">
        <v>7</v>
      </c>
      <c r="D14767" t="s">
        <v>14</v>
      </c>
      <c r="E14767" t="s">
        <v>20318</v>
      </c>
    </row>
    <row r="14768" spans="1:6" x14ac:dyDescent="0.25">
      <c r="A14768" t="str">
        <f>"672400086536"</f>
        <v>672400086536</v>
      </c>
      <c r="B14768" t="s">
        <v>20524</v>
      </c>
      <c r="C14768" t="s">
        <v>7</v>
      </c>
      <c r="D14768" t="s">
        <v>14</v>
      </c>
      <c r="E14768" t="s">
        <v>20318</v>
      </c>
    </row>
    <row r="14769" spans="1:6" x14ac:dyDescent="0.25">
      <c r="A14769" t="str">
        <f>"672502666783"</f>
        <v>672502666783</v>
      </c>
      <c r="B14769" t="s">
        <v>20525</v>
      </c>
      <c r="C14769" t="s">
        <v>7</v>
      </c>
      <c r="D14769" t="s">
        <v>14</v>
      </c>
      <c r="E14769" t="s">
        <v>20318</v>
      </c>
    </row>
    <row r="14770" spans="1:6" x14ac:dyDescent="0.25">
      <c r="A14770" t="str">
        <f>"672503652208"</f>
        <v>672503652208</v>
      </c>
      <c r="B14770" t="s">
        <v>20526</v>
      </c>
      <c r="C14770" t="s">
        <v>7</v>
      </c>
      <c r="D14770" t="s">
        <v>14</v>
      </c>
      <c r="E14770" t="s">
        <v>20318</v>
      </c>
    </row>
    <row r="14771" spans="1:6" x14ac:dyDescent="0.25">
      <c r="A14771" t="str">
        <f>"672506016225"</f>
        <v>672506016225</v>
      </c>
      <c r="B14771" t="s">
        <v>20527</v>
      </c>
      <c r="C14771" t="s">
        <v>7</v>
      </c>
      <c r="D14771" t="s">
        <v>14</v>
      </c>
      <c r="E14771" t="s">
        <v>20318</v>
      </c>
    </row>
    <row r="14772" spans="1:6" x14ac:dyDescent="0.25">
      <c r="A14772" t="str">
        <f>"672509110787"</f>
        <v>672509110787</v>
      </c>
      <c r="B14772" t="s">
        <v>20528</v>
      </c>
      <c r="C14772" t="s">
        <v>7</v>
      </c>
      <c r="D14772" t="s">
        <v>14</v>
      </c>
      <c r="E14772" t="s">
        <v>20318</v>
      </c>
    </row>
    <row r="14773" spans="1:6" x14ac:dyDescent="0.25">
      <c r="A14773" t="str">
        <f>"672607561033"</f>
        <v>672607561033</v>
      </c>
      <c r="B14773" t="s">
        <v>20529</v>
      </c>
      <c r="C14773" t="s">
        <v>7</v>
      </c>
      <c r="D14773" t="s">
        <v>33</v>
      </c>
      <c r="E14773" t="s">
        <v>20318</v>
      </c>
    </row>
    <row r="14774" spans="1:6" x14ac:dyDescent="0.25">
      <c r="A14774" t="str">
        <f>"672700285691"</f>
        <v>672700285691</v>
      </c>
      <c r="B14774" t="s">
        <v>20530</v>
      </c>
      <c r="C14774" t="s">
        <v>7</v>
      </c>
      <c r="D14774" t="s">
        <v>14</v>
      </c>
      <c r="E14774" t="s">
        <v>20318</v>
      </c>
    </row>
    <row r="14775" spans="1:6" x14ac:dyDescent="0.25">
      <c r="A14775" t="str">
        <f>"672900507246"</f>
        <v>672900507246</v>
      </c>
      <c r="B14775" t="s">
        <v>20531</v>
      </c>
      <c r="C14775" t="s">
        <v>7</v>
      </c>
      <c r="D14775" t="s">
        <v>12</v>
      </c>
      <c r="E14775" t="s">
        <v>20318</v>
      </c>
    </row>
    <row r="14776" spans="1:6" x14ac:dyDescent="0.25">
      <c r="A14776" t="str">
        <f>"6729028862"</f>
        <v>6729028862</v>
      </c>
      <c r="B14776" t="s">
        <v>20532</v>
      </c>
      <c r="C14776" t="s">
        <v>7</v>
      </c>
      <c r="D14776" t="s">
        <v>14</v>
      </c>
      <c r="E14776" t="s">
        <v>20318</v>
      </c>
      <c r="F14776" t="s">
        <v>20533</v>
      </c>
    </row>
    <row r="14777" spans="1:6" x14ac:dyDescent="0.25">
      <c r="A14777" t="str">
        <f>"673000162030"</f>
        <v>673000162030</v>
      </c>
      <c r="B14777" t="s">
        <v>20534</v>
      </c>
      <c r="C14777" t="s">
        <v>7</v>
      </c>
      <c r="D14777" t="s">
        <v>12</v>
      </c>
      <c r="E14777" t="s">
        <v>20318</v>
      </c>
    </row>
    <row r="14778" spans="1:6" x14ac:dyDescent="0.25">
      <c r="A14778" t="str">
        <f>"6730017336"</f>
        <v>6730017336</v>
      </c>
      <c r="B14778" t="s">
        <v>20535</v>
      </c>
      <c r="C14778" t="s">
        <v>7</v>
      </c>
      <c r="D14778" t="s">
        <v>14</v>
      </c>
      <c r="E14778" t="s">
        <v>20318</v>
      </c>
      <c r="F14778" t="s">
        <v>20536</v>
      </c>
    </row>
    <row r="14779" spans="1:6" x14ac:dyDescent="0.25">
      <c r="A14779" t="str">
        <f>"6730046954"</f>
        <v>6730046954</v>
      </c>
      <c r="B14779" t="s">
        <v>20537</v>
      </c>
      <c r="C14779" t="s">
        <v>7</v>
      </c>
      <c r="D14779" t="s">
        <v>14</v>
      </c>
      <c r="E14779" t="s">
        <v>20318</v>
      </c>
      <c r="F14779" t="s">
        <v>20538</v>
      </c>
    </row>
    <row r="14780" spans="1:6" x14ac:dyDescent="0.25">
      <c r="A14780" t="str">
        <f>"673005447649"</f>
        <v>673005447649</v>
      </c>
      <c r="B14780" t="s">
        <v>20539</v>
      </c>
      <c r="C14780" t="s">
        <v>7</v>
      </c>
      <c r="D14780" t="s">
        <v>12</v>
      </c>
      <c r="E14780" t="s">
        <v>20318</v>
      </c>
    </row>
    <row r="14781" spans="1:6" x14ac:dyDescent="0.25">
      <c r="A14781" t="str">
        <f>"673005788208"</f>
        <v>673005788208</v>
      </c>
      <c r="B14781" t="s">
        <v>20540</v>
      </c>
      <c r="C14781" t="s">
        <v>7</v>
      </c>
      <c r="D14781" t="s">
        <v>33</v>
      </c>
      <c r="E14781" t="s">
        <v>20318</v>
      </c>
    </row>
    <row r="14782" spans="1:6" x14ac:dyDescent="0.25">
      <c r="A14782" t="str">
        <f>"6730063759"</f>
        <v>6730063759</v>
      </c>
      <c r="B14782" t="s">
        <v>20541</v>
      </c>
      <c r="C14782" t="s">
        <v>7</v>
      </c>
      <c r="D14782" t="s">
        <v>12</v>
      </c>
      <c r="E14782" t="s">
        <v>20318</v>
      </c>
      <c r="F14782" t="s">
        <v>20542</v>
      </c>
    </row>
    <row r="14783" spans="1:6" x14ac:dyDescent="0.25">
      <c r="A14783" t="str">
        <f>"6730063766"</f>
        <v>6730063766</v>
      </c>
      <c r="B14783" t="s">
        <v>20543</v>
      </c>
      <c r="C14783" t="s">
        <v>7</v>
      </c>
      <c r="D14783" t="s">
        <v>463</v>
      </c>
      <c r="E14783" t="s">
        <v>20318</v>
      </c>
      <c r="F14783" t="s">
        <v>20544</v>
      </c>
    </row>
    <row r="14784" spans="1:6" x14ac:dyDescent="0.25">
      <c r="A14784" t="str">
        <f>"673006561150"</f>
        <v>673006561150</v>
      </c>
      <c r="B14784" t="s">
        <v>20545</v>
      </c>
      <c r="C14784" t="s">
        <v>7</v>
      </c>
      <c r="D14784" t="s">
        <v>12</v>
      </c>
      <c r="E14784" t="s">
        <v>20318</v>
      </c>
    </row>
    <row r="14785" spans="1:6" x14ac:dyDescent="0.25">
      <c r="A14785" t="str">
        <f>"673009004447"</f>
        <v>673009004447</v>
      </c>
      <c r="B14785" t="s">
        <v>20546</v>
      </c>
      <c r="C14785" t="s">
        <v>7</v>
      </c>
      <c r="D14785" t="s">
        <v>14</v>
      </c>
      <c r="E14785" t="s">
        <v>20318</v>
      </c>
    </row>
    <row r="14786" spans="1:6" x14ac:dyDescent="0.25">
      <c r="A14786" t="str">
        <f>"673100535253"</f>
        <v>673100535253</v>
      </c>
      <c r="B14786" t="s">
        <v>20547</v>
      </c>
      <c r="C14786" t="s">
        <v>7</v>
      </c>
      <c r="D14786" t="s">
        <v>12</v>
      </c>
      <c r="E14786" t="s">
        <v>20318</v>
      </c>
    </row>
    <row r="14787" spans="1:6" x14ac:dyDescent="0.25">
      <c r="A14787" t="str">
        <f>"673101750260"</f>
        <v>673101750260</v>
      </c>
      <c r="B14787" t="s">
        <v>20548</v>
      </c>
      <c r="C14787" t="s">
        <v>7</v>
      </c>
      <c r="D14787" t="s">
        <v>12</v>
      </c>
      <c r="E14787" t="s">
        <v>20318</v>
      </c>
    </row>
    <row r="14788" spans="1:6" x14ac:dyDescent="0.25">
      <c r="A14788" t="str">
        <f>"6731066336"</f>
        <v>6731066336</v>
      </c>
      <c r="B14788" t="s">
        <v>20549</v>
      </c>
      <c r="C14788" t="s">
        <v>7</v>
      </c>
      <c r="D14788" t="s">
        <v>33</v>
      </c>
      <c r="E14788" t="s">
        <v>20318</v>
      </c>
      <c r="F14788" t="s">
        <v>20550</v>
      </c>
    </row>
    <row r="14789" spans="1:6" x14ac:dyDescent="0.25">
      <c r="A14789" t="str">
        <f>"673110562305"</f>
        <v>673110562305</v>
      </c>
      <c r="B14789" t="s">
        <v>20551</v>
      </c>
      <c r="C14789" t="s">
        <v>7</v>
      </c>
      <c r="D14789" t="s">
        <v>28</v>
      </c>
      <c r="E14789" t="s">
        <v>20318</v>
      </c>
    </row>
    <row r="14790" spans="1:6" x14ac:dyDescent="0.25">
      <c r="A14790" t="str">
        <f>"6732030879"</f>
        <v>6732030879</v>
      </c>
      <c r="B14790" t="s">
        <v>20552</v>
      </c>
      <c r="C14790" t="s">
        <v>7</v>
      </c>
      <c r="D14790" t="s">
        <v>189</v>
      </c>
      <c r="E14790" t="s">
        <v>20318</v>
      </c>
      <c r="F14790" t="s">
        <v>20553</v>
      </c>
    </row>
    <row r="14791" spans="1:6" x14ac:dyDescent="0.25">
      <c r="A14791" t="str">
        <f>"673204640598"</f>
        <v>673204640598</v>
      </c>
      <c r="B14791" t="s">
        <v>20554</v>
      </c>
      <c r="C14791" t="s">
        <v>7</v>
      </c>
      <c r="D14791" t="s">
        <v>12</v>
      </c>
      <c r="E14791" t="s">
        <v>20318</v>
      </c>
    </row>
    <row r="14792" spans="1:6" x14ac:dyDescent="0.25">
      <c r="A14792" t="str">
        <f>"6732052696"</f>
        <v>6732052696</v>
      </c>
      <c r="B14792" t="s">
        <v>20555</v>
      </c>
      <c r="C14792" t="s">
        <v>7</v>
      </c>
      <c r="D14792" t="s">
        <v>14</v>
      </c>
      <c r="E14792" t="s">
        <v>20318</v>
      </c>
      <c r="F14792" t="s">
        <v>20556</v>
      </c>
    </row>
    <row r="14793" spans="1:6" x14ac:dyDescent="0.25">
      <c r="A14793" t="str">
        <f>"673205370351"</f>
        <v>673205370351</v>
      </c>
      <c r="B14793" t="s">
        <v>20557</v>
      </c>
      <c r="C14793" t="s">
        <v>7</v>
      </c>
      <c r="D14793" t="s">
        <v>14</v>
      </c>
      <c r="E14793" t="s">
        <v>20318</v>
      </c>
    </row>
    <row r="14794" spans="1:6" x14ac:dyDescent="0.25">
      <c r="A14794" t="str">
        <f>"6732103319"</f>
        <v>6732103319</v>
      </c>
      <c r="B14794" t="s">
        <v>20558</v>
      </c>
      <c r="C14794" t="s">
        <v>7</v>
      </c>
      <c r="D14794" t="s">
        <v>189</v>
      </c>
      <c r="E14794" t="s">
        <v>20318</v>
      </c>
      <c r="F14794" t="s">
        <v>20559</v>
      </c>
    </row>
    <row r="14795" spans="1:6" x14ac:dyDescent="0.25">
      <c r="A14795" t="str">
        <f>"6732105877"</f>
        <v>6732105877</v>
      </c>
      <c r="B14795" t="s">
        <v>4710</v>
      </c>
      <c r="C14795" t="s">
        <v>7</v>
      </c>
      <c r="D14795" t="s">
        <v>33</v>
      </c>
      <c r="E14795" t="s">
        <v>20318</v>
      </c>
      <c r="F14795" t="s">
        <v>20560</v>
      </c>
    </row>
    <row r="14796" spans="1:6" x14ac:dyDescent="0.25">
      <c r="A14796" t="str">
        <f>"6732120748"</f>
        <v>6732120748</v>
      </c>
      <c r="B14796" t="s">
        <v>20561</v>
      </c>
      <c r="C14796" t="s">
        <v>7</v>
      </c>
      <c r="D14796" t="s">
        <v>33</v>
      </c>
      <c r="E14796" t="s">
        <v>20318</v>
      </c>
      <c r="F14796" t="s">
        <v>20562</v>
      </c>
    </row>
    <row r="14797" spans="1:6" x14ac:dyDescent="0.25">
      <c r="A14797" t="str">
        <f>"6732129878"</f>
        <v>6732129878</v>
      </c>
      <c r="B14797" t="s">
        <v>20563</v>
      </c>
      <c r="C14797" t="s">
        <v>7</v>
      </c>
      <c r="D14797" t="s">
        <v>674</v>
      </c>
      <c r="E14797" t="s">
        <v>20318</v>
      </c>
      <c r="F14797" t="s">
        <v>20564</v>
      </c>
    </row>
    <row r="14798" spans="1:6" x14ac:dyDescent="0.25">
      <c r="A14798" t="str">
        <f>"6732142131"</f>
        <v>6732142131</v>
      </c>
      <c r="B14798" t="s">
        <v>6983</v>
      </c>
      <c r="C14798" t="s">
        <v>7</v>
      </c>
      <c r="D14798" t="s">
        <v>12</v>
      </c>
      <c r="E14798" t="s">
        <v>20318</v>
      </c>
      <c r="F14798" t="s">
        <v>20565</v>
      </c>
    </row>
    <row r="14799" spans="1:6" x14ac:dyDescent="0.25">
      <c r="A14799" t="str">
        <f>"6732146697"</f>
        <v>6732146697</v>
      </c>
      <c r="B14799" t="s">
        <v>20566</v>
      </c>
      <c r="C14799" t="s">
        <v>7</v>
      </c>
      <c r="D14799" t="s">
        <v>674</v>
      </c>
      <c r="E14799" t="s">
        <v>20318</v>
      </c>
      <c r="F14799" t="s">
        <v>20567</v>
      </c>
    </row>
    <row r="14800" spans="1:6" x14ac:dyDescent="0.25">
      <c r="A14800" t="str">
        <f>"6732147066"</f>
        <v>6732147066</v>
      </c>
      <c r="B14800" t="s">
        <v>20568</v>
      </c>
      <c r="C14800" t="s">
        <v>7</v>
      </c>
      <c r="D14800" t="s">
        <v>12</v>
      </c>
      <c r="E14800" t="s">
        <v>20318</v>
      </c>
      <c r="F14800" t="s">
        <v>20569</v>
      </c>
    </row>
    <row r="14801" spans="1:6" x14ac:dyDescent="0.25">
      <c r="A14801" t="str">
        <f>"6732163886"</f>
        <v>6732163886</v>
      </c>
      <c r="B14801" t="s">
        <v>20570</v>
      </c>
      <c r="C14801" t="s">
        <v>7</v>
      </c>
      <c r="D14801" t="s">
        <v>14</v>
      </c>
      <c r="E14801" t="s">
        <v>20318</v>
      </c>
      <c r="F14801" t="s">
        <v>20571</v>
      </c>
    </row>
    <row r="14802" spans="1:6" x14ac:dyDescent="0.25">
      <c r="A14802" t="str">
        <f>"6732169736"</f>
        <v>6732169736</v>
      </c>
      <c r="B14802" t="s">
        <v>20572</v>
      </c>
      <c r="C14802" t="s">
        <v>7</v>
      </c>
      <c r="D14802" t="s">
        <v>674</v>
      </c>
      <c r="E14802" t="s">
        <v>20318</v>
      </c>
      <c r="F14802" t="s">
        <v>20573</v>
      </c>
    </row>
    <row r="14803" spans="1:6" x14ac:dyDescent="0.25">
      <c r="A14803" t="str">
        <f>"6732183071"</f>
        <v>6732183071</v>
      </c>
      <c r="B14803" t="s">
        <v>20574</v>
      </c>
      <c r="C14803" t="s">
        <v>7</v>
      </c>
      <c r="D14803" t="s">
        <v>33</v>
      </c>
      <c r="E14803" t="s">
        <v>20318</v>
      </c>
      <c r="F14803" t="s">
        <v>20575</v>
      </c>
    </row>
    <row r="14804" spans="1:6" x14ac:dyDescent="0.25">
      <c r="A14804" t="str">
        <f>"6732208167"</f>
        <v>6732208167</v>
      </c>
      <c r="B14804" t="s">
        <v>20576</v>
      </c>
      <c r="C14804" t="s">
        <v>7</v>
      </c>
      <c r="D14804" t="s">
        <v>12</v>
      </c>
      <c r="E14804" t="s">
        <v>20318</v>
      </c>
      <c r="F14804" t="s">
        <v>20577</v>
      </c>
    </row>
    <row r="14805" spans="1:6" x14ac:dyDescent="0.25">
      <c r="A14805" t="str">
        <f>"6732227642"</f>
        <v>6732227642</v>
      </c>
      <c r="B14805" t="s">
        <v>20578</v>
      </c>
      <c r="C14805" t="s">
        <v>7</v>
      </c>
      <c r="D14805" t="s">
        <v>460</v>
      </c>
      <c r="E14805" t="s">
        <v>20318</v>
      </c>
      <c r="F14805" t="s">
        <v>20579</v>
      </c>
    </row>
    <row r="14806" spans="1:6" x14ac:dyDescent="0.25">
      <c r="A14806" t="str">
        <f>"6732235139"</f>
        <v>6732235139</v>
      </c>
      <c r="B14806" t="s">
        <v>17477</v>
      </c>
      <c r="C14806" t="s">
        <v>7</v>
      </c>
      <c r="D14806" t="s">
        <v>33</v>
      </c>
      <c r="E14806" t="s">
        <v>20318</v>
      </c>
      <c r="F14806" t="s">
        <v>20580</v>
      </c>
    </row>
    <row r="14807" spans="1:6" x14ac:dyDescent="0.25">
      <c r="A14807" t="str">
        <f>"6732238080"</f>
        <v>6732238080</v>
      </c>
      <c r="B14807" t="s">
        <v>20581</v>
      </c>
      <c r="C14807" t="s">
        <v>7</v>
      </c>
      <c r="D14807" t="s">
        <v>189</v>
      </c>
      <c r="E14807" t="s">
        <v>20318</v>
      </c>
      <c r="F14807" t="s">
        <v>20582</v>
      </c>
    </row>
    <row r="14808" spans="1:6" x14ac:dyDescent="0.25">
      <c r="A14808" t="str">
        <f>"771878374197"</f>
        <v>771878374197</v>
      </c>
      <c r="B14808" t="s">
        <v>20583</v>
      </c>
      <c r="C14808" t="s">
        <v>7</v>
      </c>
      <c r="D14808" t="s">
        <v>14</v>
      </c>
      <c r="E14808" t="s">
        <v>20318</v>
      </c>
    </row>
    <row r="14809" spans="1:6" x14ac:dyDescent="0.25">
      <c r="A14809" t="str">
        <f>"6829124993"</f>
        <v>6829124993</v>
      </c>
      <c r="B14809" t="s">
        <v>7139</v>
      </c>
      <c r="C14809" t="s">
        <v>7</v>
      </c>
      <c r="D14809" t="s">
        <v>14</v>
      </c>
      <c r="E14809" t="s">
        <v>20584</v>
      </c>
      <c r="F14809" t="s">
        <v>20585</v>
      </c>
    </row>
    <row r="14810" spans="1:6" x14ac:dyDescent="0.25">
      <c r="A14810" t="str">
        <f>"6829138146"</f>
        <v>6829138146</v>
      </c>
      <c r="B14810" t="s">
        <v>20586</v>
      </c>
      <c r="C14810" t="s">
        <v>7</v>
      </c>
      <c r="D14810" t="s">
        <v>12</v>
      </c>
      <c r="E14810" t="s">
        <v>20584</v>
      </c>
      <c r="F14810" t="s">
        <v>20587</v>
      </c>
    </row>
    <row r="14811" spans="1:6" x14ac:dyDescent="0.25">
      <c r="A14811" t="str">
        <f>"6829139816"</f>
        <v>6829139816</v>
      </c>
      <c r="B14811" t="s">
        <v>20588</v>
      </c>
      <c r="C14811" t="s">
        <v>7</v>
      </c>
      <c r="D14811" t="s">
        <v>14</v>
      </c>
      <c r="E14811" t="s">
        <v>20584</v>
      </c>
      <c r="F14811" t="s">
        <v>20589</v>
      </c>
    </row>
    <row r="14812" spans="1:6" x14ac:dyDescent="0.25">
      <c r="A14812" t="str">
        <f>"6829140716"</f>
        <v>6829140716</v>
      </c>
      <c r="B14812" t="s">
        <v>20590</v>
      </c>
      <c r="C14812" t="s">
        <v>7</v>
      </c>
      <c r="D14812" t="s">
        <v>14</v>
      </c>
      <c r="E14812" t="s">
        <v>20584</v>
      </c>
      <c r="F14812" t="s">
        <v>20591</v>
      </c>
    </row>
    <row r="14813" spans="1:6" x14ac:dyDescent="0.25">
      <c r="A14813" t="str">
        <f>"682963229051"</f>
        <v>682963229051</v>
      </c>
      <c r="B14813" t="s">
        <v>20592</v>
      </c>
      <c r="C14813" t="s">
        <v>7</v>
      </c>
      <c r="D14813" t="s">
        <v>14</v>
      </c>
      <c r="E14813" t="s">
        <v>20584</v>
      </c>
    </row>
    <row r="14814" spans="1:6" x14ac:dyDescent="0.25">
      <c r="A14814" t="str">
        <f>"682963793300"</f>
        <v>682963793300</v>
      </c>
      <c r="B14814" t="s">
        <v>20593</v>
      </c>
      <c r="C14814" t="s">
        <v>7</v>
      </c>
      <c r="D14814" t="s">
        <v>33</v>
      </c>
      <c r="E14814" t="s">
        <v>20584</v>
      </c>
    </row>
    <row r="14815" spans="1:6" x14ac:dyDescent="0.25">
      <c r="A14815" t="str">
        <f>"683000259302"</f>
        <v>683000259302</v>
      </c>
      <c r="B14815" t="s">
        <v>20594</v>
      </c>
      <c r="C14815" t="s">
        <v>7</v>
      </c>
      <c r="D14815" t="s">
        <v>14</v>
      </c>
      <c r="E14815" t="s">
        <v>20584</v>
      </c>
    </row>
    <row r="14816" spans="1:6" x14ac:dyDescent="0.25">
      <c r="A14816" t="str">
        <f>"683002413775"</f>
        <v>683002413775</v>
      </c>
      <c r="B14816" t="s">
        <v>20595</v>
      </c>
      <c r="C14816" t="s">
        <v>7</v>
      </c>
      <c r="D14816" t="s">
        <v>12</v>
      </c>
      <c r="E14816" t="s">
        <v>20584</v>
      </c>
    </row>
    <row r="14817" spans="1:6" x14ac:dyDescent="0.25">
      <c r="A14817" t="str">
        <f>"6831004608"</f>
        <v>6831004608</v>
      </c>
      <c r="B14817" t="s">
        <v>20596</v>
      </c>
      <c r="C14817" t="s">
        <v>7</v>
      </c>
      <c r="D14817" t="s">
        <v>14</v>
      </c>
      <c r="E14817" t="s">
        <v>20584</v>
      </c>
      <c r="F14817" t="s">
        <v>20597</v>
      </c>
    </row>
    <row r="14818" spans="1:6" x14ac:dyDescent="0.25">
      <c r="A14818" t="str">
        <f>"683101128070"</f>
        <v>683101128070</v>
      </c>
      <c r="B14818" t="s">
        <v>20598</v>
      </c>
      <c r="C14818" t="s">
        <v>7</v>
      </c>
      <c r="D14818" t="s">
        <v>12</v>
      </c>
      <c r="E14818" t="s">
        <v>20584</v>
      </c>
    </row>
    <row r="14819" spans="1:6" x14ac:dyDescent="0.25">
      <c r="A14819" t="str">
        <f>"683200028422"</f>
        <v>683200028422</v>
      </c>
      <c r="B14819" t="s">
        <v>20599</v>
      </c>
      <c r="C14819" t="s">
        <v>7</v>
      </c>
      <c r="D14819" t="s">
        <v>12</v>
      </c>
      <c r="E14819" t="s">
        <v>20584</v>
      </c>
    </row>
    <row r="14820" spans="1:6" x14ac:dyDescent="0.25">
      <c r="A14820" t="str">
        <f>"6832039272"</f>
        <v>6832039272</v>
      </c>
      <c r="B14820" t="s">
        <v>20600</v>
      </c>
      <c r="C14820" t="s">
        <v>7</v>
      </c>
      <c r="D14820" t="s">
        <v>463</v>
      </c>
      <c r="E14820" t="s">
        <v>20584</v>
      </c>
      <c r="F14820" t="s">
        <v>20601</v>
      </c>
    </row>
    <row r="14821" spans="1:6" x14ac:dyDescent="0.25">
      <c r="A14821" t="str">
        <f>"683205410339"</f>
        <v>683205410339</v>
      </c>
      <c r="B14821" t="s">
        <v>20602</v>
      </c>
      <c r="C14821" t="s">
        <v>7</v>
      </c>
      <c r="D14821" t="s">
        <v>14</v>
      </c>
      <c r="E14821" t="s">
        <v>20584</v>
      </c>
    </row>
    <row r="14822" spans="1:6" x14ac:dyDescent="0.25">
      <c r="A14822" t="str">
        <f>"683210144178"</f>
        <v>683210144178</v>
      </c>
      <c r="B14822" t="s">
        <v>20603</v>
      </c>
      <c r="C14822" t="s">
        <v>7</v>
      </c>
      <c r="D14822" t="s">
        <v>14</v>
      </c>
      <c r="E14822" t="s">
        <v>20584</v>
      </c>
    </row>
    <row r="14823" spans="1:6" x14ac:dyDescent="0.25">
      <c r="A14823" t="str">
        <f>"683211387720"</f>
        <v>683211387720</v>
      </c>
      <c r="B14823" t="s">
        <v>20604</v>
      </c>
      <c r="C14823" t="s">
        <v>7</v>
      </c>
      <c r="D14823" t="s">
        <v>33</v>
      </c>
      <c r="E14823" t="s">
        <v>20584</v>
      </c>
    </row>
    <row r="14824" spans="1:6" x14ac:dyDescent="0.25">
      <c r="A14824" t="str">
        <f>"682802188679"</f>
        <v>682802188679</v>
      </c>
      <c r="B14824" t="s">
        <v>20605</v>
      </c>
      <c r="C14824" t="s">
        <v>7</v>
      </c>
      <c r="D14824" t="s">
        <v>14</v>
      </c>
      <c r="E14824" t="s">
        <v>20584</v>
      </c>
    </row>
    <row r="14825" spans="1:6" x14ac:dyDescent="0.25">
      <c r="A14825" t="str">
        <f>"6829066558"</f>
        <v>6829066558</v>
      </c>
      <c r="B14825" t="s">
        <v>20606</v>
      </c>
      <c r="C14825" t="s">
        <v>7</v>
      </c>
      <c r="D14825" t="s">
        <v>14</v>
      </c>
      <c r="E14825" t="s">
        <v>20584</v>
      </c>
      <c r="F14825" t="s">
        <v>20607</v>
      </c>
    </row>
    <row r="14826" spans="1:6" x14ac:dyDescent="0.25">
      <c r="A14826" t="str">
        <f>"682962626391"</f>
        <v>682962626391</v>
      </c>
      <c r="B14826" t="s">
        <v>20608</v>
      </c>
      <c r="C14826" t="s">
        <v>7</v>
      </c>
      <c r="D14826" t="s">
        <v>14</v>
      </c>
      <c r="E14826" t="s">
        <v>20584</v>
      </c>
    </row>
    <row r="14827" spans="1:6" x14ac:dyDescent="0.25">
      <c r="A14827" t="str">
        <f>"682964315345"</f>
        <v>682964315345</v>
      </c>
      <c r="B14827" t="s">
        <v>20609</v>
      </c>
      <c r="C14827" t="s">
        <v>7</v>
      </c>
      <c r="D14827" t="s">
        <v>14</v>
      </c>
      <c r="E14827" t="s">
        <v>20584</v>
      </c>
    </row>
    <row r="14828" spans="1:6" x14ac:dyDescent="0.25">
      <c r="A14828" t="str">
        <f>"683000241009"</f>
        <v>683000241009</v>
      </c>
      <c r="B14828" t="s">
        <v>20610</v>
      </c>
      <c r="C14828" t="s">
        <v>7</v>
      </c>
      <c r="D14828" t="s">
        <v>14</v>
      </c>
      <c r="E14828" t="s">
        <v>20584</v>
      </c>
    </row>
    <row r="14829" spans="1:6" x14ac:dyDescent="0.25">
      <c r="A14829" t="str">
        <f>"683003013931"</f>
        <v>683003013931</v>
      </c>
      <c r="B14829" t="s">
        <v>20611</v>
      </c>
      <c r="C14829" t="s">
        <v>7</v>
      </c>
      <c r="D14829" t="s">
        <v>14</v>
      </c>
      <c r="E14829" t="s">
        <v>20584</v>
      </c>
    </row>
    <row r="14830" spans="1:6" x14ac:dyDescent="0.25">
      <c r="A14830" t="str">
        <f>"683101853791"</f>
        <v>683101853791</v>
      </c>
      <c r="B14830" t="s">
        <v>20612</v>
      </c>
      <c r="C14830" t="s">
        <v>7</v>
      </c>
      <c r="D14830" t="s">
        <v>12</v>
      </c>
      <c r="E14830" t="s">
        <v>20584</v>
      </c>
    </row>
    <row r="14831" spans="1:6" x14ac:dyDescent="0.25">
      <c r="A14831" t="str">
        <f>"6833013534"</f>
        <v>6833013534</v>
      </c>
      <c r="B14831" t="s">
        <v>20613</v>
      </c>
      <c r="C14831" t="s">
        <v>7</v>
      </c>
      <c r="D14831" t="s">
        <v>14</v>
      </c>
      <c r="E14831" t="s">
        <v>20584</v>
      </c>
      <c r="F14831" t="s">
        <v>20614</v>
      </c>
    </row>
    <row r="14832" spans="1:6" x14ac:dyDescent="0.25">
      <c r="A14832" t="str">
        <f>"683302719323"</f>
        <v>683302719323</v>
      </c>
      <c r="B14832" t="s">
        <v>20615</v>
      </c>
      <c r="C14832" t="s">
        <v>7</v>
      </c>
      <c r="D14832" t="s">
        <v>14</v>
      </c>
      <c r="E14832" t="s">
        <v>20584</v>
      </c>
    </row>
    <row r="14833" spans="1:6" x14ac:dyDescent="0.25">
      <c r="A14833" t="str">
        <f>"682901333239"</f>
        <v>682901333239</v>
      </c>
      <c r="B14833" t="s">
        <v>20616</v>
      </c>
      <c r="C14833" t="s">
        <v>7</v>
      </c>
      <c r="D14833" t="s">
        <v>14</v>
      </c>
      <c r="E14833" t="s">
        <v>20584</v>
      </c>
    </row>
    <row r="14834" spans="1:6" x14ac:dyDescent="0.25">
      <c r="A14834" t="str">
        <f>"6829105510"</f>
        <v>6829105510</v>
      </c>
      <c r="B14834" t="s">
        <v>20617</v>
      </c>
      <c r="C14834" t="s">
        <v>7</v>
      </c>
      <c r="D14834" t="s">
        <v>14</v>
      </c>
      <c r="E14834" t="s">
        <v>20584</v>
      </c>
      <c r="F14834" t="s">
        <v>20618</v>
      </c>
    </row>
    <row r="14835" spans="1:6" x14ac:dyDescent="0.25">
      <c r="A14835" t="str">
        <f>"6829123492"</f>
        <v>6829123492</v>
      </c>
      <c r="B14835" t="s">
        <v>10000</v>
      </c>
      <c r="C14835" t="s">
        <v>7</v>
      </c>
      <c r="D14835" t="s">
        <v>12</v>
      </c>
      <c r="E14835" t="s">
        <v>20584</v>
      </c>
      <c r="F14835" t="s">
        <v>20619</v>
      </c>
    </row>
    <row r="14836" spans="1:6" x14ac:dyDescent="0.25">
      <c r="A14836" t="str">
        <f>"6829138160"</f>
        <v>6829138160</v>
      </c>
      <c r="B14836" t="s">
        <v>20620</v>
      </c>
      <c r="C14836" t="s">
        <v>7</v>
      </c>
      <c r="D14836" t="s">
        <v>12</v>
      </c>
      <c r="E14836" t="s">
        <v>20584</v>
      </c>
      <c r="F14836" t="s">
        <v>20621</v>
      </c>
    </row>
    <row r="14837" spans="1:6" x14ac:dyDescent="0.25">
      <c r="A14837" t="str">
        <f>"6829148786"</f>
        <v>6829148786</v>
      </c>
      <c r="B14837" t="s">
        <v>8781</v>
      </c>
      <c r="C14837" t="s">
        <v>7</v>
      </c>
      <c r="D14837" t="s">
        <v>146</v>
      </c>
      <c r="E14837" t="s">
        <v>20584</v>
      </c>
      <c r="F14837" t="s">
        <v>20622</v>
      </c>
    </row>
    <row r="14838" spans="1:6" x14ac:dyDescent="0.25">
      <c r="A14838" t="str">
        <f>"6829162357"</f>
        <v>6829162357</v>
      </c>
      <c r="B14838" t="s">
        <v>20623</v>
      </c>
      <c r="C14838" t="s">
        <v>7</v>
      </c>
      <c r="D14838" t="s">
        <v>12</v>
      </c>
      <c r="E14838" t="s">
        <v>20584</v>
      </c>
      <c r="F14838" t="s">
        <v>20624</v>
      </c>
    </row>
    <row r="14839" spans="1:6" x14ac:dyDescent="0.25">
      <c r="A14839" t="str">
        <f>"682962272400"</f>
        <v>682962272400</v>
      </c>
      <c r="B14839" t="s">
        <v>20625</v>
      </c>
      <c r="C14839" t="s">
        <v>7</v>
      </c>
      <c r="D14839" t="s">
        <v>14</v>
      </c>
      <c r="E14839" t="s">
        <v>20584</v>
      </c>
    </row>
    <row r="14840" spans="1:6" x14ac:dyDescent="0.25">
      <c r="A14840" t="str">
        <f>"682963200091"</f>
        <v>682963200091</v>
      </c>
      <c r="B14840" t="s">
        <v>20626</v>
      </c>
      <c r="C14840" t="s">
        <v>7</v>
      </c>
      <c r="D14840" t="s">
        <v>14</v>
      </c>
      <c r="E14840" t="s">
        <v>20584</v>
      </c>
    </row>
    <row r="14841" spans="1:6" x14ac:dyDescent="0.25">
      <c r="A14841" t="str">
        <f>"682964525590"</f>
        <v>682964525590</v>
      </c>
      <c r="B14841" t="s">
        <v>20627</v>
      </c>
      <c r="C14841" t="s">
        <v>7</v>
      </c>
      <c r="D14841" t="s">
        <v>14</v>
      </c>
      <c r="E14841" t="s">
        <v>20584</v>
      </c>
    </row>
    <row r="14842" spans="1:6" x14ac:dyDescent="0.25">
      <c r="A14842" t="str">
        <f>"682968348158"</f>
        <v>682968348158</v>
      </c>
      <c r="B14842" t="s">
        <v>20628</v>
      </c>
      <c r="C14842" t="s">
        <v>7</v>
      </c>
      <c r="D14842" t="s">
        <v>14</v>
      </c>
      <c r="E14842" t="s">
        <v>20584</v>
      </c>
    </row>
    <row r="14843" spans="1:6" x14ac:dyDescent="0.25">
      <c r="A14843" t="str">
        <f>"683001829403"</f>
        <v>683001829403</v>
      </c>
      <c r="B14843" t="s">
        <v>20629</v>
      </c>
      <c r="C14843" t="s">
        <v>7</v>
      </c>
      <c r="D14843" t="s">
        <v>14</v>
      </c>
      <c r="E14843" t="s">
        <v>20584</v>
      </c>
    </row>
    <row r="14844" spans="1:6" x14ac:dyDescent="0.25">
      <c r="A14844" t="str">
        <f>"683100997159"</f>
        <v>683100997159</v>
      </c>
      <c r="B14844" t="s">
        <v>20630</v>
      </c>
      <c r="C14844" t="s">
        <v>7</v>
      </c>
      <c r="D14844" t="s">
        <v>14</v>
      </c>
      <c r="E14844" t="s">
        <v>20584</v>
      </c>
    </row>
    <row r="14845" spans="1:6" x14ac:dyDescent="0.25">
      <c r="A14845" t="str">
        <f>"683102182000"</f>
        <v>683102182000</v>
      </c>
      <c r="B14845" t="s">
        <v>20631</v>
      </c>
      <c r="C14845" t="s">
        <v>7</v>
      </c>
      <c r="D14845" t="s">
        <v>14</v>
      </c>
      <c r="E14845" t="s">
        <v>20584</v>
      </c>
    </row>
    <row r="14846" spans="1:6" x14ac:dyDescent="0.25">
      <c r="A14846" t="str">
        <f>"6832040165"</f>
        <v>6832040165</v>
      </c>
      <c r="B14846" t="s">
        <v>20632</v>
      </c>
      <c r="C14846" t="s">
        <v>7</v>
      </c>
      <c r="D14846" t="s">
        <v>12</v>
      </c>
      <c r="E14846" t="s">
        <v>20584</v>
      </c>
      <c r="F14846" t="s">
        <v>20633</v>
      </c>
    </row>
    <row r="14847" spans="1:6" x14ac:dyDescent="0.25">
      <c r="A14847" t="str">
        <f>"683209387200"</f>
        <v>683209387200</v>
      </c>
      <c r="B14847" t="s">
        <v>20634</v>
      </c>
      <c r="C14847" t="s">
        <v>7</v>
      </c>
      <c r="D14847" t="s">
        <v>12</v>
      </c>
      <c r="E14847" t="s">
        <v>20584</v>
      </c>
    </row>
    <row r="14848" spans="1:6" x14ac:dyDescent="0.25">
      <c r="A14848" t="str">
        <f>"683300528500"</f>
        <v>683300528500</v>
      </c>
      <c r="B14848" t="s">
        <v>20635</v>
      </c>
      <c r="C14848" t="s">
        <v>7</v>
      </c>
      <c r="D14848" t="s">
        <v>14</v>
      </c>
      <c r="E14848" t="s">
        <v>20584</v>
      </c>
    </row>
    <row r="14849" spans="1:6" x14ac:dyDescent="0.25">
      <c r="A14849" t="str">
        <f>"683302605781"</f>
        <v>683302605781</v>
      </c>
      <c r="B14849" t="s">
        <v>20636</v>
      </c>
      <c r="C14849" t="s">
        <v>7</v>
      </c>
      <c r="D14849" t="s">
        <v>14</v>
      </c>
      <c r="E14849" t="s">
        <v>20584</v>
      </c>
    </row>
    <row r="14850" spans="1:6" x14ac:dyDescent="0.25">
      <c r="A14850" t="str">
        <f>"683306884511"</f>
        <v>683306884511</v>
      </c>
      <c r="B14850" t="s">
        <v>20637</v>
      </c>
      <c r="C14850" t="s">
        <v>7</v>
      </c>
      <c r="D14850" t="s">
        <v>14</v>
      </c>
      <c r="E14850" t="s">
        <v>20584</v>
      </c>
    </row>
    <row r="14851" spans="1:6" x14ac:dyDescent="0.25">
      <c r="A14851" t="str">
        <f>"623011673404"</f>
        <v>623011673404</v>
      </c>
      <c r="B14851" t="s">
        <v>20638</v>
      </c>
      <c r="C14851" t="s">
        <v>7</v>
      </c>
      <c r="D14851" t="s">
        <v>14</v>
      </c>
      <c r="E14851" t="s">
        <v>20584</v>
      </c>
    </row>
    <row r="14852" spans="1:6" x14ac:dyDescent="0.25">
      <c r="A14852" t="str">
        <f>"041102508753"</f>
        <v>041102508753</v>
      </c>
      <c r="B14852" t="s">
        <v>20639</v>
      </c>
      <c r="C14852" t="s">
        <v>7</v>
      </c>
      <c r="D14852" t="s">
        <v>14</v>
      </c>
      <c r="E14852" t="s">
        <v>20584</v>
      </c>
    </row>
    <row r="14853" spans="1:6" x14ac:dyDescent="0.25">
      <c r="A14853" t="str">
        <f>"366315174713"</f>
        <v>366315174713</v>
      </c>
      <c r="B14853" t="s">
        <v>20640</v>
      </c>
      <c r="C14853" t="s">
        <v>7</v>
      </c>
      <c r="D14853" t="s">
        <v>14</v>
      </c>
      <c r="E14853" t="s">
        <v>20584</v>
      </c>
    </row>
    <row r="14854" spans="1:6" x14ac:dyDescent="0.25">
      <c r="A14854" t="str">
        <f>"6820036365"</f>
        <v>6820036365</v>
      </c>
      <c r="B14854" t="s">
        <v>20641</v>
      </c>
      <c r="C14854" t="s">
        <v>7</v>
      </c>
      <c r="D14854" t="s">
        <v>12</v>
      </c>
      <c r="E14854" t="s">
        <v>20584</v>
      </c>
      <c r="F14854" t="s">
        <v>20642</v>
      </c>
    </row>
    <row r="14855" spans="1:6" x14ac:dyDescent="0.25">
      <c r="A14855" t="str">
        <f>"6829127320"</f>
        <v>6829127320</v>
      </c>
      <c r="B14855" t="s">
        <v>20643</v>
      </c>
      <c r="C14855" t="s">
        <v>7</v>
      </c>
      <c r="D14855" t="s">
        <v>12</v>
      </c>
      <c r="E14855" t="s">
        <v>20584</v>
      </c>
      <c r="F14855" t="s">
        <v>20644</v>
      </c>
    </row>
    <row r="14856" spans="1:6" x14ac:dyDescent="0.25">
      <c r="A14856" t="str">
        <f>"682971521885"</f>
        <v>682971521885</v>
      </c>
      <c r="B14856" t="s">
        <v>20645</v>
      </c>
      <c r="C14856" t="s">
        <v>7</v>
      </c>
      <c r="D14856" t="s">
        <v>12</v>
      </c>
      <c r="E14856" t="s">
        <v>20584</v>
      </c>
    </row>
    <row r="14857" spans="1:6" x14ac:dyDescent="0.25">
      <c r="A14857" t="str">
        <f>"6832030103"</f>
        <v>6832030103</v>
      </c>
      <c r="B14857" t="s">
        <v>20646</v>
      </c>
      <c r="C14857" t="s">
        <v>7</v>
      </c>
      <c r="D14857" t="s">
        <v>12</v>
      </c>
      <c r="E14857" t="s">
        <v>20584</v>
      </c>
      <c r="F14857" t="s">
        <v>20647</v>
      </c>
    </row>
    <row r="14858" spans="1:6" x14ac:dyDescent="0.25">
      <c r="A14858" t="str">
        <f>"683207473550"</f>
        <v>683207473550</v>
      </c>
      <c r="B14858" t="s">
        <v>20648</v>
      </c>
      <c r="C14858" t="s">
        <v>7</v>
      </c>
      <c r="D14858" t="s">
        <v>12</v>
      </c>
      <c r="E14858" t="s">
        <v>20584</v>
      </c>
    </row>
    <row r="14859" spans="1:6" x14ac:dyDescent="0.25">
      <c r="A14859" t="str">
        <f>"6833000704"</f>
        <v>6833000704</v>
      </c>
      <c r="B14859" t="s">
        <v>20649</v>
      </c>
      <c r="C14859" t="s">
        <v>7</v>
      </c>
      <c r="D14859" t="s">
        <v>14</v>
      </c>
      <c r="E14859" t="s">
        <v>20584</v>
      </c>
      <c r="F14859" t="s">
        <v>20650</v>
      </c>
    </row>
    <row r="14860" spans="1:6" x14ac:dyDescent="0.25">
      <c r="A14860" t="str">
        <f>"680300999454"</f>
        <v>680300999454</v>
      </c>
      <c r="B14860" t="s">
        <v>20651</v>
      </c>
      <c r="C14860" t="s">
        <v>7</v>
      </c>
      <c r="D14860" t="s">
        <v>14</v>
      </c>
      <c r="E14860" t="s">
        <v>20584</v>
      </c>
    </row>
    <row r="14861" spans="1:6" x14ac:dyDescent="0.25">
      <c r="A14861" t="str">
        <f>"680904131798"</f>
        <v>680904131798</v>
      </c>
      <c r="B14861" t="s">
        <v>20652</v>
      </c>
      <c r="C14861" t="s">
        <v>7</v>
      </c>
      <c r="D14861" t="s">
        <v>14</v>
      </c>
      <c r="E14861" t="s">
        <v>20584</v>
      </c>
    </row>
    <row r="14862" spans="1:6" x14ac:dyDescent="0.25">
      <c r="A14862" t="str">
        <f>"681100198321"</f>
        <v>681100198321</v>
      </c>
      <c r="B14862" t="s">
        <v>20653</v>
      </c>
      <c r="C14862" t="s">
        <v>7</v>
      </c>
      <c r="D14862" t="s">
        <v>12</v>
      </c>
      <c r="E14862" t="s">
        <v>20584</v>
      </c>
    </row>
    <row r="14863" spans="1:6" x14ac:dyDescent="0.25">
      <c r="A14863" t="str">
        <f>"6812004881"</f>
        <v>6812004881</v>
      </c>
      <c r="B14863" t="s">
        <v>20654</v>
      </c>
      <c r="C14863" t="s">
        <v>7</v>
      </c>
      <c r="D14863" t="s">
        <v>14</v>
      </c>
      <c r="E14863" t="s">
        <v>20584</v>
      </c>
      <c r="F14863" t="s">
        <v>20655</v>
      </c>
    </row>
    <row r="14864" spans="1:6" x14ac:dyDescent="0.25">
      <c r="A14864" t="str">
        <f>"681204381106"</f>
        <v>681204381106</v>
      </c>
      <c r="B14864" t="s">
        <v>20656</v>
      </c>
      <c r="C14864" t="s">
        <v>7</v>
      </c>
      <c r="D14864" t="s">
        <v>14</v>
      </c>
      <c r="E14864" t="s">
        <v>20584</v>
      </c>
    </row>
    <row r="14865" spans="1:6" x14ac:dyDescent="0.25">
      <c r="A14865" t="str">
        <f>"681500790596"</f>
        <v>681500790596</v>
      </c>
      <c r="B14865" t="s">
        <v>20657</v>
      </c>
      <c r="C14865" t="s">
        <v>7</v>
      </c>
      <c r="D14865" t="s">
        <v>14</v>
      </c>
      <c r="E14865" t="s">
        <v>20584</v>
      </c>
    </row>
    <row r="14866" spans="1:6" x14ac:dyDescent="0.25">
      <c r="A14866" t="str">
        <f>"6819000808"</f>
        <v>6819000808</v>
      </c>
      <c r="B14866" t="s">
        <v>20658</v>
      </c>
      <c r="C14866" t="s">
        <v>7</v>
      </c>
      <c r="D14866" t="s">
        <v>14</v>
      </c>
      <c r="E14866" t="s">
        <v>20584</v>
      </c>
      <c r="F14866" t="s">
        <v>20659</v>
      </c>
    </row>
    <row r="14867" spans="1:6" x14ac:dyDescent="0.25">
      <c r="A14867" t="str">
        <f>"682002960208"</f>
        <v>682002960208</v>
      </c>
      <c r="B14867" t="s">
        <v>20660</v>
      </c>
      <c r="C14867" t="s">
        <v>7</v>
      </c>
      <c r="D14867" t="s">
        <v>14</v>
      </c>
      <c r="E14867" t="s">
        <v>20584</v>
      </c>
    </row>
    <row r="14868" spans="1:6" x14ac:dyDescent="0.25">
      <c r="A14868" t="str">
        <f>"682010020328"</f>
        <v>682010020328</v>
      </c>
      <c r="B14868" t="s">
        <v>20661</v>
      </c>
      <c r="C14868" t="s">
        <v>7</v>
      </c>
      <c r="D14868" t="s">
        <v>14</v>
      </c>
      <c r="E14868" t="s">
        <v>20584</v>
      </c>
    </row>
    <row r="14869" spans="1:6" x14ac:dyDescent="0.25">
      <c r="A14869" t="str">
        <f>"682012359821"</f>
        <v>682012359821</v>
      </c>
      <c r="B14869" t="s">
        <v>20662</v>
      </c>
      <c r="C14869" t="s">
        <v>7</v>
      </c>
      <c r="D14869" t="s">
        <v>14</v>
      </c>
      <c r="E14869" t="s">
        <v>20584</v>
      </c>
    </row>
    <row r="14870" spans="1:6" x14ac:dyDescent="0.25">
      <c r="A14870" t="str">
        <f>"682200880748"</f>
        <v>682200880748</v>
      </c>
      <c r="B14870" t="s">
        <v>20663</v>
      </c>
      <c r="C14870" t="s">
        <v>7</v>
      </c>
      <c r="D14870" t="s">
        <v>14</v>
      </c>
      <c r="E14870" t="s">
        <v>20584</v>
      </c>
    </row>
    <row r="14871" spans="1:6" x14ac:dyDescent="0.25">
      <c r="A14871" t="str">
        <f>"682401349953"</f>
        <v>682401349953</v>
      </c>
      <c r="B14871" t="s">
        <v>20664</v>
      </c>
      <c r="C14871" t="s">
        <v>7</v>
      </c>
      <c r="D14871" t="s">
        <v>14</v>
      </c>
      <c r="E14871" t="s">
        <v>20584</v>
      </c>
    </row>
    <row r="14872" spans="1:6" x14ac:dyDescent="0.25">
      <c r="A14872" t="str">
        <f>"682401876050"</f>
        <v>682401876050</v>
      </c>
      <c r="B14872" t="s">
        <v>20665</v>
      </c>
      <c r="C14872" t="s">
        <v>7</v>
      </c>
      <c r="D14872" t="s">
        <v>14</v>
      </c>
      <c r="E14872" t="s">
        <v>20584</v>
      </c>
    </row>
    <row r="14873" spans="1:6" x14ac:dyDescent="0.25">
      <c r="A14873" t="str">
        <f>"682701971107"</f>
        <v>682701971107</v>
      </c>
      <c r="B14873" t="s">
        <v>20666</v>
      </c>
      <c r="C14873" t="s">
        <v>7</v>
      </c>
      <c r="D14873" t="s">
        <v>14</v>
      </c>
      <c r="E14873" t="s">
        <v>20584</v>
      </c>
    </row>
    <row r="14874" spans="1:6" x14ac:dyDescent="0.25">
      <c r="A14874" t="str">
        <f>"682708470237"</f>
        <v>682708470237</v>
      </c>
      <c r="B14874" t="s">
        <v>20667</v>
      </c>
      <c r="C14874" t="s">
        <v>7</v>
      </c>
      <c r="D14874" t="s">
        <v>12</v>
      </c>
      <c r="E14874" t="s">
        <v>20584</v>
      </c>
    </row>
    <row r="14875" spans="1:6" x14ac:dyDescent="0.25">
      <c r="A14875" t="str">
        <f>"682709428943"</f>
        <v>682709428943</v>
      </c>
      <c r="B14875" t="s">
        <v>20668</v>
      </c>
      <c r="C14875" t="s">
        <v>7</v>
      </c>
      <c r="D14875" t="s">
        <v>12</v>
      </c>
      <c r="E14875" t="s">
        <v>20584</v>
      </c>
    </row>
    <row r="14876" spans="1:6" x14ac:dyDescent="0.25">
      <c r="A14876" t="str">
        <f>"682709473248"</f>
        <v>682709473248</v>
      </c>
      <c r="B14876" t="s">
        <v>20669</v>
      </c>
      <c r="C14876" t="s">
        <v>7</v>
      </c>
      <c r="D14876" t="s">
        <v>12</v>
      </c>
      <c r="E14876" t="s">
        <v>20584</v>
      </c>
    </row>
    <row r="14877" spans="1:6" x14ac:dyDescent="0.25">
      <c r="A14877" t="str">
        <f>"682901119933"</f>
        <v>682901119933</v>
      </c>
      <c r="B14877" t="s">
        <v>20670</v>
      </c>
      <c r="C14877" t="s">
        <v>7</v>
      </c>
      <c r="D14877" t="s">
        <v>14</v>
      </c>
      <c r="E14877" t="s">
        <v>20584</v>
      </c>
    </row>
    <row r="14878" spans="1:6" x14ac:dyDescent="0.25">
      <c r="A14878" t="str">
        <f>"6829019702"</f>
        <v>6829019702</v>
      </c>
      <c r="B14878" t="s">
        <v>20671</v>
      </c>
      <c r="C14878" t="s">
        <v>7</v>
      </c>
      <c r="D14878" t="s">
        <v>12</v>
      </c>
      <c r="E14878" t="s">
        <v>20584</v>
      </c>
      <c r="F14878" t="s">
        <v>20672</v>
      </c>
    </row>
    <row r="14879" spans="1:6" x14ac:dyDescent="0.25">
      <c r="A14879" t="str">
        <f>"6829021652"</f>
        <v>6829021652</v>
      </c>
      <c r="B14879" t="s">
        <v>20673</v>
      </c>
      <c r="C14879" t="s">
        <v>7</v>
      </c>
      <c r="D14879" t="s">
        <v>463</v>
      </c>
      <c r="E14879" t="s">
        <v>20584</v>
      </c>
      <c r="F14879" t="s">
        <v>20674</v>
      </c>
    </row>
    <row r="14880" spans="1:6" x14ac:dyDescent="0.25">
      <c r="A14880" t="str">
        <f>"6829028601"</f>
        <v>6829028601</v>
      </c>
      <c r="B14880" t="s">
        <v>20675</v>
      </c>
      <c r="C14880" t="s">
        <v>7</v>
      </c>
      <c r="D14880" t="s">
        <v>14</v>
      </c>
      <c r="E14880" t="s">
        <v>20584</v>
      </c>
      <c r="F14880" t="s">
        <v>20672</v>
      </c>
    </row>
    <row r="14881" spans="1:6" x14ac:dyDescent="0.25">
      <c r="A14881" t="str">
        <f>"6829067664"</f>
        <v>6829067664</v>
      </c>
      <c r="B14881" t="s">
        <v>20676</v>
      </c>
      <c r="C14881" t="s">
        <v>7</v>
      </c>
      <c r="D14881" t="s">
        <v>14</v>
      </c>
      <c r="E14881" t="s">
        <v>20584</v>
      </c>
      <c r="F14881" t="s">
        <v>20677</v>
      </c>
    </row>
    <row r="14882" spans="1:6" x14ac:dyDescent="0.25">
      <c r="A14882" t="str">
        <f>"6829078401"</f>
        <v>6829078401</v>
      </c>
      <c r="B14882" t="s">
        <v>20678</v>
      </c>
      <c r="C14882" t="s">
        <v>7</v>
      </c>
      <c r="D14882" t="s">
        <v>12</v>
      </c>
      <c r="E14882" t="s">
        <v>20584</v>
      </c>
      <c r="F14882" t="s">
        <v>20679</v>
      </c>
    </row>
    <row r="14883" spans="1:6" x14ac:dyDescent="0.25">
      <c r="A14883" t="str">
        <f>"6829079532"</f>
        <v>6829079532</v>
      </c>
      <c r="B14883" t="s">
        <v>20680</v>
      </c>
      <c r="C14883" t="s">
        <v>7</v>
      </c>
      <c r="D14883" t="s">
        <v>12</v>
      </c>
      <c r="E14883" t="s">
        <v>20584</v>
      </c>
      <c r="F14883" t="s">
        <v>20681</v>
      </c>
    </row>
    <row r="14884" spans="1:6" x14ac:dyDescent="0.25">
      <c r="A14884" t="str">
        <f>"6829082398"</f>
        <v>6829082398</v>
      </c>
      <c r="B14884" t="s">
        <v>17098</v>
      </c>
      <c r="C14884" t="s">
        <v>7</v>
      </c>
      <c r="D14884" t="s">
        <v>33</v>
      </c>
      <c r="E14884" t="s">
        <v>20584</v>
      </c>
      <c r="F14884" t="s">
        <v>20682</v>
      </c>
    </row>
    <row r="14885" spans="1:6" x14ac:dyDescent="0.25">
      <c r="A14885" t="str">
        <f>"6829089019"</f>
        <v>6829089019</v>
      </c>
      <c r="B14885" t="s">
        <v>20683</v>
      </c>
      <c r="C14885" t="s">
        <v>7</v>
      </c>
      <c r="D14885" t="s">
        <v>14</v>
      </c>
      <c r="E14885" t="s">
        <v>20584</v>
      </c>
      <c r="F14885" t="s">
        <v>20684</v>
      </c>
    </row>
    <row r="14886" spans="1:6" x14ac:dyDescent="0.25">
      <c r="A14886" t="str">
        <f>"6829095936"</f>
        <v>6829095936</v>
      </c>
      <c r="B14886" t="s">
        <v>20685</v>
      </c>
      <c r="C14886" t="s">
        <v>7</v>
      </c>
      <c r="D14886" t="s">
        <v>12</v>
      </c>
      <c r="E14886" t="s">
        <v>20584</v>
      </c>
      <c r="F14886" t="s">
        <v>20686</v>
      </c>
    </row>
    <row r="14887" spans="1:6" x14ac:dyDescent="0.25">
      <c r="A14887" t="str">
        <f>"6800009388"</f>
        <v>6800009388</v>
      </c>
      <c r="B14887" t="s">
        <v>20687</v>
      </c>
      <c r="C14887" t="s">
        <v>7</v>
      </c>
      <c r="D14887" t="s">
        <v>12</v>
      </c>
      <c r="E14887" t="s">
        <v>20584</v>
      </c>
      <c r="F14887" t="s">
        <v>20688</v>
      </c>
    </row>
    <row r="14888" spans="1:6" x14ac:dyDescent="0.25">
      <c r="A14888" t="str">
        <f>"6800010778"</f>
        <v>6800010778</v>
      </c>
      <c r="B14888" t="s">
        <v>20689</v>
      </c>
      <c r="C14888" t="s">
        <v>7</v>
      </c>
      <c r="D14888" t="s">
        <v>14</v>
      </c>
      <c r="E14888" t="s">
        <v>20584</v>
      </c>
      <c r="F14888" t="s">
        <v>20690</v>
      </c>
    </row>
    <row r="14889" spans="1:6" x14ac:dyDescent="0.25">
      <c r="A14889" t="str">
        <f>"680502375057"</f>
        <v>680502375057</v>
      </c>
      <c r="B14889" t="s">
        <v>20691</v>
      </c>
      <c r="C14889" t="s">
        <v>7</v>
      </c>
      <c r="D14889" t="s">
        <v>14</v>
      </c>
      <c r="E14889" t="s">
        <v>20584</v>
      </c>
    </row>
    <row r="14890" spans="1:6" x14ac:dyDescent="0.25">
      <c r="A14890" t="str">
        <f>"681100670960"</f>
        <v>681100670960</v>
      </c>
      <c r="B14890" t="s">
        <v>20692</v>
      </c>
      <c r="C14890" t="s">
        <v>7</v>
      </c>
      <c r="D14890" t="s">
        <v>12</v>
      </c>
      <c r="E14890" t="s">
        <v>20584</v>
      </c>
    </row>
    <row r="14891" spans="1:6" x14ac:dyDescent="0.25">
      <c r="A14891" t="str">
        <f>"681200002389"</f>
        <v>681200002389</v>
      </c>
      <c r="B14891" t="s">
        <v>20693</v>
      </c>
      <c r="C14891" t="s">
        <v>7</v>
      </c>
      <c r="D14891" t="s">
        <v>14</v>
      </c>
      <c r="E14891" t="s">
        <v>20584</v>
      </c>
    </row>
    <row r="14892" spans="1:6" x14ac:dyDescent="0.25">
      <c r="A14892" t="str">
        <f>"681800026705"</f>
        <v>681800026705</v>
      </c>
      <c r="B14892" t="s">
        <v>20694</v>
      </c>
      <c r="C14892" t="s">
        <v>7</v>
      </c>
      <c r="D14892" t="s">
        <v>586</v>
      </c>
      <c r="E14892" t="s">
        <v>20584</v>
      </c>
    </row>
    <row r="14893" spans="1:6" x14ac:dyDescent="0.25">
      <c r="A14893" t="str">
        <f>"6820010695"</f>
        <v>6820010695</v>
      </c>
      <c r="B14893" t="s">
        <v>20695</v>
      </c>
      <c r="C14893" t="s">
        <v>7</v>
      </c>
      <c r="D14893" t="s">
        <v>14</v>
      </c>
      <c r="E14893" t="s">
        <v>20584</v>
      </c>
      <c r="F14893" t="s">
        <v>20696</v>
      </c>
    </row>
    <row r="14894" spans="1:6" x14ac:dyDescent="0.25">
      <c r="A14894" t="str">
        <f>"682004036023"</f>
        <v>682004036023</v>
      </c>
      <c r="B14894" t="s">
        <v>20697</v>
      </c>
      <c r="C14894" t="s">
        <v>7</v>
      </c>
      <c r="D14894" t="s">
        <v>14</v>
      </c>
      <c r="E14894" t="s">
        <v>20584</v>
      </c>
    </row>
    <row r="14895" spans="1:6" x14ac:dyDescent="0.25">
      <c r="A14895" t="str">
        <f>"682014389363"</f>
        <v>682014389363</v>
      </c>
      <c r="B14895" t="s">
        <v>20698</v>
      </c>
      <c r="C14895" t="s">
        <v>7</v>
      </c>
      <c r="D14895" t="s">
        <v>14</v>
      </c>
      <c r="E14895" t="s">
        <v>20584</v>
      </c>
    </row>
    <row r="14896" spans="1:6" x14ac:dyDescent="0.25">
      <c r="A14896" t="str">
        <f>"682400297043"</f>
        <v>682400297043</v>
      </c>
      <c r="B14896" t="s">
        <v>20699</v>
      </c>
      <c r="C14896" t="s">
        <v>7</v>
      </c>
      <c r="D14896" t="s">
        <v>14</v>
      </c>
      <c r="E14896" t="s">
        <v>20584</v>
      </c>
    </row>
    <row r="14897" spans="1:6" x14ac:dyDescent="0.25">
      <c r="A14897" t="str">
        <f>"6825007216"</f>
        <v>6825007216</v>
      </c>
      <c r="B14897" t="s">
        <v>20700</v>
      </c>
      <c r="C14897" t="s">
        <v>7</v>
      </c>
      <c r="D14897" t="s">
        <v>14</v>
      </c>
      <c r="E14897" t="s">
        <v>20584</v>
      </c>
      <c r="F14897" t="s">
        <v>20701</v>
      </c>
    </row>
    <row r="14898" spans="1:6" x14ac:dyDescent="0.25">
      <c r="A14898" t="str">
        <f>"682600183163"</f>
        <v>682600183163</v>
      </c>
      <c r="B14898" t="s">
        <v>20702</v>
      </c>
      <c r="C14898" t="s">
        <v>7</v>
      </c>
      <c r="D14898" t="s">
        <v>14</v>
      </c>
      <c r="E14898" t="s">
        <v>20584</v>
      </c>
    </row>
    <row r="14899" spans="1:6" x14ac:dyDescent="0.25">
      <c r="A14899" t="str">
        <f>"682668307577"</f>
        <v>682668307577</v>
      </c>
      <c r="B14899" t="s">
        <v>20703</v>
      </c>
      <c r="C14899" t="s">
        <v>7</v>
      </c>
      <c r="D14899" t="s">
        <v>14</v>
      </c>
      <c r="E14899" t="s">
        <v>20584</v>
      </c>
    </row>
    <row r="14900" spans="1:6" x14ac:dyDescent="0.25">
      <c r="A14900" t="str">
        <f>"682704154008"</f>
        <v>682704154008</v>
      </c>
      <c r="B14900" t="s">
        <v>20704</v>
      </c>
      <c r="C14900" t="s">
        <v>7</v>
      </c>
      <c r="D14900" t="s">
        <v>14</v>
      </c>
      <c r="E14900" t="s">
        <v>20584</v>
      </c>
    </row>
    <row r="14901" spans="1:6" x14ac:dyDescent="0.25">
      <c r="A14901" t="str">
        <f>"682707727948"</f>
        <v>682707727948</v>
      </c>
      <c r="B14901" t="s">
        <v>20705</v>
      </c>
      <c r="C14901" t="s">
        <v>7</v>
      </c>
      <c r="D14901" t="s">
        <v>14</v>
      </c>
      <c r="E14901" t="s">
        <v>20584</v>
      </c>
    </row>
    <row r="14902" spans="1:6" x14ac:dyDescent="0.25">
      <c r="A14902" t="str">
        <f>"682708183360"</f>
        <v>682708183360</v>
      </c>
      <c r="B14902" t="s">
        <v>20706</v>
      </c>
      <c r="C14902" t="s">
        <v>7</v>
      </c>
      <c r="D14902" t="s">
        <v>14</v>
      </c>
      <c r="E14902" t="s">
        <v>20584</v>
      </c>
    </row>
    <row r="14903" spans="1:6" x14ac:dyDescent="0.25">
      <c r="A14903" t="str">
        <f>"680301371711"</f>
        <v>680301371711</v>
      </c>
      <c r="B14903" t="s">
        <v>20707</v>
      </c>
      <c r="C14903" t="s">
        <v>7</v>
      </c>
      <c r="D14903" t="s">
        <v>12</v>
      </c>
      <c r="E14903" t="s">
        <v>20584</v>
      </c>
    </row>
    <row r="14904" spans="1:6" x14ac:dyDescent="0.25">
      <c r="A14904" t="str">
        <f>"680700801860"</f>
        <v>680700801860</v>
      </c>
      <c r="B14904" t="s">
        <v>20708</v>
      </c>
      <c r="C14904" t="s">
        <v>7</v>
      </c>
      <c r="D14904" t="s">
        <v>14</v>
      </c>
      <c r="E14904" t="s">
        <v>20584</v>
      </c>
    </row>
    <row r="14905" spans="1:6" x14ac:dyDescent="0.25">
      <c r="A14905" t="str">
        <f>"680701329802"</f>
        <v>680701329802</v>
      </c>
      <c r="B14905" t="s">
        <v>20709</v>
      </c>
      <c r="C14905" t="s">
        <v>7</v>
      </c>
      <c r="D14905" t="s">
        <v>14</v>
      </c>
      <c r="E14905" t="s">
        <v>20584</v>
      </c>
    </row>
    <row r="14906" spans="1:6" x14ac:dyDescent="0.25">
      <c r="A14906" t="str">
        <f>"680801545500"</f>
        <v>680801545500</v>
      </c>
      <c r="B14906" t="s">
        <v>20710</v>
      </c>
      <c r="C14906" t="s">
        <v>7</v>
      </c>
      <c r="D14906" t="s">
        <v>14</v>
      </c>
      <c r="E14906" t="s">
        <v>20584</v>
      </c>
    </row>
    <row r="14907" spans="1:6" x14ac:dyDescent="0.25">
      <c r="A14907" t="str">
        <f>"682002075595"</f>
        <v>682002075595</v>
      </c>
      <c r="B14907" t="s">
        <v>20711</v>
      </c>
      <c r="C14907" t="s">
        <v>7</v>
      </c>
      <c r="D14907" t="s">
        <v>14</v>
      </c>
      <c r="E14907" t="s">
        <v>20584</v>
      </c>
    </row>
    <row r="14908" spans="1:6" x14ac:dyDescent="0.25">
      <c r="A14908" t="str">
        <f>"6820042376"</f>
        <v>6820042376</v>
      </c>
      <c r="B14908" t="s">
        <v>20712</v>
      </c>
      <c r="C14908" t="s">
        <v>7</v>
      </c>
      <c r="D14908" t="s">
        <v>12</v>
      </c>
      <c r="E14908" t="s">
        <v>20584</v>
      </c>
      <c r="F14908" t="s">
        <v>20713</v>
      </c>
    </row>
    <row r="14909" spans="1:6" x14ac:dyDescent="0.25">
      <c r="A14909" t="str">
        <f>"682007102651"</f>
        <v>682007102651</v>
      </c>
      <c r="B14909" t="s">
        <v>20714</v>
      </c>
      <c r="C14909" t="s">
        <v>7</v>
      </c>
      <c r="D14909" t="s">
        <v>14</v>
      </c>
      <c r="E14909" t="s">
        <v>20584</v>
      </c>
    </row>
    <row r="14910" spans="1:6" x14ac:dyDescent="0.25">
      <c r="A14910" t="str">
        <f>"682200094039"</f>
        <v>682200094039</v>
      </c>
      <c r="B14910" t="s">
        <v>20715</v>
      </c>
      <c r="C14910" t="s">
        <v>7</v>
      </c>
      <c r="D14910" t="s">
        <v>14</v>
      </c>
      <c r="E14910" t="s">
        <v>20584</v>
      </c>
    </row>
    <row r="14911" spans="1:6" x14ac:dyDescent="0.25">
      <c r="A14911" t="str">
        <f>"682500945971"</f>
        <v>682500945971</v>
      </c>
      <c r="B14911" t="s">
        <v>20716</v>
      </c>
      <c r="C14911" t="s">
        <v>7</v>
      </c>
      <c r="D14911" t="s">
        <v>14</v>
      </c>
      <c r="E14911" t="s">
        <v>20584</v>
      </c>
    </row>
    <row r="14912" spans="1:6" x14ac:dyDescent="0.25">
      <c r="A14912" t="str">
        <f>"682701940395"</f>
        <v>682701940395</v>
      </c>
      <c r="B14912" t="s">
        <v>20717</v>
      </c>
      <c r="C14912" t="s">
        <v>7</v>
      </c>
      <c r="D14912" t="s">
        <v>14</v>
      </c>
      <c r="E14912" t="s">
        <v>20584</v>
      </c>
    </row>
    <row r="14913" spans="1:6" x14ac:dyDescent="0.25">
      <c r="A14913" t="str">
        <f>"682705442697"</f>
        <v>682705442697</v>
      </c>
      <c r="B14913" t="s">
        <v>20718</v>
      </c>
      <c r="C14913" t="s">
        <v>7</v>
      </c>
      <c r="D14913" t="s">
        <v>14</v>
      </c>
      <c r="E14913" t="s">
        <v>20584</v>
      </c>
    </row>
    <row r="14914" spans="1:6" x14ac:dyDescent="0.25">
      <c r="A14914" t="str">
        <f>"682707086934"</f>
        <v>682707086934</v>
      </c>
      <c r="B14914" t="s">
        <v>20719</v>
      </c>
      <c r="C14914" t="s">
        <v>7</v>
      </c>
      <c r="D14914" t="s">
        <v>14</v>
      </c>
      <c r="E14914" t="s">
        <v>20584</v>
      </c>
    </row>
    <row r="14915" spans="1:6" x14ac:dyDescent="0.25">
      <c r="A14915" t="str">
        <f>"682707302800"</f>
        <v>682707302800</v>
      </c>
      <c r="B14915" t="s">
        <v>20720</v>
      </c>
      <c r="C14915" t="s">
        <v>7</v>
      </c>
      <c r="D14915" t="s">
        <v>14</v>
      </c>
      <c r="E14915" t="s">
        <v>20584</v>
      </c>
    </row>
    <row r="14916" spans="1:6" x14ac:dyDescent="0.25">
      <c r="A14916" t="str">
        <f>"682714604520"</f>
        <v>682714604520</v>
      </c>
      <c r="B14916" t="s">
        <v>20721</v>
      </c>
      <c r="C14916" t="s">
        <v>7</v>
      </c>
      <c r="D14916" t="s">
        <v>14</v>
      </c>
      <c r="E14916" t="s">
        <v>20584</v>
      </c>
    </row>
    <row r="14917" spans="1:6" x14ac:dyDescent="0.25">
      <c r="A14917" t="str">
        <f>"682800076338"</f>
        <v>682800076338</v>
      </c>
      <c r="B14917" t="s">
        <v>20722</v>
      </c>
      <c r="C14917" t="s">
        <v>7</v>
      </c>
      <c r="D14917" t="s">
        <v>14</v>
      </c>
      <c r="E14917" t="s">
        <v>20584</v>
      </c>
    </row>
    <row r="14918" spans="1:6" x14ac:dyDescent="0.25">
      <c r="A14918" t="str">
        <f>"6828007944"</f>
        <v>6828007944</v>
      </c>
      <c r="B14918" t="s">
        <v>20723</v>
      </c>
      <c r="C14918" t="s">
        <v>7</v>
      </c>
      <c r="D14918" t="s">
        <v>12</v>
      </c>
      <c r="E14918" t="s">
        <v>20584</v>
      </c>
      <c r="F14918" t="s">
        <v>20724</v>
      </c>
    </row>
    <row r="14919" spans="1:6" x14ac:dyDescent="0.25">
      <c r="A14919" t="str">
        <f>"682803393712"</f>
        <v>682803393712</v>
      </c>
      <c r="B14919" t="s">
        <v>20725</v>
      </c>
      <c r="C14919" t="s">
        <v>7</v>
      </c>
      <c r="D14919" t="s">
        <v>14</v>
      </c>
      <c r="E14919" t="s">
        <v>20584</v>
      </c>
    </row>
    <row r="14920" spans="1:6" x14ac:dyDescent="0.25">
      <c r="A14920" t="str">
        <f>"490903185343"</f>
        <v>490903185343</v>
      </c>
      <c r="B14920" t="s">
        <v>20726</v>
      </c>
      <c r="C14920" t="s">
        <v>7</v>
      </c>
      <c r="D14920" t="s">
        <v>14</v>
      </c>
      <c r="E14920" t="s">
        <v>20727</v>
      </c>
    </row>
    <row r="14921" spans="1:6" x14ac:dyDescent="0.25">
      <c r="A14921" t="str">
        <f>"6900001618"</f>
        <v>6900001618</v>
      </c>
      <c r="B14921" t="s">
        <v>20728</v>
      </c>
      <c r="C14921" t="s">
        <v>7</v>
      </c>
      <c r="D14921" t="s">
        <v>14</v>
      </c>
      <c r="E14921" t="s">
        <v>20727</v>
      </c>
      <c r="F14921" t="s">
        <v>20729</v>
      </c>
    </row>
    <row r="14922" spans="1:6" x14ac:dyDescent="0.25">
      <c r="A14922" t="str">
        <f>"6900012948"</f>
        <v>6900012948</v>
      </c>
      <c r="B14922" t="s">
        <v>20730</v>
      </c>
      <c r="C14922" t="s">
        <v>7</v>
      </c>
      <c r="D14922" t="s">
        <v>12</v>
      </c>
      <c r="E14922" t="s">
        <v>20727</v>
      </c>
      <c r="F14922" t="s">
        <v>20731</v>
      </c>
    </row>
    <row r="14923" spans="1:6" x14ac:dyDescent="0.25">
      <c r="A14923" t="str">
        <f>"690100064474"</f>
        <v>690100064474</v>
      </c>
      <c r="B14923" t="s">
        <v>20732</v>
      </c>
      <c r="C14923" t="s">
        <v>7</v>
      </c>
      <c r="D14923" t="s">
        <v>14</v>
      </c>
      <c r="E14923" t="s">
        <v>20727</v>
      </c>
    </row>
    <row r="14924" spans="1:6" x14ac:dyDescent="0.25">
      <c r="A14924" t="str">
        <f>"6901032601"</f>
        <v>6901032601</v>
      </c>
      <c r="B14924" t="s">
        <v>20733</v>
      </c>
      <c r="C14924" t="s">
        <v>7</v>
      </c>
      <c r="D14924" t="s">
        <v>8</v>
      </c>
      <c r="E14924" t="s">
        <v>20727</v>
      </c>
      <c r="F14924" t="s">
        <v>20734</v>
      </c>
    </row>
    <row r="14925" spans="1:6" x14ac:dyDescent="0.25">
      <c r="A14925" t="str">
        <f>"6901044685"</f>
        <v>6901044685</v>
      </c>
      <c r="B14925" t="s">
        <v>17388</v>
      </c>
      <c r="C14925" t="s">
        <v>7</v>
      </c>
      <c r="D14925" t="s">
        <v>674</v>
      </c>
      <c r="E14925" t="s">
        <v>20727</v>
      </c>
      <c r="F14925" t="s">
        <v>20735</v>
      </c>
    </row>
    <row r="14926" spans="1:6" x14ac:dyDescent="0.25">
      <c r="A14926" t="str">
        <f>"690141221870"</f>
        <v>690141221870</v>
      </c>
      <c r="B14926" t="s">
        <v>18959</v>
      </c>
      <c r="C14926" t="s">
        <v>7</v>
      </c>
      <c r="D14926" t="s">
        <v>33</v>
      </c>
      <c r="E14926" t="s">
        <v>20727</v>
      </c>
    </row>
    <row r="14927" spans="1:6" x14ac:dyDescent="0.25">
      <c r="A14927" t="str">
        <f>"690204729765"</f>
        <v>690204729765</v>
      </c>
      <c r="B14927" t="s">
        <v>20736</v>
      </c>
      <c r="C14927" t="s">
        <v>7</v>
      </c>
      <c r="D14927" t="s">
        <v>12</v>
      </c>
      <c r="E14927" t="s">
        <v>20727</v>
      </c>
    </row>
    <row r="14928" spans="1:6" x14ac:dyDescent="0.25">
      <c r="A14928" t="str">
        <f>"690303281851"</f>
        <v>690303281851</v>
      </c>
      <c r="B14928" t="s">
        <v>20737</v>
      </c>
      <c r="C14928" t="s">
        <v>7</v>
      </c>
      <c r="D14928" t="s">
        <v>14</v>
      </c>
      <c r="E14928" t="s">
        <v>20727</v>
      </c>
    </row>
    <row r="14929" spans="1:6" x14ac:dyDescent="0.25">
      <c r="A14929" t="str">
        <f>"690406689138"</f>
        <v>690406689138</v>
      </c>
      <c r="B14929" t="s">
        <v>20738</v>
      </c>
      <c r="C14929" t="s">
        <v>7</v>
      </c>
      <c r="D14929" t="s">
        <v>12</v>
      </c>
      <c r="E14929" t="s">
        <v>20727</v>
      </c>
    </row>
    <row r="14930" spans="1:6" x14ac:dyDescent="0.25">
      <c r="A14930" t="str">
        <f>"690601189890"</f>
        <v>690601189890</v>
      </c>
      <c r="B14930" t="s">
        <v>20739</v>
      </c>
      <c r="C14930" t="s">
        <v>7</v>
      </c>
      <c r="D14930" t="s">
        <v>14</v>
      </c>
      <c r="E14930" t="s">
        <v>20727</v>
      </c>
    </row>
    <row r="14931" spans="1:6" x14ac:dyDescent="0.25">
      <c r="A14931" t="str">
        <f>"6908015299"</f>
        <v>6908015299</v>
      </c>
      <c r="B14931" t="s">
        <v>8907</v>
      </c>
      <c r="C14931" t="s">
        <v>7</v>
      </c>
      <c r="D14931" t="s">
        <v>12</v>
      </c>
      <c r="E14931" t="s">
        <v>20727</v>
      </c>
      <c r="F14931" t="s">
        <v>20740</v>
      </c>
    </row>
    <row r="14932" spans="1:6" x14ac:dyDescent="0.25">
      <c r="A14932" t="str">
        <f>"690804697138"</f>
        <v>690804697138</v>
      </c>
      <c r="B14932" t="s">
        <v>20741</v>
      </c>
      <c r="C14932" t="s">
        <v>7</v>
      </c>
      <c r="D14932" t="s">
        <v>14</v>
      </c>
      <c r="E14932" t="s">
        <v>20727</v>
      </c>
    </row>
    <row r="14933" spans="1:6" x14ac:dyDescent="0.25">
      <c r="A14933" t="str">
        <f>"690806311703"</f>
        <v>690806311703</v>
      </c>
      <c r="B14933" t="s">
        <v>20742</v>
      </c>
      <c r="C14933" t="s">
        <v>7</v>
      </c>
      <c r="D14933" t="s">
        <v>14</v>
      </c>
      <c r="E14933" t="s">
        <v>20727</v>
      </c>
    </row>
    <row r="14934" spans="1:6" x14ac:dyDescent="0.25">
      <c r="A14934" t="str">
        <f>"690809263670"</f>
        <v>690809263670</v>
      </c>
      <c r="B14934" t="s">
        <v>20743</v>
      </c>
      <c r="C14934" t="s">
        <v>7</v>
      </c>
      <c r="D14934" t="s">
        <v>33</v>
      </c>
      <c r="E14934" t="s">
        <v>20727</v>
      </c>
    </row>
    <row r="14935" spans="1:6" x14ac:dyDescent="0.25">
      <c r="A14935" t="str">
        <f>"690893202747"</f>
        <v>690893202747</v>
      </c>
      <c r="B14935" t="s">
        <v>20744</v>
      </c>
      <c r="C14935" t="s">
        <v>7</v>
      </c>
      <c r="D14935" t="s">
        <v>14</v>
      </c>
      <c r="E14935" t="s">
        <v>20727</v>
      </c>
    </row>
    <row r="14936" spans="1:6" x14ac:dyDescent="0.25">
      <c r="A14936" t="str">
        <f>"690900011062"</f>
        <v>690900011062</v>
      </c>
      <c r="B14936" t="s">
        <v>20745</v>
      </c>
      <c r="C14936" t="s">
        <v>7</v>
      </c>
      <c r="D14936" t="s">
        <v>14</v>
      </c>
      <c r="E14936" t="s">
        <v>20727</v>
      </c>
    </row>
    <row r="14937" spans="1:6" x14ac:dyDescent="0.25">
      <c r="A14937" t="str">
        <f>"6909008255"</f>
        <v>6909008255</v>
      </c>
      <c r="B14937" t="s">
        <v>20746</v>
      </c>
      <c r="C14937" t="s">
        <v>7</v>
      </c>
      <c r="D14937" t="s">
        <v>14</v>
      </c>
      <c r="E14937" t="s">
        <v>20727</v>
      </c>
      <c r="F14937" t="s">
        <v>20747</v>
      </c>
    </row>
    <row r="14938" spans="1:6" x14ac:dyDescent="0.25">
      <c r="A14938" t="str">
        <f>"691000003906"</f>
        <v>691000003906</v>
      </c>
      <c r="B14938" t="s">
        <v>20748</v>
      </c>
      <c r="C14938" t="s">
        <v>7</v>
      </c>
      <c r="D14938" t="s">
        <v>14</v>
      </c>
      <c r="E14938" t="s">
        <v>20727</v>
      </c>
    </row>
    <row r="14939" spans="1:6" x14ac:dyDescent="0.25">
      <c r="A14939" t="str">
        <f>"691001218213"</f>
        <v>691001218213</v>
      </c>
      <c r="B14939" t="s">
        <v>20749</v>
      </c>
      <c r="C14939" t="s">
        <v>7</v>
      </c>
      <c r="D14939" t="s">
        <v>14</v>
      </c>
      <c r="E14939" t="s">
        <v>20727</v>
      </c>
    </row>
    <row r="14940" spans="1:6" x14ac:dyDescent="0.25">
      <c r="A14940" t="str">
        <f>"691003444659"</f>
        <v>691003444659</v>
      </c>
      <c r="B14940" t="s">
        <v>20750</v>
      </c>
      <c r="C14940" t="s">
        <v>7</v>
      </c>
      <c r="D14940" t="s">
        <v>14</v>
      </c>
      <c r="E14940" t="s">
        <v>20727</v>
      </c>
    </row>
    <row r="14941" spans="1:6" x14ac:dyDescent="0.25">
      <c r="A14941" t="str">
        <f>"691007542216"</f>
        <v>691007542216</v>
      </c>
      <c r="B14941" t="s">
        <v>20751</v>
      </c>
      <c r="C14941" t="s">
        <v>7</v>
      </c>
      <c r="D14941" t="s">
        <v>12</v>
      </c>
      <c r="E14941" t="s">
        <v>20727</v>
      </c>
    </row>
    <row r="14942" spans="1:6" x14ac:dyDescent="0.25">
      <c r="A14942" t="str">
        <f>"691008553250"</f>
        <v>691008553250</v>
      </c>
      <c r="B14942" t="s">
        <v>20752</v>
      </c>
      <c r="C14942" t="s">
        <v>7</v>
      </c>
      <c r="D14942" t="s">
        <v>14</v>
      </c>
      <c r="E14942" t="s">
        <v>20727</v>
      </c>
    </row>
    <row r="14943" spans="1:6" x14ac:dyDescent="0.25">
      <c r="A14943" t="str">
        <f>"691100180514"</f>
        <v>691100180514</v>
      </c>
      <c r="B14943" t="s">
        <v>20753</v>
      </c>
      <c r="C14943" t="s">
        <v>7</v>
      </c>
      <c r="D14943" t="s">
        <v>14</v>
      </c>
      <c r="E14943" t="s">
        <v>20727</v>
      </c>
    </row>
    <row r="14944" spans="1:6" x14ac:dyDescent="0.25">
      <c r="A14944" t="str">
        <f>"6911034277"</f>
        <v>6911034277</v>
      </c>
      <c r="B14944" t="s">
        <v>20754</v>
      </c>
      <c r="C14944" t="s">
        <v>7</v>
      </c>
      <c r="D14944" t="s">
        <v>14</v>
      </c>
      <c r="E14944" t="s">
        <v>20727</v>
      </c>
      <c r="F14944" t="s">
        <v>20755</v>
      </c>
    </row>
    <row r="14945" spans="1:6" x14ac:dyDescent="0.25">
      <c r="A14945" t="str">
        <f>"691104934667"</f>
        <v>691104934667</v>
      </c>
      <c r="B14945" t="s">
        <v>20756</v>
      </c>
      <c r="C14945" t="s">
        <v>7</v>
      </c>
      <c r="D14945" t="s">
        <v>14</v>
      </c>
      <c r="E14945" t="s">
        <v>20727</v>
      </c>
    </row>
    <row r="14946" spans="1:6" x14ac:dyDescent="0.25">
      <c r="A14946" t="str">
        <f>"691369969866"</f>
        <v>691369969866</v>
      </c>
      <c r="B14946" t="s">
        <v>20757</v>
      </c>
      <c r="C14946" t="s">
        <v>7</v>
      </c>
      <c r="D14946" t="s">
        <v>14</v>
      </c>
      <c r="E14946" t="s">
        <v>20727</v>
      </c>
    </row>
    <row r="14947" spans="1:6" x14ac:dyDescent="0.25">
      <c r="A14947" t="str">
        <f>"691401985248"</f>
        <v>691401985248</v>
      </c>
      <c r="B14947" t="s">
        <v>20758</v>
      </c>
      <c r="C14947" t="s">
        <v>7</v>
      </c>
      <c r="D14947" t="s">
        <v>14</v>
      </c>
      <c r="E14947" t="s">
        <v>20727</v>
      </c>
    </row>
    <row r="14948" spans="1:6" x14ac:dyDescent="0.25">
      <c r="A14948" t="str">
        <f>"691505383784"</f>
        <v>691505383784</v>
      </c>
      <c r="B14948" t="s">
        <v>20759</v>
      </c>
      <c r="C14948" t="s">
        <v>7</v>
      </c>
      <c r="D14948" t="s">
        <v>14</v>
      </c>
      <c r="E14948" t="s">
        <v>20727</v>
      </c>
    </row>
    <row r="14949" spans="1:6" x14ac:dyDescent="0.25">
      <c r="A14949" t="str">
        <f>"691900697710"</f>
        <v>691900697710</v>
      </c>
      <c r="B14949" t="s">
        <v>20760</v>
      </c>
      <c r="C14949" t="s">
        <v>7</v>
      </c>
      <c r="D14949" t="s">
        <v>14</v>
      </c>
      <c r="E14949" t="s">
        <v>20727</v>
      </c>
    </row>
    <row r="14950" spans="1:6" x14ac:dyDescent="0.25">
      <c r="A14950" t="str">
        <f>"692100053846"</f>
        <v>692100053846</v>
      </c>
      <c r="B14950" t="s">
        <v>20761</v>
      </c>
      <c r="C14950" t="s">
        <v>7</v>
      </c>
      <c r="D14950" t="s">
        <v>14</v>
      </c>
      <c r="E14950" t="s">
        <v>20727</v>
      </c>
    </row>
    <row r="14951" spans="1:6" x14ac:dyDescent="0.25">
      <c r="A14951" t="str">
        <f>"6923008200"</f>
        <v>6923008200</v>
      </c>
      <c r="B14951" t="s">
        <v>20762</v>
      </c>
      <c r="C14951" t="s">
        <v>7</v>
      </c>
      <c r="D14951" t="s">
        <v>12</v>
      </c>
      <c r="E14951" t="s">
        <v>20727</v>
      </c>
      <c r="F14951" t="s">
        <v>20763</v>
      </c>
    </row>
    <row r="14952" spans="1:6" x14ac:dyDescent="0.25">
      <c r="A14952" t="str">
        <f>"692502097473"</f>
        <v>692502097473</v>
      </c>
      <c r="B14952" t="s">
        <v>20764</v>
      </c>
      <c r="C14952" t="s">
        <v>7</v>
      </c>
      <c r="D14952" t="s">
        <v>14</v>
      </c>
      <c r="E14952" t="s">
        <v>20727</v>
      </c>
    </row>
    <row r="14953" spans="1:6" x14ac:dyDescent="0.25">
      <c r="A14953" t="str">
        <f>"692700584302"</f>
        <v>692700584302</v>
      </c>
      <c r="B14953" t="s">
        <v>20765</v>
      </c>
      <c r="C14953" t="s">
        <v>7</v>
      </c>
      <c r="D14953" t="s">
        <v>14</v>
      </c>
      <c r="E14953" t="s">
        <v>20727</v>
      </c>
    </row>
    <row r="14954" spans="1:6" x14ac:dyDescent="0.25">
      <c r="A14954" t="str">
        <f>"6927009195"</f>
        <v>6927009195</v>
      </c>
      <c r="B14954" t="s">
        <v>14602</v>
      </c>
      <c r="C14954" t="s">
        <v>7</v>
      </c>
      <c r="D14954" t="s">
        <v>14</v>
      </c>
      <c r="E14954" t="s">
        <v>20727</v>
      </c>
      <c r="F14954" t="s">
        <v>20766</v>
      </c>
    </row>
    <row r="14955" spans="1:6" x14ac:dyDescent="0.25">
      <c r="A14955" t="str">
        <f>"6931009423"</f>
        <v>6931009423</v>
      </c>
      <c r="B14955" t="s">
        <v>20767</v>
      </c>
      <c r="C14955" t="s">
        <v>7</v>
      </c>
      <c r="D14955" t="s">
        <v>14</v>
      </c>
      <c r="E14955" t="s">
        <v>20727</v>
      </c>
      <c r="F14955" t="s">
        <v>20768</v>
      </c>
    </row>
    <row r="14956" spans="1:6" x14ac:dyDescent="0.25">
      <c r="A14956" t="str">
        <f>"6932006520"</f>
        <v>6932006520</v>
      </c>
      <c r="B14956" t="s">
        <v>20769</v>
      </c>
      <c r="C14956" t="s">
        <v>7</v>
      </c>
      <c r="D14956" t="s">
        <v>14</v>
      </c>
      <c r="E14956" t="s">
        <v>20727</v>
      </c>
      <c r="F14956" t="s">
        <v>20770</v>
      </c>
    </row>
    <row r="14957" spans="1:6" x14ac:dyDescent="0.25">
      <c r="A14957" t="str">
        <f>"693502345921"</f>
        <v>693502345921</v>
      </c>
      <c r="B14957" t="s">
        <v>20771</v>
      </c>
      <c r="C14957" t="s">
        <v>7</v>
      </c>
      <c r="D14957" t="s">
        <v>14</v>
      </c>
      <c r="E14957" t="s">
        <v>20727</v>
      </c>
    </row>
    <row r="14958" spans="1:6" x14ac:dyDescent="0.25">
      <c r="A14958" t="str">
        <f>"693600220430"</f>
        <v>693600220430</v>
      </c>
      <c r="B14958" t="s">
        <v>20772</v>
      </c>
      <c r="C14958" t="s">
        <v>7</v>
      </c>
      <c r="D14958" t="s">
        <v>14</v>
      </c>
      <c r="E14958" t="s">
        <v>20727</v>
      </c>
    </row>
    <row r="14959" spans="1:6" x14ac:dyDescent="0.25">
      <c r="A14959" t="str">
        <f>"694200031430"</f>
        <v>694200031430</v>
      </c>
      <c r="B14959" t="s">
        <v>20773</v>
      </c>
      <c r="C14959" t="s">
        <v>7</v>
      </c>
      <c r="D14959" t="s">
        <v>14</v>
      </c>
      <c r="E14959" t="s">
        <v>20727</v>
      </c>
    </row>
    <row r="14960" spans="1:6" x14ac:dyDescent="0.25">
      <c r="A14960" t="str">
        <f>"6900009871"</f>
        <v>6900009871</v>
      </c>
      <c r="B14960" t="s">
        <v>20774</v>
      </c>
      <c r="C14960" t="s">
        <v>7</v>
      </c>
      <c r="D14960" t="s">
        <v>14</v>
      </c>
      <c r="E14960" t="s">
        <v>20727</v>
      </c>
      <c r="F14960" t="s">
        <v>20775</v>
      </c>
    </row>
    <row r="14961" spans="1:6" x14ac:dyDescent="0.25">
      <c r="A14961" t="str">
        <f>"690101065304"</f>
        <v>690101065304</v>
      </c>
      <c r="B14961" t="s">
        <v>20776</v>
      </c>
      <c r="C14961" t="s">
        <v>7</v>
      </c>
      <c r="D14961" t="s">
        <v>12</v>
      </c>
      <c r="E14961" t="s">
        <v>20727</v>
      </c>
    </row>
    <row r="14962" spans="1:6" x14ac:dyDescent="0.25">
      <c r="A14962" t="str">
        <f>"6901011305"</f>
        <v>6901011305</v>
      </c>
      <c r="B14962" t="s">
        <v>20777</v>
      </c>
      <c r="C14962" t="s">
        <v>7</v>
      </c>
      <c r="D14962" t="s">
        <v>12</v>
      </c>
      <c r="E14962" t="s">
        <v>20727</v>
      </c>
      <c r="F14962" t="s">
        <v>20778</v>
      </c>
    </row>
    <row r="14963" spans="1:6" x14ac:dyDescent="0.25">
      <c r="A14963" t="str">
        <f>"6901084230"</f>
        <v>6901084230</v>
      </c>
      <c r="B14963" t="s">
        <v>20779</v>
      </c>
      <c r="C14963" t="s">
        <v>7</v>
      </c>
      <c r="D14963" t="s">
        <v>14</v>
      </c>
      <c r="E14963" t="s">
        <v>20727</v>
      </c>
      <c r="F14963" t="s">
        <v>20780</v>
      </c>
    </row>
    <row r="14964" spans="1:6" x14ac:dyDescent="0.25">
      <c r="A14964" t="str">
        <f>"690139916508"</f>
        <v>690139916508</v>
      </c>
      <c r="B14964" t="s">
        <v>20781</v>
      </c>
      <c r="C14964" t="s">
        <v>7</v>
      </c>
      <c r="D14964" t="s">
        <v>12</v>
      </c>
      <c r="E14964" t="s">
        <v>20727</v>
      </c>
    </row>
    <row r="14965" spans="1:6" x14ac:dyDescent="0.25">
      <c r="A14965" t="str">
        <f>"690201107903"</f>
        <v>690201107903</v>
      </c>
      <c r="B14965" t="s">
        <v>20782</v>
      </c>
      <c r="C14965" t="s">
        <v>7</v>
      </c>
      <c r="D14965" t="s">
        <v>12</v>
      </c>
      <c r="E14965" t="s">
        <v>20727</v>
      </c>
    </row>
    <row r="14966" spans="1:6" x14ac:dyDescent="0.25">
      <c r="A14966" t="str">
        <f>"690201645620"</f>
        <v>690201645620</v>
      </c>
      <c r="B14966" t="s">
        <v>20783</v>
      </c>
      <c r="C14966" t="s">
        <v>7</v>
      </c>
      <c r="D14966" t="s">
        <v>14</v>
      </c>
      <c r="E14966" t="s">
        <v>20727</v>
      </c>
    </row>
    <row r="14967" spans="1:6" x14ac:dyDescent="0.25">
      <c r="A14967" t="str">
        <f>"690203244888"</f>
        <v>690203244888</v>
      </c>
      <c r="B14967" t="s">
        <v>20784</v>
      </c>
      <c r="C14967" t="s">
        <v>7</v>
      </c>
      <c r="D14967" t="s">
        <v>14</v>
      </c>
      <c r="E14967" t="s">
        <v>20727</v>
      </c>
    </row>
    <row r="14968" spans="1:6" x14ac:dyDescent="0.25">
      <c r="A14968" t="str">
        <f>"690209007731"</f>
        <v>690209007731</v>
      </c>
      <c r="B14968" t="s">
        <v>20785</v>
      </c>
      <c r="C14968" t="s">
        <v>7</v>
      </c>
      <c r="D14968" t="s">
        <v>14</v>
      </c>
      <c r="E14968" t="s">
        <v>20727</v>
      </c>
    </row>
    <row r="14969" spans="1:6" x14ac:dyDescent="0.25">
      <c r="A14969" t="str">
        <f>"690209780892"</f>
        <v>690209780892</v>
      </c>
      <c r="B14969" t="s">
        <v>20786</v>
      </c>
      <c r="C14969" t="s">
        <v>7</v>
      </c>
      <c r="D14969" t="s">
        <v>14</v>
      </c>
      <c r="E14969" t="s">
        <v>20727</v>
      </c>
    </row>
    <row r="14970" spans="1:6" x14ac:dyDescent="0.25">
      <c r="A14970" t="str">
        <f>"690210143129"</f>
        <v>690210143129</v>
      </c>
      <c r="B14970" t="s">
        <v>20787</v>
      </c>
      <c r="C14970" t="s">
        <v>7</v>
      </c>
      <c r="D14970" t="s">
        <v>12</v>
      </c>
      <c r="E14970" t="s">
        <v>20727</v>
      </c>
    </row>
    <row r="14971" spans="1:6" x14ac:dyDescent="0.25">
      <c r="A14971" t="str">
        <f>"690300496577"</f>
        <v>690300496577</v>
      </c>
      <c r="B14971" t="s">
        <v>20788</v>
      </c>
      <c r="C14971" t="s">
        <v>7</v>
      </c>
      <c r="D14971" t="s">
        <v>14</v>
      </c>
      <c r="E14971" t="s">
        <v>20727</v>
      </c>
    </row>
    <row r="14972" spans="1:6" x14ac:dyDescent="0.25">
      <c r="A14972" t="str">
        <f>"690300779751"</f>
        <v>690300779751</v>
      </c>
      <c r="B14972" t="s">
        <v>20789</v>
      </c>
      <c r="C14972" t="s">
        <v>7</v>
      </c>
      <c r="D14972" t="s">
        <v>14</v>
      </c>
      <c r="E14972" t="s">
        <v>20727</v>
      </c>
    </row>
    <row r="14973" spans="1:6" x14ac:dyDescent="0.25">
      <c r="A14973" t="str">
        <f>"690310030778"</f>
        <v>690310030778</v>
      </c>
      <c r="B14973" t="s">
        <v>20790</v>
      </c>
      <c r="C14973" t="s">
        <v>7</v>
      </c>
      <c r="D14973" t="s">
        <v>33</v>
      </c>
      <c r="E14973" t="s">
        <v>20727</v>
      </c>
    </row>
    <row r="14974" spans="1:6" x14ac:dyDescent="0.25">
      <c r="A14974" t="str">
        <f>"6904000439"</f>
        <v>6904000439</v>
      </c>
      <c r="B14974" t="s">
        <v>20791</v>
      </c>
      <c r="C14974" t="s">
        <v>7</v>
      </c>
      <c r="D14974" t="s">
        <v>14</v>
      </c>
      <c r="E14974" t="s">
        <v>20727</v>
      </c>
      <c r="F14974" t="s">
        <v>20792</v>
      </c>
    </row>
    <row r="14975" spans="1:6" x14ac:dyDescent="0.25">
      <c r="A14975" t="str">
        <f>"6904008639"</f>
        <v>6904008639</v>
      </c>
      <c r="B14975" t="s">
        <v>20793</v>
      </c>
      <c r="C14975" t="s">
        <v>7</v>
      </c>
      <c r="D14975" t="s">
        <v>14</v>
      </c>
      <c r="E14975" t="s">
        <v>20727</v>
      </c>
      <c r="F14975" t="s">
        <v>20794</v>
      </c>
    </row>
    <row r="14976" spans="1:6" x14ac:dyDescent="0.25">
      <c r="A14976" t="str">
        <f>"690406531849"</f>
        <v>690406531849</v>
      </c>
      <c r="B14976" t="s">
        <v>20795</v>
      </c>
      <c r="C14976" t="s">
        <v>7</v>
      </c>
      <c r="D14976" t="s">
        <v>14</v>
      </c>
      <c r="E14976" t="s">
        <v>20727</v>
      </c>
    </row>
    <row r="14977" spans="1:6" x14ac:dyDescent="0.25">
      <c r="A14977" t="str">
        <f>"690503059808"</f>
        <v>690503059808</v>
      </c>
      <c r="B14977" t="s">
        <v>20796</v>
      </c>
      <c r="C14977" t="s">
        <v>7</v>
      </c>
      <c r="D14977" t="s">
        <v>14</v>
      </c>
      <c r="E14977" t="s">
        <v>20727</v>
      </c>
    </row>
    <row r="14978" spans="1:6" x14ac:dyDescent="0.25">
      <c r="A14978" t="str">
        <f>"6905041660"</f>
        <v>6905041660</v>
      </c>
      <c r="B14978" t="s">
        <v>20797</v>
      </c>
      <c r="C14978" t="s">
        <v>7</v>
      </c>
      <c r="D14978" t="s">
        <v>12</v>
      </c>
      <c r="E14978" t="s">
        <v>20727</v>
      </c>
      <c r="F14978" t="s">
        <v>20798</v>
      </c>
    </row>
    <row r="14979" spans="1:6" x14ac:dyDescent="0.25">
      <c r="A14979" t="str">
        <f>"6905069257"</f>
        <v>6905069257</v>
      </c>
      <c r="B14979" t="s">
        <v>20799</v>
      </c>
      <c r="C14979" t="s">
        <v>7</v>
      </c>
      <c r="D14979" t="s">
        <v>14</v>
      </c>
      <c r="E14979" t="s">
        <v>20727</v>
      </c>
      <c r="F14979" t="s">
        <v>20800</v>
      </c>
    </row>
    <row r="14980" spans="1:6" x14ac:dyDescent="0.25">
      <c r="A14980" t="str">
        <f>"6906002150"</f>
        <v>6906002150</v>
      </c>
      <c r="B14980" t="s">
        <v>17694</v>
      </c>
      <c r="C14980" t="s">
        <v>7</v>
      </c>
      <c r="D14980" t="s">
        <v>14</v>
      </c>
      <c r="E14980" t="s">
        <v>20727</v>
      </c>
      <c r="F14980" t="s">
        <v>20801</v>
      </c>
    </row>
    <row r="14981" spans="1:6" x14ac:dyDescent="0.25">
      <c r="A14981" t="str">
        <f>"690604240231"</f>
        <v>690604240231</v>
      </c>
      <c r="B14981" t="s">
        <v>20802</v>
      </c>
      <c r="C14981" t="s">
        <v>7</v>
      </c>
      <c r="D14981" t="s">
        <v>14</v>
      </c>
      <c r="E14981" t="s">
        <v>20727</v>
      </c>
    </row>
    <row r="14982" spans="1:6" x14ac:dyDescent="0.25">
      <c r="A14982" t="str">
        <f>"690604938139"</f>
        <v>690604938139</v>
      </c>
      <c r="B14982" t="s">
        <v>20803</v>
      </c>
      <c r="C14982" t="s">
        <v>7</v>
      </c>
      <c r="D14982" t="s">
        <v>14</v>
      </c>
      <c r="E14982" t="s">
        <v>20727</v>
      </c>
    </row>
    <row r="14983" spans="1:6" x14ac:dyDescent="0.25">
      <c r="A14983" t="str">
        <f>"6908020676"</f>
        <v>6908020676</v>
      </c>
      <c r="B14983" t="s">
        <v>7771</v>
      </c>
      <c r="C14983" t="s">
        <v>7</v>
      </c>
      <c r="D14983" t="s">
        <v>14</v>
      </c>
      <c r="E14983" t="s">
        <v>20727</v>
      </c>
      <c r="F14983" t="s">
        <v>20804</v>
      </c>
    </row>
    <row r="14984" spans="1:6" x14ac:dyDescent="0.25">
      <c r="A14984" t="str">
        <f>"690806314768"</f>
        <v>690806314768</v>
      </c>
      <c r="B14984" t="s">
        <v>20805</v>
      </c>
      <c r="C14984" t="s">
        <v>7</v>
      </c>
      <c r="D14984" t="s">
        <v>14</v>
      </c>
      <c r="E14984" t="s">
        <v>20727</v>
      </c>
    </row>
    <row r="14985" spans="1:6" x14ac:dyDescent="0.25">
      <c r="A14985" t="str">
        <f>"690808286594"</f>
        <v>690808286594</v>
      </c>
      <c r="B14985" t="s">
        <v>20806</v>
      </c>
      <c r="C14985" t="s">
        <v>7</v>
      </c>
      <c r="D14985" t="s">
        <v>14</v>
      </c>
      <c r="E14985" t="s">
        <v>20727</v>
      </c>
    </row>
    <row r="14986" spans="1:6" x14ac:dyDescent="0.25">
      <c r="A14986" t="str">
        <f>"690900053190"</f>
        <v>690900053190</v>
      </c>
      <c r="B14986" t="s">
        <v>20807</v>
      </c>
      <c r="C14986" t="s">
        <v>7</v>
      </c>
      <c r="D14986" t="s">
        <v>14</v>
      </c>
      <c r="E14986" t="s">
        <v>20727</v>
      </c>
    </row>
    <row r="14987" spans="1:6" x14ac:dyDescent="0.25">
      <c r="A14987" t="str">
        <f>"690900099941"</f>
        <v>690900099941</v>
      </c>
      <c r="B14987" t="s">
        <v>20808</v>
      </c>
      <c r="C14987" t="s">
        <v>7</v>
      </c>
      <c r="D14987" t="s">
        <v>14</v>
      </c>
      <c r="E14987" t="s">
        <v>20727</v>
      </c>
    </row>
    <row r="14988" spans="1:6" x14ac:dyDescent="0.25">
      <c r="A14988" t="str">
        <f>"6909010504"</f>
        <v>6909010504</v>
      </c>
      <c r="B14988" t="s">
        <v>4873</v>
      </c>
      <c r="C14988" t="s">
        <v>7</v>
      </c>
      <c r="D14988" t="s">
        <v>14</v>
      </c>
      <c r="E14988" t="s">
        <v>20727</v>
      </c>
      <c r="F14988" t="s">
        <v>20809</v>
      </c>
    </row>
    <row r="14989" spans="1:6" x14ac:dyDescent="0.25">
      <c r="A14989" t="str">
        <f>"691000286468"</f>
        <v>691000286468</v>
      </c>
      <c r="B14989" t="s">
        <v>20810</v>
      </c>
      <c r="C14989" t="s">
        <v>7</v>
      </c>
      <c r="D14989" t="s">
        <v>14</v>
      </c>
      <c r="E14989" t="s">
        <v>20727</v>
      </c>
    </row>
    <row r="14990" spans="1:6" x14ac:dyDescent="0.25">
      <c r="A14990" t="str">
        <f>"691001229208"</f>
        <v>691001229208</v>
      </c>
      <c r="B14990" t="s">
        <v>20811</v>
      </c>
      <c r="C14990" t="s">
        <v>7</v>
      </c>
      <c r="D14990" t="s">
        <v>14</v>
      </c>
      <c r="E14990" t="s">
        <v>20727</v>
      </c>
    </row>
    <row r="14991" spans="1:6" x14ac:dyDescent="0.25">
      <c r="A14991" t="str">
        <f>"6910023579"</f>
        <v>6910023579</v>
      </c>
      <c r="B14991" t="s">
        <v>20812</v>
      </c>
      <c r="C14991" t="s">
        <v>7</v>
      </c>
      <c r="D14991" t="s">
        <v>33</v>
      </c>
      <c r="E14991" t="s">
        <v>20727</v>
      </c>
      <c r="F14991" t="s">
        <v>20813</v>
      </c>
    </row>
    <row r="14992" spans="1:6" x14ac:dyDescent="0.25">
      <c r="A14992" t="str">
        <f>"691004298312"</f>
        <v>691004298312</v>
      </c>
      <c r="B14992" t="s">
        <v>20814</v>
      </c>
      <c r="C14992" t="s">
        <v>7</v>
      </c>
      <c r="D14992" t="s">
        <v>14</v>
      </c>
      <c r="E14992" t="s">
        <v>20727</v>
      </c>
    </row>
    <row r="14993" spans="1:6" x14ac:dyDescent="0.25">
      <c r="A14993" t="str">
        <f>"691007359595"</f>
        <v>691007359595</v>
      </c>
      <c r="B14993" t="s">
        <v>20815</v>
      </c>
      <c r="C14993" t="s">
        <v>7</v>
      </c>
      <c r="D14993" t="s">
        <v>14</v>
      </c>
      <c r="E14993" t="s">
        <v>20727</v>
      </c>
    </row>
    <row r="14994" spans="1:6" x14ac:dyDescent="0.25">
      <c r="A14994" t="str">
        <f>"691100374566"</f>
        <v>691100374566</v>
      </c>
      <c r="B14994" t="s">
        <v>20816</v>
      </c>
      <c r="C14994" t="s">
        <v>7</v>
      </c>
      <c r="D14994" t="s">
        <v>14</v>
      </c>
      <c r="E14994" t="s">
        <v>20727</v>
      </c>
    </row>
    <row r="14995" spans="1:6" x14ac:dyDescent="0.25">
      <c r="A14995" t="str">
        <f>"691207250740"</f>
        <v>691207250740</v>
      </c>
      <c r="B14995" t="s">
        <v>20817</v>
      </c>
      <c r="C14995" t="s">
        <v>7</v>
      </c>
      <c r="D14995" t="s">
        <v>14</v>
      </c>
      <c r="E14995" t="s">
        <v>20727</v>
      </c>
    </row>
    <row r="14996" spans="1:6" x14ac:dyDescent="0.25">
      <c r="A14996" t="str">
        <f>"691400273819"</f>
        <v>691400273819</v>
      </c>
      <c r="B14996" t="s">
        <v>20818</v>
      </c>
      <c r="C14996" t="s">
        <v>7</v>
      </c>
      <c r="D14996" t="s">
        <v>14</v>
      </c>
      <c r="E14996" t="s">
        <v>20727</v>
      </c>
    </row>
    <row r="14997" spans="1:6" x14ac:dyDescent="0.25">
      <c r="A14997" t="str">
        <f>"691402451898"</f>
        <v>691402451898</v>
      </c>
      <c r="B14997" t="s">
        <v>20819</v>
      </c>
      <c r="C14997" t="s">
        <v>7</v>
      </c>
      <c r="D14997" t="s">
        <v>14</v>
      </c>
      <c r="E14997" t="s">
        <v>20727</v>
      </c>
    </row>
    <row r="14998" spans="1:6" x14ac:dyDescent="0.25">
      <c r="A14998" t="str">
        <f>"691408390627"</f>
        <v>691408390627</v>
      </c>
      <c r="B14998" t="s">
        <v>20820</v>
      </c>
      <c r="C14998" t="s">
        <v>7</v>
      </c>
      <c r="D14998" t="s">
        <v>14</v>
      </c>
      <c r="E14998" t="s">
        <v>20727</v>
      </c>
    </row>
    <row r="14999" spans="1:6" x14ac:dyDescent="0.25">
      <c r="A14999" t="str">
        <f>"691408658271"</f>
        <v>691408658271</v>
      </c>
      <c r="B14999" t="s">
        <v>20821</v>
      </c>
      <c r="C14999" t="s">
        <v>7</v>
      </c>
      <c r="D14999" t="s">
        <v>14</v>
      </c>
      <c r="E14999" t="s">
        <v>20727</v>
      </c>
    </row>
    <row r="15000" spans="1:6" x14ac:dyDescent="0.25">
      <c r="A15000" t="str">
        <f>"691500047394"</f>
        <v>691500047394</v>
      </c>
      <c r="B15000" t="s">
        <v>20822</v>
      </c>
      <c r="C15000" t="s">
        <v>7</v>
      </c>
      <c r="D15000" t="s">
        <v>14</v>
      </c>
      <c r="E15000" t="s">
        <v>20727</v>
      </c>
    </row>
    <row r="15001" spans="1:6" x14ac:dyDescent="0.25">
      <c r="A15001" t="str">
        <f>"691500792832"</f>
        <v>691500792832</v>
      </c>
      <c r="B15001" t="s">
        <v>20823</v>
      </c>
      <c r="C15001" t="s">
        <v>7</v>
      </c>
      <c r="D15001" t="s">
        <v>12</v>
      </c>
      <c r="E15001" t="s">
        <v>20727</v>
      </c>
    </row>
    <row r="15002" spans="1:6" x14ac:dyDescent="0.25">
      <c r="A15002" t="str">
        <f>"691507412991"</f>
        <v>691507412991</v>
      </c>
      <c r="B15002" t="s">
        <v>20824</v>
      </c>
      <c r="C15002" t="s">
        <v>7</v>
      </c>
      <c r="D15002" t="s">
        <v>14</v>
      </c>
      <c r="E15002" t="s">
        <v>20727</v>
      </c>
    </row>
    <row r="15003" spans="1:6" x14ac:dyDescent="0.25">
      <c r="A15003" t="str">
        <f>"692200258879"</f>
        <v>692200258879</v>
      </c>
      <c r="B15003" t="s">
        <v>20825</v>
      </c>
      <c r="C15003" t="s">
        <v>7</v>
      </c>
      <c r="D15003" t="s">
        <v>14</v>
      </c>
      <c r="E15003" t="s">
        <v>20727</v>
      </c>
    </row>
    <row r="15004" spans="1:6" x14ac:dyDescent="0.25">
      <c r="A15004" t="str">
        <f>"6923007670"</f>
        <v>6923007670</v>
      </c>
      <c r="B15004" t="s">
        <v>20826</v>
      </c>
      <c r="C15004" t="s">
        <v>7</v>
      </c>
      <c r="D15004" t="s">
        <v>14</v>
      </c>
      <c r="E15004" t="s">
        <v>20727</v>
      </c>
      <c r="F15004" t="s">
        <v>20827</v>
      </c>
    </row>
    <row r="15005" spans="1:6" x14ac:dyDescent="0.25">
      <c r="A15005" t="str">
        <f>"6924004343"</f>
        <v>6924004343</v>
      </c>
      <c r="B15005" t="s">
        <v>20828</v>
      </c>
      <c r="C15005" t="s">
        <v>7</v>
      </c>
      <c r="D15005" t="s">
        <v>14</v>
      </c>
      <c r="E15005" t="s">
        <v>20727</v>
      </c>
      <c r="F15005" t="s">
        <v>20829</v>
      </c>
    </row>
    <row r="15006" spans="1:6" x14ac:dyDescent="0.25">
      <c r="A15006" t="str">
        <f>"692403388009"</f>
        <v>692403388009</v>
      </c>
      <c r="B15006" t="s">
        <v>20830</v>
      </c>
      <c r="C15006" t="s">
        <v>7</v>
      </c>
      <c r="D15006" t="s">
        <v>14</v>
      </c>
      <c r="E15006" t="s">
        <v>20727</v>
      </c>
    </row>
    <row r="15007" spans="1:6" x14ac:dyDescent="0.25">
      <c r="A15007" t="str">
        <f>"692500713906"</f>
        <v>692500713906</v>
      </c>
      <c r="B15007" t="s">
        <v>20831</v>
      </c>
      <c r="C15007" t="s">
        <v>7</v>
      </c>
      <c r="D15007" t="s">
        <v>14</v>
      </c>
      <c r="E15007" t="s">
        <v>20727</v>
      </c>
    </row>
    <row r="15008" spans="1:6" x14ac:dyDescent="0.25">
      <c r="A15008" t="str">
        <f>"692900462950"</f>
        <v>692900462950</v>
      </c>
      <c r="B15008" t="s">
        <v>20832</v>
      </c>
      <c r="C15008" t="s">
        <v>7</v>
      </c>
      <c r="D15008" t="s">
        <v>14</v>
      </c>
      <c r="E15008" t="s">
        <v>20727</v>
      </c>
    </row>
    <row r="15009" spans="1:6" x14ac:dyDescent="0.25">
      <c r="A15009" t="str">
        <f>"693101576230"</f>
        <v>693101576230</v>
      </c>
      <c r="B15009" t="s">
        <v>20833</v>
      </c>
      <c r="C15009" t="s">
        <v>7</v>
      </c>
      <c r="D15009" t="s">
        <v>14</v>
      </c>
      <c r="E15009" t="s">
        <v>20727</v>
      </c>
    </row>
    <row r="15010" spans="1:6" x14ac:dyDescent="0.25">
      <c r="A15010" t="str">
        <f>"693202806804"</f>
        <v>693202806804</v>
      </c>
      <c r="B15010" t="s">
        <v>20834</v>
      </c>
      <c r="C15010" t="s">
        <v>7</v>
      </c>
      <c r="D15010" t="s">
        <v>12</v>
      </c>
      <c r="E15010" t="s">
        <v>20727</v>
      </c>
    </row>
    <row r="15011" spans="1:6" x14ac:dyDescent="0.25">
      <c r="A15011" t="str">
        <f>"693400456132"</f>
        <v>693400456132</v>
      </c>
      <c r="B15011" t="s">
        <v>20835</v>
      </c>
      <c r="C15011" t="s">
        <v>7</v>
      </c>
      <c r="D15011" t="s">
        <v>14</v>
      </c>
      <c r="E15011" t="s">
        <v>20727</v>
      </c>
    </row>
    <row r="15012" spans="1:6" x14ac:dyDescent="0.25">
      <c r="A15012" t="str">
        <f>"6936000833"</f>
        <v>6936000833</v>
      </c>
      <c r="B15012" t="s">
        <v>20836</v>
      </c>
      <c r="C15012" t="s">
        <v>7</v>
      </c>
      <c r="D15012" t="s">
        <v>12</v>
      </c>
      <c r="E15012" t="s">
        <v>20727</v>
      </c>
      <c r="F15012" t="s">
        <v>20837</v>
      </c>
    </row>
    <row r="15013" spans="1:6" x14ac:dyDescent="0.25">
      <c r="A15013" t="str">
        <f>"693600271308"</f>
        <v>693600271308</v>
      </c>
      <c r="B15013" t="s">
        <v>20838</v>
      </c>
      <c r="C15013" t="s">
        <v>7</v>
      </c>
      <c r="D15013" t="s">
        <v>14</v>
      </c>
      <c r="E15013" t="s">
        <v>20727</v>
      </c>
    </row>
    <row r="15014" spans="1:6" x14ac:dyDescent="0.25">
      <c r="A15014" t="str">
        <f>"6936005214"</f>
        <v>6936005214</v>
      </c>
      <c r="B15014" t="s">
        <v>14617</v>
      </c>
      <c r="C15014" t="s">
        <v>7</v>
      </c>
      <c r="D15014" t="s">
        <v>14</v>
      </c>
      <c r="E15014" t="s">
        <v>20727</v>
      </c>
      <c r="F15014" t="s">
        <v>20839</v>
      </c>
    </row>
    <row r="15015" spans="1:6" x14ac:dyDescent="0.25">
      <c r="A15015" t="str">
        <f>"5235003778"</f>
        <v>5235003778</v>
      </c>
      <c r="B15015" t="s">
        <v>20840</v>
      </c>
      <c r="C15015" t="s">
        <v>7</v>
      </c>
      <c r="D15015" t="s">
        <v>14</v>
      </c>
      <c r="E15015" t="s">
        <v>20727</v>
      </c>
      <c r="F15015" t="s">
        <v>20841</v>
      </c>
    </row>
    <row r="15016" spans="1:6" x14ac:dyDescent="0.25">
      <c r="A15016" t="str">
        <f>"6949106643"</f>
        <v>6949106643</v>
      </c>
      <c r="B15016" t="s">
        <v>20842</v>
      </c>
      <c r="C15016" t="s">
        <v>7</v>
      </c>
      <c r="D15016" t="s">
        <v>1430</v>
      </c>
      <c r="E15016" t="s">
        <v>20727</v>
      </c>
      <c r="F15016" t="s">
        <v>20843</v>
      </c>
    </row>
    <row r="15017" spans="1:6" x14ac:dyDescent="0.25">
      <c r="A15017" t="str">
        <f>"6949111273"</f>
        <v>6949111273</v>
      </c>
      <c r="B15017" t="s">
        <v>20844</v>
      </c>
      <c r="C15017" t="s">
        <v>7</v>
      </c>
      <c r="D15017" t="s">
        <v>12</v>
      </c>
      <c r="E15017" t="s">
        <v>20727</v>
      </c>
      <c r="F15017" t="s">
        <v>20845</v>
      </c>
    </row>
    <row r="15018" spans="1:6" x14ac:dyDescent="0.25">
      <c r="A15018" t="str">
        <f>"6949117155"</f>
        <v>6949117155</v>
      </c>
      <c r="B15018" t="s">
        <v>20846</v>
      </c>
      <c r="C15018" t="s">
        <v>7</v>
      </c>
      <c r="D15018" t="s">
        <v>1430</v>
      </c>
      <c r="E15018" t="s">
        <v>20727</v>
      </c>
      <c r="F15018" t="s">
        <v>20847</v>
      </c>
    </row>
    <row r="15019" spans="1:6" x14ac:dyDescent="0.25">
      <c r="A15019" t="str">
        <f>"6950040362"</f>
        <v>6950040362</v>
      </c>
      <c r="B15019" t="s">
        <v>20848</v>
      </c>
      <c r="C15019" t="s">
        <v>7</v>
      </c>
      <c r="D15019" t="s">
        <v>14</v>
      </c>
      <c r="E15019" t="s">
        <v>20727</v>
      </c>
      <c r="F15019" t="s">
        <v>20849</v>
      </c>
    </row>
    <row r="15020" spans="1:6" x14ac:dyDescent="0.25">
      <c r="A15020" t="str">
        <f>"6950061531"</f>
        <v>6950061531</v>
      </c>
      <c r="B15020" t="s">
        <v>20850</v>
      </c>
      <c r="C15020" t="s">
        <v>7</v>
      </c>
      <c r="D15020" t="s">
        <v>14</v>
      </c>
      <c r="E15020" t="s">
        <v>20727</v>
      </c>
      <c r="F15020" t="s">
        <v>20851</v>
      </c>
    </row>
    <row r="15021" spans="1:6" x14ac:dyDescent="0.25">
      <c r="A15021" t="str">
        <f>"6950099366"</f>
        <v>6950099366</v>
      </c>
      <c r="B15021" t="s">
        <v>20852</v>
      </c>
      <c r="C15021" t="s">
        <v>7</v>
      </c>
      <c r="D15021" t="s">
        <v>12</v>
      </c>
      <c r="E15021" t="s">
        <v>20727</v>
      </c>
      <c r="F15021" t="s">
        <v>20853</v>
      </c>
    </row>
    <row r="15022" spans="1:6" x14ac:dyDescent="0.25">
      <c r="A15022" t="str">
        <f>"6950141723"</f>
        <v>6950141723</v>
      </c>
      <c r="B15022" t="s">
        <v>20854</v>
      </c>
      <c r="C15022" t="s">
        <v>7</v>
      </c>
      <c r="D15022" t="s">
        <v>33</v>
      </c>
      <c r="E15022" t="s">
        <v>20727</v>
      </c>
      <c r="F15022" t="s">
        <v>20855</v>
      </c>
    </row>
    <row r="15023" spans="1:6" x14ac:dyDescent="0.25">
      <c r="A15023" t="str">
        <f>"6950186442"</f>
        <v>6950186442</v>
      </c>
      <c r="B15023" t="s">
        <v>20856</v>
      </c>
      <c r="C15023" t="s">
        <v>7</v>
      </c>
      <c r="D15023" t="s">
        <v>33</v>
      </c>
      <c r="E15023" t="s">
        <v>20727</v>
      </c>
      <c r="F15023" t="s">
        <v>20857</v>
      </c>
    </row>
    <row r="15024" spans="1:6" x14ac:dyDescent="0.25">
      <c r="A15024" t="str">
        <f>"6950193721"</f>
        <v>6950193721</v>
      </c>
      <c r="B15024" t="s">
        <v>20858</v>
      </c>
      <c r="C15024" t="s">
        <v>7</v>
      </c>
      <c r="D15024" t="s">
        <v>12</v>
      </c>
      <c r="E15024" t="s">
        <v>20727</v>
      </c>
      <c r="F15024" t="s">
        <v>20859</v>
      </c>
    </row>
    <row r="15025" spans="1:6" x14ac:dyDescent="0.25">
      <c r="A15025" t="str">
        <f>"6950203747"</f>
        <v>6950203747</v>
      </c>
      <c r="B15025" t="s">
        <v>20860</v>
      </c>
      <c r="C15025" t="s">
        <v>7</v>
      </c>
      <c r="D15025" t="s">
        <v>12</v>
      </c>
      <c r="E15025" t="s">
        <v>20727</v>
      </c>
      <c r="F15025" t="s">
        <v>20861</v>
      </c>
    </row>
    <row r="15026" spans="1:6" x14ac:dyDescent="0.25">
      <c r="A15026" t="str">
        <f>"6950204765"</f>
        <v>6950204765</v>
      </c>
      <c r="B15026" t="s">
        <v>20862</v>
      </c>
      <c r="C15026" t="s">
        <v>7</v>
      </c>
      <c r="D15026" t="s">
        <v>33</v>
      </c>
      <c r="E15026" t="s">
        <v>20727</v>
      </c>
      <c r="F15026" t="s">
        <v>20863</v>
      </c>
    </row>
    <row r="15027" spans="1:6" x14ac:dyDescent="0.25">
      <c r="A15027" t="str">
        <f>"6950208015"</f>
        <v>6950208015</v>
      </c>
      <c r="B15027" t="s">
        <v>20864</v>
      </c>
      <c r="C15027" t="s">
        <v>7</v>
      </c>
      <c r="D15027" t="s">
        <v>14</v>
      </c>
      <c r="E15027" t="s">
        <v>20727</v>
      </c>
      <c r="F15027" t="s">
        <v>20865</v>
      </c>
    </row>
    <row r="15028" spans="1:6" x14ac:dyDescent="0.25">
      <c r="A15028" t="str">
        <f>"6950214851"</f>
        <v>6950214851</v>
      </c>
      <c r="B15028" t="s">
        <v>20866</v>
      </c>
      <c r="C15028" t="s">
        <v>7</v>
      </c>
      <c r="D15028" t="s">
        <v>12</v>
      </c>
      <c r="E15028" t="s">
        <v>20727</v>
      </c>
      <c r="F15028" t="s">
        <v>20867</v>
      </c>
    </row>
    <row r="15029" spans="1:6" x14ac:dyDescent="0.25">
      <c r="A15029" t="str">
        <f>"6950220446"</f>
        <v>6950220446</v>
      </c>
      <c r="B15029" t="s">
        <v>20868</v>
      </c>
      <c r="C15029" t="s">
        <v>7</v>
      </c>
      <c r="D15029" t="s">
        <v>14</v>
      </c>
      <c r="E15029" t="s">
        <v>20727</v>
      </c>
      <c r="F15029" t="s">
        <v>20869</v>
      </c>
    </row>
    <row r="15030" spans="1:6" x14ac:dyDescent="0.25">
      <c r="A15030" t="str">
        <f>"6952001922"</f>
        <v>6952001922</v>
      </c>
      <c r="B15030" t="s">
        <v>20870</v>
      </c>
      <c r="C15030" t="s">
        <v>7</v>
      </c>
      <c r="D15030" t="s">
        <v>14</v>
      </c>
      <c r="E15030" t="s">
        <v>20727</v>
      </c>
      <c r="F15030" t="s">
        <v>20871</v>
      </c>
    </row>
    <row r="15031" spans="1:6" x14ac:dyDescent="0.25">
      <c r="A15031" t="str">
        <f>"6952008572"</f>
        <v>6952008572</v>
      </c>
      <c r="B15031" t="s">
        <v>20872</v>
      </c>
      <c r="C15031" t="s">
        <v>7</v>
      </c>
      <c r="D15031" t="s">
        <v>14</v>
      </c>
      <c r="E15031" t="s">
        <v>20727</v>
      </c>
      <c r="F15031" t="s">
        <v>20873</v>
      </c>
    </row>
    <row r="15032" spans="1:6" x14ac:dyDescent="0.25">
      <c r="A15032" t="str">
        <f>"6952009914"</f>
        <v>6952009914</v>
      </c>
      <c r="B15032" t="s">
        <v>20874</v>
      </c>
      <c r="C15032" t="s">
        <v>7</v>
      </c>
      <c r="D15032" t="s">
        <v>14</v>
      </c>
      <c r="E15032" t="s">
        <v>20727</v>
      </c>
      <c r="F15032" t="s">
        <v>20875</v>
      </c>
    </row>
    <row r="15033" spans="1:6" x14ac:dyDescent="0.25">
      <c r="A15033" t="str">
        <f>"6952322644"</f>
        <v>6952322644</v>
      </c>
      <c r="B15033" t="s">
        <v>20876</v>
      </c>
      <c r="C15033" t="s">
        <v>7</v>
      </c>
      <c r="D15033" t="s">
        <v>12</v>
      </c>
      <c r="E15033" t="s">
        <v>20727</v>
      </c>
      <c r="F15033" t="s">
        <v>20877</v>
      </c>
    </row>
    <row r="15034" spans="1:6" x14ac:dyDescent="0.25">
      <c r="A15034" t="str">
        <f>"6952322651"</f>
        <v>6952322651</v>
      </c>
      <c r="B15034" t="s">
        <v>20878</v>
      </c>
      <c r="C15034" t="s">
        <v>7</v>
      </c>
      <c r="D15034" t="s">
        <v>14</v>
      </c>
      <c r="E15034" t="s">
        <v>20727</v>
      </c>
      <c r="F15034" t="s">
        <v>20879</v>
      </c>
    </row>
    <row r="15035" spans="1:6" x14ac:dyDescent="0.25">
      <c r="A15035" t="str">
        <f>"694200031688"</f>
        <v>694200031688</v>
      </c>
      <c r="B15035" t="s">
        <v>20880</v>
      </c>
      <c r="C15035" t="s">
        <v>7</v>
      </c>
      <c r="D15035" t="s">
        <v>14</v>
      </c>
      <c r="E15035" t="s">
        <v>20727</v>
      </c>
    </row>
    <row r="15036" spans="1:6" x14ac:dyDescent="0.25">
      <c r="A15036" t="str">
        <f>"694200054798"</f>
        <v>694200054798</v>
      </c>
      <c r="B15036" t="s">
        <v>20881</v>
      </c>
      <c r="C15036" t="s">
        <v>7</v>
      </c>
      <c r="D15036" t="s">
        <v>14</v>
      </c>
      <c r="E15036" t="s">
        <v>20727</v>
      </c>
    </row>
    <row r="15037" spans="1:6" x14ac:dyDescent="0.25">
      <c r="A15037" t="str">
        <f>"694902710401"</f>
        <v>694902710401</v>
      </c>
      <c r="B15037" t="s">
        <v>20882</v>
      </c>
      <c r="C15037" t="s">
        <v>7</v>
      </c>
      <c r="D15037" t="s">
        <v>14</v>
      </c>
      <c r="E15037" t="s">
        <v>20727</v>
      </c>
    </row>
    <row r="15038" spans="1:6" x14ac:dyDescent="0.25">
      <c r="A15038" t="str">
        <f>"6950017701"</f>
        <v>6950017701</v>
      </c>
      <c r="B15038" t="s">
        <v>20883</v>
      </c>
      <c r="C15038" t="s">
        <v>7</v>
      </c>
      <c r="D15038" t="s">
        <v>12</v>
      </c>
      <c r="E15038" t="s">
        <v>20727</v>
      </c>
      <c r="F15038" t="s">
        <v>20884</v>
      </c>
    </row>
    <row r="15039" spans="1:6" x14ac:dyDescent="0.25">
      <c r="A15039" t="str">
        <f>"6950019480"</f>
        <v>6950019480</v>
      </c>
      <c r="B15039" t="s">
        <v>20885</v>
      </c>
      <c r="C15039" t="s">
        <v>7</v>
      </c>
      <c r="D15039" t="s">
        <v>14</v>
      </c>
      <c r="E15039" t="s">
        <v>20727</v>
      </c>
      <c r="F15039" t="s">
        <v>20886</v>
      </c>
    </row>
    <row r="15040" spans="1:6" x14ac:dyDescent="0.25">
      <c r="A15040" t="str">
        <f>"695005800589"</f>
        <v>695005800589</v>
      </c>
      <c r="B15040" t="s">
        <v>20887</v>
      </c>
      <c r="C15040" t="s">
        <v>7</v>
      </c>
      <c r="D15040" t="s">
        <v>33</v>
      </c>
      <c r="E15040" t="s">
        <v>20727</v>
      </c>
    </row>
    <row r="15041" spans="1:6" x14ac:dyDescent="0.25">
      <c r="A15041" t="str">
        <f>"6950071441"</f>
        <v>6950071441</v>
      </c>
      <c r="B15041" t="s">
        <v>20888</v>
      </c>
      <c r="C15041" t="s">
        <v>7</v>
      </c>
      <c r="D15041" t="s">
        <v>33</v>
      </c>
      <c r="E15041" t="s">
        <v>20727</v>
      </c>
      <c r="F15041" t="s">
        <v>20889</v>
      </c>
    </row>
    <row r="15042" spans="1:6" x14ac:dyDescent="0.25">
      <c r="A15042" t="str">
        <f>"695009833539"</f>
        <v>695009833539</v>
      </c>
      <c r="B15042" t="s">
        <v>20890</v>
      </c>
      <c r="C15042" t="s">
        <v>7</v>
      </c>
      <c r="D15042" t="s">
        <v>14</v>
      </c>
      <c r="E15042" t="s">
        <v>20727</v>
      </c>
    </row>
    <row r="15043" spans="1:6" x14ac:dyDescent="0.25">
      <c r="A15043" t="str">
        <f>"6950100251"</f>
        <v>6950100251</v>
      </c>
      <c r="B15043" t="s">
        <v>7139</v>
      </c>
      <c r="C15043" t="s">
        <v>7</v>
      </c>
      <c r="D15043" t="s">
        <v>33</v>
      </c>
      <c r="E15043" t="s">
        <v>20727</v>
      </c>
      <c r="F15043" t="s">
        <v>20891</v>
      </c>
    </row>
    <row r="15044" spans="1:6" x14ac:dyDescent="0.25">
      <c r="A15044" t="str">
        <f>"6950113444"</f>
        <v>6950113444</v>
      </c>
      <c r="B15044" t="s">
        <v>20892</v>
      </c>
      <c r="C15044" t="s">
        <v>7</v>
      </c>
      <c r="D15044" t="s">
        <v>14</v>
      </c>
      <c r="E15044" t="s">
        <v>20727</v>
      </c>
      <c r="F15044" t="s">
        <v>20893</v>
      </c>
    </row>
    <row r="15045" spans="1:6" x14ac:dyDescent="0.25">
      <c r="A15045" t="str">
        <f>"695012748259"</f>
        <v>695012748259</v>
      </c>
      <c r="B15045" t="s">
        <v>20894</v>
      </c>
      <c r="C15045" t="s">
        <v>7</v>
      </c>
      <c r="D15045" t="s">
        <v>14</v>
      </c>
      <c r="E15045" t="s">
        <v>20727</v>
      </c>
    </row>
    <row r="15046" spans="1:6" x14ac:dyDescent="0.25">
      <c r="A15046" t="str">
        <f>"6950132359"</f>
        <v>6950132359</v>
      </c>
      <c r="B15046" t="s">
        <v>20895</v>
      </c>
      <c r="C15046" t="s">
        <v>7</v>
      </c>
      <c r="D15046" t="s">
        <v>12</v>
      </c>
      <c r="E15046" t="s">
        <v>20727</v>
      </c>
      <c r="F15046" t="s">
        <v>20896</v>
      </c>
    </row>
    <row r="15047" spans="1:6" x14ac:dyDescent="0.25">
      <c r="A15047" t="str">
        <f>"6950206057"</f>
        <v>6950206057</v>
      </c>
      <c r="B15047" t="s">
        <v>20897</v>
      </c>
      <c r="C15047" t="s">
        <v>7</v>
      </c>
      <c r="D15047" t="s">
        <v>14</v>
      </c>
      <c r="E15047" t="s">
        <v>20727</v>
      </c>
      <c r="F15047" t="s">
        <v>20898</v>
      </c>
    </row>
    <row r="15048" spans="1:6" x14ac:dyDescent="0.25">
      <c r="A15048" t="str">
        <f>"6950206339"</f>
        <v>6950206339</v>
      </c>
      <c r="B15048" t="s">
        <v>15288</v>
      </c>
      <c r="C15048" t="s">
        <v>7</v>
      </c>
      <c r="D15048" t="s">
        <v>33</v>
      </c>
      <c r="E15048" t="s">
        <v>20727</v>
      </c>
      <c r="F15048" t="s">
        <v>20899</v>
      </c>
    </row>
    <row r="15049" spans="1:6" x14ac:dyDescent="0.25">
      <c r="A15049" t="str">
        <f>"6950210102"</f>
        <v>6950210102</v>
      </c>
      <c r="B15049" t="s">
        <v>20900</v>
      </c>
      <c r="C15049" t="s">
        <v>7</v>
      </c>
      <c r="D15049" t="s">
        <v>14</v>
      </c>
      <c r="E15049" t="s">
        <v>20727</v>
      </c>
      <c r="F15049" t="s">
        <v>20901</v>
      </c>
    </row>
    <row r="15050" spans="1:6" x14ac:dyDescent="0.25">
      <c r="A15050" t="str">
        <f>"6950233389"</f>
        <v>6950233389</v>
      </c>
      <c r="B15050" t="s">
        <v>20902</v>
      </c>
      <c r="C15050" t="s">
        <v>7</v>
      </c>
      <c r="D15050" t="s">
        <v>33</v>
      </c>
      <c r="E15050" t="s">
        <v>20727</v>
      </c>
      <c r="F15050" t="s">
        <v>20903</v>
      </c>
    </row>
    <row r="15051" spans="1:6" x14ac:dyDescent="0.25">
      <c r="A15051" t="str">
        <f>"6950235883"</f>
        <v>6950235883</v>
      </c>
      <c r="B15051" t="s">
        <v>7439</v>
      </c>
      <c r="C15051" t="s">
        <v>7</v>
      </c>
      <c r="D15051" t="s">
        <v>12</v>
      </c>
      <c r="E15051" t="s">
        <v>20727</v>
      </c>
      <c r="F15051" t="s">
        <v>20904</v>
      </c>
    </row>
    <row r="15052" spans="1:6" x14ac:dyDescent="0.25">
      <c r="A15052" t="str">
        <f>"6950239648"</f>
        <v>6950239648</v>
      </c>
      <c r="B15052" t="s">
        <v>20905</v>
      </c>
      <c r="C15052" t="s">
        <v>7</v>
      </c>
      <c r="D15052" t="s">
        <v>12</v>
      </c>
      <c r="E15052" t="s">
        <v>20727</v>
      </c>
      <c r="F15052" t="s">
        <v>20906</v>
      </c>
    </row>
    <row r="15053" spans="1:6" x14ac:dyDescent="0.25">
      <c r="A15053" t="str">
        <f>"6950247470"</f>
        <v>6950247470</v>
      </c>
      <c r="B15053" t="s">
        <v>20907</v>
      </c>
      <c r="C15053" t="s">
        <v>7</v>
      </c>
      <c r="D15053" t="s">
        <v>33</v>
      </c>
      <c r="E15053" t="s">
        <v>20727</v>
      </c>
      <c r="F15053" t="s">
        <v>20908</v>
      </c>
    </row>
    <row r="15054" spans="1:6" x14ac:dyDescent="0.25">
      <c r="A15054" t="str">
        <f>"6900005186"</f>
        <v>6900005186</v>
      </c>
      <c r="B15054" t="s">
        <v>9167</v>
      </c>
      <c r="C15054" t="s">
        <v>7</v>
      </c>
      <c r="D15054" t="s">
        <v>33</v>
      </c>
      <c r="E15054" t="s">
        <v>20727</v>
      </c>
      <c r="F15054" t="s">
        <v>20909</v>
      </c>
    </row>
    <row r="15055" spans="1:6" x14ac:dyDescent="0.25">
      <c r="A15055" t="str">
        <f>"6900012874"</f>
        <v>6900012874</v>
      </c>
      <c r="B15055" t="s">
        <v>20910</v>
      </c>
      <c r="C15055" t="s">
        <v>7</v>
      </c>
      <c r="D15055" t="s">
        <v>14</v>
      </c>
      <c r="E15055" t="s">
        <v>20727</v>
      </c>
      <c r="F15055" t="s">
        <v>20911</v>
      </c>
    </row>
    <row r="15056" spans="1:6" x14ac:dyDescent="0.25">
      <c r="A15056" t="str">
        <f>"6900014543"</f>
        <v>6900014543</v>
      </c>
      <c r="B15056" t="s">
        <v>6323</v>
      </c>
      <c r="C15056" t="s">
        <v>7</v>
      </c>
      <c r="D15056" t="s">
        <v>33</v>
      </c>
      <c r="E15056" t="s">
        <v>20727</v>
      </c>
      <c r="F15056" t="s">
        <v>20912</v>
      </c>
    </row>
    <row r="15057" spans="1:6" x14ac:dyDescent="0.25">
      <c r="A15057" t="str">
        <f>"6900022590"</f>
        <v>6900022590</v>
      </c>
      <c r="B15057" t="s">
        <v>20913</v>
      </c>
      <c r="C15057" t="s">
        <v>7</v>
      </c>
      <c r="D15057" t="s">
        <v>33</v>
      </c>
      <c r="E15057" t="s">
        <v>20727</v>
      </c>
      <c r="F15057" t="s">
        <v>20914</v>
      </c>
    </row>
    <row r="15058" spans="1:6" x14ac:dyDescent="0.25">
      <c r="A15058" t="str">
        <f>"690100027497"</f>
        <v>690100027497</v>
      </c>
      <c r="B15058" t="s">
        <v>20915</v>
      </c>
      <c r="C15058" t="s">
        <v>7</v>
      </c>
      <c r="D15058" t="s">
        <v>14</v>
      </c>
      <c r="E15058" t="s">
        <v>20727</v>
      </c>
    </row>
    <row r="15059" spans="1:6" x14ac:dyDescent="0.25">
      <c r="A15059" t="str">
        <f>"6901018212"</f>
        <v>6901018212</v>
      </c>
      <c r="B15059" t="s">
        <v>20916</v>
      </c>
      <c r="C15059" t="s">
        <v>7</v>
      </c>
      <c r="D15059" t="s">
        <v>12</v>
      </c>
      <c r="E15059" t="s">
        <v>20727</v>
      </c>
      <c r="F15059" t="s">
        <v>20917</v>
      </c>
    </row>
    <row r="15060" spans="1:6" x14ac:dyDescent="0.25">
      <c r="A15060" t="str">
        <f>"6901022427"</f>
        <v>6901022427</v>
      </c>
      <c r="B15060" t="s">
        <v>10343</v>
      </c>
      <c r="C15060" t="s">
        <v>7</v>
      </c>
      <c r="D15060" t="s">
        <v>33</v>
      </c>
      <c r="E15060" t="s">
        <v>20727</v>
      </c>
      <c r="F15060" t="s">
        <v>20918</v>
      </c>
    </row>
    <row r="15061" spans="1:6" x14ac:dyDescent="0.25">
      <c r="A15061" t="str">
        <f>"6901048633"</f>
        <v>6901048633</v>
      </c>
      <c r="B15061" t="s">
        <v>20919</v>
      </c>
      <c r="C15061" t="s">
        <v>7</v>
      </c>
      <c r="D15061" t="s">
        <v>12</v>
      </c>
      <c r="E15061" t="s">
        <v>20727</v>
      </c>
      <c r="F15061" t="s">
        <v>20920</v>
      </c>
    </row>
    <row r="15062" spans="1:6" x14ac:dyDescent="0.25">
      <c r="A15062" t="str">
        <f>"690141544141"</f>
        <v>690141544141</v>
      </c>
      <c r="B15062" t="s">
        <v>20921</v>
      </c>
      <c r="C15062" t="s">
        <v>7</v>
      </c>
      <c r="D15062" t="s">
        <v>14</v>
      </c>
      <c r="E15062" t="s">
        <v>20727</v>
      </c>
    </row>
    <row r="15063" spans="1:6" x14ac:dyDescent="0.25">
      <c r="A15063" t="str">
        <f>"690210292459"</f>
        <v>690210292459</v>
      </c>
      <c r="B15063" t="s">
        <v>20922</v>
      </c>
      <c r="C15063" t="s">
        <v>7</v>
      </c>
      <c r="D15063" t="s">
        <v>14</v>
      </c>
      <c r="E15063" t="s">
        <v>20727</v>
      </c>
    </row>
    <row r="15064" spans="1:6" x14ac:dyDescent="0.25">
      <c r="A15064" t="str">
        <f>"690300455250"</f>
        <v>690300455250</v>
      </c>
      <c r="B15064" t="s">
        <v>20923</v>
      </c>
      <c r="C15064" t="s">
        <v>7</v>
      </c>
      <c r="D15064" t="s">
        <v>12</v>
      </c>
      <c r="E15064" t="s">
        <v>20727</v>
      </c>
    </row>
    <row r="15065" spans="1:6" x14ac:dyDescent="0.25">
      <c r="A15065" t="str">
        <f>"690300744068"</f>
        <v>690300744068</v>
      </c>
      <c r="B15065" t="s">
        <v>20924</v>
      </c>
      <c r="C15065" t="s">
        <v>7</v>
      </c>
      <c r="D15065" t="s">
        <v>14</v>
      </c>
      <c r="E15065" t="s">
        <v>20727</v>
      </c>
    </row>
    <row r="15066" spans="1:6" x14ac:dyDescent="0.25">
      <c r="A15066" t="str">
        <f>"690400116204"</f>
        <v>690400116204</v>
      </c>
      <c r="B15066" t="s">
        <v>20925</v>
      </c>
      <c r="C15066" t="s">
        <v>7</v>
      </c>
      <c r="D15066" t="s">
        <v>12</v>
      </c>
      <c r="E15066" t="s">
        <v>20727</v>
      </c>
    </row>
    <row r="15067" spans="1:6" x14ac:dyDescent="0.25">
      <c r="A15067" t="str">
        <f>"6904003609"</f>
        <v>6904003609</v>
      </c>
      <c r="B15067" t="s">
        <v>20926</v>
      </c>
      <c r="C15067" t="s">
        <v>7</v>
      </c>
      <c r="D15067" t="s">
        <v>33</v>
      </c>
      <c r="E15067" t="s">
        <v>20727</v>
      </c>
      <c r="F15067" t="s">
        <v>20918</v>
      </c>
    </row>
    <row r="15068" spans="1:6" x14ac:dyDescent="0.25">
      <c r="A15068" t="str">
        <f>"6905035353"</f>
        <v>6905035353</v>
      </c>
      <c r="B15068" t="s">
        <v>20927</v>
      </c>
      <c r="C15068" t="s">
        <v>7</v>
      </c>
      <c r="D15068" t="s">
        <v>14</v>
      </c>
      <c r="E15068" t="s">
        <v>20727</v>
      </c>
      <c r="F15068" t="s">
        <v>20928</v>
      </c>
    </row>
    <row r="15069" spans="1:6" x14ac:dyDescent="0.25">
      <c r="A15069" t="str">
        <f>"690504072512"</f>
        <v>690504072512</v>
      </c>
      <c r="B15069" t="s">
        <v>20929</v>
      </c>
      <c r="C15069" t="s">
        <v>7</v>
      </c>
      <c r="D15069" t="s">
        <v>14</v>
      </c>
      <c r="E15069" t="s">
        <v>20727</v>
      </c>
    </row>
    <row r="15070" spans="1:6" x14ac:dyDescent="0.25">
      <c r="A15070" t="str">
        <f>"6905044407"</f>
        <v>6905044407</v>
      </c>
      <c r="B15070" t="s">
        <v>20930</v>
      </c>
      <c r="C15070" t="s">
        <v>7</v>
      </c>
      <c r="D15070" t="s">
        <v>12</v>
      </c>
      <c r="E15070" t="s">
        <v>20727</v>
      </c>
      <c r="F15070" t="s">
        <v>20931</v>
      </c>
    </row>
    <row r="15071" spans="1:6" x14ac:dyDescent="0.25">
      <c r="A15071" t="str">
        <f>"6906011524"</f>
        <v>6906011524</v>
      </c>
      <c r="B15071" t="s">
        <v>20932</v>
      </c>
      <c r="C15071" t="s">
        <v>7</v>
      </c>
      <c r="D15071" t="s">
        <v>14</v>
      </c>
      <c r="E15071" t="s">
        <v>20727</v>
      </c>
      <c r="F15071" t="s">
        <v>20801</v>
      </c>
    </row>
    <row r="15072" spans="1:6" x14ac:dyDescent="0.25">
      <c r="A15072" t="str">
        <f>"690706995560"</f>
        <v>690706995560</v>
      </c>
      <c r="B15072" t="s">
        <v>20933</v>
      </c>
      <c r="C15072" t="s">
        <v>7</v>
      </c>
      <c r="D15072" t="s">
        <v>14</v>
      </c>
      <c r="E15072" t="s">
        <v>20727</v>
      </c>
    </row>
    <row r="15073" spans="1:6" x14ac:dyDescent="0.25">
      <c r="A15073" t="str">
        <f>"690800125718"</f>
        <v>690800125718</v>
      </c>
      <c r="B15073" t="s">
        <v>20934</v>
      </c>
      <c r="C15073" t="s">
        <v>7</v>
      </c>
      <c r="D15073" t="s">
        <v>14</v>
      </c>
      <c r="E15073" t="s">
        <v>20727</v>
      </c>
    </row>
    <row r="15074" spans="1:6" x14ac:dyDescent="0.25">
      <c r="A15074" t="str">
        <f>"6908009591"</f>
        <v>6908009591</v>
      </c>
      <c r="B15074" t="s">
        <v>20935</v>
      </c>
      <c r="C15074" t="s">
        <v>7</v>
      </c>
      <c r="D15074" t="s">
        <v>12</v>
      </c>
      <c r="E15074" t="s">
        <v>20727</v>
      </c>
      <c r="F15074" t="s">
        <v>20936</v>
      </c>
    </row>
    <row r="15075" spans="1:6" x14ac:dyDescent="0.25">
      <c r="A15075" t="str">
        <f>"690892726160"</f>
        <v>690892726160</v>
      </c>
      <c r="B15075" t="s">
        <v>20937</v>
      </c>
      <c r="C15075" t="s">
        <v>7</v>
      </c>
      <c r="D15075" t="s">
        <v>14</v>
      </c>
      <c r="E15075" t="s">
        <v>20727</v>
      </c>
    </row>
    <row r="15076" spans="1:6" x14ac:dyDescent="0.25">
      <c r="A15076" t="str">
        <f>"690901339522"</f>
        <v>690901339522</v>
      </c>
      <c r="B15076" t="s">
        <v>20938</v>
      </c>
      <c r="C15076" t="s">
        <v>7</v>
      </c>
      <c r="D15076" t="s">
        <v>14</v>
      </c>
      <c r="E15076" t="s">
        <v>20727</v>
      </c>
    </row>
    <row r="15077" spans="1:6" x14ac:dyDescent="0.25">
      <c r="A15077" t="str">
        <f>"691105980507"</f>
        <v>691105980507</v>
      </c>
      <c r="B15077" t="s">
        <v>20939</v>
      </c>
      <c r="C15077" t="s">
        <v>7</v>
      </c>
      <c r="D15077" t="s">
        <v>14</v>
      </c>
      <c r="E15077" t="s">
        <v>20727</v>
      </c>
    </row>
    <row r="15078" spans="1:6" x14ac:dyDescent="0.25">
      <c r="A15078" t="str">
        <f>"691200527505"</f>
        <v>691200527505</v>
      </c>
      <c r="B15078" t="s">
        <v>20940</v>
      </c>
      <c r="C15078" t="s">
        <v>7</v>
      </c>
      <c r="D15078" t="s">
        <v>14</v>
      </c>
      <c r="E15078" t="s">
        <v>20727</v>
      </c>
    </row>
    <row r="15079" spans="1:6" x14ac:dyDescent="0.25">
      <c r="A15079" t="str">
        <f>"691300745698"</f>
        <v>691300745698</v>
      </c>
      <c r="B15079" t="s">
        <v>20941</v>
      </c>
      <c r="C15079" t="s">
        <v>7</v>
      </c>
      <c r="D15079" t="s">
        <v>14</v>
      </c>
      <c r="E15079" t="s">
        <v>20727</v>
      </c>
    </row>
    <row r="15080" spans="1:6" x14ac:dyDescent="0.25">
      <c r="A15080" t="str">
        <f>"691304693987"</f>
        <v>691304693987</v>
      </c>
      <c r="B15080" t="s">
        <v>20942</v>
      </c>
      <c r="C15080" t="s">
        <v>7</v>
      </c>
      <c r="D15080" t="s">
        <v>14</v>
      </c>
      <c r="E15080" t="s">
        <v>20727</v>
      </c>
    </row>
    <row r="15081" spans="1:6" x14ac:dyDescent="0.25">
      <c r="A15081" t="str">
        <f>"691400098194"</f>
        <v>691400098194</v>
      </c>
      <c r="B15081" t="s">
        <v>20943</v>
      </c>
      <c r="C15081" t="s">
        <v>7</v>
      </c>
      <c r="D15081" t="s">
        <v>14</v>
      </c>
      <c r="E15081" t="s">
        <v>20727</v>
      </c>
    </row>
    <row r="15082" spans="1:6" x14ac:dyDescent="0.25">
      <c r="A15082" t="str">
        <f>"691408358479"</f>
        <v>691408358479</v>
      </c>
      <c r="B15082" t="s">
        <v>20944</v>
      </c>
      <c r="C15082" t="s">
        <v>7</v>
      </c>
      <c r="D15082" t="s">
        <v>14</v>
      </c>
      <c r="E15082" t="s">
        <v>20727</v>
      </c>
    </row>
    <row r="15083" spans="1:6" x14ac:dyDescent="0.25">
      <c r="A15083" t="str">
        <f>"691500766134"</f>
        <v>691500766134</v>
      </c>
      <c r="B15083" t="s">
        <v>20945</v>
      </c>
      <c r="C15083" t="s">
        <v>7</v>
      </c>
      <c r="D15083" t="s">
        <v>14</v>
      </c>
      <c r="E15083" t="s">
        <v>20727</v>
      </c>
    </row>
    <row r="15084" spans="1:6" x14ac:dyDescent="0.25">
      <c r="A15084" t="str">
        <f>"6915007813"</f>
        <v>6915007813</v>
      </c>
      <c r="B15084" t="s">
        <v>20946</v>
      </c>
      <c r="C15084" t="s">
        <v>7</v>
      </c>
      <c r="D15084" t="s">
        <v>12</v>
      </c>
      <c r="E15084" t="s">
        <v>20727</v>
      </c>
      <c r="F15084" t="s">
        <v>20947</v>
      </c>
    </row>
    <row r="15085" spans="1:6" x14ac:dyDescent="0.25">
      <c r="A15085" t="str">
        <f>"6915014088"</f>
        <v>6915014088</v>
      </c>
      <c r="B15085" t="s">
        <v>20948</v>
      </c>
      <c r="C15085" t="s">
        <v>7</v>
      </c>
      <c r="D15085" t="s">
        <v>14</v>
      </c>
      <c r="E15085" t="s">
        <v>20727</v>
      </c>
      <c r="F15085" t="s">
        <v>20949</v>
      </c>
    </row>
    <row r="15086" spans="1:6" x14ac:dyDescent="0.25">
      <c r="A15086" t="str">
        <f>"691506498717"</f>
        <v>691506498717</v>
      </c>
      <c r="B15086" t="s">
        <v>20950</v>
      </c>
      <c r="C15086" t="s">
        <v>7</v>
      </c>
      <c r="D15086" t="s">
        <v>14</v>
      </c>
      <c r="E15086" t="s">
        <v>20727</v>
      </c>
    </row>
    <row r="15087" spans="1:6" x14ac:dyDescent="0.25">
      <c r="A15087" t="str">
        <f>"691601041543"</f>
        <v>691601041543</v>
      </c>
      <c r="B15087" t="s">
        <v>20951</v>
      </c>
      <c r="C15087" t="s">
        <v>7</v>
      </c>
      <c r="D15087" t="s">
        <v>14</v>
      </c>
      <c r="E15087" t="s">
        <v>20727</v>
      </c>
    </row>
    <row r="15088" spans="1:6" x14ac:dyDescent="0.25">
      <c r="A15088" t="str">
        <f>"692300699323"</f>
        <v>692300699323</v>
      </c>
      <c r="B15088" t="s">
        <v>20952</v>
      </c>
      <c r="C15088" t="s">
        <v>7</v>
      </c>
      <c r="D15088" t="s">
        <v>14</v>
      </c>
      <c r="E15088" t="s">
        <v>20727</v>
      </c>
    </row>
    <row r="15089" spans="1:6" x14ac:dyDescent="0.25">
      <c r="A15089" t="str">
        <f>"692400112267"</f>
        <v>692400112267</v>
      </c>
      <c r="B15089" t="s">
        <v>20953</v>
      </c>
      <c r="C15089" t="s">
        <v>7</v>
      </c>
      <c r="D15089" t="s">
        <v>14</v>
      </c>
      <c r="E15089" t="s">
        <v>20727</v>
      </c>
    </row>
    <row r="15090" spans="1:6" x14ac:dyDescent="0.25">
      <c r="A15090" t="str">
        <f>"692501413447"</f>
        <v>692501413447</v>
      </c>
      <c r="B15090" t="s">
        <v>20954</v>
      </c>
      <c r="C15090" t="s">
        <v>7</v>
      </c>
      <c r="D15090" t="s">
        <v>14</v>
      </c>
      <c r="E15090" t="s">
        <v>20727</v>
      </c>
    </row>
    <row r="15091" spans="1:6" x14ac:dyDescent="0.25">
      <c r="A15091" t="str">
        <f>"693100962586"</f>
        <v>693100962586</v>
      </c>
      <c r="B15091" t="s">
        <v>20955</v>
      </c>
      <c r="C15091" t="s">
        <v>7</v>
      </c>
      <c r="D15091" t="s">
        <v>14</v>
      </c>
      <c r="E15091" t="s">
        <v>20727</v>
      </c>
    </row>
    <row r="15092" spans="1:6" x14ac:dyDescent="0.25">
      <c r="A15092" t="str">
        <f>"693900023803"</f>
        <v>693900023803</v>
      </c>
      <c r="B15092" t="s">
        <v>20956</v>
      </c>
      <c r="C15092" t="s">
        <v>7</v>
      </c>
      <c r="D15092" t="s">
        <v>14</v>
      </c>
      <c r="E15092" t="s">
        <v>20727</v>
      </c>
    </row>
    <row r="15093" spans="1:6" x14ac:dyDescent="0.25">
      <c r="A15093" t="str">
        <f>"694000001125"</f>
        <v>694000001125</v>
      </c>
      <c r="B15093" t="s">
        <v>20957</v>
      </c>
      <c r="C15093" t="s">
        <v>7</v>
      </c>
      <c r="D15093" t="s">
        <v>14</v>
      </c>
      <c r="E15093" t="s">
        <v>20727</v>
      </c>
    </row>
    <row r="15094" spans="1:6" x14ac:dyDescent="0.25">
      <c r="A15094" t="str">
        <f>"694100464695"</f>
        <v>694100464695</v>
      </c>
      <c r="B15094" t="s">
        <v>20958</v>
      </c>
      <c r="C15094" t="s">
        <v>7</v>
      </c>
      <c r="D15094" t="s">
        <v>14</v>
      </c>
      <c r="E15094" t="s">
        <v>20727</v>
      </c>
    </row>
    <row r="15095" spans="1:6" x14ac:dyDescent="0.25">
      <c r="A15095" t="str">
        <f>"694301843541"</f>
        <v>694301843541</v>
      </c>
      <c r="B15095" t="s">
        <v>20959</v>
      </c>
      <c r="C15095" t="s">
        <v>7</v>
      </c>
      <c r="D15095" t="s">
        <v>14</v>
      </c>
      <c r="E15095" t="s">
        <v>20727</v>
      </c>
    </row>
    <row r="15096" spans="1:6" x14ac:dyDescent="0.25">
      <c r="A15096" t="str">
        <f>"6944007254"</f>
        <v>6944007254</v>
      </c>
      <c r="B15096" t="s">
        <v>20960</v>
      </c>
      <c r="C15096" t="s">
        <v>7</v>
      </c>
      <c r="D15096" t="s">
        <v>14</v>
      </c>
      <c r="E15096" t="s">
        <v>20727</v>
      </c>
      <c r="F15096" t="s">
        <v>20961</v>
      </c>
    </row>
    <row r="15097" spans="1:6" x14ac:dyDescent="0.25">
      <c r="A15097" t="str">
        <f>"6949007307"</f>
        <v>6949007307</v>
      </c>
      <c r="B15097" t="s">
        <v>20962</v>
      </c>
      <c r="C15097" t="s">
        <v>7</v>
      </c>
      <c r="D15097" t="s">
        <v>14</v>
      </c>
      <c r="E15097" t="s">
        <v>20727</v>
      </c>
      <c r="F15097" t="s">
        <v>20963</v>
      </c>
    </row>
    <row r="15098" spans="1:6" x14ac:dyDescent="0.25">
      <c r="A15098" t="str">
        <f>"694903807163"</f>
        <v>694903807163</v>
      </c>
      <c r="B15098" t="s">
        <v>20964</v>
      </c>
      <c r="C15098" t="s">
        <v>7</v>
      </c>
      <c r="D15098" t="s">
        <v>14</v>
      </c>
      <c r="E15098" t="s">
        <v>20727</v>
      </c>
    </row>
    <row r="15099" spans="1:6" x14ac:dyDescent="0.25">
      <c r="A15099" t="str">
        <f>"6949115461"</f>
        <v>6949115461</v>
      </c>
      <c r="B15099" t="s">
        <v>20965</v>
      </c>
      <c r="C15099" t="s">
        <v>7</v>
      </c>
      <c r="D15099" t="s">
        <v>146</v>
      </c>
      <c r="E15099" t="s">
        <v>20727</v>
      </c>
      <c r="F15099" t="s">
        <v>20966</v>
      </c>
    </row>
    <row r="15100" spans="1:6" x14ac:dyDescent="0.25">
      <c r="A15100" t="str">
        <f>"6950029055"</f>
        <v>6950029055</v>
      </c>
      <c r="B15100" t="s">
        <v>20967</v>
      </c>
      <c r="C15100" t="s">
        <v>7</v>
      </c>
      <c r="D15100" t="s">
        <v>33</v>
      </c>
      <c r="E15100" t="s">
        <v>20727</v>
      </c>
      <c r="F15100" t="s">
        <v>20968</v>
      </c>
    </row>
    <row r="15101" spans="1:6" x14ac:dyDescent="0.25">
      <c r="A15101" t="str">
        <f>"6950030678"</f>
        <v>6950030678</v>
      </c>
      <c r="B15101" t="s">
        <v>6496</v>
      </c>
      <c r="C15101" t="s">
        <v>7</v>
      </c>
      <c r="D15101" t="s">
        <v>14</v>
      </c>
      <c r="E15101" t="s">
        <v>20727</v>
      </c>
      <c r="F15101" t="s">
        <v>20969</v>
      </c>
    </row>
    <row r="15102" spans="1:6" x14ac:dyDescent="0.25">
      <c r="A15102" t="str">
        <f>"6950048629"</f>
        <v>6950048629</v>
      </c>
      <c r="B15102" t="s">
        <v>20970</v>
      </c>
      <c r="C15102" t="s">
        <v>7</v>
      </c>
      <c r="D15102" t="s">
        <v>14</v>
      </c>
      <c r="E15102" t="s">
        <v>20727</v>
      </c>
      <c r="F15102" t="s">
        <v>20971</v>
      </c>
    </row>
    <row r="15103" spans="1:6" x14ac:dyDescent="0.25">
      <c r="A15103" t="str">
        <f>"695006690730"</f>
        <v>695006690730</v>
      </c>
      <c r="B15103" t="s">
        <v>20972</v>
      </c>
      <c r="C15103" t="s">
        <v>7</v>
      </c>
      <c r="D15103" t="s">
        <v>14</v>
      </c>
      <c r="E15103" t="s">
        <v>20727</v>
      </c>
    </row>
    <row r="15104" spans="1:6" x14ac:dyDescent="0.25">
      <c r="A15104" t="str">
        <f>"695006986382"</f>
        <v>695006986382</v>
      </c>
      <c r="B15104" t="s">
        <v>20973</v>
      </c>
      <c r="C15104" t="s">
        <v>7</v>
      </c>
      <c r="D15104" t="s">
        <v>14</v>
      </c>
      <c r="E15104" t="s">
        <v>20727</v>
      </c>
    </row>
    <row r="15105" spans="1:6" x14ac:dyDescent="0.25">
      <c r="A15105" t="str">
        <f>"695009205083"</f>
        <v>695009205083</v>
      </c>
      <c r="B15105" t="s">
        <v>20974</v>
      </c>
      <c r="C15105" t="s">
        <v>7</v>
      </c>
      <c r="D15105" t="s">
        <v>14</v>
      </c>
      <c r="E15105" t="s">
        <v>20727</v>
      </c>
    </row>
    <row r="15106" spans="1:6" x14ac:dyDescent="0.25">
      <c r="A15106" t="str">
        <f>"6950095996"</f>
        <v>6950095996</v>
      </c>
      <c r="B15106" t="s">
        <v>20975</v>
      </c>
      <c r="C15106" t="s">
        <v>7</v>
      </c>
      <c r="D15106" t="s">
        <v>12</v>
      </c>
      <c r="E15106" t="s">
        <v>20727</v>
      </c>
      <c r="F15106" t="s">
        <v>20976</v>
      </c>
    </row>
    <row r="15107" spans="1:6" x14ac:dyDescent="0.25">
      <c r="A15107" t="str">
        <f>"6950130168"</f>
        <v>6950130168</v>
      </c>
      <c r="B15107" t="s">
        <v>20977</v>
      </c>
      <c r="C15107" t="s">
        <v>7</v>
      </c>
      <c r="D15107" t="s">
        <v>189</v>
      </c>
      <c r="E15107" t="s">
        <v>20727</v>
      </c>
      <c r="F15107" t="s">
        <v>20978</v>
      </c>
    </row>
    <row r="15108" spans="1:6" x14ac:dyDescent="0.25">
      <c r="A15108" t="str">
        <f>"6950169084"</f>
        <v>6950169084</v>
      </c>
      <c r="B15108" t="s">
        <v>20979</v>
      </c>
      <c r="C15108" t="s">
        <v>7</v>
      </c>
      <c r="D15108" t="s">
        <v>12</v>
      </c>
      <c r="E15108" t="s">
        <v>20727</v>
      </c>
      <c r="F15108" t="s">
        <v>20980</v>
      </c>
    </row>
    <row r="15109" spans="1:6" x14ac:dyDescent="0.25">
      <c r="A15109" t="str">
        <f>"6950202729"</f>
        <v>6950202729</v>
      </c>
      <c r="B15109" t="s">
        <v>20981</v>
      </c>
      <c r="C15109" t="s">
        <v>7</v>
      </c>
      <c r="D15109" t="s">
        <v>12</v>
      </c>
      <c r="E15109" t="s">
        <v>20727</v>
      </c>
      <c r="F15109" t="s">
        <v>20982</v>
      </c>
    </row>
    <row r="15110" spans="1:6" x14ac:dyDescent="0.25">
      <c r="A15110" t="str">
        <f>"6950208061"</f>
        <v>6950208061</v>
      </c>
      <c r="B15110" t="s">
        <v>20983</v>
      </c>
      <c r="C15110" t="s">
        <v>7</v>
      </c>
      <c r="D15110" t="s">
        <v>14</v>
      </c>
      <c r="E15110" t="s">
        <v>20727</v>
      </c>
      <c r="F15110" t="s">
        <v>20984</v>
      </c>
    </row>
    <row r="15111" spans="1:6" x14ac:dyDescent="0.25">
      <c r="A15111" t="str">
        <f>"6950218239"</f>
        <v>6950218239</v>
      </c>
      <c r="B15111" t="s">
        <v>20985</v>
      </c>
      <c r="C15111" t="s">
        <v>7</v>
      </c>
      <c r="D15111" t="s">
        <v>12</v>
      </c>
      <c r="E15111" t="s">
        <v>20727</v>
      </c>
      <c r="F15111" t="s">
        <v>20986</v>
      </c>
    </row>
    <row r="15112" spans="1:6" x14ac:dyDescent="0.25">
      <c r="A15112" t="str">
        <f>"6950247180"</f>
        <v>6950247180</v>
      </c>
      <c r="B15112" t="s">
        <v>20987</v>
      </c>
      <c r="C15112" t="s">
        <v>7</v>
      </c>
      <c r="D15112" t="s">
        <v>33</v>
      </c>
      <c r="E15112" t="s">
        <v>20727</v>
      </c>
      <c r="F15112" t="s">
        <v>20988</v>
      </c>
    </row>
    <row r="15113" spans="1:6" x14ac:dyDescent="0.25">
      <c r="A15113" t="str">
        <f>"6950257020"</f>
        <v>6950257020</v>
      </c>
      <c r="B15113" t="s">
        <v>20989</v>
      </c>
      <c r="C15113" t="s">
        <v>7</v>
      </c>
      <c r="D15113" t="s">
        <v>12</v>
      </c>
      <c r="E15113" t="s">
        <v>20727</v>
      </c>
      <c r="F15113" t="s">
        <v>20990</v>
      </c>
    </row>
    <row r="15114" spans="1:6" x14ac:dyDescent="0.25">
      <c r="A15114" t="str">
        <f>"6950257936"</f>
        <v>6950257936</v>
      </c>
      <c r="B15114" t="s">
        <v>20991</v>
      </c>
      <c r="C15114" t="s">
        <v>7</v>
      </c>
      <c r="D15114" t="s">
        <v>28</v>
      </c>
      <c r="E15114" t="s">
        <v>20727</v>
      </c>
      <c r="F15114" t="s">
        <v>20992</v>
      </c>
    </row>
    <row r="15115" spans="1:6" x14ac:dyDescent="0.25">
      <c r="A15115" t="str">
        <f>"6950268960"</f>
        <v>6950268960</v>
      </c>
      <c r="B15115" t="s">
        <v>20993</v>
      </c>
      <c r="C15115" t="s">
        <v>7</v>
      </c>
      <c r="D15115" t="s">
        <v>33</v>
      </c>
      <c r="E15115" t="s">
        <v>20727</v>
      </c>
      <c r="F15115" t="s">
        <v>20994</v>
      </c>
    </row>
    <row r="15116" spans="1:6" x14ac:dyDescent="0.25">
      <c r="A15116" t="str">
        <f>"6952003172"</f>
        <v>6952003172</v>
      </c>
      <c r="B15116" t="s">
        <v>20995</v>
      </c>
      <c r="C15116" t="s">
        <v>7</v>
      </c>
      <c r="D15116" t="s">
        <v>12</v>
      </c>
      <c r="E15116" t="s">
        <v>20727</v>
      </c>
      <c r="F15116" t="s">
        <v>20996</v>
      </c>
    </row>
    <row r="15117" spans="1:6" x14ac:dyDescent="0.25">
      <c r="A15117" t="str">
        <f>"695202774698"</f>
        <v>695202774698</v>
      </c>
      <c r="B15117" t="s">
        <v>20997</v>
      </c>
      <c r="C15117" t="s">
        <v>7</v>
      </c>
      <c r="D15117" t="s">
        <v>14</v>
      </c>
      <c r="E15117" t="s">
        <v>20727</v>
      </c>
    </row>
    <row r="15118" spans="1:6" x14ac:dyDescent="0.25">
      <c r="A15118" t="str">
        <f>"6952320340"</f>
        <v>6952320340</v>
      </c>
      <c r="B15118" t="s">
        <v>20998</v>
      </c>
      <c r="C15118" t="s">
        <v>7</v>
      </c>
      <c r="D15118" t="s">
        <v>12</v>
      </c>
      <c r="E15118" t="s">
        <v>20727</v>
      </c>
      <c r="F15118" t="s">
        <v>20999</v>
      </c>
    </row>
    <row r="15119" spans="1:6" x14ac:dyDescent="0.25">
      <c r="A15119" t="str">
        <f>"6952321792"</f>
        <v>6952321792</v>
      </c>
      <c r="B15119" t="s">
        <v>21000</v>
      </c>
      <c r="C15119" t="s">
        <v>7</v>
      </c>
      <c r="D15119" t="s">
        <v>12</v>
      </c>
      <c r="E15119" t="s">
        <v>20727</v>
      </c>
      <c r="F15119" t="s">
        <v>21001</v>
      </c>
    </row>
    <row r="15120" spans="1:6" x14ac:dyDescent="0.25">
      <c r="A15120" t="str">
        <f>"6900012391"</f>
        <v>6900012391</v>
      </c>
      <c r="B15120" t="s">
        <v>11737</v>
      </c>
      <c r="C15120" t="s">
        <v>7</v>
      </c>
      <c r="D15120" t="s">
        <v>14</v>
      </c>
      <c r="E15120" t="s">
        <v>20727</v>
      </c>
      <c r="F15120" t="s">
        <v>21002</v>
      </c>
    </row>
    <row r="15121" spans="1:6" x14ac:dyDescent="0.25">
      <c r="A15121" t="str">
        <f>"690303677162"</f>
        <v>690303677162</v>
      </c>
      <c r="B15121" t="s">
        <v>21003</v>
      </c>
      <c r="C15121" t="s">
        <v>7</v>
      </c>
      <c r="D15121" t="s">
        <v>14</v>
      </c>
      <c r="E15121" t="s">
        <v>20727</v>
      </c>
    </row>
    <row r="15122" spans="1:6" x14ac:dyDescent="0.25">
      <c r="A15122" t="str">
        <f>"690604898493"</f>
        <v>690604898493</v>
      </c>
      <c r="B15122" t="s">
        <v>21004</v>
      </c>
      <c r="C15122" t="s">
        <v>7</v>
      </c>
      <c r="D15122" t="s">
        <v>12</v>
      </c>
      <c r="E15122" t="s">
        <v>20727</v>
      </c>
    </row>
    <row r="15123" spans="1:6" x14ac:dyDescent="0.25">
      <c r="A15123" t="str">
        <f>"690801519602"</f>
        <v>690801519602</v>
      </c>
      <c r="B15123" t="s">
        <v>21005</v>
      </c>
      <c r="C15123" t="s">
        <v>7</v>
      </c>
      <c r="D15123" t="s">
        <v>14</v>
      </c>
      <c r="E15123" t="s">
        <v>20727</v>
      </c>
    </row>
    <row r="15124" spans="1:6" x14ac:dyDescent="0.25">
      <c r="A15124" t="str">
        <f>"690900849841"</f>
        <v>690900849841</v>
      </c>
      <c r="B15124" t="s">
        <v>21006</v>
      </c>
      <c r="C15124" t="s">
        <v>7</v>
      </c>
      <c r="D15124" t="s">
        <v>14</v>
      </c>
      <c r="E15124" t="s">
        <v>20727</v>
      </c>
    </row>
    <row r="15125" spans="1:6" x14ac:dyDescent="0.25">
      <c r="A15125" t="str">
        <f>"6915007098"</f>
        <v>6915007098</v>
      </c>
      <c r="B15125" t="s">
        <v>450</v>
      </c>
      <c r="C15125" t="s">
        <v>7</v>
      </c>
      <c r="D15125" t="s">
        <v>12</v>
      </c>
      <c r="E15125" t="s">
        <v>20727</v>
      </c>
      <c r="F15125" t="s">
        <v>20947</v>
      </c>
    </row>
    <row r="15126" spans="1:6" x14ac:dyDescent="0.25">
      <c r="A15126" t="str">
        <f>"693001523370"</f>
        <v>693001523370</v>
      </c>
      <c r="B15126" t="s">
        <v>21007</v>
      </c>
      <c r="C15126" t="s">
        <v>7</v>
      </c>
      <c r="D15126" t="s">
        <v>14</v>
      </c>
      <c r="E15126" t="s">
        <v>20727</v>
      </c>
    </row>
    <row r="15127" spans="1:6" x14ac:dyDescent="0.25">
      <c r="A15127" t="str">
        <f>"693203064721"</f>
        <v>693203064721</v>
      </c>
      <c r="B15127" t="s">
        <v>21008</v>
      </c>
      <c r="C15127" t="s">
        <v>7</v>
      </c>
      <c r="D15127" t="s">
        <v>14</v>
      </c>
      <c r="E15127" t="s">
        <v>20727</v>
      </c>
    </row>
    <row r="15128" spans="1:6" x14ac:dyDescent="0.25">
      <c r="A15128" t="str">
        <f>"694600017600"</f>
        <v>694600017600</v>
      </c>
      <c r="B15128" t="s">
        <v>21009</v>
      </c>
      <c r="C15128" t="s">
        <v>7</v>
      </c>
      <c r="D15128" t="s">
        <v>14</v>
      </c>
      <c r="E15128" t="s">
        <v>20727</v>
      </c>
    </row>
    <row r="15129" spans="1:6" x14ac:dyDescent="0.25">
      <c r="A15129" t="str">
        <f>"695012258350"</f>
        <v>695012258350</v>
      </c>
      <c r="B15129" t="s">
        <v>21010</v>
      </c>
      <c r="C15129" t="s">
        <v>7</v>
      </c>
      <c r="D15129" t="s">
        <v>12</v>
      </c>
      <c r="E15129" t="s">
        <v>20727</v>
      </c>
    </row>
    <row r="15130" spans="1:6" x14ac:dyDescent="0.25">
      <c r="A15130" t="str">
        <f>"6950234713"</f>
        <v>6950234713</v>
      </c>
      <c r="B15130" t="s">
        <v>21011</v>
      </c>
      <c r="C15130" t="s">
        <v>7</v>
      </c>
      <c r="D15130" t="s">
        <v>33</v>
      </c>
      <c r="E15130" t="s">
        <v>20727</v>
      </c>
      <c r="F15130" t="s">
        <v>21012</v>
      </c>
    </row>
    <row r="15131" spans="1:6" x14ac:dyDescent="0.25">
      <c r="A15131" t="str">
        <f>"6952021157"</f>
        <v>6952021157</v>
      </c>
      <c r="B15131" t="s">
        <v>21013</v>
      </c>
      <c r="C15131" t="s">
        <v>7</v>
      </c>
      <c r="D15131" t="s">
        <v>14</v>
      </c>
      <c r="E15131" t="s">
        <v>20727</v>
      </c>
      <c r="F15131" t="s">
        <v>21014</v>
      </c>
    </row>
    <row r="15132" spans="1:6" x14ac:dyDescent="0.25">
      <c r="A15132" t="str">
        <f>"7703444041"</f>
        <v>7703444041</v>
      </c>
      <c r="B15132" t="s">
        <v>21015</v>
      </c>
      <c r="C15132" t="s">
        <v>7</v>
      </c>
      <c r="D15132" t="s">
        <v>674</v>
      </c>
      <c r="E15132" t="s">
        <v>20727</v>
      </c>
      <c r="F15132" t="s">
        <v>21016</v>
      </c>
    </row>
    <row r="15133" spans="1:6" x14ac:dyDescent="0.25">
      <c r="A15133" t="str">
        <f>"602501393240"</f>
        <v>602501393240</v>
      </c>
      <c r="B15133" t="s">
        <v>21017</v>
      </c>
      <c r="C15133" t="s">
        <v>7</v>
      </c>
      <c r="D15133" t="s">
        <v>14</v>
      </c>
      <c r="E15133" t="s">
        <v>20727</v>
      </c>
    </row>
    <row r="15134" spans="1:6" x14ac:dyDescent="0.25">
      <c r="A15134" t="str">
        <f>"190308414519"</f>
        <v>190308414519</v>
      </c>
      <c r="B15134" t="s">
        <v>21018</v>
      </c>
      <c r="C15134" t="s">
        <v>7</v>
      </c>
      <c r="D15134" t="s">
        <v>14</v>
      </c>
      <c r="E15134" t="s">
        <v>21019</v>
      </c>
    </row>
    <row r="15135" spans="1:6" x14ac:dyDescent="0.25">
      <c r="A15135" t="str">
        <f>"424750243164"</f>
        <v>424750243164</v>
      </c>
      <c r="B15135" t="s">
        <v>21020</v>
      </c>
      <c r="C15135" t="s">
        <v>7</v>
      </c>
      <c r="D15135" t="s">
        <v>463</v>
      </c>
      <c r="E15135" t="s">
        <v>21019</v>
      </c>
    </row>
    <row r="15136" spans="1:6" x14ac:dyDescent="0.25">
      <c r="A15136" t="str">
        <f>"7000004262"</f>
        <v>7000004262</v>
      </c>
      <c r="B15136" t="s">
        <v>21021</v>
      </c>
      <c r="C15136" t="s">
        <v>7</v>
      </c>
      <c r="D15136" t="s">
        <v>14</v>
      </c>
      <c r="E15136" t="s">
        <v>21019</v>
      </c>
      <c r="F15136" t="s">
        <v>21022</v>
      </c>
    </row>
    <row r="15137" spans="1:6" x14ac:dyDescent="0.25">
      <c r="A15137" t="str">
        <f>"7000011534"</f>
        <v>7000011534</v>
      </c>
      <c r="B15137" t="s">
        <v>14750</v>
      </c>
      <c r="C15137" t="s">
        <v>7</v>
      </c>
      <c r="D15137" t="s">
        <v>14</v>
      </c>
      <c r="E15137" t="s">
        <v>21019</v>
      </c>
      <c r="F15137" t="s">
        <v>21023</v>
      </c>
    </row>
    <row r="15138" spans="1:6" x14ac:dyDescent="0.25">
      <c r="A15138" t="str">
        <f>"700402323096"</f>
        <v>700402323096</v>
      </c>
      <c r="B15138" t="s">
        <v>21024</v>
      </c>
      <c r="C15138" t="s">
        <v>7</v>
      </c>
      <c r="D15138" t="s">
        <v>33</v>
      </c>
      <c r="E15138" t="s">
        <v>21019</v>
      </c>
    </row>
    <row r="15139" spans="1:6" x14ac:dyDescent="0.25">
      <c r="A15139" t="str">
        <f>"700500011881"</f>
        <v>700500011881</v>
      </c>
      <c r="B15139" t="s">
        <v>21025</v>
      </c>
      <c r="C15139" t="s">
        <v>7</v>
      </c>
      <c r="D15139" t="s">
        <v>14</v>
      </c>
      <c r="E15139" t="s">
        <v>21019</v>
      </c>
    </row>
    <row r="15140" spans="1:6" x14ac:dyDescent="0.25">
      <c r="A15140" t="str">
        <f>"700601350217"</f>
        <v>700601350217</v>
      </c>
      <c r="B15140" t="s">
        <v>21026</v>
      </c>
      <c r="C15140" t="s">
        <v>7</v>
      </c>
      <c r="D15140" t="s">
        <v>14</v>
      </c>
      <c r="E15140" t="s">
        <v>21019</v>
      </c>
    </row>
    <row r="15141" spans="1:6" x14ac:dyDescent="0.25">
      <c r="A15141" t="str">
        <f>"700800023976"</f>
        <v>700800023976</v>
      </c>
      <c r="B15141" t="s">
        <v>21027</v>
      </c>
      <c r="C15141" t="s">
        <v>7</v>
      </c>
      <c r="D15141" t="s">
        <v>14</v>
      </c>
      <c r="E15141" t="s">
        <v>21019</v>
      </c>
    </row>
    <row r="15142" spans="1:6" x14ac:dyDescent="0.25">
      <c r="A15142" t="str">
        <f>"700900032090"</f>
        <v>700900032090</v>
      </c>
      <c r="B15142" t="s">
        <v>21028</v>
      </c>
      <c r="C15142" t="s">
        <v>7</v>
      </c>
      <c r="D15142" t="s">
        <v>14</v>
      </c>
      <c r="E15142" t="s">
        <v>21019</v>
      </c>
    </row>
    <row r="15143" spans="1:6" x14ac:dyDescent="0.25">
      <c r="A15143" t="str">
        <f>"701400249120"</f>
        <v>701400249120</v>
      </c>
      <c r="B15143" t="s">
        <v>21029</v>
      </c>
      <c r="C15143" t="s">
        <v>7</v>
      </c>
      <c r="D15143" t="s">
        <v>12</v>
      </c>
      <c r="E15143" t="s">
        <v>21019</v>
      </c>
    </row>
    <row r="15144" spans="1:6" x14ac:dyDescent="0.25">
      <c r="A15144" t="str">
        <f>"701405266874"</f>
        <v>701405266874</v>
      </c>
      <c r="B15144" t="s">
        <v>21030</v>
      </c>
      <c r="C15144" t="s">
        <v>7</v>
      </c>
      <c r="D15144" t="s">
        <v>14</v>
      </c>
      <c r="E15144" t="s">
        <v>21019</v>
      </c>
    </row>
    <row r="15145" spans="1:6" x14ac:dyDescent="0.25">
      <c r="A15145" t="str">
        <f>"701600549932"</f>
        <v>701600549932</v>
      </c>
      <c r="B15145" t="s">
        <v>21031</v>
      </c>
      <c r="C15145" t="s">
        <v>7</v>
      </c>
      <c r="D15145" t="s">
        <v>14</v>
      </c>
      <c r="E15145" t="s">
        <v>21019</v>
      </c>
    </row>
    <row r="15146" spans="1:6" x14ac:dyDescent="0.25">
      <c r="A15146" t="str">
        <f>"701700261601"</f>
        <v>701700261601</v>
      </c>
      <c r="B15146" t="s">
        <v>21032</v>
      </c>
      <c r="C15146" t="s">
        <v>7</v>
      </c>
      <c r="D15146" t="s">
        <v>14</v>
      </c>
      <c r="E15146" t="s">
        <v>21019</v>
      </c>
    </row>
    <row r="15147" spans="1:6" x14ac:dyDescent="0.25">
      <c r="A15147" t="str">
        <f>"7017004060"</f>
        <v>7017004060</v>
      </c>
      <c r="B15147" t="s">
        <v>21033</v>
      </c>
      <c r="C15147" t="s">
        <v>7</v>
      </c>
      <c r="D15147" t="s">
        <v>14</v>
      </c>
      <c r="E15147" t="s">
        <v>21019</v>
      </c>
      <c r="F15147" t="s">
        <v>21034</v>
      </c>
    </row>
    <row r="15148" spans="1:6" x14ac:dyDescent="0.25">
      <c r="A15148" t="str">
        <f>"701700537345"</f>
        <v>701700537345</v>
      </c>
      <c r="B15148" t="s">
        <v>21035</v>
      </c>
      <c r="C15148" t="s">
        <v>7</v>
      </c>
      <c r="D15148" t="s">
        <v>14</v>
      </c>
      <c r="E15148" t="s">
        <v>21019</v>
      </c>
    </row>
    <row r="15149" spans="1:6" x14ac:dyDescent="0.25">
      <c r="A15149" t="str">
        <f>"7017050186"</f>
        <v>7017050186</v>
      </c>
      <c r="B15149" t="s">
        <v>21036</v>
      </c>
      <c r="C15149" t="s">
        <v>7</v>
      </c>
      <c r="D15149" t="s">
        <v>12</v>
      </c>
      <c r="E15149" t="s">
        <v>21019</v>
      </c>
      <c r="F15149" t="s">
        <v>21037</v>
      </c>
    </row>
    <row r="15150" spans="1:6" x14ac:dyDescent="0.25">
      <c r="A15150" t="str">
        <f>"7017091070"</f>
        <v>7017091070</v>
      </c>
      <c r="B15150" t="s">
        <v>21038</v>
      </c>
      <c r="C15150" t="s">
        <v>7</v>
      </c>
      <c r="D15150" t="s">
        <v>14</v>
      </c>
      <c r="E15150" t="s">
        <v>21019</v>
      </c>
      <c r="F15150" t="s">
        <v>21039</v>
      </c>
    </row>
    <row r="15151" spans="1:6" x14ac:dyDescent="0.25">
      <c r="A15151" t="str">
        <f>"7017115059"</f>
        <v>7017115059</v>
      </c>
      <c r="B15151" t="s">
        <v>21040</v>
      </c>
      <c r="C15151" t="s">
        <v>7</v>
      </c>
      <c r="D15151" t="s">
        <v>12</v>
      </c>
      <c r="E15151" t="s">
        <v>21019</v>
      </c>
      <c r="F15151" t="s">
        <v>21041</v>
      </c>
    </row>
    <row r="15152" spans="1:6" x14ac:dyDescent="0.25">
      <c r="A15152" t="str">
        <f>"7017116824"</f>
        <v>7017116824</v>
      </c>
      <c r="B15152" t="s">
        <v>21042</v>
      </c>
      <c r="C15152" t="s">
        <v>7</v>
      </c>
      <c r="D15152" t="s">
        <v>98</v>
      </c>
      <c r="E15152" t="s">
        <v>21019</v>
      </c>
      <c r="F15152" t="s">
        <v>21043</v>
      </c>
    </row>
    <row r="15153" spans="1:6" x14ac:dyDescent="0.25">
      <c r="A15153" t="str">
        <f>"701712670870"</f>
        <v>701712670870</v>
      </c>
      <c r="B15153" t="s">
        <v>21044</v>
      </c>
      <c r="C15153" t="s">
        <v>7</v>
      </c>
      <c r="D15153" t="s">
        <v>14</v>
      </c>
      <c r="E15153" t="s">
        <v>21019</v>
      </c>
    </row>
    <row r="15154" spans="1:6" x14ac:dyDescent="0.25">
      <c r="A15154" t="str">
        <f>"7017210827"</f>
        <v>7017210827</v>
      </c>
      <c r="B15154" t="s">
        <v>21045</v>
      </c>
      <c r="C15154" t="s">
        <v>7</v>
      </c>
      <c r="D15154" t="s">
        <v>33</v>
      </c>
      <c r="E15154" t="s">
        <v>21019</v>
      </c>
      <c r="F15154" t="s">
        <v>21046</v>
      </c>
    </row>
    <row r="15155" spans="1:6" x14ac:dyDescent="0.25">
      <c r="A15155" t="str">
        <f>"7017228630"</f>
        <v>7017228630</v>
      </c>
      <c r="B15155" t="s">
        <v>21047</v>
      </c>
      <c r="C15155" t="s">
        <v>7</v>
      </c>
      <c r="D15155" t="s">
        <v>14</v>
      </c>
      <c r="E15155" t="s">
        <v>21019</v>
      </c>
      <c r="F15155" t="s">
        <v>21048</v>
      </c>
    </row>
    <row r="15156" spans="1:6" x14ac:dyDescent="0.25">
      <c r="A15156" t="str">
        <f>"7017258032"</f>
        <v>7017258032</v>
      </c>
      <c r="B15156" t="s">
        <v>21049</v>
      </c>
      <c r="C15156" t="s">
        <v>7</v>
      </c>
      <c r="D15156" t="s">
        <v>12</v>
      </c>
      <c r="E15156" t="s">
        <v>21019</v>
      </c>
      <c r="F15156" t="s">
        <v>21050</v>
      </c>
    </row>
    <row r="15157" spans="1:6" x14ac:dyDescent="0.25">
      <c r="A15157" t="str">
        <f>"7017271410"</f>
        <v>7017271410</v>
      </c>
      <c r="B15157" t="s">
        <v>709</v>
      </c>
      <c r="C15157" t="s">
        <v>7</v>
      </c>
      <c r="D15157" t="s">
        <v>12</v>
      </c>
      <c r="E15157" t="s">
        <v>21019</v>
      </c>
      <c r="F15157" t="s">
        <v>21051</v>
      </c>
    </row>
    <row r="15158" spans="1:6" x14ac:dyDescent="0.25">
      <c r="A15158" t="str">
        <f>"7017286368"</f>
        <v>7017286368</v>
      </c>
      <c r="B15158" t="s">
        <v>21052</v>
      </c>
      <c r="C15158" t="s">
        <v>7</v>
      </c>
      <c r="D15158" t="s">
        <v>14</v>
      </c>
      <c r="E15158" t="s">
        <v>21019</v>
      </c>
      <c r="F15158" t="s">
        <v>21053</v>
      </c>
    </row>
    <row r="15159" spans="1:6" x14ac:dyDescent="0.25">
      <c r="A15159" t="str">
        <f>"7017287516"</f>
        <v>7017287516</v>
      </c>
      <c r="B15159" t="s">
        <v>21054</v>
      </c>
      <c r="C15159" t="s">
        <v>7</v>
      </c>
      <c r="D15159" t="s">
        <v>463</v>
      </c>
      <c r="E15159" t="s">
        <v>21019</v>
      </c>
      <c r="F15159" t="s">
        <v>21055</v>
      </c>
    </row>
    <row r="15160" spans="1:6" x14ac:dyDescent="0.25">
      <c r="A15160" t="str">
        <f>"701737035327"</f>
        <v>701737035327</v>
      </c>
      <c r="B15160" t="s">
        <v>21056</v>
      </c>
      <c r="C15160" t="s">
        <v>7</v>
      </c>
      <c r="D15160" t="s">
        <v>12</v>
      </c>
      <c r="E15160" t="s">
        <v>21019</v>
      </c>
    </row>
    <row r="15161" spans="1:6" x14ac:dyDescent="0.25">
      <c r="A15161" t="str">
        <f>"7017388881"</f>
        <v>7017388881</v>
      </c>
      <c r="B15161" t="s">
        <v>21057</v>
      </c>
      <c r="C15161" t="s">
        <v>7</v>
      </c>
      <c r="D15161" t="s">
        <v>12</v>
      </c>
      <c r="E15161" t="s">
        <v>21019</v>
      </c>
      <c r="F15161" t="s">
        <v>21058</v>
      </c>
    </row>
    <row r="15162" spans="1:6" x14ac:dyDescent="0.25">
      <c r="A15162" t="str">
        <f>"7017424434"</f>
        <v>7017424434</v>
      </c>
      <c r="B15162" t="s">
        <v>21059</v>
      </c>
      <c r="C15162" t="s">
        <v>7</v>
      </c>
      <c r="D15162" t="s">
        <v>146</v>
      </c>
      <c r="E15162" t="s">
        <v>21019</v>
      </c>
      <c r="F15162" t="s">
        <v>21060</v>
      </c>
    </row>
    <row r="15163" spans="1:6" x14ac:dyDescent="0.25">
      <c r="A15163" t="str">
        <f>"701742584509"</f>
        <v>701742584509</v>
      </c>
      <c r="B15163" t="s">
        <v>21061</v>
      </c>
      <c r="C15163" t="s">
        <v>7</v>
      </c>
      <c r="D15163" t="s">
        <v>14</v>
      </c>
      <c r="E15163" t="s">
        <v>21019</v>
      </c>
    </row>
    <row r="15164" spans="1:6" x14ac:dyDescent="0.25">
      <c r="A15164" t="str">
        <f>"7000020673"</f>
        <v>7000020673</v>
      </c>
      <c r="B15164" t="s">
        <v>21062</v>
      </c>
      <c r="C15164" t="s">
        <v>7</v>
      </c>
      <c r="D15164" t="s">
        <v>14</v>
      </c>
      <c r="E15164" t="s">
        <v>21019</v>
      </c>
      <c r="F15164" t="s">
        <v>21063</v>
      </c>
    </row>
    <row r="15165" spans="1:6" x14ac:dyDescent="0.25">
      <c r="A15165" t="str">
        <f>"7000021331"</f>
        <v>7000021331</v>
      </c>
      <c r="B15165" t="s">
        <v>21064</v>
      </c>
      <c r="C15165" t="s">
        <v>7</v>
      </c>
      <c r="D15165" t="s">
        <v>12</v>
      </c>
      <c r="E15165" t="s">
        <v>21019</v>
      </c>
      <c r="F15165" t="s">
        <v>21065</v>
      </c>
    </row>
    <row r="15166" spans="1:6" x14ac:dyDescent="0.25">
      <c r="A15166" t="str">
        <f>"700201722100"</f>
        <v>700201722100</v>
      </c>
      <c r="B15166" t="s">
        <v>21066</v>
      </c>
      <c r="C15166" t="s">
        <v>7</v>
      </c>
      <c r="D15166" t="s">
        <v>14</v>
      </c>
      <c r="E15166" t="s">
        <v>21019</v>
      </c>
    </row>
    <row r="15167" spans="1:6" x14ac:dyDescent="0.25">
      <c r="A15167" t="str">
        <f>"700203388758"</f>
        <v>700203388758</v>
      </c>
      <c r="B15167" t="s">
        <v>21067</v>
      </c>
      <c r="C15167" t="s">
        <v>7</v>
      </c>
      <c r="D15167" t="s">
        <v>14</v>
      </c>
      <c r="E15167" t="s">
        <v>21019</v>
      </c>
    </row>
    <row r="15168" spans="1:6" x14ac:dyDescent="0.25">
      <c r="A15168" t="str">
        <f>"700401902968"</f>
        <v>700401902968</v>
      </c>
      <c r="B15168" t="s">
        <v>21068</v>
      </c>
      <c r="C15168" t="s">
        <v>7</v>
      </c>
      <c r="D15168" t="s">
        <v>14</v>
      </c>
      <c r="E15168" t="s">
        <v>21019</v>
      </c>
    </row>
    <row r="15169" spans="1:6" x14ac:dyDescent="0.25">
      <c r="A15169" t="str">
        <f>"700700177002"</f>
        <v>700700177002</v>
      </c>
      <c r="B15169" t="s">
        <v>21069</v>
      </c>
      <c r="C15169" t="s">
        <v>7</v>
      </c>
      <c r="D15169" t="s">
        <v>14</v>
      </c>
      <c r="E15169" t="s">
        <v>21019</v>
      </c>
    </row>
    <row r="15170" spans="1:6" x14ac:dyDescent="0.25">
      <c r="A15170" t="str">
        <f>"701000596835"</f>
        <v>701000596835</v>
      </c>
      <c r="B15170" t="s">
        <v>21070</v>
      </c>
      <c r="C15170" t="s">
        <v>7</v>
      </c>
      <c r="D15170" t="s">
        <v>14</v>
      </c>
      <c r="E15170" t="s">
        <v>21019</v>
      </c>
    </row>
    <row r="15171" spans="1:6" x14ac:dyDescent="0.25">
      <c r="A15171" t="str">
        <f>"7014055764"</f>
        <v>7014055764</v>
      </c>
      <c r="B15171" t="s">
        <v>21071</v>
      </c>
      <c r="C15171" t="s">
        <v>7</v>
      </c>
      <c r="D15171" t="s">
        <v>14</v>
      </c>
      <c r="E15171" t="s">
        <v>21019</v>
      </c>
      <c r="F15171" t="s">
        <v>21072</v>
      </c>
    </row>
    <row r="15172" spans="1:6" x14ac:dyDescent="0.25">
      <c r="A15172" t="str">
        <f>"701406669989"</f>
        <v>701406669989</v>
      </c>
      <c r="B15172" t="s">
        <v>21073</v>
      </c>
      <c r="C15172" t="s">
        <v>7</v>
      </c>
      <c r="D15172" t="s">
        <v>12</v>
      </c>
      <c r="E15172" t="s">
        <v>21019</v>
      </c>
    </row>
    <row r="15173" spans="1:6" x14ac:dyDescent="0.25">
      <c r="A15173" t="str">
        <f>"701408204315"</f>
        <v>701408204315</v>
      </c>
      <c r="B15173" t="s">
        <v>21074</v>
      </c>
      <c r="C15173" t="s">
        <v>7</v>
      </c>
      <c r="D15173" t="s">
        <v>14</v>
      </c>
      <c r="E15173" t="s">
        <v>21019</v>
      </c>
    </row>
    <row r="15174" spans="1:6" x14ac:dyDescent="0.25">
      <c r="A15174" t="str">
        <f>"701500538246"</f>
        <v>701500538246</v>
      </c>
      <c r="B15174" t="s">
        <v>21075</v>
      </c>
      <c r="C15174" t="s">
        <v>7</v>
      </c>
      <c r="D15174" t="s">
        <v>14</v>
      </c>
      <c r="E15174" t="s">
        <v>21019</v>
      </c>
    </row>
    <row r="15175" spans="1:6" x14ac:dyDescent="0.25">
      <c r="A15175" t="str">
        <f>"701501217076"</f>
        <v>701501217076</v>
      </c>
      <c r="B15175" t="s">
        <v>21076</v>
      </c>
      <c r="C15175" t="s">
        <v>7</v>
      </c>
      <c r="D15175" t="s">
        <v>14</v>
      </c>
      <c r="E15175" t="s">
        <v>21019</v>
      </c>
    </row>
    <row r="15176" spans="1:6" x14ac:dyDescent="0.25">
      <c r="A15176" t="str">
        <f>"701700002741"</f>
        <v>701700002741</v>
      </c>
      <c r="B15176" t="s">
        <v>21077</v>
      </c>
      <c r="C15176" t="s">
        <v>7</v>
      </c>
      <c r="D15176" t="s">
        <v>12</v>
      </c>
      <c r="E15176" t="s">
        <v>21019</v>
      </c>
    </row>
    <row r="15177" spans="1:6" x14ac:dyDescent="0.25">
      <c r="A15177" t="str">
        <f>"701700529249"</f>
        <v>701700529249</v>
      </c>
      <c r="B15177" t="s">
        <v>21078</v>
      </c>
      <c r="C15177" t="s">
        <v>7</v>
      </c>
      <c r="D15177" t="s">
        <v>14</v>
      </c>
      <c r="E15177" t="s">
        <v>21019</v>
      </c>
    </row>
    <row r="15178" spans="1:6" x14ac:dyDescent="0.25">
      <c r="A15178" t="str">
        <f>"7017017478"</f>
        <v>7017017478</v>
      </c>
      <c r="B15178" t="s">
        <v>21079</v>
      </c>
      <c r="C15178" t="s">
        <v>7</v>
      </c>
      <c r="D15178" t="s">
        <v>12</v>
      </c>
      <c r="E15178" t="s">
        <v>21019</v>
      </c>
      <c r="F15178" t="s">
        <v>21080</v>
      </c>
    </row>
    <row r="15179" spans="1:6" x14ac:dyDescent="0.25">
      <c r="A15179" t="str">
        <f>"7017022140"</f>
        <v>7017022140</v>
      </c>
      <c r="B15179" t="s">
        <v>21081</v>
      </c>
      <c r="C15179" t="s">
        <v>7</v>
      </c>
      <c r="D15179" t="s">
        <v>33</v>
      </c>
      <c r="E15179" t="s">
        <v>21019</v>
      </c>
      <c r="F15179" t="s">
        <v>21082</v>
      </c>
    </row>
    <row r="15180" spans="1:6" x14ac:dyDescent="0.25">
      <c r="A15180" t="str">
        <f>"701707639353"</f>
        <v>701707639353</v>
      </c>
      <c r="B15180" t="s">
        <v>21083</v>
      </c>
      <c r="C15180" t="s">
        <v>7</v>
      </c>
      <c r="D15180" t="s">
        <v>14</v>
      </c>
      <c r="E15180" t="s">
        <v>21019</v>
      </c>
    </row>
    <row r="15181" spans="1:6" x14ac:dyDescent="0.25">
      <c r="A15181" t="str">
        <f>"7017098903"</f>
        <v>7017098903</v>
      </c>
      <c r="B15181" t="s">
        <v>21084</v>
      </c>
      <c r="C15181" t="s">
        <v>7</v>
      </c>
      <c r="D15181" t="s">
        <v>12</v>
      </c>
      <c r="E15181" t="s">
        <v>21019</v>
      </c>
      <c r="F15181" t="s">
        <v>21085</v>
      </c>
    </row>
    <row r="15182" spans="1:6" x14ac:dyDescent="0.25">
      <c r="A15182" t="str">
        <f>"7017114560"</f>
        <v>7017114560</v>
      </c>
      <c r="B15182" t="s">
        <v>21086</v>
      </c>
      <c r="C15182" t="s">
        <v>7</v>
      </c>
      <c r="D15182" t="s">
        <v>14</v>
      </c>
      <c r="E15182" t="s">
        <v>21019</v>
      </c>
      <c r="F15182" t="s">
        <v>21087</v>
      </c>
    </row>
    <row r="15183" spans="1:6" x14ac:dyDescent="0.25">
      <c r="A15183" t="str">
        <f>"7017115299"</f>
        <v>7017115299</v>
      </c>
      <c r="B15183" t="s">
        <v>21088</v>
      </c>
      <c r="C15183" t="s">
        <v>7</v>
      </c>
      <c r="D15183" t="s">
        <v>12</v>
      </c>
      <c r="E15183" t="s">
        <v>21019</v>
      </c>
      <c r="F15183" t="s">
        <v>21089</v>
      </c>
    </row>
    <row r="15184" spans="1:6" x14ac:dyDescent="0.25">
      <c r="A15184" t="str">
        <f>"7017115500"</f>
        <v>7017115500</v>
      </c>
      <c r="B15184" t="s">
        <v>21090</v>
      </c>
      <c r="C15184" t="s">
        <v>7</v>
      </c>
      <c r="D15184" t="s">
        <v>14</v>
      </c>
      <c r="E15184" t="s">
        <v>21019</v>
      </c>
      <c r="F15184" t="s">
        <v>21091</v>
      </c>
    </row>
    <row r="15185" spans="1:6" x14ac:dyDescent="0.25">
      <c r="A15185" t="str">
        <f>"7017148329"</f>
        <v>7017148329</v>
      </c>
      <c r="B15185" t="s">
        <v>14816</v>
      </c>
      <c r="C15185" t="s">
        <v>7</v>
      </c>
      <c r="D15185" t="s">
        <v>12</v>
      </c>
      <c r="E15185" t="s">
        <v>21019</v>
      </c>
      <c r="F15185" t="s">
        <v>21092</v>
      </c>
    </row>
    <row r="15186" spans="1:6" x14ac:dyDescent="0.25">
      <c r="A15186" t="str">
        <f>"701719611507"</f>
        <v>701719611507</v>
      </c>
      <c r="B15186" t="s">
        <v>21093</v>
      </c>
      <c r="C15186" t="s">
        <v>7</v>
      </c>
      <c r="D15186" t="s">
        <v>189</v>
      </c>
      <c r="E15186" t="s">
        <v>21019</v>
      </c>
    </row>
    <row r="15187" spans="1:6" x14ac:dyDescent="0.25">
      <c r="A15187" t="str">
        <f>"7017199919"</f>
        <v>7017199919</v>
      </c>
      <c r="B15187" t="s">
        <v>3879</v>
      </c>
      <c r="C15187" t="s">
        <v>7</v>
      </c>
      <c r="D15187" t="s">
        <v>98</v>
      </c>
      <c r="E15187" t="s">
        <v>21019</v>
      </c>
      <c r="F15187" t="s">
        <v>21058</v>
      </c>
    </row>
    <row r="15188" spans="1:6" x14ac:dyDescent="0.25">
      <c r="A15188" t="str">
        <f>"7017201082"</f>
        <v>7017201082</v>
      </c>
      <c r="B15188" t="s">
        <v>21094</v>
      </c>
      <c r="C15188" t="s">
        <v>7</v>
      </c>
      <c r="D15188" t="s">
        <v>98</v>
      </c>
      <c r="E15188" t="s">
        <v>21019</v>
      </c>
      <c r="F15188" t="s">
        <v>21095</v>
      </c>
    </row>
    <row r="15189" spans="1:6" x14ac:dyDescent="0.25">
      <c r="A15189" t="str">
        <f>"7017215582"</f>
        <v>7017215582</v>
      </c>
      <c r="B15189" t="s">
        <v>21096</v>
      </c>
      <c r="C15189" t="s">
        <v>7</v>
      </c>
      <c r="D15189" t="s">
        <v>33</v>
      </c>
      <c r="E15189" t="s">
        <v>21019</v>
      </c>
      <c r="F15189" t="s">
        <v>21097</v>
      </c>
    </row>
    <row r="15190" spans="1:6" x14ac:dyDescent="0.25">
      <c r="A15190" t="str">
        <f>"7017222685"</f>
        <v>7017222685</v>
      </c>
      <c r="B15190" t="s">
        <v>2022</v>
      </c>
      <c r="C15190" t="s">
        <v>7</v>
      </c>
      <c r="D15190" t="s">
        <v>12</v>
      </c>
      <c r="E15190" t="s">
        <v>21019</v>
      </c>
      <c r="F15190" t="s">
        <v>21098</v>
      </c>
    </row>
    <row r="15191" spans="1:6" x14ac:dyDescent="0.25">
      <c r="A15191" t="str">
        <f>"7017259090"</f>
        <v>7017259090</v>
      </c>
      <c r="B15191" t="s">
        <v>21099</v>
      </c>
      <c r="C15191" t="s">
        <v>7</v>
      </c>
      <c r="D15191" t="s">
        <v>33</v>
      </c>
      <c r="E15191" t="s">
        <v>21019</v>
      </c>
      <c r="F15191" t="s">
        <v>21100</v>
      </c>
    </row>
    <row r="15192" spans="1:6" x14ac:dyDescent="0.25">
      <c r="A15192" t="str">
        <f>"7017260602"</f>
        <v>7017260602</v>
      </c>
      <c r="B15192" t="s">
        <v>16489</v>
      </c>
      <c r="C15192" t="s">
        <v>7</v>
      </c>
      <c r="D15192" t="s">
        <v>14</v>
      </c>
      <c r="E15192" t="s">
        <v>21019</v>
      </c>
      <c r="F15192" t="s">
        <v>21101</v>
      </c>
    </row>
    <row r="15193" spans="1:6" x14ac:dyDescent="0.25">
      <c r="A15193" t="str">
        <f>"7017299110"</f>
        <v>7017299110</v>
      </c>
      <c r="B15193" t="s">
        <v>21102</v>
      </c>
      <c r="C15193" t="s">
        <v>7</v>
      </c>
      <c r="D15193" t="s">
        <v>12</v>
      </c>
      <c r="E15193" t="s">
        <v>21019</v>
      </c>
      <c r="F15193" t="s">
        <v>21103</v>
      </c>
    </row>
    <row r="15194" spans="1:6" x14ac:dyDescent="0.25">
      <c r="A15194" t="str">
        <f>"7017310733"</f>
        <v>7017310733</v>
      </c>
      <c r="B15194" t="s">
        <v>21104</v>
      </c>
      <c r="C15194" t="s">
        <v>7</v>
      </c>
      <c r="D15194" t="s">
        <v>14</v>
      </c>
      <c r="E15194" t="s">
        <v>21019</v>
      </c>
      <c r="F15194" t="s">
        <v>21105</v>
      </c>
    </row>
    <row r="15195" spans="1:6" x14ac:dyDescent="0.25">
      <c r="A15195" t="str">
        <f>"7017333226"</f>
        <v>7017333226</v>
      </c>
      <c r="B15195" t="s">
        <v>16489</v>
      </c>
      <c r="C15195" t="s">
        <v>7</v>
      </c>
      <c r="D15195" t="s">
        <v>14</v>
      </c>
      <c r="E15195" t="s">
        <v>21019</v>
      </c>
      <c r="F15195" t="s">
        <v>21106</v>
      </c>
    </row>
    <row r="15196" spans="1:6" x14ac:dyDescent="0.25">
      <c r="A15196" t="str">
        <f>"7017356992"</f>
        <v>7017356992</v>
      </c>
      <c r="B15196" t="s">
        <v>21107</v>
      </c>
      <c r="C15196" t="s">
        <v>7</v>
      </c>
      <c r="D15196" t="s">
        <v>12</v>
      </c>
      <c r="E15196" t="s">
        <v>21019</v>
      </c>
      <c r="F15196" t="s">
        <v>21108</v>
      </c>
    </row>
    <row r="15197" spans="1:6" x14ac:dyDescent="0.25">
      <c r="A15197" t="str">
        <f>"7017363862"</f>
        <v>7017363862</v>
      </c>
      <c r="B15197" t="s">
        <v>21109</v>
      </c>
      <c r="C15197" t="s">
        <v>7</v>
      </c>
      <c r="D15197" t="s">
        <v>33</v>
      </c>
      <c r="E15197" t="s">
        <v>21019</v>
      </c>
      <c r="F15197" t="s">
        <v>21110</v>
      </c>
    </row>
    <row r="15198" spans="1:6" x14ac:dyDescent="0.25">
      <c r="A15198" t="str">
        <f>"7017374656"</f>
        <v>7017374656</v>
      </c>
      <c r="B15198" t="s">
        <v>21111</v>
      </c>
      <c r="C15198" t="s">
        <v>7</v>
      </c>
      <c r="D15198" t="s">
        <v>189</v>
      </c>
      <c r="E15198" t="s">
        <v>21019</v>
      </c>
      <c r="F15198" t="s">
        <v>21112</v>
      </c>
    </row>
    <row r="15199" spans="1:6" x14ac:dyDescent="0.25">
      <c r="A15199" t="str">
        <f>"7017389469"</f>
        <v>7017389469</v>
      </c>
      <c r="B15199" t="s">
        <v>21113</v>
      </c>
      <c r="C15199" t="s">
        <v>7</v>
      </c>
      <c r="D15199" t="s">
        <v>12</v>
      </c>
      <c r="E15199" t="s">
        <v>21019</v>
      </c>
      <c r="F15199" t="s">
        <v>21114</v>
      </c>
    </row>
    <row r="15200" spans="1:6" x14ac:dyDescent="0.25">
      <c r="A15200" t="str">
        <f>"191101409271"</f>
        <v>191101409271</v>
      </c>
      <c r="B15200" t="s">
        <v>21115</v>
      </c>
      <c r="C15200" t="s">
        <v>7</v>
      </c>
      <c r="D15200" t="s">
        <v>14</v>
      </c>
      <c r="E15200" t="s">
        <v>21019</v>
      </c>
    </row>
    <row r="15201" spans="1:6" x14ac:dyDescent="0.25">
      <c r="A15201" t="str">
        <f>"701800605863"</f>
        <v>701800605863</v>
      </c>
      <c r="B15201" t="s">
        <v>21116</v>
      </c>
      <c r="C15201" t="s">
        <v>7</v>
      </c>
      <c r="D15201" t="s">
        <v>12</v>
      </c>
      <c r="E15201" t="s">
        <v>21019</v>
      </c>
    </row>
    <row r="15202" spans="1:6" x14ac:dyDescent="0.25">
      <c r="A15202" t="str">
        <f>"701900255980"</f>
        <v>701900255980</v>
      </c>
      <c r="B15202" t="s">
        <v>21117</v>
      </c>
      <c r="C15202" t="s">
        <v>7</v>
      </c>
      <c r="D15202" t="s">
        <v>14</v>
      </c>
      <c r="E15202" t="s">
        <v>21019</v>
      </c>
    </row>
    <row r="15203" spans="1:6" x14ac:dyDescent="0.25">
      <c r="A15203" t="str">
        <f>"702000015105"</f>
        <v>702000015105</v>
      </c>
      <c r="B15203" t="s">
        <v>21118</v>
      </c>
      <c r="C15203" t="s">
        <v>7</v>
      </c>
      <c r="D15203" t="s">
        <v>14</v>
      </c>
      <c r="E15203" t="s">
        <v>21019</v>
      </c>
    </row>
    <row r="15204" spans="1:6" x14ac:dyDescent="0.25">
      <c r="A15204" t="str">
        <f>"702000860312"</f>
        <v>702000860312</v>
      </c>
      <c r="B15204" t="s">
        <v>21119</v>
      </c>
      <c r="C15204" t="s">
        <v>7</v>
      </c>
      <c r="D15204" t="s">
        <v>12</v>
      </c>
      <c r="E15204" t="s">
        <v>21019</v>
      </c>
    </row>
    <row r="15205" spans="1:6" x14ac:dyDescent="0.25">
      <c r="A15205" t="str">
        <f>"7020017742"</f>
        <v>7020017742</v>
      </c>
      <c r="B15205" t="s">
        <v>21120</v>
      </c>
      <c r="C15205" t="s">
        <v>7</v>
      </c>
      <c r="D15205" t="s">
        <v>12</v>
      </c>
      <c r="E15205" t="s">
        <v>21019</v>
      </c>
      <c r="F15205" t="s">
        <v>21121</v>
      </c>
    </row>
    <row r="15206" spans="1:6" x14ac:dyDescent="0.25">
      <c r="A15206" t="str">
        <f>"702202372406"</f>
        <v>702202372406</v>
      </c>
      <c r="B15206" t="s">
        <v>21122</v>
      </c>
      <c r="C15206" t="s">
        <v>7</v>
      </c>
      <c r="D15206" t="s">
        <v>14</v>
      </c>
      <c r="E15206" t="s">
        <v>21019</v>
      </c>
    </row>
    <row r="15207" spans="1:6" x14ac:dyDescent="0.25">
      <c r="A15207" t="str">
        <f>"701742588849"</f>
        <v>701742588849</v>
      </c>
      <c r="B15207" t="s">
        <v>21123</v>
      </c>
      <c r="C15207" t="s">
        <v>7</v>
      </c>
      <c r="D15207" t="s">
        <v>14</v>
      </c>
      <c r="E15207" t="s">
        <v>21019</v>
      </c>
    </row>
    <row r="15208" spans="1:6" x14ac:dyDescent="0.25">
      <c r="A15208" t="str">
        <f>"7017428848"</f>
        <v>7017428848</v>
      </c>
      <c r="B15208" t="s">
        <v>21124</v>
      </c>
      <c r="C15208" t="s">
        <v>7</v>
      </c>
      <c r="D15208" t="s">
        <v>12</v>
      </c>
      <c r="E15208" t="s">
        <v>21019</v>
      </c>
      <c r="F15208" t="s">
        <v>21125</v>
      </c>
    </row>
    <row r="15209" spans="1:6" x14ac:dyDescent="0.25">
      <c r="A15209" t="str">
        <f>"701745902326"</f>
        <v>701745902326</v>
      </c>
      <c r="B15209" t="s">
        <v>21126</v>
      </c>
      <c r="C15209" t="s">
        <v>7</v>
      </c>
      <c r="D15209" t="s">
        <v>12</v>
      </c>
      <c r="E15209" t="s">
        <v>21019</v>
      </c>
    </row>
    <row r="15210" spans="1:6" x14ac:dyDescent="0.25">
      <c r="A15210" t="str">
        <f>"7017475975"</f>
        <v>7017475975</v>
      </c>
      <c r="B15210" t="s">
        <v>21127</v>
      </c>
      <c r="C15210" t="s">
        <v>7</v>
      </c>
      <c r="D15210" t="s">
        <v>14</v>
      </c>
      <c r="E15210" t="s">
        <v>21019</v>
      </c>
      <c r="F15210" t="s">
        <v>21128</v>
      </c>
    </row>
    <row r="15211" spans="1:6" x14ac:dyDescent="0.25">
      <c r="A15211" t="str">
        <f>"701749658693"</f>
        <v>701749658693</v>
      </c>
      <c r="B15211" t="s">
        <v>21129</v>
      </c>
      <c r="C15211" t="s">
        <v>7</v>
      </c>
      <c r="D15211" t="s">
        <v>12</v>
      </c>
      <c r="E15211" t="s">
        <v>21019</v>
      </c>
    </row>
    <row r="15212" spans="1:6" x14ac:dyDescent="0.25">
      <c r="A15212" t="str">
        <f>"701751215868"</f>
        <v>701751215868</v>
      </c>
      <c r="B15212" t="s">
        <v>21130</v>
      </c>
      <c r="C15212" t="s">
        <v>7</v>
      </c>
      <c r="D15212" t="s">
        <v>14</v>
      </c>
      <c r="E15212" t="s">
        <v>21019</v>
      </c>
    </row>
    <row r="15213" spans="1:6" x14ac:dyDescent="0.25">
      <c r="A15213" t="str">
        <f>"701800597429"</f>
        <v>701800597429</v>
      </c>
      <c r="B15213" t="s">
        <v>21131</v>
      </c>
      <c r="C15213" t="s">
        <v>7</v>
      </c>
      <c r="D15213" t="s">
        <v>14</v>
      </c>
      <c r="E15213" t="s">
        <v>21019</v>
      </c>
    </row>
    <row r="15214" spans="1:6" x14ac:dyDescent="0.25">
      <c r="A15214" t="str">
        <f>"7019016399"</f>
        <v>7019016399</v>
      </c>
      <c r="B15214" t="s">
        <v>21132</v>
      </c>
      <c r="C15214" t="s">
        <v>7</v>
      </c>
      <c r="D15214" t="s">
        <v>14</v>
      </c>
      <c r="E15214" t="s">
        <v>21019</v>
      </c>
      <c r="F15214" t="s">
        <v>21133</v>
      </c>
    </row>
    <row r="15215" spans="1:6" x14ac:dyDescent="0.25">
      <c r="A15215" t="str">
        <f>"702000590200"</f>
        <v>702000590200</v>
      </c>
      <c r="B15215" t="s">
        <v>21134</v>
      </c>
      <c r="C15215" t="s">
        <v>7</v>
      </c>
      <c r="D15215" t="s">
        <v>12</v>
      </c>
      <c r="E15215" t="s">
        <v>21019</v>
      </c>
    </row>
    <row r="15216" spans="1:6" x14ac:dyDescent="0.25">
      <c r="A15216" t="str">
        <f>"702100024897"</f>
        <v>702100024897</v>
      </c>
      <c r="B15216" t="s">
        <v>21135</v>
      </c>
      <c r="C15216" t="s">
        <v>7</v>
      </c>
      <c r="D15216" t="s">
        <v>14</v>
      </c>
      <c r="E15216" t="s">
        <v>21019</v>
      </c>
    </row>
    <row r="15217" spans="1:6" x14ac:dyDescent="0.25">
      <c r="A15217" t="str">
        <f>"702100245494"</f>
        <v>702100245494</v>
      </c>
      <c r="B15217" t="s">
        <v>21136</v>
      </c>
      <c r="C15217" t="s">
        <v>7</v>
      </c>
      <c r="D15217" t="s">
        <v>14</v>
      </c>
      <c r="E15217" t="s">
        <v>21019</v>
      </c>
    </row>
    <row r="15218" spans="1:6" x14ac:dyDescent="0.25">
      <c r="A15218" t="str">
        <f>"7021054602"</f>
        <v>7021054602</v>
      </c>
      <c r="B15218" t="s">
        <v>21137</v>
      </c>
      <c r="C15218" t="s">
        <v>7</v>
      </c>
      <c r="D15218" t="s">
        <v>14</v>
      </c>
      <c r="E15218" t="s">
        <v>21019</v>
      </c>
      <c r="F15218" t="s">
        <v>21039</v>
      </c>
    </row>
    <row r="15219" spans="1:6" x14ac:dyDescent="0.25">
      <c r="A15219" t="str">
        <f>"702201614490"</f>
        <v>702201614490</v>
      </c>
      <c r="B15219" t="s">
        <v>21138</v>
      </c>
      <c r="C15219" t="s">
        <v>7</v>
      </c>
      <c r="D15219" t="s">
        <v>14</v>
      </c>
      <c r="E15219" t="s">
        <v>21019</v>
      </c>
    </row>
    <row r="15220" spans="1:6" x14ac:dyDescent="0.25">
      <c r="A15220" t="str">
        <f>"7022020003"</f>
        <v>7022020003</v>
      </c>
      <c r="B15220" t="s">
        <v>21139</v>
      </c>
      <c r="C15220" t="s">
        <v>7</v>
      </c>
      <c r="D15220" t="s">
        <v>14</v>
      </c>
      <c r="E15220" t="s">
        <v>21019</v>
      </c>
      <c r="F15220" t="s">
        <v>21140</v>
      </c>
    </row>
    <row r="15221" spans="1:6" x14ac:dyDescent="0.25">
      <c r="A15221" t="str">
        <f>"702400163122"</f>
        <v>702400163122</v>
      </c>
      <c r="B15221" t="s">
        <v>21141</v>
      </c>
      <c r="C15221" t="s">
        <v>7</v>
      </c>
      <c r="D15221" t="s">
        <v>14</v>
      </c>
      <c r="E15221" t="s">
        <v>21019</v>
      </c>
    </row>
    <row r="15222" spans="1:6" x14ac:dyDescent="0.25">
      <c r="A15222" t="str">
        <f>"702400785733"</f>
        <v>702400785733</v>
      </c>
      <c r="B15222" t="s">
        <v>21142</v>
      </c>
      <c r="C15222" t="s">
        <v>7</v>
      </c>
      <c r="D15222" t="s">
        <v>12</v>
      </c>
      <c r="E15222" t="s">
        <v>21019</v>
      </c>
    </row>
    <row r="15223" spans="1:6" x14ac:dyDescent="0.25">
      <c r="A15223" t="str">
        <f>"702408856190"</f>
        <v>702408856190</v>
      </c>
      <c r="B15223" t="s">
        <v>21143</v>
      </c>
      <c r="C15223" t="s">
        <v>7</v>
      </c>
      <c r="D15223" t="s">
        <v>14</v>
      </c>
      <c r="E15223" t="s">
        <v>21019</v>
      </c>
    </row>
    <row r="15224" spans="1:6" x14ac:dyDescent="0.25">
      <c r="A15224" t="str">
        <f>"702436013040"</f>
        <v>702436013040</v>
      </c>
      <c r="B15224" t="s">
        <v>21144</v>
      </c>
      <c r="C15224" t="s">
        <v>7</v>
      </c>
      <c r="D15224" t="s">
        <v>14</v>
      </c>
      <c r="E15224" t="s">
        <v>21019</v>
      </c>
    </row>
    <row r="15225" spans="1:6" x14ac:dyDescent="0.25">
      <c r="A15225" t="str">
        <f>"7000005386"</f>
        <v>7000005386</v>
      </c>
      <c r="B15225" t="s">
        <v>21145</v>
      </c>
      <c r="C15225" t="s">
        <v>7</v>
      </c>
      <c r="D15225" t="s">
        <v>12</v>
      </c>
      <c r="E15225" t="s">
        <v>21019</v>
      </c>
      <c r="F15225" t="s">
        <v>21146</v>
      </c>
    </row>
    <row r="15226" spans="1:6" x14ac:dyDescent="0.25">
      <c r="A15226" t="str">
        <f>"7000009976"</f>
        <v>7000009976</v>
      </c>
      <c r="B15226" t="s">
        <v>21147</v>
      </c>
      <c r="C15226" t="s">
        <v>7</v>
      </c>
      <c r="D15226" t="s">
        <v>33</v>
      </c>
      <c r="E15226" t="s">
        <v>21019</v>
      </c>
      <c r="F15226" t="s">
        <v>21148</v>
      </c>
    </row>
    <row r="15227" spans="1:6" x14ac:dyDescent="0.25">
      <c r="A15227" t="str">
        <f>"700200020324"</f>
        <v>700200020324</v>
      </c>
      <c r="B15227" t="s">
        <v>21149</v>
      </c>
      <c r="C15227" t="s">
        <v>7</v>
      </c>
      <c r="D15227" t="s">
        <v>12</v>
      </c>
      <c r="E15227" t="s">
        <v>21019</v>
      </c>
    </row>
    <row r="15228" spans="1:6" x14ac:dyDescent="0.25">
      <c r="A15228" t="str">
        <f>"700400064209"</f>
        <v>700400064209</v>
      </c>
      <c r="B15228" t="s">
        <v>21150</v>
      </c>
      <c r="C15228" t="s">
        <v>7</v>
      </c>
      <c r="D15228" t="s">
        <v>14</v>
      </c>
      <c r="E15228" t="s">
        <v>21019</v>
      </c>
    </row>
    <row r="15229" spans="1:6" x14ac:dyDescent="0.25">
      <c r="A15229" t="str">
        <f>"700501328641"</f>
        <v>700501328641</v>
      </c>
      <c r="B15229" t="s">
        <v>21151</v>
      </c>
      <c r="C15229" t="s">
        <v>7</v>
      </c>
      <c r="D15229" t="s">
        <v>14</v>
      </c>
      <c r="E15229" t="s">
        <v>21019</v>
      </c>
    </row>
    <row r="15230" spans="1:6" x14ac:dyDescent="0.25">
      <c r="A15230" t="str">
        <f>"700502080947"</f>
        <v>700502080947</v>
      </c>
      <c r="B15230" t="s">
        <v>21152</v>
      </c>
      <c r="C15230" t="s">
        <v>7</v>
      </c>
      <c r="D15230" t="s">
        <v>12</v>
      </c>
      <c r="E15230" t="s">
        <v>21019</v>
      </c>
    </row>
    <row r="15231" spans="1:6" x14ac:dyDescent="0.25">
      <c r="A15231" t="str">
        <f>"700600534420"</f>
        <v>700600534420</v>
      </c>
      <c r="B15231" t="s">
        <v>21153</v>
      </c>
      <c r="C15231" t="s">
        <v>7</v>
      </c>
      <c r="D15231" t="s">
        <v>14</v>
      </c>
      <c r="E15231" t="s">
        <v>21019</v>
      </c>
    </row>
    <row r="15232" spans="1:6" x14ac:dyDescent="0.25">
      <c r="A15232" t="str">
        <f>"700704875054"</f>
        <v>700704875054</v>
      </c>
      <c r="B15232" t="s">
        <v>21154</v>
      </c>
      <c r="C15232" t="s">
        <v>7</v>
      </c>
      <c r="D15232" t="s">
        <v>14</v>
      </c>
      <c r="E15232" t="s">
        <v>21019</v>
      </c>
    </row>
    <row r="15233" spans="1:6" x14ac:dyDescent="0.25">
      <c r="A15233" t="str">
        <f>"701170900899"</f>
        <v>701170900899</v>
      </c>
      <c r="B15233" t="s">
        <v>21155</v>
      </c>
      <c r="C15233" t="s">
        <v>7</v>
      </c>
      <c r="D15233" t="s">
        <v>14</v>
      </c>
      <c r="E15233" t="s">
        <v>21019</v>
      </c>
    </row>
    <row r="15234" spans="1:6" x14ac:dyDescent="0.25">
      <c r="A15234" t="str">
        <f>"701407154830"</f>
        <v>701407154830</v>
      </c>
      <c r="B15234" t="s">
        <v>21156</v>
      </c>
      <c r="C15234" t="s">
        <v>7</v>
      </c>
      <c r="D15234" t="s">
        <v>14</v>
      </c>
      <c r="E15234" t="s">
        <v>21019</v>
      </c>
    </row>
    <row r="15235" spans="1:6" x14ac:dyDescent="0.25">
      <c r="A15235" t="str">
        <f>"701500723760"</f>
        <v>701500723760</v>
      </c>
      <c r="B15235" t="s">
        <v>21157</v>
      </c>
      <c r="C15235" t="s">
        <v>7</v>
      </c>
      <c r="D15235" t="s">
        <v>14</v>
      </c>
      <c r="E15235" t="s">
        <v>21019</v>
      </c>
    </row>
    <row r="15236" spans="1:6" x14ac:dyDescent="0.25">
      <c r="A15236" t="str">
        <f>"7017014558"</f>
        <v>7017014558</v>
      </c>
      <c r="B15236" t="s">
        <v>21158</v>
      </c>
      <c r="C15236" t="s">
        <v>7</v>
      </c>
      <c r="D15236" t="s">
        <v>33</v>
      </c>
      <c r="E15236" t="s">
        <v>21019</v>
      </c>
      <c r="F15236" t="s">
        <v>21159</v>
      </c>
    </row>
    <row r="15237" spans="1:6" x14ac:dyDescent="0.25">
      <c r="A15237" t="str">
        <f>"701701897679"</f>
        <v>701701897679</v>
      </c>
      <c r="B15237" t="s">
        <v>21160</v>
      </c>
      <c r="C15237" t="s">
        <v>7</v>
      </c>
      <c r="D15237" t="s">
        <v>12</v>
      </c>
      <c r="E15237" t="s">
        <v>21019</v>
      </c>
    </row>
    <row r="15238" spans="1:6" x14ac:dyDescent="0.25">
      <c r="A15238" t="str">
        <f>"701702623430"</f>
        <v>701702623430</v>
      </c>
      <c r="B15238" t="s">
        <v>21161</v>
      </c>
      <c r="C15238" t="s">
        <v>7</v>
      </c>
      <c r="D15238" t="s">
        <v>14</v>
      </c>
      <c r="E15238" t="s">
        <v>21019</v>
      </c>
    </row>
    <row r="15239" spans="1:6" x14ac:dyDescent="0.25">
      <c r="A15239" t="str">
        <f>"701703435920"</f>
        <v>701703435920</v>
      </c>
      <c r="B15239" t="s">
        <v>21162</v>
      </c>
      <c r="C15239" t="s">
        <v>7</v>
      </c>
      <c r="D15239" t="s">
        <v>8</v>
      </c>
      <c r="E15239" t="s">
        <v>21019</v>
      </c>
    </row>
    <row r="15240" spans="1:6" x14ac:dyDescent="0.25">
      <c r="A15240" t="str">
        <f>"7017036706"</f>
        <v>7017036706</v>
      </c>
      <c r="B15240" t="s">
        <v>21163</v>
      </c>
      <c r="C15240" t="s">
        <v>7</v>
      </c>
      <c r="D15240" t="s">
        <v>12</v>
      </c>
      <c r="E15240" t="s">
        <v>21019</v>
      </c>
      <c r="F15240" t="s">
        <v>21164</v>
      </c>
    </row>
    <row r="15241" spans="1:6" x14ac:dyDescent="0.25">
      <c r="A15241" t="str">
        <f>"701704535243"</f>
        <v>701704535243</v>
      </c>
      <c r="B15241" t="s">
        <v>21165</v>
      </c>
      <c r="C15241" t="s">
        <v>7</v>
      </c>
      <c r="D15241" t="s">
        <v>14</v>
      </c>
      <c r="E15241" t="s">
        <v>21019</v>
      </c>
    </row>
    <row r="15242" spans="1:6" x14ac:dyDescent="0.25">
      <c r="A15242" t="str">
        <f>"7017054046"</f>
        <v>7017054046</v>
      </c>
      <c r="B15242" t="s">
        <v>21166</v>
      </c>
      <c r="C15242" t="s">
        <v>7</v>
      </c>
      <c r="D15242" t="s">
        <v>12</v>
      </c>
      <c r="E15242" t="s">
        <v>21019</v>
      </c>
      <c r="F15242" t="s">
        <v>21167</v>
      </c>
    </row>
    <row r="15243" spans="1:6" x14ac:dyDescent="0.25">
      <c r="A15243" t="str">
        <f>"701706450570"</f>
        <v>701706450570</v>
      </c>
      <c r="B15243" t="s">
        <v>21168</v>
      </c>
      <c r="C15243" t="s">
        <v>7</v>
      </c>
      <c r="D15243" t="s">
        <v>14</v>
      </c>
      <c r="E15243" t="s">
        <v>21019</v>
      </c>
    </row>
    <row r="15244" spans="1:6" x14ac:dyDescent="0.25">
      <c r="A15244" t="str">
        <f>"7017085220"</f>
        <v>7017085220</v>
      </c>
      <c r="B15244" t="s">
        <v>21169</v>
      </c>
      <c r="C15244" t="s">
        <v>7</v>
      </c>
      <c r="D15244" t="s">
        <v>33</v>
      </c>
      <c r="E15244" t="s">
        <v>21019</v>
      </c>
      <c r="F15244" t="s">
        <v>21170</v>
      </c>
    </row>
    <row r="15245" spans="1:6" x14ac:dyDescent="0.25">
      <c r="A15245" t="str">
        <f>"701710888991"</f>
        <v>701710888991</v>
      </c>
      <c r="B15245" t="s">
        <v>21171</v>
      </c>
      <c r="C15245" t="s">
        <v>7</v>
      </c>
      <c r="D15245" t="s">
        <v>14</v>
      </c>
      <c r="E15245" t="s">
        <v>21019</v>
      </c>
    </row>
    <row r="15246" spans="1:6" x14ac:dyDescent="0.25">
      <c r="A15246" t="str">
        <f>"701710973647"</f>
        <v>701710973647</v>
      </c>
      <c r="B15246" t="s">
        <v>21172</v>
      </c>
      <c r="C15246" t="s">
        <v>7</v>
      </c>
      <c r="D15246" t="s">
        <v>14</v>
      </c>
      <c r="E15246" t="s">
        <v>21019</v>
      </c>
    </row>
    <row r="15247" spans="1:6" x14ac:dyDescent="0.25">
      <c r="A15247" t="str">
        <f>"7017243653"</f>
        <v>7017243653</v>
      </c>
      <c r="B15247" t="s">
        <v>21173</v>
      </c>
      <c r="C15247" t="s">
        <v>7</v>
      </c>
      <c r="D15247" t="s">
        <v>14</v>
      </c>
      <c r="E15247" t="s">
        <v>21019</v>
      </c>
      <c r="F15247" t="s">
        <v>21174</v>
      </c>
    </row>
    <row r="15248" spans="1:6" x14ac:dyDescent="0.25">
      <c r="A15248" t="str">
        <f>"701728105634"</f>
        <v>701728105634</v>
      </c>
      <c r="B15248" t="s">
        <v>21175</v>
      </c>
      <c r="C15248" t="s">
        <v>7</v>
      </c>
      <c r="D15248" t="s">
        <v>14</v>
      </c>
      <c r="E15248" t="s">
        <v>21019</v>
      </c>
    </row>
    <row r="15249" spans="1:6" x14ac:dyDescent="0.25">
      <c r="A15249" t="str">
        <f>"7017317633"</f>
        <v>7017317633</v>
      </c>
      <c r="B15249" t="s">
        <v>21176</v>
      </c>
      <c r="C15249" t="s">
        <v>7</v>
      </c>
      <c r="D15249" t="s">
        <v>33</v>
      </c>
      <c r="E15249" t="s">
        <v>21019</v>
      </c>
      <c r="F15249" t="s">
        <v>21177</v>
      </c>
    </row>
    <row r="15250" spans="1:6" x14ac:dyDescent="0.25">
      <c r="A15250" t="str">
        <f>"7017329974"</f>
        <v>7017329974</v>
      </c>
      <c r="B15250" t="s">
        <v>21178</v>
      </c>
      <c r="C15250" t="s">
        <v>7</v>
      </c>
      <c r="D15250" t="s">
        <v>12</v>
      </c>
      <c r="E15250" t="s">
        <v>21019</v>
      </c>
      <c r="F15250" t="s">
        <v>21179</v>
      </c>
    </row>
    <row r="15251" spans="1:6" x14ac:dyDescent="0.25">
      <c r="A15251" t="str">
        <f>"7017339130"</f>
        <v>7017339130</v>
      </c>
      <c r="B15251" t="s">
        <v>21180</v>
      </c>
      <c r="C15251" t="s">
        <v>7</v>
      </c>
      <c r="D15251" t="s">
        <v>33</v>
      </c>
      <c r="E15251" t="s">
        <v>21019</v>
      </c>
      <c r="F15251" t="s">
        <v>21181</v>
      </c>
    </row>
    <row r="15252" spans="1:6" x14ac:dyDescent="0.25">
      <c r="A15252" t="str">
        <f>"7017339281"</f>
        <v>7017339281</v>
      </c>
      <c r="B15252" t="s">
        <v>21182</v>
      </c>
      <c r="C15252" t="s">
        <v>7</v>
      </c>
      <c r="D15252" t="s">
        <v>33</v>
      </c>
      <c r="E15252" t="s">
        <v>21019</v>
      </c>
      <c r="F15252" t="s">
        <v>21183</v>
      </c>
    </row>
    <row r="15253" spans="1:6" x14ac:dyDescent="0.25">
      <c r="A15253" t="str">
        <f>"701734287982"</f>
        <v>701734287982</v>
      </c>
      <c r="B15253" t="s">
        <v>21184</v>
      </c>
      <c r="C15253" t="s">
        <v>7</v>
      </c>
      <c r="D15253" t="s">
        <v>12</v>
      </c>
      <c r="E15253" t="s">
        <v>21019</v>
      </c>
    </row>
    <row r="15254" spans="1:6" x14ac:dyDescent="0.25">
      <c r="A15254" t="str">
        <f>"7017345743"</f>
        <v>7017345743</v>
      </c>
      <c r="B15254" t="s">
        <v>21185</v>
      </c>
      <c r="C15254" t="s">
        <v>7</v>
      </c>
      <c r="D15254" t="s">
        <v>33</v>
      </c>
      <c r="E15254" t="s">
        <v>21019</v>
      </c>
      <c r="F15254" t="s">
        <v>21186</v>
      </c>
    </row>
    <row r="15255" spans="1:6" x14ac:dyDescent="0.25">
      <c r="A15255" t="str">
        <f>"7017379904"</f>
        <v>7017379904</v>
      </c>
      <c r="B15255" t="s">
        <v>21187</v>
      </c>
      <c r="C15255" t="s">
        <v>7</v>
      </c>
      <c r="D15255" t="s">
        <v>12</v>
      </c>
      <c r="E15255" t="s">
        <v>21019</v>
      </c>
      <c r="F15255" t="s">
        <v>21188</v>
      </c>
    </row>
    <row r="15256" spans="1:6" x14ac:dyDescent="0.25">
      <c r="A15256" t="str">
        <f>"701741404739"</f>
        <v>701741404739</v>
      </c>
      <c r="B15256" t="s">
        <v>21189</v>
      </c>
      <c r="C15256" t="s">
        <v>7</v>
      </c>
      <c r="D15256" t="s">
        <v>14</v>
      </c>
      <c r="E15256" t="s">
        <v>21019</v>
      </c>
    </row>
    <row r="15257" spans="1:6" x14ac:dyDescent="0.25">
      <c r="A15257" t="str">
        <f>"701742578022"</f>
        <v>701742578022</v>
      </c>
      <c r="B15257" t="s">
        <v>21190</v>
      </c>
      <c r="C15257" t="s">
        <v>7</v>
      </c>
      <c r="D15257" t="s">
        <v>14</v>
      </c>
      <c r="E15257" t="s">
        <v>21019</v>
      </c>
    </row>
    <row r="15258" spans="1:6" x14ac:dyDescent="0.25">
      <c r="A15258" t="str">
        <f>"540513378206"</f>
        <v>540513378206</v>
      </c>
      <c r="B15258" t="s">
        <v>21191</v>
      </c>
      <c r="C15258" t="s">
        <v>7</v>
      </c>
      <c r="D15258" t="s">
        <v>12</v>
      </c>
      <c r="E15258" t="s">
        <v>21019</v>
      </c>
    </row>
    <row r="15259" spans="1:6" x14ac:dyDescent="0.25">
      <c r="A15259" t="str">
        <f>"5405451755"</f>
        <v>5405451755</v>
      </c>
      <c r="B15259" t="s">
        <v>21192</v>
      </c>
      <c r="C15259" t="s">
        <v>7</v>
      </c>
      <c r="D15259" t="s">
        <v>14</v>
      </c>
      <c r="E15259" t="s">
        <v>21019</v>
      </c>
      <c r="F15259" t="s">
        <v>21193</v>
      </c>
    </row>
    <row r="15260" spans="1:6" x14ac:dyDescent="0.25">
      <c r="A15260" t="str">
        <f>"7017452022"</f>
        <v>7017452022</v>
      </c>
      <c r="B15260" t="s">
        <v>21194</v>
      </c>
      <c r="C15260" t="s">
        <v>7</v>
      </c>
      <c r="D15260" t="s">
        <v>14</v>
      </c>
      <c r="E15260" t="s">
        <v>21019</v>
      </c>
      <c r="F15260" t="s">
        <v>21195</v>
      </c>
    </row>
    <row r="15261" spans="1:6" x14ac:dyDescent="0.25">
      <c r="A15261" t="str">
        <f>"7017479923"</f>
        <v>7017479923</v>
      </c>
      <c r="B15261" t="s">
        <v>21196</v>
      </c>
      <c r="C15261" t="s">
        <v>7</v>
      </c>
      <c r="D15261" t="s">
        <v>14</v>
      </c>
      <c r="E15261" t="s">
        <v>21019</v>
      </c>
      <c r="F15261" t="s">
        <v>21197</v>
      </c>
    </row>
    <row r="15262" spans="1:6" x14ac:dyDescent="0.25">
      <c r="A15262" t="str">
        <f>"701900218113"</f>
        <v>701900218113</v>
      </c>
      <c r="B15262" t="s">
        <v>21198</v>
      </c>
      <c r="C15262" t="s">
        <v>7</v>
      </c>
      <c r="D15262" t="s">
        <v>14</v>
      </c>
      <c r="E15262" t="s">
        <v>21019</v>
      </c>
    </row>
    <row r="15263" spans="1:6" x14ac:dyDescent="0.25">
      <c r="A15263" t="str">
        <f>"702100359420"</f>
        <v>702100359420</v>
      </c>
      <c r="B15263" t="s">
        <v>21199</v>
      </c>
      <c r="C15263" t="s">
        <v>7</v>
      </c>
      <c r="D15263" t="s">
        <v>14</v>
      </c>
      <c r="E15263" t="s">
        <v>21019</v>
      </c>
    </row>
    <row r="15264" spans="1:6" x14ac:dyDescent="0.25">
      <c r="A15264" t="str">
        <f>"702204605695"</f>
        <v>702204605695</v>
      </c>
      <c r="B15264" t="s">
        <v>21200</v>
      </c>
      <c r="C15264" t="s">
        <v>7</v>
      </c>
      <c r="D15264" t="s">
        <v>14</v>
      </c>
      <c r="E15264" t="s">
        <v>21019</v>
      </c>
    </row>
    <row r="15265" spans="1:6" x14ac:dyDescent="0.25">
      <c r="A15265" t="str">
        <f>"702280968267"</f>
        <v>702280968267</v>
      </c>
      <c r="B15265" t="s">
        <v>21201</v>
      </c>
      <c r="C15265" t="s">
        <v>7</v>
      </c>
      <c r="D15265" t="s">
        <v>14</v>
      </c>
      <c r="E15265" t="s">
        <v>21019</v>
      </c>
    </row>
    <row r="15266" spans="1:6" x14ac:dyDescent="0.25">
      <c r="A15266" t="str">
        <f>"702400642742"</f>
        <v>702400642742</v>
      </c>
      <c r="B15266" t="s">
        <v>21202</v>
      </c>
      <c r="C15266" t="s">
        <v>7</v>
      </c>
      <c r="D15266" t="s">
        <v>14</v>
      </c>
      <c r="E15266" t="s">
        <v>21019</v>
      </c>
    </row>
    <row r="15267" spans="1:6" x14ac:dyDescent="0.25">
      <c r="A15267" t="str">
        <f>"543240061210"</f>
        <v>543240061210</v>
      </c>
      <c r="B15267" t="s">
        <v>21203</v>
      </c>
      <c r="C15267" t="s">
        <v>7</v>
      </c>
      <c r="D15267" t="s">
        <v>12</v>
      </c>
      <c r="E15267" t="s">
        <v>21019</v>
      </c>
    </row>
    <row r="15268" spans="1:6" x14ac:dyDescent="0.25">
      <c r="A15268" t="str">
        <f>"561014652916"</f>
        <v>561014652916</v>
      </c>
      <c r="B15268" t="s">
        <v>21204</v>
      </c>
      <c r="C15268" t="s">
        <v>7</v>
      </c>
      <c r="D15268" t="s">
        <v>14</v>
      </c>
      <c r="E15268" t="s">
        <v>21019</v>
      </c>
    </row>
    <row r="15269" spans="1:6" x14ac:dyDescent="0.25">
      <c r="A15269" t="str">
        <f>"700600001372"</f>
        <v>700600001372</v>
      </c>
      <c r="B15269" t="s">
        <v>21205</v>
      </c>
      <c r="C15269" t="s">
        <v>7</v>
      </c>
      <c r="D15269" t="s">
        <v>14</v>
      </c>
      <c r="E15269" t="s">
        <v>21019</v>
      </c>
    </row>
    <row r="15270" spans="1:6" x14ac:dyDescent="0.25">
      <c r="A15270" t="str">
        <f>"7017208345"</f>
        <v>7017208345</v>
      </c>
      <c r="B15270" t="s">
        <v>21206</v>
      </c>
      <c r="C15270" t="s">
        <v>7</v>
      </c>
      <c r="D15270" t="s">
        <v>33</v>
      </c>
      <c r="E15270" t="s">
        <v>21019</v>
      </c>
      <c r="F15270" t="s">
        <v>21207</v>
      </c>
    </row>
    <row r="15271" spans="1:6" x14ac:dyDescent="0.25">
      <c r="A15271" t="str">
        <f>"7017226993"</f>
        <v>7017226993</v>
      </c>
      <c r="B15271" t="s">
        <v>21208</v>
      </c>
      <c r="C15271" t="s">
        <v>7</v>
      </c>
      <c r="D15271" t="s">
        <v>12</v>
      </c>
      <c r="E15271" t="s">
        <v>21019</v>
      </c>
      <c r="F15271" t="s">
        <v>21209</v>
      </c>
    </row>
    <row r="15272" spans="1:6" x14ac:dyDescent="0.25">
      <c r="A15272" t="str">
        <f>"7017249729"</f>
        <v>7017249729</v>
      </c>
      <c r="B15272" t="s">
        <v>21210</v>
      </c>
      <c r="C15272" t="s">
        <v>7</v>
      </c>
      <c r="D15272" t="s">
        <v>463</v>
      </c>
      <c r="E15272" t="s">
        <v>21019</v>
      </c>
      <c r="F15272" t="s">
        <v>21211</v>
      </c>
    </row>
    <row r="15273" spans="1:6" x14ac:dyDescent="0.25">
      <c r="A15273" t="str">
        <f>"701740533330"</f>
        <v>701740533330</v>
      </c>
      <c r="B15273" t="s">
        <v>21212</v>
      </c>
      <c r="C15273" t="s">
        <v>7</v>
      </c>
      <c r="D15273" t="s">
        <v>14</v>
      </c>
      <c r="E15273" t="s">
        <v>21019</v>
      </c>
    </row>
    <row r="15274" spans="1:6" x14ac:dyDescent="0.25">
      <c r="A15274" t="str">
        <f>"702000573205"</f>
        <v>702000573205</v>
      </c>
      <c r="B15274" t="s">
        <v>21213</v>
      </c>
      <c r="C15274" t="s">
        <v>7</v>
      </c>
      <c r="D15274" t="s">
        <v>14</v>
      </c>
      <c r="E15274" t="s">
        <v>21019</v>
      </c>
    </row>
    <row r="15275" spans="1:6" x14ac:dyDescent="0.25">
      <c r="A15275" t="str">
        <f>"325203248543"</f>
        <v>325203248543</v>
      </c>
      <c r="B15275" t="s">
        <v>21214</v>
      </c>
      <c r="C15275" t="s">
        <v>7</v>
      </c>
      <c r="D15275" t="s">
        <v>14</v>
      </c>
      <c r="E15275" t="s">
        <v>21215</v>
      </c>
    </row>
    <row r="15276" spans="1:6" x14ac:dyDescent="0.25">
      <c r="A15276" t="str">
        <f>"343904411317"</f>
        <v>343904411317</v>
      </c>
      <c r="B15276" t="s">
        <v>21216</v>
      </c>
      <c r="C15276" t="s">
        <v>7</v>
      </c>
      <c r="D15276" t="s">
        <v>14</v>
      </c>
      <c r="E15276" t="s">
        <v>21215</v>
      </c>
    </row>
    <row r="15277" spans="1:6" x14ac:dyDescent="0.25">
      <c r="A15277" t="str">
        <f>"7100011979"</f>
        <v>7100011979</v>
      </c>
      <c r="B15277" t="s">
        <v>21217</v>
      </c>
      <c r="C15277" t="s">
        <v>7</v>
      </c>
      <c r="D15277" t="s">
        <v>33</v>
      </c>
      <c r="E15277" t="s">
        <v>21215</v>
      </c>
      <c r="F15277" t="s">
        <v>21218</v>
      </c>
    </row>
    <row r="15278" spans="1:6" x14ac:dyDescent="0.25">
      <c r="A15278" t="str">
        <f>"7100012387"</f>
        <v>7100012387</v>
      </c>
      <c r="B15278" t="s">
        <v>21219</v>
      </c>
      <c r="C15278" t="s">
        <v>7</v>
      </c>
      <c r="D15278" t="s">
        <v>12</v>
      </c>
      <c r="E15278" t="s">
        <v>21215</v>
      </c>
      <c r="F15278" t="s">
        <v>21220</v>
      </c>
    </row>
    <row r="15279" spans="1:6" x14ac:dyDescent="0.25">
      <c r="A15279" t="str">
        <f>"7100034180"</f>
        <v>7100034180</v>
      </c>
      <c r="B15279" t="s">
        <v>21221</v>
      </c>
      <c r="C15279" t="s">
        <v>7</v>
      </c>
      <c r="D15279" t="s">
        <v>14</v>
      </c>
      <c r="E15279" t="s">
        <v>21215</v>
      </c>
      <c r="F15279" t="s">
        <v>21222</v>
      </c>
    </row>
    <row r="15280" spans="1:6" x14ac:dyDescent="0.25">
      <c r="A15280" t="str">
        <f>"7100041300"</f>
        <v>7100041300</v>
      </c>
      <c r="B15280" t="s">
        <v>21223</v>
      </c>
      <c r="C15280" t="s">
        <v>7</v>
      </c>
      <c r="D15280" t="s">
        <v>33</v>
      </c>
      <c r="E15280" t="s">
        <v>21215</v>
      </c>
      <c r="F15280" t="s">
        <v>21224</v>
      </c>
    </row>
    <row r="15281" spans="1:6" x14ac:dyDescent="0.25">
      <c r="A15281" t="str">
        <f>"7100062758"</f>
        <v>7100062758</v>
      </c>
      <c r="B15281" t="s">
        <v>7612</v>
      </c>
      <c r="C15281" t="s">
        <v>7</v>
      </c>
      <c r="D15281" t="s">
        <v>14</v>
      </c>
      <c r="E15281" t="s">
        <v>21215</v>
      </c>
      <c r="F15281" t="s">
        <v>21225</v>
      </c>
    </row>
    <row r="15282" spans="1:6" x14ac:dyDescent="0.25">
      <c r="A15282" t="str">
        <f>"710300351100"</f>
        <v>710300351100</v>
      </c>
      <c r="B15282" t="s">
        <v>21226</v>
      </c>
      <c r="C15282" t="s">
        <v>7</v>
      </c>
      <c r="D15282" t="s">
        <v>33</v>
      </c>
      <c r="E15282" t="s">
        <v>21215</v>
      </c>
    </row>
    <row r="15283" spans="1:6" x14ac:dyDescent="0.25">
      <c r="A15283" t="str">
        <f>"710301219151"</f>
        <v>710301219151</v>
      </c>
      <c r="B15283" t="s">
        <v>21227</v>
      </c>
      <c r="C15283" t="s">
        <v>7</v>
      </c>
      <c r="D15283" t="s">
        <v>12</v>
      </c>
      <c r="E15283" t="s">
        <v>21215</v>
      </c>
    </row>
    <row r="15284" spans="1:6" x14ac:dyDescent="0.25">
      <c r="A15284" t="str">
        <f>"7103053952"</f>
        <v>7103053952</v>
      </c>
      <c r="B15284" t="s">
        <v>6983</v>
      </c>
      <c r="C15284" t="s">
        <v>7</v>
      </c>
      <c r="D15284" t="s">
        <v>12</v>
      </c>
      <c r="E15284" t="s">
        <v>21215</v>
      </c>
      <c r="F15284" t="s">
        <v>21228</v>
      </c>
    </row>
    <row r="15285" spans="1:6" x14ac:dyDescent="0.25">
      <c r="A15285" t="str">
        <f>"710307757950"</f>
        <v>710307757950</v>
      </c>
      <c r="B15285" t="s">
        <v>21229</v>
      </c>
      <c r="C15285" t="s">
        <v>7</v>
      </c>
      <c r="D15285" t="s">
        <v>33</v>
      </c>
      <c r="E15285" t="s">
        <v>21215</v>
      </c>
    </row>
    <row r="15286" spans="1:6" x14ac:dyDescent="0.25">
      <c r="A15286" t="str">
        <f>"710308835047"</f>
        <v>710308835047</v>
      </c>
      <c r="B15286" t="s">
        <v>21230</v>
      </c>
      <c r="C15286" t="s">
        <v>7</v>
      </c>
      <c r="D15286" t="s">
        <v>14</v>
      </c>
      <c r="E15286" t="s">
        <v>21215</v>
      </c>
    </row>
    <row r="15287" spans="1:6" x14ac:dyDescent="0.25">
      <c r="A15287" t="str">
        <f>"7103509346"</f>
        <v>7103509346</v>
      </c>
      <c r="B15287" t="s">
        <v>21231</v>
      </c>
      <c r="C15287" t="s">
        <v>7</v>
      </c>
      <c r="D15287" t="s">
        <v>14</v>
      </c>
      <c r="E15287" t="s">
        <v>21215</v>
      </c>
      <c r="F15287" t="s">
        <v>21232</v>
      </c>
    </row>
    <row r="15288" spans="1:6" x14ac:dyDescent="0.25">
      <c r="A15288" t="str">
        <f>"7103513864"</f>
        <v>7103513864</v>
      </c>
      <c r="B15288" t="s">
        <v>9378</v>
      </c>
      <c r="C15288" t="s">
        <v>7</v>
      </c>
      <c r="D15288" t="s">
        <v>12</v>
      </c>
      <c r="E15288" t="s">
        <v>21215</v>
      </c>
      <c r="F15288" t="s">
        <v>21233</v>
      </c>
    </row>
    <row r="15289" spans="1:6" x14ac:dyDescent="0.25">
      <c r="A15289" t="str">
        <f>"710380001331"</f>
        <v>710380001331</v>
      </c>
      <c r="B15289" t="s">
        <v>21234</v>
      </c>
      <c r="C15289" t="s">
        <v>7</v>
      </c>
      <c r="D15289" t="s">
        <v>14</v>
      </c>
      <c r="E15289" t="s">
        <v>21215</v>
      </c>
    </row>
    <row r="15290" spans="1:6" x14ac:dyDescent="0.25">
      <c r="A15290" t="str">
        <f>"7104017756"</f>
        <v>7104017756</v>
      </c>
      <c r="B15290" t="s">
        <v>21235</v>
      </c>
      <c r="C15290" t="s">
        <v>7</v>
      </c>
      <c r="D15290" t="s">
        <v>12</v>
      </c>
      <c r="E15290" t="s">
        <v>21215</v>
      </c>
      <c r="F15290" t="s">
        <v>21236</v>
      </c>
    </row>
    <row r="15291" spans="1:6" x14ac:dyDescent="0.25">
      <c r="A15291" t="str">
        <f>"710403652766"</f>
        <v>710403652766</v>
      </c>
      <c r="B15291" t="s">
        <v>21237</v>
      </c>
      <c r="C15291" t="s">
        <v>7</v>
      </c>
      <c r="D15291" t="s">
        <v>12</v>
      </c>
      <c r="E15291" t="s">
        <v>21215</v>
      </c>
    </row>
    <row r="15292" spans="1:6" x14ac:dyDescent="0.25">
      <c r="A15292" t="str">
        <f>"710406332073"</f>
        <v>710406332073</v>
      </c>
      <c r="B15292" t="s">
        <v>21238</v>
      </c>
      <c r="C15292" t="s">
        <v>7</v>
      </c>
      <c r="D15292" t="s">
        <v>14</v>
      </c>
      <c r="E15292" t="s">
        <v>21215</v>
      </c>
    </row>
    <row r="15293" spans="1:6" x14ac:dyDescent="0.25">
      <c r="A15293" t="str">
        <f>"7104525439"</f>
        <v>7104525439</v>
      </c>
      <c r="B15293" t="s">
        <v>21239</v>
      </c>
      <c r="C15293" t="s">
        <v>7</v>
      </c>
      <c r="D15293" t="s">
        <v>189</v>
      </c>
      <c r="E15293" t="s">
        <v>21215</v>
      </c>
      <c r="F15293" t="s">
        <v>21240</v>
      </c>
    </row>
    <row r="15294" spans="1:6" x14ac:dyDescent="0.25">
      <c r="A15294" t="str">
        <f>"710500046175"</f>
        <v>710500046175</v>
      </c>
      <c r="B15294" t="s">
        <v>21241</v>
      </c>
      <c r="C15294" t="s">
        <v>7</v>
      </c>
      <c r="D15294" t="s">
        <v>14</v>
      </c>
      <c r="E15294" t="s">
        <v>21215</v>
      </c>
    </row>
    <row r="15295" spans="1:6" x14ac:dyDescent="0.25">
      <c r="A15295" t="str">
        <f>"710500061705"</f>
        <v>710500061705</v>
      </c>
      <c r="B15295" t="s">
        <v>21242</v>
      </c>
      <c r="C15295" t="s">
        <v>7</v>
      </c>
      <c r="D15295" t="s">
        <v>14</v>
      </c>
      <c r="E15295" t="s">
        <v>21215</v>
      </c>
    </row>
    <row r="15296" spans="1:6" x14ac:dyDescent="0.25">
      <c r="A15296" t="str">
        <f>"710505622270"</f>
        <v>710505622270</v>
      </c>
      <c r="B15296" t="s">
        <v>21243</v>
      </c>
      <c r="C15296" t="s">
        <v>7</v>
      </c>
      <c r="D15296" t="s">
        <v>33</v>
      </c>
      <c r="E15296" t="s">
        <v>21215</v>
      </c>
    </row>
    <row r="15297" spans="1:6" x14ac:dyDescent="0.25">
      <c r="A15297" t="str">
        <f>"710505648984"</f>
        <v>710505648984</v>
      </c>
      <c r="B15297" t="s">
        <v>21244</v>
      </c>
      <c r="C15297" t="s">
        <v>7</v>
      </c>
      <c r="D15297" t="s">
        <v>12</v>
      </c>
      <c r="E15297" t="s">
        <v>21215</v>
      </c>
    </row>
    <row r="15298" spans="1:6" x14ac:dyDescent="0.25">
      <c r="A15298" t="str">
        <f>"710513331701"</f>
        <v>710513331701</v>
      </c>
      <c r="B15298" t="s">
        <v>21245</v>
      </c>
      <c r="C15298" t="s">
        <v>7</v>
      </c>
      <c r="D15298" t="s">
        <v>14</v>
      </c>
      <c r="E15298" t="s">
        <v>21215</v>
      </c>
    </row>
    <row r="15299" spans="1:6" x14ac:dyDescent="0.25">
      <c r="A15299" t="str">
        <f>"710513335199"</f>
        <v>710513335199</v>
      </c>
      <c r="B15299" t="s">
        <v>21246</v>
      </c>
      <c r="C15299" t="s">
        <v>7</v>
      </c>
      <c r="D15299" t="s">
        <v>14</v>
      </c>
      <c r="E15299" t="s">
        <v>21215</v>
      </c>
    </row>
    <row r="15300" spans="1:6" x14ac:dyDescent="0.25">
      <c r="A15300" t="str">
        <f>"7106023201"</f>
        <v>7106023201</v>
      </c>
      <c r="B15300" t="s">
        <v>21247</v>
      </c>
      <c r="C15300" t="s">
        <v>7</v>
      </c>
      <c r="D15300" t="s">
        <v>12</v>
      </c>
      <c r="E15300" t="s">
        <v>21215</v>
      </c>
      <c r="F15300" t="s">
        <v>21248</v>
      </c>
    </row>
    <row r="15301" spans="1:6" x14ac:dyDescent="0.25">
      <c r="A15301" t="str">
        <f>"7106502268"</f>
        <v>7106502268</v>
      </c>
      <c r="B15301" t="s">
        <v>21249</v>
      </c>
      <c r="C15301" t="s">
        <v>7</v>
      </c>
      <c r="D15301" t="s">
        <v>14</v>
      </c>
      <c r="E15301" t="s">
        <v>21215</v>
      </c>
      <c r="F15301" t="s">
        <v>21250</v>
      </c>
    </row>
    <row r="15302" spans="1:6" x14ac:dyDescent="0.25">
      <c r="A15302" t="str">
        <f>"7107002187"</f>
        <v>7107002187</v>
      </c>
      <c r="B15302" t="s">
        <v>21251</v>
      </c>
      <c r="C15302" t="s">
        <v>7</v>
      </c>
      <c r="D15302" t="s">
        <v>14</v>
      </c>
      <c r="E15302" t="s">
        <v>21215</v>
      </c>
      <c r="F15302" t="s">
        <v>21252</v>
      </c>
    </row>
    <row r="15303" spans="1:6" x14ac:dyDescent="0.25">
      <c r="A15303" t="str">
        <f>"7107036789"</f>
        <v>7107036789</v>
      </c>
      <c r="B15303" t="s">
        <v>21253</v>
      </c>
      <c r="C15303" t="s">
        <v>7</v>
      </c>
      <c r="D15303" t="s">
        <v>14</v>
      </c>
      <c r="E15303" t="s">
        <v>21215</v>
      </c>
      <c r="F15303" t="s">
        <v>21254</v>
      </c>
    </row>
    <row r="15304" spans="1:6" x14ac:dyDescent="0.25">
      <c r="A15304" t="str">
        <f>"710706372623"</f>
        <v>710706372623</v>
      </c>
      <c r="B15304" t="s">
        <v>21255</v>
      </c>
      <c r="C15304" t="s">
        <v>7</v>
      </c>
      <c r="D15304" t="s">
        <v>14</v>
      </c>
      <c r="E15304" t="s">
        <v>21215</v>
      </c>
    </row>
    <row r="15305" spans="1:6" x14ac:dyDescent="0.25">
      <c r="A15305" t="str">
        <f>"7107121748"</f>
        <v>7107121748</v>
      </c>
      <c r="B15305" t="s">
        <v>21256</v>
      </c>
      <c r="C15305" t="s">
        <v>7</v>
      </c>
      <c r="D15305" t="s">
        <v>12</v>
      </c>
      <c r="E15305" t="s">
        <v>21215</v>
      </c>
      <c r="F15305" t="s">
        <v>21257</v>
      </c>
    </row>
    <row r="15306" spans="1:6" x14ac:dyDescent="0.25">
      <c r="A15306" t="str">
        <f>"7107130439"</f>
        <v>7107130439</v>
      </c>
      <c r="B15306" t="s">
        <v>21258</v>
      </c>
      <c r="C15306" t="s">
        <v>7</v>
      </c>
      <c r="D15306" t="s">
        <v>33</v>
      </c>
      <c r="E15306" t="s">
        <v>21215</v>
      </c>
      <c r="F15306" t="s">
        <v>21259</v>
      </c>
    </row>
    <row r="15307" spans="1:6" x14ac:dyDescent="0.25">
      <c r="A15307" t="str">
        <f>"711102298658"</f>
        <v>711102298658</v>
      </c>
      <c r="B15307" t="s">
        <v>21260</v>
      </c>
      <c r="C15307" t="s">
        <v>7</v>
      </c>
      <c r="D15307" t="s">
        <v>14</v>
      </c>
      <c r="E15307" t="s">
        <v>21215</v>
      </c>
    </row>
    <row r="15308" spans="1:6" x14ac:dyDescent="0.25">
      <c r="A15308" t="str">
        <f>"711107165940"</f>
        <v>711107165940</v>
      </c>
      <c r="B15308" t="s">
        <v>21261</v>
      </c>
      <c r="C15308" t="s">
        <v>7</v>
      </c>
      <c r="D15308" t="s">
        <v>14</v>
      </c>
      <c r="E15308" t="s">
        <v>21215</v>
      </c>
    </row>
    <row r="15309" spans="1:6" x14ac:dyDescent="0.25">
      <c r="A15309" t="str">
        <f>"711300094737"</f>
        <v>711300094737</v>
      </c>
      <c r="B15309" t="s">
        <v>21262</v>
      </c>
      <c r="C15309" t="s">
        <v>7</v>
      </c>
      <c r="D15309" t="s">
        <v>14</v>
      </c>
      <c r="E15309" t="s">
        <v>21215</v>
      </c>
    </row>
    <row r="15310" spans="1:6" x14ac:dyDescent="0.25">
      <c r="A15310" t="str">
        <f>"711400611763"</f>
        <v>711400611763</v>
      </c>
      <c r="B15310" t="s">
        <v>21263</v>
      </c>
      <c r="C15310" t="s">
        <v>7</v>
      </c>
      <c r="D15310" t="s">
        <v>33</v>
      </c>
      <c r="E15310" t="s">
        <v>21215</v>
      </c>
    </row>
    <row r="15311" spans="1:6" x14ac:dyDescent="0.25">
      <c r="A15311" t="str">
        <f>"711401872503"</f>
        <v>711401872503</v>
      </c>
      <c r="B15311" t="s">
        <v>21264</v>
      </c>
      <c r="C15311" t="s">
        <v>7</v>
      </c>
      <c r="D15311" t="s">
        <v>14</v>
      </c>
      <c r="E15311" t="s">
        <v>21215</v>
      </c>
    </row>
    <row r="15312" spans="1:6" x14ac:dyDescent="0.25">
      <c r="A15312" t="str">
        <f>"711504222480"</f>
        <v>711504222480</v>
      </c>
      <c r="B15312" t="s">
        <v>21265</v>
      </c>
      <c r="C15312" t="s">
        <v>7</v>
      </c>
      <c r="D15312" t="s">
        <v>12</v>
      </c>
      <c r="E15312" t="s">
        <v>21215</v>
      </c>
    </row>
    <row r="15313" spans="1:6" x14ac:dyDescent="0.25">
      <c r="A15313" t="str">
        <f>"711600102435"</f>
        <v>711600102435</v>
      </c>
      <c r="B15313" t="s">
        <v>21266</v>
      </c>
      <c r="C15313" t="s">
        <v>7</v>
      </c>
      <c r="D15313" t="s">
        <v>12</v>
      </c>
      <c r="E15313" t="s">
        <v>21215</v>
      </c>
    </row>
    <row r="15314" spans="1:6" x14ac:dyDescent="0.25">
      <c r="A15314" t="str">
        <f>"711600318466"</f>
        <v>711600318466</v>
      </c>
      <c r="B15314" t="s">
        <v>21267</v>
      </c>
      <c r="C15314" t="s">
        <v>7</v>
      </c>
      <c r="D15314" t="s">
        <v>14</v>
      </c>
      <c r="E15314" t="s">
        <v>21215</v>
      </c>
    </row>
    <row r="15315" spans="1:6" x14ac:dyDescent="0.25">
      <c r="A15315" t="str">
        <f>"711600483815"</f>
        <v>711600483815</v>
      </c>
      <c r="B15315" t="s">
        <v>21268</v>
      </c>
      <c r="C15315" t="s">
        <v>7</v>
      </c>
      <c r="D15315" t="s">
        <v>14</v>
      </c>
      <c r="E15315" t="s">
        <v>21215</v>
      </c>
    </row>
    <row r="15316" spans="1:6" x14ac:dyDescent="0.25">
      <c r="A15316" t="str">
        <f>"711604819720"</f>
        <v>711604819720</v>
      </c>
      <c r="B15316" t="s">
        <v>21269</v>
      </c>
      <c r="C15316" t="s">
        <v>7</v>
      </c>
      <c r="D15316" t="s">
        <v>14</v>
      </c>
      <c r="E15316" t="s">
        <v>21215</v>
      </c>
    </row>
    <row r="15317" spans="1:6" x14ac:dyDescent="0.25">
      <c r="A15317" t="str">
        <f>"711615335425"</f>
        <v>711615335425</v>
      </c>
      <c r="B15317" t="s">
        <v>21270</v>
      </c>
      <c r="C15317" t="s">
        <v>7</v>
      </c>
      <c r="D15317" t="s">
        <v>14</v>
      </c>
      <c r="E15317" t="s">
        <v>21215</v>
      </c>
    </row>
    <row r="15318" spans="1:6" x14ac:dyDescent="0.25">
      <c r="A15318" t="str">
        <f>"711617806790"</f>
        <v>711617806790</v>
      </c>
      <c r="B15318" t="s">
        <v>21271</v>
      </c>
      <c r="C15318" t="s">
        <v>7</v>
      </c>
      <c r="D15318" t="s">
        <v>12</v>
      </c>
      <c r="E15318" t="s">
        <v>21215</v>
      </c>
    </row>
    <row r="15319" spans="1:6" x14ac:dyDescent="0.25">
      <c r="A15319" t="str">
        <f>"711871217373"</f>
        <v>711871217373</v>
      </c>
      <c r="B15319" t="s">
        <v>21272</v>
      </c>
      <c r="C15319" t="s">
        <v>7</v>
      </c>
      <c r="D15319" t="s">
        <v>14</v>
      </c>
      <c r="E15319" t="s">
        <v>21215</v>
      </c>
    </row>
    <row r="15320" spans="1:6" x14ac:dyDescent="0.25">
      <c r="A15320" t="str">
        <f>"712306652605"</f>
        <v>712306652605</v>
      </c>
      <c r="B15320" t="s">
        <v>21273</v>
      </c>
      <c r="C15320" t="s">
        <v>7</v>
      </c>
      <c r="D15320" t="s">
        <v>14</v>
      </c>
      <c r="E15320" t="s">
        <v>21215</v>
      </c>
    </row>
    <row r="15321" spans="1:6" x14ac:dyDescent="0.25">
      <c r="A15321" t="str">
        <f>"712500036678"</f>
        <v>712500036678</v>
      </c>
      <c r="B15321" t="s">
        <v>21274</v>
      </c>
      <c r="C15321" t="s">
        <v>7</v>
      </c>
      <c r="D15321" t="s">
        <v>14</v>
      </c>
      <c r="E15321" t="s">
        <v>21215</v>
      </c>
    </row>
    <row r="15322" spans="1:6" x14ac:dyDescent="0.25">
      <c r="A15322" t="str">
        <f>"712570927082"</f>
        <v>712570927082</v>
      </c>
      <c r="B15322" t="s">
        <v>21275</v>
      </c>
      <c r="C15322" t="s">
        <v>7</v>
      </c>
      <c r="D15322" t="s">
        <v>14</v>
      </c>
      <c r="E15322" t="s">
        <v>21215</v>
      </c>
    </row>
    <row r="15323" spans="1:6" x14ac:dyDescent="0.25">
      <c r="A15323" t="str">
        <f>"7100003174"</f>
        <v>7100003174</v>
      </c>
      <c r="B15323" t="s">
        <v>21276</v>
      </c>
      <c r="C15323" t="s">
        <v>7</v>
      </c>
      <c r="D15323" t="s">
        <v>14</v>
      </c>
      <c r="E15323" t="s">
        <v>21215</v>
      </c>
      <c r="F15323" t="s">
        <v>21277</v>
      </c>
    </row>
    <row r="15324" spans="1:6" x14ac:dyDescent="0.25">
      <c r="A15324" t="str">
        <f>"7100009698"</f>
        <v>7100009698</v>
      </c>
      <c r="B15324" t="s">
        <v>21278</v>
      </c>
      <c r="C15324" t="s">
        <v>7</v>
      </c>
      <c r="D15324" t="s">
        <v>14</v>
      </c>
      <c r="E15324" t="s">
        <v>21215</v>
      </c>
      <c r="F15324" t="s">
        <v>21279</v>
      </c>
    </row>
    <row r="15325" spans="1:6" x14ac:dyDescent="0.25">
      <c r="A15325" t="str">
        <f>"7100015807"</f>
        <v>7100015807</v>
      </c>
      <c r="B15325" t="s">
        <v>21280</v>
      </c>
      <c r="C15325" t="s">
        <v>7</v>
      </c>
      <c r="D15325" t="s">
        <v>33</v>
      </c>
      <c r="E15325" t="s">
        <v>21215</v>
      </c>
      <c r="F15325" t="s">
        <v>21281</v>
      </c>
    </row>
    <row r="15326" spans="1:6" x14ac:dyDescent="0.25">
      <c r="A15326" t="str">
        <f>"7100022240"</f>
        <v>7100022240</v>
      </c>
      <c r="B15326" t="s">
        <v>21282</v>
      </c>
      <c r="C15326" t="s">
        <v>7</v>
      </c>
      <c r="D15326" t="s">
        <v>14</v>
      </c>
      <c r="E15326" t="s">
        <v>21215</v>
      </c>
      <c r="F15326" t="s">
        <v>21283</v>
      </c>
    </row>
    <row r="15327" spans="1:6" x14ac:dyDescent="0.25">
      <c r="A15327" t="str">
        <f>"7100027802"</f>
        <v>7100027802</v>
      </c>
      <c r="B15327" t="s">
        <v>21284</v>
      </c>
      <c r="C15327" t="s">
        <v>7</v>
      </c>
      <c r="D15327" t="s">
        <v>8</v>
      </c>
      <c r="E15327" t="s">
        <v>21215</v>
      </c>
      <c r="F15327" t="s">
        <v>21285</v>
      </c>
    </row>
    <row r="15328" spans="1:6" x14ac:dyDescent="0.25">
      <c r="A15328" t="str">
        <f>"7100052460"</f>
        <v>7100052460</v>
      </c>
      <c r="B15328" t="s">
        <v>21286</v>
      </c>
      <c r="C15328" t="s">
        <v>7</v>
      </c>
      <c r="D15328" t="s">
        <v>14</v>
      </c>
      <c r="E15328" t="s">
        <v>21215</v>
      </c>
      <c r="F15328" t="s">
        <v>21287</v>
      </c>
    </row>
    <row r="15329" spans="1:6" x14ac:dyDescent="0.25">
      <c r="A15329" t="str">
        <f>"7100064522"</f>
        <v>7100064522</v>
      </c>
      <c r="B15329" t="s">
        <v>13635</v>
      </c>
      <c r="C15329" t="s">
        <v>7</v>
      </c>
      <c r="D15329" t="s">
        <v>33</v>
      </c>
      <c r="E15329" t="s">
        <v>21215</v>
      </c>
      <c r="F15329" t="s">
        <v>21288</v>
      </c>
    </row>
    <row r="15330" spans="1:6" x14ac:dyDescent="0.25">
      <c r="A15330" t="str">
        <f>"710300253054"</f>
        <v>710300253054</v>
      </c>
      <c r="B15330" t="s">
        <v>21289</v>
      </c>
      <c r="C15330" t="s">
        <v>7</v>
      </c>
      <c r="D15330" t="s">
        <v>12</v>
      </c>
      <c r="E15330" t="s">
        <v>21215</v>
      </c>
    </row>
    <row r="15331" spans="1:6" x14ac:dyDescent="0.25">
      <c r="A15331" t="str">
        <f>"710300365939"</f>
        <v>710300365939</v>
      </c>
      <c r="B15331" t="s">
        <v>21290</v>
      </c>
      <c r="C15331" t="s">
        <v>7</v>
      </c>
      <c r="D15331" t="s">
        <v>14</v>
      </c>
      <c r="E15331" t="s">
        <v>21215</v>
      </c>
    </row>
    <row r="15332" spans="1:6" x14ac:dyDescent="0.25">
      <c r="A15332" t="str">
        <f>"710306741700"</f>
        <v>710306741700</v>
      </c>
      <c r="B15332" t="s">
        <v>21291</v>
      </c>
      <c r="C15332" t="s">
        <v>7</v>
      </c>
      <c r="D15332" t="s">
        <v>14</v>
      </c>
      <c r="E15332" t="s">
        <v>21215</v>
      </c>
    </row>
    <row r="15333" spans="1:6" x14ac:dyDescent="0.25">
      <c r="A15333" t="str">
        <f>"7103511112"</f>
        <v>7103511112</v>
      </c>
      <c r="B15333" t="s">
        <v>21292</v>
      </c>
      <c r="C15333" t="s">
        <v>7</v>
      </c>
      <c r="D15333" t="s">
        <v>33</v>
      </c>
      <c r="E15333" t="s">
        <v>21215</v>
      </c>
      <c r="F15333" t="s">
        <v>21293</v>
      </c>
    </row>
    <row r="15334" spans="1:6" x14ac:dyDescent="0.25">
      <c r="A15334" t="str">
        <f>"710400153840"</f>
        <v>710400153840</v>
      </c>
      <c r="B15334" t="s">
        <v>21294</v>
      </c>
      <c r="C15334" t="s">
        <v>7</v>
      </c>
      <c r="D15334" t="s">
        <v>14</v>
      </c>
      <c r="E15334" t="s">
        <v>21215</v>
      </c>
    </row>
    <row r="15335" spans="1:6" x14ac:dyDescent="0.25">
      <c r="A15335" t="str">
        <f>"7104522413"</f>
        <v>7104522413</v>
      </c>
      <c r="B15335" t="s">
        <v>21295</v>
      </c>
      <c r="C15335" t="s">
        <v>7</v>
      </c>
      <c r="D15335" t="s">
        <v>33</v>
      </c>
      <c r="E15335" t="s">
        <v>21215</v>
      </c>
      <c r="F15335" t="s">
        <v>21296</v>
      </c>
    </row>
    <row r="15336" spans="1:6" x14ac:dyDescent="0.25">
      <c r="A15336" t="str">
        <f>"710500140442"</f>
        <v>710500140442</v>
      </c>
      <c r="B15336" t="s">
        <v>21297</v>
      </c>
      <c r="C15336" t="s">
        <v>7</v>
      </c>
      <c r="D15336" t="s">
        <v>14</v>
      </c>
      <c r="E15336" t="s">
        <v>21215</v>
      </c>
    </row>
    <row r="15337" spans="1:6" x14ac:dyDescent="0.25">
      <c r="A15337" t="str">
        <f>"710500674099"</f>
        <v>710500674099</v>
      </c>
      <c r="B15337" t="s">
        <v>21298</v>
      </c>
      <c r="C15337" t="s">
        <v>7</v>
      </c>
      <c r="D15337" t="s">
        <v>14</v>
      </c>
      <c r="E15337" t="s">
        <v>21215</v>
      </c>
    </row>
    <row r="15338" spans="1:6" x14ac:dyDescent="0.25">
      <c r="A15338" t="str">
        <f>"710501051185"</f>
        <v>710501051185</v>
      </c>
      <c r="B15338" t="s">
        <v>21299</v>
      </c>
      <c r="C15338" t="s">
        <v>7</v>
      </c>
      <c r="D15338" t="s">
        <v>12</v>
      </c>
      <c r="E15338" t="s">
        <v>21215</v>
      </c>
    </row>
    <row r="15339" spans="1:6" x14ac:dyDescent="0.25">
      <c r="A15339" t="str">
        <f>"710510335225"</f>
        <v>710510335225</v>
      </c>
      <c r="B15339" t="s">
        <v>21300</v>
      </c>
      <c r="C15339" t="s">
        <v>7</v>
      </c>
      <c r="D15339" t="s">
        <v>12</v>
      </c>
      <c r="E15339" t="s">
        <v>21215</v>
      </c>
    </row>
    <row r="15340" spans="1:6" x14ac:dyDescent="0.25">
      <c r="A15340" t="str">
        <f>"710515046202"</f>
        <v>710515046202</v>
      </c>
      <c r="B15340" t="s">
        <v>21301</v>
      </c>
      <c r="C15340" t="s">
        <v>7</v>
      </c>
      <c r="D15340" t="s">
        <v>14</v>
      </c>
      <c r="E15340" t="s">
        <v>21215</v>
      </c>
    </row>
    <row r="15341" spans="1:6" x14ac:dyDescent="0.25">
      <c r="A15341" t="str">
        <f>"710521346758"</f>
        <v>710521346758</v>
      </c>
      <c r="B15341" t="s">
        <v>21302</v>
      </c>
      <c r="C15341" t="s">
        <v>7</v>
      </c>
      <c r="D15341" t="s">
        <v>14</v>
      </c>
      <c r="E15341" t="s">
        <v>21215</v>
      </c>
    </row>
    <row r="15342" spans="1:6" x14ac:dyDescent="0.25">
      <c r="A15342" t="str">
        <f>"7105517857"</f>
        <v>7105517857</v>
      </c>
      <c r="B15342" t="s">
        <v>21303</v>
      </c>
      <c r="C15342" t="s">
        <v>7</v>
      </c>
      <c r="D15342" t="s">
        <v>12</v>
      </c>
      <c r="E15342" t="s">
        <v>21215</v>
      </c>
      <c r="F15342" t="s">
        <v>21304</v>
      </c>
    </row>
    <row r="15343" spans="1:6" x14ac:dyDescent="0.25">
      <c r="A15343" t="str">
        <f>"7105518890"</f>
        <v>7105518890</v>
      </c>
      <c r="B15343" t="s">
        <v>21305</v>
      </c>
      <c r="C15343" t="s">
        <v>7</v>
      </c>
      <c r="D15343" t="s">
        <v>146</v>
      </c>
      <c r="E15343" t="s">
        <v>21215</v>
      </c>
      <c r="F15343" t="s">
        <v>21306</v>
      </c>
    </row>
    <row r="15344" spans="1:6" x14ac:dyDescent="0.25">
      <c r="A15344" t="str">
        <f>"710600091492"</f>
        <v>710600091492</v>
      </c>
      <c r="B15344" t="s">
        <v>21307</v>
      </c>
      <c r="C15344" t="s">
        <v>7</v>
      </c>
      <c r="D15344" t="s">
        <v>14</v>
      </c>
      <c r="E15344" t="s">
        <v>21215</v>
      </c>
    </row>
    <row r="15345" spans="1:6" x14ac:dyDescent="0.25">
      <c r="A15345" t="str">
        <f>"7106012714"</f>
        <v>7106012714</v>
      </c>
      <c r="B15345" t="s">
        <v>21308</v>
      </c>
      <c r="C15345" t="s">
        <v>7</v>
      </c>
      <c r="D15345" t="s">
        <v>14</v>
      </c>
      <c r="E15345" t="s">
        <v>21215</v>
      </c>
      <c r="F15345" t="s">
        <v>21309</v>
      </c>
    </row>
    <row r="15346" spans="1:6" x14ac:dyDescent="0.25">
      <c r="A15346" t="str">
        <f>"710604286862"</f>
        <v>710604286862</v>
      </c>
      <c r="B15346" t="s">
        <v>21310</v>
      </c>
      <c r="C15346" t="s">
        <v>7</v>
      </c>
      <c r="D15346" t="s">
        <v>12</v>
      </c>
      <c r="E15346" t="s">
        <v>21215</v>
      </c>
    </row>
    <row r="15347" spans="1:6" x14ac:dyDescent="0.25">
      <c r="A15347" t="str">
        <f>"7106061630"</f>
        <v>7106061630</v>
      </c>
      <c r="B15347" t="s">
        <v>21311</v>
      </c>
      <c r="C15347" t="s">
        <v>7</v>
      </c>
      <c r="D15347" t="s">
        <v>14</v>
      </c>
      <c r="E15347" t="s">
        <v>21215</v>
      </c>
      <c r="F15347" t="s">
        <v>21312</v>
      </c>
    </row>
    <row r="15348" spans="1:6" x14ac:dyDescent="0.25">
      <c r="A15348" t="str">
        <f>"7106077310"</f>
        <v>7106077310</v>
      </c>
      <c r="B15348" t="s">
        <v>21313</v>
      </c>
      <c r="C15348" t="s">
        <v>7</v>
      </c>
      <c r="D15348" t="s">
        <v>12</v>
      </c>
      <c r="E15348" t="s">
        <v>21215</v>
      </c>
      <c r="F15348" t="s">
        <v>21314</v>
      </c>
    </row>
    <row r="15349" spans="1:6" x14ac:dyDescent="0.25">
      <c r="A15349" t="str">
        <f>"7106527174"</f>
        <v>7106527174</v>
      </c>
      <c r="B15349" t="s">
        <v>21315</v>
      </c>
      <c r="C15349" t="s">
        <v>7</v>
      </c>
      <c r="D15349" t="s">
        <v>14</v>
      </c>
      <c r="E15349" t="s">
        <v>21215</v>
      </c>
      <c r="F15349" t="s">
        <v>21316</v>
      </c>
    </row>
    <row r="15350" spans="1:6" x14ac:dyDescent="0.25">
      <c r="A15350" t="str">
        <f>"710700185909"</f>
        <v>710700185909</v>
      </c>
      <c r="B15350" t="s">
        <v>21317</v>
      </c>
      <c r="C15350" t="s">
        <v>7</v>
      </c>
      <c r="D15350" t="s">
        <v>14</v>
      </c>
      <c r="E15350" t="s">
        <v>21215</v>
      </c>
    </row>
    <row r="15351" spans="1:6" x14ac:dyDescent="0.25">
      <c r="A15351" t="str">
        <f>"710704133820"</f>
        <v>710704133820</v>
      </c>
      <c r="B15351" t="s">
        <v>21318</v>
      </c>
      <c r="C15351" t="s">
        <v>7</v>
      </c>
      <c r="D15351" t="s">
        <v>14</v>
      </c>
      <c r="E15351" t="s">
        <v>21215</v>
      </c>
    </row>
    <row r="15352" spans="1:6" x14ac:dyDescent="0.25">
      <c r="A15352" t="str">
        <f>"7107106228"</f>
        <v>7107106228</v>
      </c>
      <c r="B15352" t="s">
        <v>21319</v>
      </c>
      <c r="C15352" t="s">
        <v>7</v>
      </c>
      <c r="D15352" t="s">
        <v>12</v>
      </c>
      <c r="E15352" t="s">
        <v>21215</v>
      </c>
      <c r="F15352" t="s">
        <v>21320</v>
      </c>
    </row>
    <row r="15353" spans="1:6" x14ac:dyDescent="0.25">
      <c r="A15353" t="str">
        <f>"7107126143"</f>
        <v>7107126143</v>
      </c>
      <c r="B15353" t="s">
        <v>21321</v>
      </c>
      <c r="C15353" t="s">
        <v>7</v>
      </c>
      <c r="D15353" t="s">
        <v>33</v>
      </c>
      <c r="E15353" t="s">
        <v>21215</v>
      </c>
      <c r="F15353" t="s">
        <v>21322</v>
      </c>
    </row>
    <row r="15354" spans="1:6" x14ac:dyDescent="0.25">
      <c r="A15354" t="str">
        <f>"710714986923"</f>
        <v>710714986923</v>
      </c>
      <c r="B15354" t="s">
        <v>21323</v>
      </c>
      <c r="C15354" t="s">
        <v>7</v>
      </c>
      <c r="D15354" t="s">
        <v>14</v>
      </c>
      <c r="E15354" t="s">
        <v>21215</v>
      </c>
    </row>
    <row r="15355" spans="1:6" x14ac:dyDescent="0.25">
      <c r="A15355" t="str">
        <f>"7107525589"</f>
        <v>7107525589</v>
      </c>
      <c r="B15355" t="s">
        <v>21324</v>
      </c>
      <c r="C15355" t="s">
        <v>7</v>
      </c>
      <c r="D15355" t="s">
        <v>33</v>
      </c>
      <c r="E15355" t="s">
        <v>21215</v>
      </c>
      <c r="F15355" t="s">
        <v>21325</v>
      </c>
    </row>
    <row r="15356" spans="1:6" x14ac:dyDescent="0.25">
      <c r="A15356" t="str">
        <f>"7107525677"</f>
        <v>7107525677</v>
      </c>
      <c r="B15356" t="s">
        <v>21326</v>
      </c>
      <c r="C15356" t="s">
        <v>7</v>
      </c>
      <c r="D15356" t="s">
        <v>33</v>
      </c>
      <c r="E15356" t="s">
        <v>21215</v>
      </c>
      <c r="F15356" t="s">
        <v>21327</v>
      </c>
    </row>
    <row r="15357" spans="1:6" x14ac:dyDescent="0.25">
      <c r="A15357" t="str">
        <f>"7107543027"</f>
        <v>7107543027</v>
      </c>
      <c r="B15357" t="s">
        <v>21328</v>
      </c>
      <c r="C15357" t="s">
        <v>7</v>
      </c>
      <c r="D15357" t="s">
        <v>12</v>
      </c>
      <c r="E15357" t="s">
        <v>21215</v>
      </c>
      <c r="F15357" t="s">
        <v>21329</v>
      </c>
    </row>
    <row r="15358" spans="1:6" x14ac:dyDescent="0.25">
      <c r="A15358" t="str">
        <f>"711110308003"</f>
        <v>711110308003</v>
      </c>
      <c r="B15358" t="s">
        <v>21330</v>
      </c>
      <c r="C15358" t="s">
        <v>7</v>
      </c>
      <c r="D15358" t="s">
        <v>12</v>
      </c>
      <c r="E15358" t="s">
        <v>21215</v>
      </c>
    </row>
    <row r="15359" spans="1:6" x14ac:dyDescent="0.25">
      <c r="A15359" t="str">
        <f>"711205248842"</f>
        <v>711205248842</v>
      </c>
      <c r="B15359" t="s">
        <v>21331</v>
      </c>
      <c r="C15359" t="s">
        <v>7</v>
      </c>
      <c r="D15359" t="s">
        <v>14</v>
      </c>
      <c r="E15359" t="s">
        <v>21215</v>
      </c>
    </row>
    <row r="15360" spans="1:6" x14ac:dyDescent="0.25">
      <c r="A15360" t="str">
        <f>"711300482641"</f>
        <v>711300482641</v>
      </c>
      <c r="B15360" t="s">
        <v>21332</v>
      </c>
      <c r="C15360" t="s">
        <v>7</v>
      </c>
      <c r="D15360" t="s">
        <v>12</v>
      </c>
      <c r="E15360" t="s">
        <v>21215</v>
      </c>
    </row>
    <row r="15361" spans="1:6" x14ac:dyDescent="0.25">
      <c r="A15361" t="str">
        <f>"711400044507"</f>
        <v>711400044507</v>
      </c>
      <c r="B15361" t="s">
        <v>21333</v>
      </c>
      <c r="C15361" t="s">
        <v>7</v>
      </c>
      <c r="D15361" t="s">
        <v>14</v>
      </c>
      <c r="E15361" t="s">
        <v>21215</v>
      </c>
    </row>
    <row r="15362" spans="1:6" x14ac:dyDescent="0.25">
      <c r="A15362" t="str">
        <f>"711401978820"</f>
        <v>711401978820</v>
      </c>
      <c r="B15362" t="s">
        <v>21334</v>
      </c>
      <c r="C15362" t="s">
        <v>7</v>
      </c>
      <c r="D15362" t="s">
        <v>14</v>
      </c>
      <c r="E15362" t="s">
        <v>21215</v>
      </c>
    </row>
    <row r="15363" spans="1:6" x14ac:dyDescent="0.25">
      <c r="A15363" t="str">
        <f>"711402871100"</f>
        <v>711402871100</v>
      </c>
      <c r="B15363" t="s">
        <v>21335</v>
      </c>
      <c r="C15363" t="s">
        <v>7</v>
      </c>
      <c r="D15363" t="s">
        <v>14</v>
      </c>
      <c r="E15363" t="s">
        <v>21215</v>
      </c>
    </row>
    <row r="15364" spans="1:6" x14ac:dyDescent="0.25">
      <c r="A15364" t="str">
        <f>"711610239044"</f>
        <v>711610239044</v>
      </c>
      <c r="B15364" t="s">
        <v>21336</v>
      </c>
      <c r="C15364" t="s">
        <v>7</v>
      </c>
      <c r="D15364" t="s">
        <v>33</v>
      </c>
      <c r="E15364" t="s">
        <v>21215</v>
      </c>
    </row>
    <row r="15365" spans="1:6" x14ac:dyDescent="0.25">
      <c r="A15365" t="str">
        <f>"711706507181"</f>
        <v>711706507181</v>
      </c>
      <c r="B15365" t="s">
        <v>19392</v>
      </c>
      <c r="C15365" t="s">
        <v>7</v>
      </c>
      <c r="D15365" t="s">
        <v>12</v>
      </c>
      <c r="E15365" t="s">
        <v>21215</v>
      </c>
    </row>
    <row r="15366" spans="1:6" x14ac:dyDescent="0.25">
      <c r="A15366" t="str">
        <f>"711804004355"</f>
        <v>711804004355</v>
      </c>
      <c r="B15366" t="s">
        <v>21337</v>
      </c>
      <c r="C15366" t="s">
        <v>7</v>
      </c>
      <c r="D15366" t="s">
        <v>14</v>
      </c>
      <c r="E15366" t="s">
        <v>21215</v>
      </c>
    </row>
    <row r="15367" spans="1:6" x14ac:dyDescent="0.25">
      <c r="A15367" t="str">
        <f>"712700832370"</f>
        <v>712700832370</v>
      </c>
      <c r="B15367" t="s">
        <v>21338</v>
      </c>
      <c r="C15367" t="s">
        <v>7</v>
      </c>
      <c r="D15367" t="s">
        <v>14</v>
      </c>
      <c r="E15367" t="s">
        <v>21215</v>
      </c>
    </row>
    <row r="15368" spans="1:6" x14ac:dyDescent="0.25">
      <c r="A15368" t="str">
        <f>"712804206681"</f>
        <v>712804206681</v>
      </c>
      <c r="B15368" t="s">
        <v>21339</v>
      </c>
      <c r="C15368" t="s">
        <v>7</v>
      </c>
      <c r="D15368" t="s">
        <v>14</v>
      </c>
      <c r="E15368" t="s">
        <v>21215</v>
      </c>
    </row>
    <row r="15369" spans="1:6" x14ac:dyDescent="0.25">
      <c r="A15369" t="str">
        <f>"7130010203"</f>
        <v>7130010203</v>
      </c>
      <c r="B15369" t="s">
        <v>14511</v>
      </c>
      <c r="C15369" t="s">
        <v>7</v>
      </c>
      <c r="D15369" t="s">
        <v>14</v>
      </c>
      <c r="E15369" t="s">
        <v>21215</v>
      </c>
      <c r="F15369" t="s">
        <v>21340</v>
      </c>
    </row>
    <row r="15370" spans="1:6" x14ac:dyDescent="0.25">
      <c r="A15370" t="str">
        <f>"713001492941"</f>
        <v>713001492941</v>
      </c>
      <c r="B15370" t="s">
        <v>21341</v>
      </c>
      <c r="C15370" t="s">
        <v>7</v>
      </c>
      <c r="D15370" t="s">
        <v>14</v>
      </c>
      <c r="E15370" t="s">
        <v>21215</v>
      </c>
    </row>
    <row r="15371" spans="1:6" x14ac:dyDescent="0.25">
      <c r="A15371" t="str">
        <f>"713003555611"</f>
        <v>713003555611</v>
      </c>
      <c r="B15371" t="s">
        <v>21342</v>
      </c>
      <c r="C15371" t="s">
        <v>7</v>
      </c>
      <c r="D15371" t="s">
        <v>12</v>
      </c>
      <c r="E15371" t="s">
        <v>21215</v>
      </c>
    </row>
    <row r="15372" spans="1:6" x14ac:dyDescent="0.25">
      <c r="A15372" t="str">
        <f>"713004007294"</f>
        <v>713004007294</v>
      </c>
      <c r="B15372" t="s">
        <v>21343</v>
      </c>
      <c r="C15372" t="s">
        <v>7</v>
      </c>
      <c r="D15372" t="s">
        <v>14</v>
      </c>
      <c r="E15372" t="s">
        <v>21215</v>
      </c>
    </row>
    <row r="15373" spans="1:6" x14ac:dyDescent="0.25">
      <c r="A15373" t="str">
        <f>"713005810313"</f>
        <v>713005810313</v>
      </c>
      <c r="B15373" t="s">
        <v>21344</v>
      </c>
      <c r="C15373" t="s">
        <v>7</v>
      </c>
      <c r="D15373" t="s">
        <v>33</v>
      </c>
      <c r="E15373" t="s">
        <v>21215</v>
      </c>
    </row>
    <row r="15374" spans="1:6" x14ac:dyDescent="0.25">
      <c r="A15374" t="str">
        <f>"7130502050"</f>
        <v>7130502050</v>
      </c>
      <c r="B15374" t="s">
        <v>21345</v>
      </c>
      <c r="C15374" t="s">
        <v>7</v>
      </c>
      <c r="D15374" t="s">
        <v>33</v>
      </c>
      <c r="E15374" t="s">
        <v>21215</v>
      </c>
      <c r="F15374" t="s">
        <v>21346</v>
      </c>
    </row>
    <row r="15375" spans="1:6" x14ac:dyDescent="0.25">
      <c r="A15375" t="str">
        <f>"7133006075"</f>
        <v>7133006075</v>
      </c>
      <c r="B15375" t="s">
        <v>21347</v>
      </c>
      <c r="C15375" t="s">
        <v>7</v>
      </c>
      <c r="D15375" t="s">
        <v>14</v>
      </c>
      <c r="E15375" t="s">
        <v>21215</v>
      </c>
      <c r="F15375" t="s">
        <v>21348</v>
      </c>
    </row>
    <row r="15376" spans="1:6" x14ac:dyDescent="0.25">
      <c r="A15376" t="str">
        <f>"713601070807"</f>
        <v>713601070807</v>
      </c>
      <c r="B15376" t="s">
        <v>21349</v>
      </c>
      <c r="C15376" t="s">
        <v>7</v>
      </c>
      <c r="D15376" t="s">
        <v>14</v>
      </c>
      <c r="E15376" t="s">
        <v>21215</v>
      </c>
    </row>
    <row r="15377" spans="1:6" x14ac:dyDescent="0.25">
      <c r="A15377" t="str">
        <f>"463200545870"</f>
        <v>463200545870</v>
      </c>
      <c r="B15377" t="s">
        <v>21350</v>
      </c>
      <c r="C15377" t="s">
        <v>7</v>
      </c>
      <c r="D15377" t="s">
        <v>33</v>
      </c>
      <c r="E15377" t="s">
        <v>21215</v>
      </c>
    </row>
    <row r="15378" spans="1:6" x14ac:dyDescent="0.25">
      <c r="A15378" t="str">
        <f>"712150173467"</f>
        <v>712150173467</v>
      </c>
      <c r="B15378" t="s">
        <v>21351</v>
      </c>
      <c r="C15378" t="s">
        <v>7</v>
      </c>
      <c r="D15378" t="s">
        <v>12</v>
      </c>
      <c r="E15378" t="s">
        <v>21215</v>
      </c>
    </row>
    <row r="15379" spans="1:6" x14ac:dyDescent="0.25">
      <c r="A15379" t="str">
        <f>"712300592910"</f>
        <v>712300592910</v>
      </c>
      <c r="B15379" t="s">
        <v>21352</v>
      </c>
      <c r="C15379" t="s">
        <v>7</v>
      </c>
      <c r="D15379" t="s">
        <v>14</v>
      </c>
      <c r="E15379" t="s">
        <v>21215</v>
      </c>
    </row>
    <row r="15380" spans="1:6" x14ac:dyDescent="0.25">
      <c r="A15380" t="str">
        <f>"712301992284"</f>
        <v>712301992284</v>
      </c>
      <c r="B15380" t="s">
        <v>21353</v>
      </c>
      <c r="C15380" t="s">
        <v>7</v>
      </c>
      <c r="D15380" t="s">
        <v>12</v>
      </c>
      <c r="E15380" t="s">
        <v>21215</v>
      </c>
    </row>
    <row r="15381" spans="1:6" x14ac:dyDescent="0.25">
      <c r="A15381" t="str">
        <f>"712700402804"</f>
        <v>712700402804</v>
      </c>
      <c r="B15381" t="s">
        <v>21354</v>
      </c>
      <c r="C15381" t="s">
        <v>7</v>
      </c>
      <c r="D15381" t="s">
        <v>14</v>
      </c>
      <c r="E15381" t="s">
        <v>21215</v>
      </c>
    </row>
    <row r="15382" spans="1:6" x14ac:dyDescent="0.25">
      <c r="A15382" t="str">
        <f>"712800624511"</f>
        <v>712800624511</v>
      </c>
      <c r="B15382" t="s">
        <v>21355</v>
      </c>
      <c r="C15382" t="s">
        <v>7</v>
      </c>
      <c r="D15382" t="s">
        <v>12</v>
      </c>
      <c r="E15382" t="s">
        <v>21215</v>
      </c>
    </row>
    <row r="15383" spans="1:6" x14ac:dyDescent="0.25">
      <c r="A15383" t="str">
        <f>"713001349966"</f>
        <v>713001349966</v>
      </c>
      <c r="B15383" t="s">
        <v>21356</v>
      </c>
      <c r="C15383" t="s">
        <v>7</v>
      </c>
      <c r="D15383" t="s">
        <v>14</v>
      </c>
      <c r="E15383" t="s">
        <v>21215</v>
      </c>
    </row>
    <row r="15384" spans="1:6" x14ac:dyDescent="0.25">
      <c r="A15384" t="str">
        <f>"7130031620"</f>
        <v>7130031620</v>
      </c>
      <c r="B15384" t="s">
        <v>21357</v>
      </c>
      <c r="C15384" t="s">
        <v>7</v>
      </c>
      <c r="D15384" t="s">
        <v>33</v>
      </c>
      <c r="E15384" t="s">
        <v>21215</v>
      </c>
      <c r="F15384" t="s">
        <v>21358</v>
      </c>
    </row>
    <row r="15385" spans="1:6" x14ac:dyDescent="0.25">
      <c r="A15385" t="str">
        <f>"713201881575"</f>
        <v>713201881575</v>
      </c>
      <c r="B15385" t="s">
        <v>21359</v>
      </c>
      <c r="C15385" t="s">
        <v>7</v>
      </c>
      <c r="D15385" t="s">
        <v>14</v>
      </c>
      <c r="E15385" t="s">
        <v>21215</v>
      </c>
    </row>
    <row r="15386" spans="1:6" x14ac:dyDescent="0.25">
      <c r="A15386" t="str">
        <f>"713201902377"</f>
        <v>713201902377</v>
      </c>
      <c r="B15386" t="s">
        <v>21360</v>
      </c>
      <c r="C15386" t="s">
        <v>7</v>
      </c>
      <c r="D15386" t="s">
        <v>14</v>
      </c>
      <c r="E15386" t="s">
        <v>21215</v>
      </c>
    </row>
    <row r="15387" spans="1:6" x14ac:dyDescent="0.25">
      <c r="A15387" t="str">
        <f>"7100014842"</f>
        <v>7100014842</v>
      </c>
      <c r="B15387" t="s">
        <v>6782</v>
      </c>
      <c r="C15387" t="s">
        <v>7</v>
      </c>
      <c r="D15387" t="s">
        <v>14</v>
      </c>
      <c r="E15387" t="s">
        <v>21215</v>
      </c>
      <c r="F15387" t="s">
        <v>21361</v>
      </c>
    </row>
    <row r="15388" spans="1:6" x14ac:dyDescent="0.25">
      <c r="A15388" t="str">
        <f>"7100031830"</f>
        <v>7100031830</v>
      </c>
      <c r="B15388" t="s">
        <v>21362</v>
      </c>
      <c r="C15388" t="s">
        <v>7</v>
      </c>
      <c r="D15388" t="s">
        <v>33</v>
      </c>
      <c r="E15388" t="s">
        <v>21215</v>
      </c>
      <c r="F15388" t="s">
        <v>21363</v>
      </c>
    </row>
    <row r="15389" spans="1:6" x14ac:dyDescent="0.25">
      <c r="A15389" t="str">
        <f>"7100040553"</f>
        <v>7100040553</v>
      </c>
      <c r="B15389" t="s">
        <v>21364</v>
      </c>
      <c r="C15389" t="s">
        <v>7</v>
      </c>
      <c r="D15389" t="s">
        <v>33</v>
      </c>
      <c r="E15389" t="s">
        <v>21215</v>
      </c>
      <c r="F15389" t="s">
        <v>21365</v>
      </c>
    </row>
    <row r="15390" spans="1:6" x14ac:dyDescent="0.25">
      <c r="A15390" t="str">
        <f>"710300733558"</f>
        <v>710300733558</v>
      </c>
      <c r="B15390" t="s">
        <v>21366</v>
      </c>
      <c r="C15390" t="s">
        <v>7</v>
      </c>
      <c r="D15390" t="s">
        <v>14</v>
      </c>
      <c r="E15390" t="s">
        <v>21215</v>
      </c>
    </row>
    <row r="15391" spans="1:6" x14ac:dyDescent="0.25">
      <c r="A15391" t="str">
        <f>"710302345247"</f>
        <v>710302345247</v>
      </c>
      <c r="B15391" t="s">
        <v>21367</v>
      </c>
      <c r="C15391" t="s">
        <v>7</v>
      </c>
      <c r="D15391" t="s">
        <v>12</v>
      </c>
      <c r="E15391" t="s">
        <v>21215</v>
      </c>
    </row>
    <row r="15392" spans="1:6" x14ac:dyDescent="0.25">
      <c r="A15392" t="str">
        <f>"710304047052"</f>
        <v>710304047052</v>
      </c>
      <c r="B15392" t="s">
        <v>21368</v>
      </c>
      <c r="C15392" t="s">
        <v>7</v>
      </c>
      <c r="D15392" t="s">
        <v>14</v>
      </c>
      <c r="E15392" t="s">
        <v>21215</v>
      </c>
    </row>
    <row r="15393" spans="1:6" x14ac:dyDescent="0.25">
      <c r="A15393" t="str">
        <f>"710304761147"</f>
        <v>710304761147</v>
      </c>
      <c r="B15393" t="s">
        <v>21369</v>
      </c>
      <c r="C15393" t="s">
        <v>7</v>
      </c>
      <c r="D15393" t="s">
        <v>14</v>
      </c>
      <c r="E15393" t="s">
        <v>21215</v>
      </c>
    </row>
    <row r="15394" spans="1:6" x14ac:dyDescent="0.25">
      <c r="A15394" t="str">
        <f>"710307234519"</f>
        <v>710307234519</v>
      </c>
      <c r="B15394" t="s">
        <v>21370</v>
      </c>
      <c r="C15394" t="s">
        <v>7</v>
      </c>
      <c r="D15394" t="s">
        <v>33</v>
      </c>
      <c r="E15394" t="s">
        <v>21215</v>
      </c>
    </row>
    <row r="15395" spans="1:6" x14ac:dyDescent="0.25">
      <c r="A15395" t="str">
        <f>"710307732698"</f>
        <v>710307732698</v>
      </c>
      <c r="B15395" t="s">
        <v>21371</v>
      </c>
      <c r="C15395" t="s">
        <v>7</v>
      </c>
      <c r="D15395" t="s">
        <v>14</v>
      </c>
      <c r="E15395" t="s">
        <v>21215</v>
      </c>
    </row>
    <row r="15396" spans="1:6" x14ac:dyDescent="0.25">
      <c r="A15396" t="str">
        <f>"710310001271"</f>
        <v>710310001271</v>
      </c>
      <c r="B15396" t="s">
        <v>21372</v>
      </c>
      <c r="C15396" t="s">
        <v>7</v>
      </c>
      <c r="D15396" t="s">
        <v>14</v>
      </c>
      <c r="E15396" t="s">
        <v>21215</v>
      </c>
    </row>
    <row r="15397" spans="1:6" x14ac:dyDescent="0.25">
      <c r="A15397" t="str">
        <f>"7104022731"</f>
        <v>7104022731</v>
      </c>
      <c r="B15397" t="s">
        <v>21373</v>
      </c>
      <c r="C15397" t="s">
        <v>7</v>
      </c>
      <c r="D15397" t="s">
        <v>33</v>
      </c>
      <c r="E15397" t="s">
        <v>21215</v>
      </c>
      <c r="F15397" t="s">
        <v>21374</v>
      </c>
    </row>
    <row r="15398" spans="1:6" x14ac:dyDescent="0.25">
      <c r="A15398" t="str">
        <f>"7104068415"</f>
        <v>7104068415</v>
      </c>
      <c r="B15398" t="s">
        <v>21375</v>
      </c>
      <c r="C15398" t="s">
        <v>7</v>
      </c>
      <c r="D15398" t="s">
        <v>12</v>
      </c>
      <c r="E15398" t="s">
        <v>21215</v>
      </c>
      <c r="F15398" t="s">
        <v>21376</v>
      </c>
    </row>
    <row r="15399" spans="1:6" x14ac:dyDescent="0.25">
      <c r="A15399" t="str">
        <f>"7104517438"</f>
        <v>7104517438</v>
      </c>
      <c r="B15399" t="s">
        <v>20916</v>
      </c>
      <c r="C15399" t="s">
        <v>7</v>
      </c>
      <c r="D15399" t="s">
        <v>14</v>
      </c>
      <c r="E15399" t="s">
        <v>21215</v>
      </c>
      <c r="F15399" t="s">
        <v>21377</v>
      </c>
    </row>
    <row r="15400" spans="1:6" x14ac:dyDescent="0.25">
      <c r="A15400" t="str">
        <f>"710500044234"</f>
        <v>710500044234</v>
      </c>
      <c r="B15400" t="s">
        <v>21378</v>
      </c>
      <c r="C15400" t="s">
        <v>7</v>
      </c>
      <c r="D15400" t="s">
        <v>14</v>
      </c>
      <c r="E15400" t="s">
        <v>21215</v>
      </c>
    </row>
    <row r="15401" spans="1:6" x14ac:dyDescent="0.25">
      <c r="A15401" t="str">
        <f>"710500116785"</f>
        <v>710500116785</v>
      </c>
      <c r="B15401" t="s">
        <v>21379</v>
      </c>
      <c r="C15401" t="s">
        <v>7</v>
      </c>
      <c r="D15401" t="s">
        <v>14</v>
      </c>
      <c r="E15401" t="s">
        <v>21215</v>
      </c>
    </row>
    <row r="15402" spans="1:6" x14ac:dyDescent="0.25">
      <c r="A15402" t="str">
        <f>"710500384086"</f>
        <v>710500384086</v>
      </c>
      <c r="B15402" t="s">
        <v>21380</v>
      </c>
      <c r="C15402" t="s">
        <v>7</v>
      </c>
      <c r="D15402" t="s">
        <v>14</v>
      </c>
      <c r="E15402" t="s">
        <v>21215</v>
      </c>
    </row>
    <row r="15403" spans="1:6" x14ac:dyDescent="0.25">
      <c r="A15403" t="str">
        <f>"7105020952"</f>
        <v>7105020952</v>
      </c>
      <c r="B15403" t="s">
        <v>21381</v>
      </c>
      <c r="C15403" t="s">
        <v>7</v>
      </c>
      <c r="D15403" t="s">
        <v>33</v>
      </c>
      <c r="E15403" t="s">
        <v>21215</v>
      </c>
      <c r="F15403" t="s">
        <v>21382</v>
      </c>
    </row>
    <row r="15404" spans="1:6" x14ac:dyDescent="0.25">
      <c r="A15404" t="str">
        <f>"7105023248"</f>
        <v>7105023248</v>
      </c>
      <c r="B15404" t="s">
        <v>21383</v>
      </c>
      <c r="C15404" t="s">
        <v>7</v>
      </c>
      <c r="D15404" t="s">
        <v>12</v>
      </c>
      <c r="E15404" t="s">
        <v>21215</v>
      </c>
      <c r="F15404" t="s">
        <v>21384</v>
      </c>
    </row>
    <row r="15405" spans="1:6" x14ac:dyDescent="0.25">
      <c r="A15405" t="str">
        <f>"710503258435"</f>
        <v>710503258435</v>
      </c>
      <c r="B15405" t="s">
        <v>21385</v>
      </c>
      <c r="C15405" t="s">
        <v>7</v>
      </c>
      <c r="D15405" t="s">
        <v>14</v>
      </c>
      <c r="E15405" t="s">
        <v>21215</v>
      </c>
    </row>
    <row r="15406" spans="1:6" x14ac:dyDescent="0.25">
      <c r="A15406" t="str">
        <f>"710505835303"</f>
        <v>710505835303</v>
      </c>
      <c r="B15406" t="s">
        <v>21386</v>
      </c>
      <c r="C15406" t="s">
        <v>7</v>
      </c>
      <c r="D15406" t="s">
        <v>14</v>
      </c>
      <c r="E15406" t="s">
        <v>21215</v>
      </c>
    </row>
    <row r="15407" spans="1:6" x14ac:dyDescent="0.25">
      <c r="A15407" t="str">
        <f>"710521491995"</f>
        <v>710521491995</v>
      </c>
      <c r="B15407" t="s">
        <v>21387</v>
      </c>
      <c r="C15407" t="s">
        <v>7</v>
      </c>
      <c r="D15407" t="s">
        <v>14</v>
      </c>
      <c r="E15407" t="s">
        <v>21215</v>
      </c>
    </row>
    <row r="15408" spans="1:6" x14ac:dyDescent="0.25">
      <c r="A15408" t="str">
        <f>"710600149992"</f>
        <v>710600149992</v>
      </c>
      <c r="B15408" t="s">
        <v>21388</v>
      </c>
      <c r="C15408" t="s">
        <v>7</v>
      </c>
      <c r="D15408" t="s">
        <v>12</v>
      </c>
      <c r="E15408" t="s">
        <v>21215</v>
      </c>
    </row>
    <row r="15409" spans="1:6" x14ac:dyDescent="0.25">
      <c r="A15409" t="str">
        <f>"7106002120"</f>
        <v>7106002120</v>
      </c>
      <c r="B15409" t="s">
        <v>21389</v>
      </c>
      <c r="C15409" t="s">
        <v>7</v>
      </c>
      <c r="D15409" t="s">
        <v>14</v>
      </c>
      <c r="E15409" t="s">
        <v>21215</v>
      </c>
      <c r="F15409" t="s">
        <v>21390</v>
      </c>
    </row>
    <row r="15410" spans="1:6" x14ac:dyDescent="0.25">
      <c r="A15410" t="str">
        <f>"710601460640"</f>
        <v>710601460640</v>
      </c>
      <c r="B15410" t="s">
        <v>21391</v>
      </c>
      <c r="C15410" t="s">
        <v>7</v>
      </c>
      <c r="D15410" t="s">
        <v>33</v>
      </c>
      <c r="E15410" t="s">
        <v>21215</v>
      </c>
    </row>
    <row r="15411" spans="1:6" x14ac:dyDescent="0.25">
      <c r="A15411" t="str">
        <f>"7106030713"</f>
        <v>7106030713</v>
      </c>
      <c r="B15411" t="s">
        <v>21392</v>
      </c>
      <c r="C15411" t="s">
        <v>7</v>
      </c>
      <c r="D15411" t="s">
        <v>14</v>
      </c>
      <c r="E15411" t="s">
        <v>21215</v>
      </c>
      <c r="F15411" t="s">
        <v>21393</v>
      </c>
    </row>
    <row r="15412" spans="1:6" x14ac:dyDescent="0.25">
      <c r="A15412" t="str">
        <f>"710605936016"</f>
        <v>710605936016</v>
      </c>
      <c r="B15412" t="s">
        <v>21394</v>
      </c>
      <c r="C15412" t="s">
        <v>7</v>
      </c>
      <c r="D15412" t="s">
        <v>14</v>
      </c>
      <c r="E15412" t="s">
        <v>21215</v>
      </c>
    </row>
    <row r="15413" spans="1:6" x14ac:dyDescent="0.25">
      <c r="A15413" t="str">
        <f>"710606154780"</f>
        <v>710606154780</v>
      </c>
      <c r="B15413" t="s">
        <v>21395</v>
      </c>
      <c r="C15413" t="s">
        <v>7</v>
      </c>
      <c r="D15413" t="s">
        <v>12</v>
      </c>
      <c r="E15413" t="s">
        <v>21215</v>
      </c>
    </row>
    <row r="15414" spans="1:6" x14ac:dyDescent="0.25">
      <c r="A15414" t="str">
        <f>"710606909262"</f>
        <v>710606909262</v>
      </c>
      <c r="B15414" t="s">
        <v>21396</v>
      </c>
      <c r="C15414" t="s">
        <v>7</v>
      </c>
      <c r="D15414" t="s">
        <v>14</v>
      </c>
      <c r="E15414" t="s">
        <v>21215</v>
      </c>
    </row>
    <row r="15415" spans="1:6" x14ac:dyDescent="0.25">
      <c r="A15415" t="str">
        <f>"710700115316"</f>
        <v>710700115316</v>
      </c>
      <c r="B15415" t="s">
        <v>21397</v>
      </c>
      <c r="C15415" t="s">
        <v>7</v>
      </c>
      <c r="D15415" t="s">
        <v>14</v>
      </c>
      <c r="E15415" t="s">
        <v>21215</v>
      </c>
    </row>
    <row r="15416" spans="1:6" x14ac:dyDescent="0.25">
      <c r="A15416" t="str">
        <f>"710701093506"</f>
        <v>710701093506</v>
      </c>
      <c r="B15416" t="s">
        <v>21398</v>
      </c>
      <c r="C15416" t="s">
        <v>7</v>
      </c>
      <c r="D15416" t="s">
        <v>12</v>
      </c>
      <c r="E15416" t="s">
        <v>21215</v>
      </c>
    </row>
    <row r="15417" spans="1:6" x14ac:dyDescent="0.25">
      <c r="A15417" t="str">
        <f>"710702277633"</f>
        <v>710702277633</v>
      </c>
      <c r="B15417" t="s">
        <v>21399</v>
      </c>
      <c r="C15417" t="s">
        <v>7</v>
      </c>
      <c r="D15417" t="s">
        <v>14</v>
      </c>
      <c r="E15417" t="s">
        <v>21215</v>
      </c>
    </row>
    <row r="15418" spans="1:6" x14ac:dyDescent="0.25">
      <c r="A15418" t="str">
        <f>"7107069520"</f>
        <v>7107069520</v>
      </c>
      <c r="B15418" t="s">
        <v>5886</v>
      </c>
      <c r="C15418" t="s">
        <v>7</v>
      </c>
      <c r="D15418" t="s">
        <v>12</v>
      </c>
      <c r="E15418" t="s">
        <v>21215</v>
      </c>
      <c r="F15418" t="s">
        <v>21400</v>
      </c>
    </row>
    <row r="15419" spans="1:6" x14ac:dyDescent="0.25">
      <c r="A15419" t="str">
        <f>"7107121353"</f>
        <v>7107121353</v>
      </c>
      <c r="B15419" t="s">
        <v>21401</v>
      </c>
      <c r="C15419" t="s">
        <v>7</v>
      </c>
      <c r="D15419" t="s">
        <v>12</v>
      </c>
      <c r="E15419" t="s">
        <v>21215</v>
      </c>
      <c r="F15419" t="s">
        <v>21402</v>
      </c>
    </row>
    <row r="15420" spans="1:6" x14ac:dyDescent="0.25">
      <c r="A15420" t="str">
        <f>"7107123696"</f>
        <v>7107123696</v>
      </c>
      <c r="B15420" t="s">
        <v>14171</v>
      </c>
      <c r="C15420" t="s">
        <v>7</v>
      </c>
      <c r="D15420" t="s">
        <v>33</v>
      </c>
      <c r="E15420" t="s">
        <v>21215</v>
      </c>
      <c r="F15420" t="s">
        <v>21403</v>
      </c>
    </row>
    <row r="15421" spans="1:6" x14ac:dyDescent="0.25">
      <c r="A15421" t="str">
        <f>"7107125527"</f>
        <v>7107125527</v>
      </c>
      <c r="B15421" t="s">
        <v>21404</v>
      </c>
      <c r="C15421" t="s">
        <v>7</v>
      </c>
      <c r="D15421" t="s">
        <v>12</v>
      </c>
      <c r="E15421" t="s">
        <v>21215</v>
      </c>
      <c r="F15421" t="s">
        <v>21405</v>
      </c>
    </row>
    <row r="15422" spans="1:6" x14ac:dyDescent="0.25">
      <c r="A15422" t="str">
        <f>"7107509259"</f>
        <v>7107509259</v>
      </c>
      <c r="B15422" t="s">
        <v>21406</v>
      </c>
      <c r="C15422" t="s">
        <v>7</v>
      </c>
      <c r="D15422" t="s">
        <v>12</v>
      </c>
      <c r="E15422" t="s">
        <v>21215</v>
      </c>
      <c r="F15422" t="s">
        <v>21407</v>
      </c>
    </row>
    <row r="15423" spans="1:6" x14ac:dyDescent="0.25">
      <c r="A15423" t="str">
        <f>"7107510705"</f>
        <v>7107510705</v>
      </c>
      <c r="B15423" t="s">
        <v>21408</v>
      </c>
      <c r="C15423" t="s">
        <v>7</v>
      </c>
      <c r="D15423" t="s">
        <v>33</v>
      </c>
      <c r="E15423" t="s">
        <v>21215</v>
      </c>
      <c r="F15423" t="s">
        <v>21409</v>
      </c>
    </row>
    <row r="15424" spans="1:6" x14ac:dyDescent="0.25">
      <c r="A15424" t="str">
        <f>"7107518775"</f>
        <v>7107518775</v>
      </c>
      <c r="B15424" t="s">
        <v>21410</v>
      </c>
      <c r="C15424" t="s">
        <v>7</v>
      </c>
      <c r="D15424" t="s">
        <v>33</v>
      </c>
      <c r="E15424" t="s">
        <v>21215</v>
      </c>
      <c r="F15424" t="s">
        <v>21411</v>
      </c>
    </row>
    <row r="15425" spans="1:6" x14ac:dyDescent="0.25">
      <c r="A15425" t="str">
        <f>"7107524680"</f>
        <v>7107524680</v>
      </c>
      <c r="B15425" t="s">
        <v>10470</v>
      </c>
      <c r="C15425" t="s">
        <v>7</v>
      </c>
      <c r="D15425" t="s">
        <v>33</v>
      </c>
      <c r="E15425" t="s">
        <v>21215</v>
      </c>
      <c r="F15425" t="s">
        <v>21412</v>
      </c>
    </row>
    <row r="15426" spans="1:6" x14ac:dyDescent="0.25">
      <c r="A15426" t="str">
        <f>"7107545970"</f>
        <v>7107545970</v>
      </c>
      <c r="B15426" t="s">
        <v>21413</v>
      </c>
      <c r="C15426" t="s">
        <v>7</v>
      </c>
      <c r="D15426" t="s">
        <v>14</v>
      </c>
      <c r="E15426" t="s">
        <v>21215</v>
      </c>
      <c r="F15426" t="s">
        <v>21414</v>
      </c>
    </row>
    <row r="15427" spans="1:6" x14ac:dyDescent="0.25">
      <c r="A15427" t="str">
        <f>"711100093870"</f>
        <v>711100093870</v>
      </c>
      <c r="B15427" t="s">
        <v>21415</v>
      </c>
      <c r="C15427" t="s">
        <v>7</v>
      </c>
      <c r="D15427" t="s">
        <v>14</v>
      </c>
      <c r="E15427" t="s">
        <v>21215</v>
      </c>
    </row>
    <row r="15428" spans="1:6" x14ac:dyDescent="0.25">
      <c r="A15428" t="str">
        <f>"711101225512"</f>
        <v>711101225512</v>
      </c>
      <c r="B15428" t="s">
        <v>21416</v>
      </c>
      <c r="C15428" t="s">
        <v>7</v>
      </c>
      <c r="D15428" t="s">
        <v>14</v>
      </c>
      <c r="E15428" t="s">
        <v>21215</v>
      </c>
    </row>
    <row r="15429" spans="1:6" x14ac:dyDescent="0.25">
      <c r="A15429" t="str">
        <f>"7111021305"</f>
        <v>7111021305</v>
      </c>
      <c r="B15429" t="s">
        <v>21417</v>
      </c>
      <c r="C15429" t="s">
        <v>7</v>
      </c>
      <c r="D15429" t="s">
        <v>14</v>
      </c>
      <c r="E15429" t="s">
        <v>21215</v>
      </c>
      <c r="F15429" t="s">
        <v>21418</v>
      </c>
    </row>
    <row r="15430" spans="1:6" x14ac:dyDescent="0.25">
      <c r="A15430" t="str">
        <f>"711103668220"</f>
        <v>711103668220</v>
      </c>
      <c r="B15430" t="s">
        <v>21419</v>
      </c>
      <c r="C15430" t="s">
        <v>7</v>
      </c>
      <c r="D15430" t="s">
        <v>14</v>
      </c>
      <c r="E15430" t="s">
        <v>21215</v>
      </c>
    </row>
    <row r="15431" spans="1:6" x14ac:dyDescent="0.25">
      <c r="A15431" t="str">
        <f>"711106367334"</f>
        <v>711106367334</v>
      </c>
      <c r="B15431" t="s">
        <v>21420</v>
      </c>
      <c r="C15431" t="s">
        <v>7</v>
      </c>
      <c r="D15431" t="s">
        <v>12</v>
      </c>
      <c r="E15431" t="s">
        <v>21215</v>
      </c>
    </row>
    <row r="15432" spans="1:6" x14ac:dyDescent="0.25">
      <c r="A15432" t="str">
        <f>"711204914779"</f>
        <v>711204914779</v>
      </c>
      <c r="B15432" t="s">
        <v>21421</v>
      </c>
      <c r="C15432" t="s">
        <v>7</v>
      </c>
      <c r="D15432" t="s">
        <v>14</v>
      </c>
      <c r="E15432" t="s">
        <v>21215</v>
      </c>
    </row>
    <row r="15433" spans="1:6" x14ac:dyDescent="0.25">
      <c r="A15433" t="str">
        <f>"711300010656"</f>
        <v>711300010656</v>
      </c>
      <c r="B15433" t="s">
        <v>21422</v>
      </c>
      <c r="C15433" t="s">
        <v>7</v>
      </c>
      <c r="D15433" t="s">
        <v>14</v>
      </c>
      <c r="E15433" t="s">
        <v>21215</v>
      </c>
    </row>
    <row r="15434" spans="1:6" x14ac:dyDescent="0.25">
      <c r="A15434" t="str">
        <f>"711310461009"</f>
        <v>711310461009</v>
      </c>
      <c r="B15434" t="s">
        <v>21423</v>
      </c>
      <c r="C15434" t="s">
        <v>7</v>
      </c>
      <c r="D15434" t="s">
        <v>14</v>
      </c>
      <c r="E15434" t="s">
        <v>21215</v>
      </c>
    </row>
    <row r="15435" spans="1:6" x14ac:dyDescent="0.25">
      <c r="A15435" t="str">
        <f>"711310495287"</f>
        <v>711310495287</v>
      </c>
      <c r="B15435" t="s">
        <v>21424</v>
      </c>
      <c r="C15435" t="s">
        <v>7</v>
      </c>
      <c r="D15435" t="s">
        <v>14</v>
      </c>
      <c r="E15435" t="s">
        <v>21215</v>
      </c>
    </row>
    <row r="15436" spans="1:6" x14ac:dyDescent="0.25">
      <c r="A15436" t="str">
        <f>"711506985991"</f>
        <v>711506985991</v>
      </c>
      <c r="B15436" t="s">
        <v>21425</v>
      </c>
      <c r="C15436" t="s">
        <v>7</v>
      </c>
      <c r="D15436" t="s">
        <v>14</v>
      </c>
      <c r="E15436" t="s">
        <v>21215</v>
      </c>
    </row>
    <row r="15437" spans="1:6" x14ac:dyDescent="0.25">
      <c r="A15437" t="str">
        <f>"711600616007"</f>
        <v>711600616007</v>
      </c>
      <c r="B15437" t="s">
        <v>21426</v>
      </c>
      <c r="C15437" t="s">
        <v>7</v>
      </c>
      <c r="D15437" t="s">
        <v>14</v>
      </c>
      <c r="E15437" t="s">
        <v>21215</v>
      </c>
    </row>
    <row r="15438" spans="1:6" x14ac:dyDescent="0.25">
      <c r="A15438" t="str">
        <f>"7116010113"</f>
        <v>7116010113</v>
      </c>
      <c r="B15438" t="s">
        <v>21427</v>
      </c>
      <c r="C15438" t="s">
        <v>7</v>
      </c>
      <c r="D15438" t="s">
        <v>98</v>
      </c>
      <c r="E15438" t="s">
        <v>21215</v>
      </c>
      <c r="F15438" t="s">
        <v>21428</v>
      </c>
    </row>
    <row r="15439" spans="1:6" x14ac:dyDescent="0.25">
      <c r="A15439" t="str">
        <f>"711700234428"</f>
        <v>711700234428</v>
      </c>
      <c r="B15439" t="s">
        <v>21429</v>
      </c>
      <c r="C15439" t="s">
        <v>7</v>
      </c>
      <c r="D15439" t="s">
        <v>14</v>
      </c>
      <c r="E15439" t="s">
        <v>21215</v>
      </c>
    </row>
    <row r="15440" spans="1:6" x14ac:dyDescent="0.25">
      <c r="A15440" t="str">
        <f>"7117501107"</f>
        <v>7117501107</v>
      </c>
      <c r="B15440" t="s">
        <v>21430</v>
      </c>
      <c r="C15440" t="s">
        <v>7</v>
      </c>
      <c r="D15440" t="s">
        <v>14</v>
      </c>
      <c r="E15440" t="s">
        <v>21215</v>
      </c>
      <c r="F15440" t="s">
        <v>21431</v>
      </c>
    </row>
    <row r="15441" spans="1:6" x14ac:dyDescent="0.25">
      <c r="A15441" t="str">
        <f>"7117502911"</f>
        <v>7117502911</v>
      </c>
      <c r="B15441" t="s">
        <v>21432</v>
      </c>
      <c r="C15441" t="s">
        <v>7</v>
      </c>
      <c r="D15441" t="s">
        <v>14</v>
      </c>
      <c r="E15441" t="s">
        <v>21215</v>
      </c>
      <c r="F15441" t="s">
        <v>21433</v>
      </c>
    </row>
    <row r="15442" spans="1:6" x14ac:dyDescent="0.25">
      <c r="A15442" t="str">
        <f>"7117503425"</f>
        <v>7117503425</v>
      </c>
      <c r="B15442" t="s">
        <v>10332</v>
      </c>
      <c r="C15442" t="s">
        <v>7</v>
      </c>
      <c r="D15442" t="s">
        <v>14</v>
      </c>
      <c r="E15442" t="s">
        <v>21215</v>
      </c>
      <c r="F15442" t="s">
        <v>21434</v>
      </c>
    </row>
    <row r="15443" spans="1:6" x14ac:dyDescent="0.25">
      <c r="A15443" t="str">
        <f>"222203190920"</f>
        <v>222203190920</v>
      </c>
      <c r="B15443" t="s">
        <v>21435</v>
      </c>
      <c r="C15443" t="s">
        <v>7</v>
      </c>
      <c r="D15443" t="s">
        <v>14</v>
      </c>
      <c r="E15443" t="s">
        <v>21215</v>
      </c>
    </row>
    <row r="15444" spans="1:6" x14ac:dyDescent="0.25">
      <c r="A15444" t="str">
        <f>"711871935705"</f>
        <v>711871935705</v>
      </c>
      <c r="B15444" t="s">
        <v>21436</v>
      </c>
      <c r="C15444" t="s">
        <v>7</v>
      </c>
      <c r="D15444" t="s">
        <v>14</v>
      </c>
      <c r="E15444" t="s">
        <v>21215</v>
      </c>
    </row>
    <row r="15445" spans="1:6" x14ac:dyDescent="0.25">
      <c r="A15445" t="str">
        <f>"712202257047"</f>
        <v>712202257047</v>
      </c>
      <c r="B15445" t="s">
        <v>21437</v>
      </c>
      <c r="C15445" t="s">
        <v>7</v>
      </c>
      <c r="D15445" t="s">
        <v>14</v>
      </c>
      <c r="E15445" t="s">
        <v>21215</v>
      </c>
    </row>
    <row r="15446" spans="1:6" x14ac:dyDescent="0.25">
      <c r="A15446" t="str">
        <f>"712300082268"</f>
        <v>712300082268</v>
      </c>
      <c r="B15446" t="s">
        <v>21438</v>
      </c>
      <c r="C15446" t="s">
        <v>7</v>
      </c>
      <c r="D15446" t="s">
        <v>14</v>
      </c>
      <c r="E15446" t="s">
        <v>21215</v>
      </c>
    </row>
    <row r="15447" spans="1:6" x14ac:dyDescent="0.25">
      <c r="A15447" t="str">
        <f>"712800266792"</f>
        <v>712800266792</v>
      </c>
      <c r="B15447" t="s">
        <v>21439</v>
      </c>
      <c r="C15447" t="s">
        <v>7</v>
      </c>
      <c r="D15447" t="s">
        <v>14</v>
      </c>
      <c r="E15447" t="s">
        <v>21215</v>
      </c>
    </row>
    <row r="15448" spans="1:6" x14ac:dyDescent="0.25">
      <c r="A15448" t="str">
        <f>"713220497445"</f>
        <v>713220497445</v>
      </c>
      <c r="B15448" t="s">
        <v>21440</v>
      </c>
      <c r="C15448" t="s">
        <v>7</v>
      </c>
      <c r="D15448" t="s">
        <v>12</v>
      </c>
      <c r="E15448" t="s">
        <v>21215</v>
      </c>
    </row>
    <row r="15449" spans="1:6" x14ac:dyDescent="0.25">
      <c r="A15449" t="str">
        <f>"713400506226"</f>
        <v>713400506226</v>
      </c>
      <c r="B15449" t="s">
        <v>21441</v>
      </c>
      <c r="C15449" t="s">
        <v>7</v>
      </c>
      <c r="D15449" t="s">
        <v>12</v>
      </c>
      <c r="E15449" t="s">
        <v>21215</v>
      </c>
    </row>
    <row r="15450" spans="1:6" x14ac:dyDescent="0.25">
      <c r="A15450" t="str">
        <f>"713607158367"</f>
        <v>713607158367</v>
      </c>
      <c r="B15450" t="s">
        <v>21442</v>
      </c>
      <c r="C15450" t="s">
        <v>7</v>
      </c>
      <c r="D15450" t="s">
        <v>14</v>
      </c>
      <c r="E15450" t="s">
        <v>21215</v>
      </c>
    </row>
    <row r="15451" spans="1:6" x14ac:dyDescent="0.25">
      <c r="A15451" t="str">
        <f>"263111962228"</f>
        <v>263111962228</v>
      </c>
      <c r="B15451" t="s">
        <v>21443</v>
      </c>
      <c r="C15451" t="s">
        <v>7</v>
      </c>
      <c r="D15451" t="s">
        <v>14</v>
      </c>
      <c r="E15451" t="s">
        <v>21215</v>
      </c>
    </row>
    <row r="15452" spans="1:6" x14ac:dyDescent="0.25">
      <c r="A15452" t="str">
        <f>"3666235096"</f>
        <v>3666235096</v>
      </c>
      <c r="B15452" t="s">
        <v>21444</v>
      </c>
      <c r="C15452" t="s">
        <v>7</v>
      </c>
      <c r="D15452" t="s">
        <v>674</v>
      </c>
      <c r="E15452" t="s">
        <v>21215</v>
      </c>
      <c r="F15452" t="s">
        <v>21445</v>
      </c>
    </row>
    <row r="15453" spans="1:6" x14ac:dyDescent="0.25">
      <c r="A15453" t="str">
        <f>"741502914491"</f>
        <v>741502914491</v>
      </c>
      <c r="B15453" t="s">
        <v>21446</v>
      </c>
      <c r="C15453" t="s">
        <v>7</v>
      </c>
      <c r="D15453" t="s">
        <v>12</v>
      </c>
      <c r="E15453" t="s">
        <v>21215</v>
      </c>
    </row>
    <row r="15454" spans="1:6" x14ac:dyDescent="0.25">
      <c r="A15454" t="str">
        <f>"5022055980"</f>
        <v>5022055980</v>
      </c>
      <c r="B15454" t="s">
        <v>21447</v>
      </c>
      <c r="C15454" t="s">
        <v>7</v>
      </c>
      <c r="D15454" t="s">
        <v>12</v>
      </c>
      <c r="E15454" t="s">
        <v>21215</v>
      </c>
      <c r="F15454" t="s">
        <v>21448</v>
      </c>
    </row>
    <row r="15455" spans="1:6" x14ac:dyDescent="0.25">
      <c r="A15455" t="str">
        <f>"710500299000"</f>
        <v>710500299000</v>
      </c>
      <c r="B15455" t="s">
        <v>21449</v>
      </c>
      <c r="C15455" t="s">
        <v>7</v>
      </c>
      <c r="D15455" t="s">
        <v>14</v>
      </c>
      <c r="E15455" t="s">
        <v>21215</v>
      </c>
    </row>
    <row r="15456" spans="1:6" x14ac:dyDescent="0.25">
      <c r="A15456" t="str">
        <f>"7106046463"</f>
        <v>7106046463</v>
      </c>
      <c r="B15456" t="s">
        <v>21450</v>
      </c>
      <c r="C15456" t="s">
        <v>7</v>
      </c>
      <c r="D15456" t="s">
        <v>14</v>
      </c>
      <c r="E15456" t="s">
        <v>21215</v>
      </c>
      <c r="F15456" t="s">
        <v>21451</v>
      </c>
    </row>
    <row r="15457" spans="1:6" x14ac:dyDescent="0.25">
      <c r="A15457" t="str">
        <f>"7116158430"</f>
        <v>7116158430</v>
      </c>
      <c r="B15457" t="s">
        <v>21452</v>
      </c>
      <c r="C15457" t="s">
        <v>7</v>
      </c>
      <c r="D15457" t="s">
        <v>12</v>
      </c>
      <c r="E15457" t="s">
        <v>21215</v>
      </c>
      <c r="F15457" t="s">
        <v>21453</v>
      </c>
    </row>
    <row r="15458" spans="1:6" x14ac:dyDescent="0.25">
      <c r="A15458" t="str">
        <f>"711805010312"</f>
        <v>711805010312</v>
      </c>
      <c r="B15458" t="s">
        <v>21454</v>
      </c>
      <c r="C15458" t="s">
        <v>7</v>
      </c>
      <c r="D15458" t="s">
        <v>14</v>
      </c>
      <c r="E15458" t="s">
        <v>21215</v>
      </c>
    </row>
    <row r="15459" spans="1:6" x14ac:dyDescent="0.25">
      <c r="A15459" t="str">
        <f>"713001727760"</f>
        <v>713001727760</v>
      </c>
      <c r="B15459" t="s">
        <v>21455</v>
      </c>
      <c r="C15459" t="s">
        <v>7</v>
      </c>
      <c r="D15459" t="s">
        <v>14</v>
      </c>
      <c r="E15459" t="s">
        <v>21215</v>
      </c>
    </row>
    <row r="15460" spans="1:6" x14ac:dyDescent="0.25">
      <c r="A15460" t="str">
        <f>"713602409673"</f>
        <v>713602409673</v>
      </c>
      <c r="B15460" t="s">
        <v>21456</v>
      </c>
      <c r="C15460" t="s">
        <v>7</v>
      </c>
      <c r="D15460" t="s">
        <v>14</v>
      </c>
      <c r="E15460" t="s">
        <v>21215</v>
      </c>
    </row>
    <row r="15461" spans="1:6" x14ac:dyDescent="0.25">
      <c r="A15461" t="str">
        <f>"143518803804"</f>
        <v>143518803804</v>
      </c>
      <c r="B15461" t="s">
        <v>21457</v>
      </c>
      <c r="C15461" t="s">
        <v>7</v>
      </c>
      <c r="D15461" t="s">
        <v>14</v>
      </c>
      <c r="E15461" t="s">
        <v>21215</v>
      </c>
    </row>
    <row r="15462" spans="1:6" x14ac:dyDescent="0.25">
      <c r="A15462" t="str">
        <f>"422206848458"</f>
        <v>422206848458</v>
      </c>
      <c r="B15462" t="s">
        <v>21458</v>
      </c>
      <c r="C15462" t="s">
        <v>7</v>
      </c>
      <c r="D15462" t="s">
        <v>14</v>
      </c>
      <c r="E15462" t="s">
        <v>21459</v>
      </c>
    </row>
    <row r="15463" spans="1:6" x14ac:dyDescent="0.25">
      <c r="A15463" t="str">
        <f>"027412190483"</f>
        <v>027412190483</v>
      </c>
      <c r="B15463" t="s">
        <v>21460</v>
      </c>
      <c r="C15463" t="s">
        <v>7</v>
      </c>
      <c r="D15463" t="s">
        <v>14</v>
      </c>
      <c r="E15463" t="s">
        <v>21459</v>
      </c>
    </row>
    <row r="15464" spans="1:6" x14ac:dyDescent="0.25">
      <c r="A15464" t="str">
        <f>"4501182126"</f>
        <v>4501182126</v>
      </c>
      <c r="B15464" t="s">
        <v>9040</v>
      </c>
      <c r="C15464" t="s">
        <v>7</v>
      </c>
      <c r="D15464" t="s">
        <v>14</v>
      </c>
      <c r="E15464" t="s">
        <v>21459</v>
      </c>
      <c r="F15464" t="s">
        <v>21461</v>
      </c>
    </row>
    <row r="15465" spans="1:6" x14ac:dyDescent="0.25">
      <c r="A15465" t="str">
        <f>"450136793913"</f>
        <v>450136793913</v>
      </c>
      <c r="B15465" t="s">
        <v>21462</v>
      </c>
      <c r="C15465" t="s">
        <v>7</v>
      </c>
      <c r="D15465" t="s">
        <v>14</v>
      </c>
      <c r="E15465" t="s">
        <v>21459</v>
      </c>
    </row>
    <row r="15466" spans="1:6" x14ac:dyDescent="0.25">
      <c r="A15466" t="str">
        <f>"450207221369"</f>
        <v>450207221369</v>
      </c>
      <c r="B15466" t="s">
        <v>21161</v>
      </c>
      <c r="C15466" t="s">
        <v>7</v>
      </c>
      <c r="D15466" t="s">
        <v>14</v>
      </c>
      <c r="E15466" t="s">
        <v>21459</v>
      </c>
    </row>
    <row r="15467" spans="1:6" x14ac:dyDescent="0.25">
      <c r="A15467" t="str">
        <f>"450106711864"</f>
        <v>450106711864</v>
      </c>
      <c r="B15467" t="s">
        <v>21463</v>
      </c>
      <c r="C15467" t="s">
        <v>7</v>
      </c>
      <c r="D15467" t="s">
        <v>14</v>
      </c>
      <c r="E15467" t="s">
        <v>21459</v>
      </c>
    </row>
    <row r="15468" spans="1:6" x14ac:dyDescent="0.25">
      <c r="A15468" t="str">
        <f>"450109925286"</f>
        <v>450109925286</v>
      </c>
      <c r="B15468" t="s">
        <v>21464</v>
      </c>
      <c r="C15468" t="s">
        <v>7</v>
      </c>
      <c r="D15468" t="s">
        <v>14</v>
      </c>
      <c r="E15468" t="s">
        <v>21459</v>
      </c>
    </row>
    <row r="15469" spans="1:6" x14ac:dyDescent="0.25">
      <c r="A15469" t="str">
        <f>"220453584592"</f>
        <v>220453584592</v>
      </c>
      <c r="B15469" t="s">
        <v>21465</v>
      </c>
      <c r="C15469" t="s">
        <v>7</v>
      </c>
      <c r="D15469" t="s">
        <v>14</v>
      </c>
      <c r="E15469" t="s">
        <v>21459</v>
      </c>
    </row>
    <row r="15470" spans="1:6" x14ac:dyDescent="0.25">
      <c r="A15470" t="str">
        <f>"222400519434"</f>
        <v>222400519434</v>
      </c>
      <c r="B15470" t="s">
        <v>21466</v>
      </c>
      <c r="C15470" t="s">
        <v>7</v>
      </c>
      <c r="D15470" t="s">
        <v>14</v>
      </c>
      <c r="E15470" t="s">
        <v>21459</v>
      </c>
    </row>
    <row r="15471" spans="1:6" x14ac:dyDescent="0.25">
      <c r="A15471" t="str">
        <f>"720200285002"</f>
        <v>720200285002</v>
      </c>
      <c r="B15471" t="s">
        <v>21467</v>
      </c>
      <c r="C15471" t="s">
        <v>7</v>
      </c>
      <c r="D15471" t="s">
        <v>14</v>
      </c>
      <c r="E15471" t="s">
        <v>21459</v>
      </c>
    </row>
    <row r="15472" spans="1:6" x14ac:dyDescent="0.25">
      <c r="A15472" t="str">
        <f>"720201320355"</f>
        <v>720201320355</v>
      </c>
      <c r="B15472" t="s">
        <v>21468</v>
      </c>
      <c r="C15472" t="s">
        <v>7</v>
      </c>
      <c r="D15472" t="s">
        <v>14</v>
      </c>
      <c r="E15472" t="s">
        <v>21459</v>
      </c>
    </row>
    <row r="15473" spans="1:6" x14ac:dyDescent="0.25">
      <c r="A15473" t="str">
        <f>"720203275637"</f>
        <v>720203275637</v>
      </c>
      <c r="B15473" t="s">
        <v>21469</v>
      </c>
      <c r="C15473" t="s">
        <v>7</v>
      </c>
      <c r="D15473" t="s">
        <v>12</v>
      </c>
      <c r="E15473" t="s">
        <v>21459</v>
      </c>
    </row>
    <row r="15474" spans="1:6" x14ac:dyDescent="0.25">
      <c r="A15474" t="str">
        <f>"720203570390"</f>
        <v>720203570390</v>
      </c>
      <c r="B15474" t="s">
        <v>21470</v>
      </c>
      <c r="C15474" t="s">
        <v>7</v>
      </c>
      <c r="D15474" t="s">
        <v>14</v>
      </c>
      <c r="E15474" t="s">
        <v>21459</v>
      </c>
    </row>
    <row r="15475" spans="1:6" x14ac:dyDescent="0.25">
      <c r="A15475" t="str">
        <f>"720210960834"</f>
        <v>720210960834</v>
      </c>
      <c r="B15475" t="s">
        <v>21471</v>
      </c>
      <c r="C15475" t="s">
        <v>7</v>
      </c>
      <c r="D15475" t="s">
        <v>14</v>
      </c>
      <c r="E15475" t="s">
        <v>21459</v>
      </c>
    </row>
    <row r="15476" spans="1:6" x14ac:dyDescent="0.25">
      <c r="A15476" t="str">
        <f>"7202119450"</f>
        <v>7202119450</v>
      </c>
      <c r="B15476" t="s">
        <v>21472</v>
      </c>
      <c r="C15476" t="s">
        <v>7</v>
      </c>
      <c r="D15476" t="s">
        <v>12</v>
      </c>
      <c r="E15476" t="s">
        <v>21459</v>
      </c>
      <c r="F15476" t="s">
        <v>21473</v>
      </c>
    </row>
    <row r="15477" spans="1:6" x14ac:dyDescent="0.25">
      <c r="A15477" t="str">
        <f>"720212028240"</f>
        <v>720212028240</v>
      </c>
      <c r="B15477" t="s">
        <v>21474</v>
      </c>
      <c r="C15477" t="s">
        <v>7</v>
      </c>
      <c r="D15477" t="s">
        <v>14</v>
      </c>
      <c r="E15477" t="s">
        <v>21459</v>
      </c>
    </row>
    <row r="15478" spans="1:6" x14ac:dyDescent="0.25">
      <c r="A15478" t="str">
        <f>"720213676324"</f>
        <v>720213676324</v>
      </c>
      <c r="B15478" t="s">
        <v>21475</v>
      </c>
      <c r="C15478" t="s">
        <v>7</v>
      </c>
      <c r="D15478" t="s">
        <v>12</v>
      </c>
      <c r="E15478" t="s">
        <v>21459</v>
      </c>
    </row>
    <row r="15479" spans="1:6" x14ac:dyDescent="0.25">
      <c r="A15479" t="str">
        <f>"7202200728"</f>
        <v>7202200728</v>
      </c>
      <c r="B15479" t="s">
        <v>2204</v>
      </c>
      <c r="C15479" t="s">
        <v>7</v>
      </c>
      <c r="D15479" t="s">
        <v>14</v>
      </c>
      <c r="E15479" t="s">
        <v>21459</v>
      </c>
      <c r="F15479" t="s">
        <v>21476</v>
      </c>
    </row>
    <row r="15480" spans="1:6" x14ac:dyDescent="0.25">
      <c r="A15480" t="str">
        <f>"7202245856"</f>
        <v>7202245856</v>
      </c>
      <c r="B15480" t="s">
        <v>21477</v>
      </c>
      <c r="C15480" t="s">
        <v>7</v>
      </c>
      <c r="D15480" t="s">
        <v>460</v>
      </c>
      <c r="E15480" t="s">
        <v>21459</v>
      </c>
      <c r="F15480" t="s">
        <v>21478</v>
      </c>
    </row>
    <row r="15481" spans="1:6" x14ac:dyDescent="0.25">
      <c r="A15481" t="str">
        <f>"7202261248"</f>
        <v>7202261248</v>
      </c>
      <c r="B15481" t="s">
        <v>21479</v>
      </c>
      <c r="C15481" t="s">
        <v>7</v>
      </c>
      <c r="D15481" t="s">
        <v>12</v>
      </c>
      <c r="E15481" t="s">
        <v>21459</v>
      </c>
      <c r="F15481" t="s">
        <v>21480</v>
      </c>
    </row>
    <row r="15482" spans="1:6" x14ac:dyDescent="0.25">
      <c r="A15482" t="str">
        <f>"720300112701"</f>
        <v>720300112701</v>
      </c>
      <c r="B15482" t="s">
        <v>21481</v>
      </c>
      <c r="C15482" t="s">
        <v>7</v>
      </c>
      <c r="D15482" t="s">
        <v>14</v>
      </c>
      <c r="E15482" t="s">
        <v>21459</v>
      </c>
    </row>
    <row r="15483" spans="1:6" x14ac:dyDescent="0.25">
      <c r="A15483" t="str">
        <f>"720300270151"</f>
        <v>720300270151</v>
      </c>
      <c r="B15483" t="s">
        <v>21482</v>
      </c>
      <c r="C15483" t="s">
        <v>7</v>
      </c>
      <c r="D15483" t="s">
        <v>14</v>
      </c>
      <c r="E15483" t="s">
        <v>21459</v>
      </c>
    </row>
    <row r="15484" spans="1:6" x14ac:dyDescent="0.25">
      <c r="A15484" t="str">
        <f>"720301099980"</f>
        <v>720301099980</v>
      </c>
      <c r="B15484" t="s">
        <v>21483</v>
      </c>
      <c r="C15484" t="s">
        <v>7</v>
      </c>
      <c r="D15484" t="s">
        <v>12</v>
      </c>
      <c r="E15484" t="s">
        <v>21459</v>
      </c>
    </row>
    <row r="15485" spans="1:6" x14ac:dyDescent="0.25">
      <c r="A15485" t="str">
        <f>"720305512118"</f>
        <v>720305512118</v>
      </c>
      <c r="B15485" t="s">
        <v>21484</v>
      </c>
      <c r="C15485" t="s">
        <v>7</v>
      </c>
      <c r="D15485" t="s">
        <v>14</v>
      </c>
      <c r="E15485" t="s">
        <v>21459</v>
      </c>
    </row>
    <row r="15486" spans="1:6" x14ac:dyDescent="0.25">
      <c r="A15486" t="str">
        <f>"7203065060"</f>
        <v>7203065060</v>
      </c>
      <c r="B15486" t="s">
        <v>21485</v>
      </c>
      <c r="C15486" t="s">
        <v>7</v>
      </c>
      <c r="D15486" t="s">
        <v>14</v>
      </c>
      <c r="E15486" t="s">
        <v>21459</v>
      </c>
      <c r="F15486" t="s">
        <v>21486</v>
      </c>
    </row>
    <row r="15487" spans="1:6" x14ac:dyDescent="0.25">
      <c r="A15487" t="str">
        <f>"720311187233"</f>
        <v>720311187233</v>
      </c>
      <c r="B15487" t="s">
        <v>21487</v>
      </c>
      <c r="C15487" t="s">
        <v>7</v>
      </c>
      <c r="D15487" t="s">
        <v>14</v>
      </c>
      <c r="E15487" t="s">
        <v>21459</v>
      </c>
    </row>
    <row r="15488" spans="1:6" x14ac:dyDescent="0.25">
      <c r="A15488" t="str">
        <f>"7203124220"</f>
        <v>7203124220</v>
      </c>
      <c r="B15488" t="s">
        <v>21488</v>
      </c>
      <c r="C15488" t="s">
        <v>7</v>
      </c>
      <c r="D15488" t="s">
        <v>12</v>
      </c>
      <c r="E15488" t="s">
        <v>21459</v>
      </c>
      <c r="F15488" t="s">
        <v>21489</v>
      </c>
    </row>
    <row r="15489" spans="1:6" x14ac:dyDescent="0.25">
      <c r="A15489" t="str">
        <f>"720316359790"</f>
        <v>720316359790</v>
      </c>
      <c r="B15489" t="s">
        <v>21490</v>
      </c>
      <c r="C15489" t="s">
        <v>7</v>
      </c>
      <c r="D15489" t="s">
        <v>33</v>
      </c>
      <c r="E15489" t="s">
        <v>21459</v>
      </c>
    </row>
    <row r="15490" spans="1:6" x14ac:dyDescent="0.25">
      <c r="A15490" t="str">
        <f>"720318293329"</f>
        <v>720318293329</v>
      </c>
      <c r="B15490" t="s">
        <v>21491</v>
      </c>
      <c r="C15490" t="s">
        <v>7</v>
      </c>
      <c r="D15490" t="s">
        <v>12</v>
      </c>
      <c r="E15490" t="s">
        <v>21459</v>
      </c>
    </row>
    <row r="15491" spans="1:6" x14ac:dyDescent="0.25">
      <c r="A15491" t="str">
        <f>"7203198951"</f>
        <v>7203198951</v>
      </c>
      <c r="B15491" t="s">
        <v>21492</v>
      </c>
      <c r="C15491" t="s">
        <v>7</v>
      </c>
      <c r="D15491" t="s">
        <v>12</v>
      </c>
      <c r="E15491" t="s">
        <v>21459</v>
      </c>
      <c r="F15491" t="s">
        <v>21493</v>
      </c>
    </row>
    <row r="15492" spans="1:6" x14ac:dyDescent="0.25">
      <c r="A15492" t="str">
        <f>"720319966471"</f>
        <v>720319966471</v>
      </c>
      <c r="B15492" t="s">
        <v>21494</v>
      </c>
      <c r="C15492" t="s">
        <v>7</v>
      </c>
      <c r="D15492" t="s">
        <v>12</v>
      </c>
      <c r="E15492" t="s">
        <v>21459</v>
      </c>
    </row>
    <row r="15493" spans="1:6" x14ac:dyDescent="0.25">
      <c r="A15493" t="str">
        <f>"7203218213"</f>
        <v>7203218213</v>
      </c>
      <c r="B15493" t="s">
        <v>21495</v>
      </c>
      <c r="C15493" t="s">
        <v>7</v>
      </c>
      <c r="D15493" t="s">
        <v>14</v>
      </c>
      <c r="E15493" t="s">
        <v>21459</v>
      </c>
      <c r="F15493" t="s">
        <v>21496</v>
      </c>
    </row>
    <row r="15494" spans="1:6" x14ac:dyDescent="0.25">
      <c r="A15494" t="str">
        <f>"720323174574"</f>
        <v>720323174574</v>
      </c>
      <c r="B15494" t="s">
        <v>21497</v>
      </c>
      <c r="C15494" t="s">
        <v>7</v>
      </c>
      <c r="D15494" t="s">
        <v>12</v>
      </c>
      <c r="E15494" t="s">
        <v>21459</v>
      </c>
    </row>
    <row r="15495" spans="1:6" x14ac:dyDescent="0.25">
      <c r="A15495" t="str">
        <f>"7203234198"</f>
        <v>7203234198</v>
      </c>
      <c r="B15495" t="s">
        <v>9893</v>
      </c>
      <c r="C15495" t="s">
        <v>7</v>
      </c>
      <c r="D15495" t="s">
        <v>33</v>
      </c>
      <c r="E15495" t="s">
        <v>21459</v>
      </c>
      <c r="F15495" t="s">
        <v>21498</v>
      </c>
    </row>
    <row r="15496" spans="1:6" x14ac:dyDescent="0.25">
      <c r="A15496" t="str">
        <f>"720323846226"</f>
        <v>720323846226</v>
      </c>
      <c r="B15496" t="s">
        <v>21499</v>
      </c>
      <c r="C15496" t="s">
        <v>7</v>
      </c>
      <c r="D15496" t="s">
        <v>12</v>
      </c>
      <c r="E15496" t="s">
        <v>21459</v>
      </c>
    </row>
    <row r="15497" spans="1:6" x14ac:dyDescent="0.25">
      <c r="A15497" t="str">
        <f>"7203306290"</f>
        <v>7203306290</v>
      </c>
      <c r="B15497" t="s">
        <v>21500</v>
      </c>
      <c r="C15497" t="s">
        <v>7</v>
      </c>
      <c r="D15497" t="s">
        <v>14</v>
      </c>
      <c r="E15497" t="s">
        <v>21459</v>
      </c>
      <c r="F15497" t="s">
        <v>21501</v>
      </c>
    </row>
    <row r="15498" spans="1:6" x14ac:dyDescent="0.25">
      <c r="A15498" t="str">
        <f>"7203312583"</f>
        <v>7203312583</v>
      </c>
      <c r="B15498" t="s">
        <v>200</v>
      </c>
      <c r="C15498" t="s">
        <v>7</v>
      </c>
      <c r="D15498" t="s">
        <v>33</v>
      </c>
      <c r="E15498" t="s">
        <v>21459</v>
      </c>
      <c r="F15498" t="s">
        <v>21502</v>
      </c>
    </row>
    <row r="15499" spans="1:6" x14ac:dyDescent="0.25">
      <c r="A15499" t="str">
        <f>"7203313650"</f>
        <v>7203313650</v>
      </c>
      <c r="B15499" t="s">
        <v>10028</v>
      </c>
      <c r="C15499" t="s">
        <v>7</v>
      </c>
      <c r="D15499" t="s">
        <v>14</v>
      </c>
      <c r="E15499" t="s">
        <v>21459</v>
      </c>
      <c r="F15499" t="s">
        <v>21503</v>
      </c>
    </row>
    <row r="15500" spans="1:6" x14ac:dyDescent="0.25">
      <c r="A15500" t="str">
        <f>"7203314630"</f>
        <v>7203314630</v>
      </c>
      <c r="B15500" t="s">
        <v>21504</v>
      </c>
      <c r="C15500" t="s">
        <v>7</v>
      </c>
      <c r="D15500" t="s">
        <v>33</v>
      </c>
      <c r="E15500" t="s">
        <v>21459</v>
      </c>
      <c r="F15500" t="s">
        <v>21505</v>
      </c>
    </row>
    <row r="15501" spans="1:6" x14ac:dyDescent="0.25">
      <c r="A15501" t="str">
        <f>"7203319412"</f>
        <v>7203319412</v>
      </c>
      <c r="B15501" t="s">
        <v>21506</v>
      </c>
      <c r="C15501" t="s">
        <v>7</v>
      </c>
      <c r="D15501" t="s">
        <v>33</v>
      </c>
      <c r="E15501" t="s">
        <v>21459</v>
      </c>
      <c r="F15501" t="s">
        <v>21507</v>
      </c>
    </row>
    <row r="15502" spans="1:6" x14ac:dyDescent="0.25">
      <c r="A15502" t="str">
        <f>"7203320947"</f>
        <v>7203320947</v>
      </c>
      <c r="B15502" t="s">
        <v>21508</v>
      </c>
      <c r="C15502" t="s">
        <v>7</v>
      </c>
      <c r="D15502" t="s">
        <v>12</v>
      </c>
      <c r="E15502" t="s">
        <v>21459</v>
      </c>
      <c r="F15502" t="s">
        <v>21509</v>
      </c>
    </row>
    <row r="15503" spans="1:6" x14ac:dyDescent="0.25">
      <c r="A15503" t="str">
        <f>"7203328086"</f>
        <v>7203328086</v>
      </c>
      <c r="B15503" t="s">
        <v>21510</v>
      </c>
      <c r="C15503" t="s">
        <v>7</v>
      </c>
      <c r="D15503" t="s">
        <v>12</v>
      </c>
      <c r="E15503" t="s">
        <v>21459</v>
      </c>
      <c r="F15503" t="s">
        <v>21511</v>
      </c>
    </row>
    <row r="15504" spans="1:6" x14ac:dyDescent="0.25">
      <c r="A15504" t="str">
        <f>"7203347480"</f>
        <v>7203347480</v>
      </c>
      <c r="B15504" t="s">
        <v>15171</v>
      </c>
      <c r="C15504" t="s">
        <v>7</v>
      </c>
      <c r="D15504" t="s">
        <v>14</v>
      </c>
      <c r="E15504" t="s">
        <v>21459</v>
      </c>
      <c r="F15504" t="s">
        <v>21512</v>
      </c>
    </row>
    <row r="15505" spans="1:6" x14ac:dyDescent="0.25">
      <c r="A15505" t="str">
        <f>"7203368681"</f>
        <v>7203368681</v>
      </c>
      <c r="B15505" t="s">
        <v>6579</v>
      </c>
      <c r="C15505" t="s">
        <v>7</v>
      </c>
      <c r="D15505" t="s">
        <v>12</v>
      </c>
      <c r="E15505" t="s">
        <v>21459</v>
      </c>
      <c r="F15505" t="s">
        <v>21513</v>
      </c>
    </row>
    <row r="15506" spans="1:6" x14ac:dyDescent="0.25">
      <c r="A15506" t="str">
        <f>"7203408550"</f>
        <v>7203408550</v>
      </c>
      <c r="B15506" t="s">
        <v>8445</v>
      </c>
      <c r="C15506" t="s">
        <v>7</v>
      </c>
      <c r="D15506" t="s">
        <v>33</v>
      </c>
      <c r="E15506" t="s">
        <v>21459</v>
      </c>
      <c r="F15506" t="s">
        <v>21514</v>
      </c>
    </row>
    <row r="15507" spans="1:6" x14ac:dyDescent="0.25">
      <c r="A15507" t="str">
        <f>"7203410510"</f>
        <v>7203410510</v>
      </c>
      <c r="B15507" t="s">
        <v>21515</v>
      </c>
      <c r="C15507" t="s">
        <v>7</v>
      </c>
      <c r="D15507" t="s">
        <v>33</v>
      </c>
      <c r="E15507" t="s">
        <v>21459</v>
      </c>
      <c r="F15507" t="s">
        <v>21516</v>
      </c>
    </row>
    <row r="15508" spans="1:6" x14ac:dyDescent="0.25">
      <c r="A15508" t="str">
        <f>"7203423156"</f>
        <v>7203423156</v>
      </c>
      <c r="B15508" t="s">
        <v>21517</v>
      </c>
      <c r="C15508" t="s">
        <v>7</v>
      </c>
      <c r="D15508" t="s">
        <v>33</v>
      </c>
      <c r="E15508" t="s">
        <v>21459</v>
      </c>
      <c r="F15508" t="s">
        <v>21518</v>
      </c>
    </row>
    <row r="15509" spans="1:6" x14ac:dyDescent="0.25">
      <c r="A15509" t="str">
        <f>"7203426774"</f>
        <v>7203426774</v>
      </c>
      <c r="B15509" t="s">
        <v>21519</v>
      </c>
      <c r="C15509" t="s">
        <v>7</v>
      </c>
      <c r="D15509" t="s">
        <v>14</v>
      </c>
      <c r="E15509" t="s">
        <v>21459</v>
      </c>
      <c r="F15509" t="s">
        <v>21520</v>
      </c>
    </row>
    <row r="15510" spans="1:6" x14ac:dyDescent="0.25">
      <c r="A15510" t="str">
        <f>"7203442889"</f>
        <v>7203442889</v>
      </c>
      <c r="B15510" t="s">
        <v>21521</v>
      </c>
      <c r="C15510" t="s">
        <v>7</v>
      </c>
      <c r="D15510" t="s">
        <v>12</v>
      </c>
      <c r="E15510" t="s">
        <v>21459</v>
      </c>
      <c r="F15510" t="s">
        <v>21522</v>
      </c>
    </row>
    <row r="15511" spans="1:6" x14ac:dyDescent="0.25">
      <c r="A15511" t="str">
        <f>"7203444565"</f>
        <v>7203444565</v>
      </c>
      <c r="B15511" t="s">
        <v>21523</v>
      </c>
      <c r="C15511" t="s">
        <v>7</v>
      </c>
      <c r="D15511" t="s">
        <v>14</v>
      </c>
      <c r="E15511" t="s">
        <v>21459</v>
      </c>
      <c r="F15511" t="s">
        <v>21524</v>
      </c>
    </row>
    <row r="15512" spans="1:6" x14ac:dyDescent="0.25">
      <c r="A15512" t="str">
        <f>"7203444685"</f>
        <v>7203444685</v>
      </c>
      <c r="B15512" t="s">
        <v>21525</v>
      </c>
      <c r="C15512" t="s">
        <v>7</v>
      </c>
      <c r="D15512" t="s">
        <v>12</v>
      </c>
      <c r="E15512" t="s">
        <v>21459</v>
      </c>
      <c r="F15512" t="s">
        <v>21526</v>
      </c>
    </row>
    <row r="15513" spans="1:6" x14ac:dyDescent="0.25">
      <c r="A15513" t="str">
        <f>"7203447968"</f>
        <v>7203447968</v>
      </c>
      <c r="B15513" t="s">
        <v>21527</v>
      </c>
      <c r="C15513" t="s">
        <v>7</v>
      </c>
      <c r="D15513" t="s">
        <v>12</v>
      </c>
      <c r="E15513" t="s">
        <v>21459</v>
      </c>
      <c r="F15513" t="s">
        <v>21528</v>
      </c>
    </row>
    <row r="15514" spans="1:6" x14ac:dyDescent="0.25">
      <c r="A15514" t="str">
        <f>"7203480588"</f>
        <v>7203480588</v>
      </c>
      <c r="B15514" t="s">
        <v>21529</v>
      </c>
      <c r="C15514" t="s">
        <v>7</v>
      </c>
      <c r="D15514" t="s">
        <v>14</v>
      </c>
      <c r="E15514" t="s">
        <v>21459</v>
      </c>
      <c r="F15514" t="s">
        <v>21530</v>
      </c>
    </row>
    <row r="15515" spans="1:6" x14ac:dyDescent="0.25">
      <c r="A15515" t="str">
        <f>"7203516876"</f>
        <v>7203516876</v>
      </c>
      <c r="B15515" t="s">
        <v>21531</v>
      </c>
      <c r="C15515" t="s">
        <v>7</v>
      </c>
      <c r="D15515" t="s">
        <v>33</v>
      </c>
      <c r="E15515" t="s">
        <v>21459</v>
      </c>
      <c r="F15515" t="s">
        <v>21532</v>
      </c>
    </row>
    <row r="15516" spans="1:6" x14ac:dyDescent="0.25">
      <c r="A15516" t="str">
        <f>"7203527275"</f>
        <v>7203527275</v>
      </c>
      <c r="B15516" t="s">
        <v>21533</v>
      </c>
      <c r="C15516" t="s">
        <v>7</v>
      </c>
      <c r="D15516" t="s">
        <v>33</v>
      </c>
      <c r="E15516" t="s">
        <v>21459</v>
      </c>
      <c r="F15516" t="s">
        <v>21534</v>
      </c>
    </row>
    <row r="15517" spans="1:6" x14ac:dyDescent="0.25">
      <c r="A15517" t="str">
        <f>"7203534836"</f>
        <v>7203534836</v>
      </c>
      <c r="B15517" t="s">
        <v>7991</v>
      </c>
      <c r="C15517" t="s">
        <v>7</v>
      </c>
      <c r="D15517" t="s">
        <v>1430</v>
      </c>
      <c r="E15517" t="s">
        <v>21459</v>
      </c>
      <c r="F15517" t="s">
        <v>21535</v>
      </c>
    </row>
    <row r="15518" spans="1:6" x14ac:dyDescent="0.25">
      <c r="A15518" t="str">
        <f>"7203536880"</f>
        <v>7203536880</v>
      </c>
      <c r="B15518" t="s">
        <v>21536</v>
      </c>
      <c r="C15518" t="s">
        <v>7</v>
      </c>
      <c r="D15518" t="s">
        <v>28</v>
      </c>
      <c r="E15518" t="s">
        <v>21459</v>
      </c>
      <c r="F15518" t="s">
        <v>21537</v>
      </c>
    </row>
    <row r="15519" spans="1:6" x14ac:dyDescent="0.25">
      <c r="A15519" t="str">
        <f>"7203542682"</f>
        <v>7203542682</v>
      </c>
      <c r="B15519" t="s">
        <v>21538</v>
      </c>
      <c r="C15519" t="s">
        <v>7</v>
      </c>
      <c r="D15519" t="s">
        <v>14</v>
      </c>
      <c r="E15519" t="s">
        <v>21459</v>
      </c>
      <c r="F15519" t="s">
        <v>21539</v>
      </c>
    </row>
    <row r="15520" spans="1:6" x14ac:dyDescent="0.25">
      <c r="A15520" t="str">
        <f>"7203549230"</f>
        <v>7203549230</v>
      </c>
      <c r="B15520" t="s">
        <v>21540</v>
      </c>
      <c r="C15520" t="s">
        <v>7</v>
      </c>
      <c r="D15520" t="s">
        <v>14</v>
      </c>
      <c r="E15520" t="s">
        <v>21459</v>
      </c>
      <c r="F15520" t="s">
        <v>21541</v>
      </c>
    </row>
    <row r="15521" spans="1:6" x14ac:dyDescent="0.25">
      <c r="A15521" t="str">
        <f>"7203551285"</f>
        <v>7203551285</v>
      </c>
      <c r="B15521" t="s">
        <v>10562</v>
      </c>
      <c r="C15521" t="s">
        <v>7</v>
      </c>
      <c r="D15521" t="s">
        <v>12</v>
      </c>
      <c r="E15521" t="s">
        <v>21459</v>
      </c>
      <c r="F15521" t="s">
        <v>21542</v>
      </c>
    </row>
    <row r="15522" spans="1:6" x14ac:dyDescent="0.25">
      <c r="A15522" t="str">
        <f>"7203564284"</f>
        <v>7203564284</v>
      </c>
      <c r="B15522" t="s">
        <v>6706</v>
      </c>
      <c r="C15522" t="s">
        <v>7</v>
      </c>
      <c r="D15522" t="s">
        <v>12</v>
      </c>
      <c r="E15522" t="s">
        <v>21459</v>
      </c>
      <c r="F15522" t="s">
        <v>21543</v>
      </c>
    </row>
    <row r="15523" spans="1:6" x14ac:dyDescent="0.25">
      <c r="A15523" t="str">
        <f>"720402919572"</f>
        <v>720402919572</v>
      </c>
      <c r="B15523" t="s">
        <v>21544</v>
      </c>
      <c r="C15523" t="s">
        <v>7</v>
      </c>
      <c r="D15523" t="s">
        <v>12</v>
      </c>
      <c r="E15523" t="s">
        <v>21459</v>
      </c>
    </row>
    <row r="15524" spans="1:6" x14ac:dyDescent="0.25">
      <c r="A15524" t="str">
        <f>"7204036921"</f>
        <v>7204036921</v>
      </c>
      <c r="B15524" t="s">
        <v>21545</v>
      </c>
      <c r="C15524" t="s">
        <v>7</v>
      </c>
      <c r="D15524" t="s">
        <v>28</v>
      </c>
      <c r="E15524" t="s">
        <v>21459</v>
      </c>
      <c r="F15524" t="s">
        <v>21546</v>
      </c>
    </row>
    <row r="15525" spans="1:6" x14ac:dyDescent="0.25">
      <c r="A15525" t="str">
        <f>"720406310573"</f>
        <v>720406310573</v>
      </c>
      <c r="B15525" t="s">
        <v>21547</v>
      </c>
      <c r="C15525" t="s">
        <v>7</v>
      </c>
      <c r="D15525" t="s">
        <v>14</v>
      </c>
      <c r="E15525" t="s">
        <v>21459</v>
      </c>
    </row>
    <row r="15526" spans="1:6" x14ac:dyDescent="0.25">
      <c r="A15526" t="str">
        <f>"720410984279"</f>
        <v>720410984279</v>
      </c>
      <c r="B15526" t="s">
        <v>21548</v>
      </c>
      <c r="C15526" t="s">
        <v>7</v>
      </c>
      <c r="D15526" t="s">
        <v>14</v>
      </c>
      <c r="E15526" t="s">
        <v>21459</v>
      </c>
    </row>
    <row r="15527" spans="1:6" x14ac:dyDescent="0.25">
      <c r="A15527" t="str">
        <f>"7204118660"</f>
        <v>7204118660</v>
      </c>
      <c r="B15527" t="s">
        <v>21549</v>
      </c>
      <c r="C15527" t="s">
        <v>7</v>
      </c>
      <c r="D15527" t="s">
        <v>189</v>
      </c>
      <c r="E15527" t="s">
        <v>21459</v>
      </c>
      <c r="F15527" t="s">
        <v>21550</v>
      </c>
    </row>
    <row r="15528" spans="1:6" x14ac:dyDescent="0.25">
      <c r="A15528" t="str">
        <f>"7204120203"</f>
        <v>7204120203</v>
      </c>
      <c r="B15528" t="s">
        <v>21551</v>
      </c>
      <c r="C15528" t="s">
        <v>7</v>
      </c>
      <c r="D15528" t="s">
        <v>33</v>
      </c>
      <c r="E15528" t="s">
        <v>21459</v>
      </c>
      <c r="F15528" t="s">
        <v>21552</v>
      </c>
    </row>
    <row r="15529" spans="1:6" x14ac:dyDescent="0.25">
      <c r="A15529" t="str">
        <f>"7204146635"</f>
        <v>7204146635</v>
      </c>
      <c r="B15529" t="s">
        <v>21553</v>
      </c>
      <c r="C15529" t="s">
        <v>7</v>
      </c>
      <c r="D15529" t="s">
        <v>14</v>
      </c>
      <c r="E15529" t="s">
        <v>21459</v>
      </c>
      <c r="F15529" t="s">
        <v>21554</v>
      </c>
    </row>
    <row r="15530" spans="1:6" x14ac:dyDescent="0.25">
      <c r="A15530" t="str">
        <f>"720415062503"</f>
        <v>720415062503</v>
      </c>
      <c r="B15530" t="s">
        <v>21555</v>
      </c>
      <c r="C15530" t="s">
        <v>7</v>
      </c>
      <c r="D15530" t="s">
        <v>12</v>
      </c>
      <c r="E15530" t="s">
        <v>21459</v>
      </c>
    </row>
    <row r="15531" spans="1:6" x14ac:dyDescent="0.25">
      <c r="A15531" t="str">
        <f>"7204202329"</f>
        <v>7204202329</v>
      </c>
      <c r="B15531" t="s">
        <v>21556</v>
      </c>
      <c r="C15531" t="s">
        <v>7</v>
      </c>
      <c r="D15531" t="s">
        <v>12</v>
      </c>
      <c r="E15531" t="s">
        <v>21459</v>
      </c>
      <c r="F15531" t="s">
        <v>21557</v>
      </c>
    </row>
    <row r="15532" spans="1:6" x14ac:dyDescent="0.25">
      <c r="A15532" t="str">
        <f>"720500941865"</f>
        <v>720500941865</v>
      </c>
      <c r="B15532" t="s">
        <v>21558</v>
      </c>
      <c r="C15532" t="s">
        <v>7</v>
      </c>
      <c r="D15532" t="s">
        <v>14</v>
      </c>
      <c r="E15532" t="s">
        <v>21459</v>
      </c>
    </row>
    <row r="15533" spans="1:6" x14ac:dyDescent="0.25">
      <c r="A15533" t="str">
        <f>"720502811614"</f>
        <v>720502811614</v>
      </c>
      <c r="B15533" t="s">
        <v>21559</v>
      </c>
      <c r="C15533" t="s">
        <v>7</v>
      </c>
      <c r="D15533" t="s">
        <v>14</v>
      </c>
      <c r="E15533" t="s">
        <v>21459</v>
      </c>
    </row>
    <row r="15534" spans="1:6" x14ac:dyDescent="0.25">
      <c r="A15534" t="str">
        <f>"7205030270"</f>
        <v>7205030270</v>
      </c>
      <c r="B15534" t="s">
        <v>21560</v>
      </c>
      <c r="C15534" t="s">
        <v>7</v>
      </c>
      <c r="D15534" t="s">
        <v>14</v>
      </c>
      <c r="E15534" t="s">
        <v>21459</v>
      </c>
      <c r="F15534" t="s">
        <v>21561</v>
      </c>
    </row>
    <row r="15535" spans="1:6" x14ac:dyDescent="0.25">
      <c r="A15535" t="str">
        <f>"7205032310"</f>
        <v>7205032310</v>
      </c>
      <c r="B15535" t="s">
        <v>1622</v>
      </c>
      <c r="C15535" t="s">
        <v>7</v>
      </c>
      <c r="D15535" t="s">
        <v>14</v>
      </c>
      <c r="E15535" t="s">
        <v>21459</v>
      </c>
      <c r="F15535" t="s">
        <v>21562</v>
      </c>
    </row>
    <row r="15536" spans="1:6" x14ac:dyDescent="0.25">
      <c r="A15536" t="str">
        <f>"720508363743"</f>
        <v>720508363743</v>
      </c>
      <c r="B15536" t="s">
        <v>21563</v>
      </c>
      <c r="C15536" t="s">
        <v>7</v>
      </c>
      <c r="D15536" t="s">
        <v>14</v>
      </c>
      <c r="E15536" t="s">
        <v>21459</v>
      </c>
    </row>
    <row r="15537" spans="1:6" x14ac:dyDescent="0.25">
      <c r="A15537" t="str">
        <f>"720600338410"</f>
        <v>720600338410</v>
      </c>
      <c r="B15537" t="s">
        <v>21564</v>
      </c>
      <c r="C15537" t="s">
        <v>7</v>
      </c>
      <c r="D15537" t="s">
        <v>21565</v>
      </c>
      <c r="E15537" t="s">
        <v>21459</v>
      </c>
    </row>
    <row r="15538" spans="1:6" x14ac:dyDescent="0.25">
      <c r="A15538" t="str">
        <f>"7206004509"</f>
        <v>7206004509</v>
      </c>
      <c r="B15538" t="s">
        <v>21566</v>
      </c>
      <c r="C15538" t="s">
        <v>7</v>
      </c>
      <c r="D15538" t="s">
        <v>14</v>
      </c>
      <c r="E15538" t="s">
        <v>21459</v>
      </c>
      <c r="F15538" t="s">
        <v>21567</v>
      </c>
    </row>
    <row r="15539" spans="1:6" x14ac:dyDescent="0.25">
      <c r="A15539" t="str">
        <f>"720602367921"</f>
        <v>720602367921</v>
      </c>
      <c r="B15539" t="s">
        <v>21568</v>
      </c>
      <c r="C15539" t="s">
        <v>7</v>
      </c>
      <c r="D15539" t="s">
        <v>14</v>
      </c>
      <c r="E15539" t="s">
        <v>21459</v>
      </c>
    </row>
    <row r="15540" spans="1:6" x14ac:dyDescent="0.25">
      <c r="A15540" t="str">
        <f>"720603212222"</f>
        <v>720603212222</v>
      </c>
      <c r="B15540" t="s">
        <v>21569</v>
      </c>
      <c r="C15540" t="s">
        <v>7</v>
      </c>
      <c r="D15540" t="s">
        <v>14</v>
      </c>
      <c r="E15540" t="s">
        <v>21459</v>
      </c>
    </row>
    <row r="15541" spans="1:6" x14ac:dyDescent="0.25">
      <c r="A15541" t="str">
        <f>"7206054926"</f>
        <v>7206054926</v>
      </c>
      <c r="B15541" t="s">
        <v>9616</v>
      </c>
      <c r="C15541" t="s">
        <v>7</v>
      </c>
      <c r="D15541" t="s">
        <v>12</v>
      </c>
      <c r="E15541" t="s">
        <v>21459</v>
      </c>
      <c r="F15541" t="s">
        <v>21570</v>
      </c>
    </row>
    <row r="15542" spans="1:6" x14ac:dyDescent="0.25">
      <c r="A15542" t="str">
        <f>"7206060172"</f>
        <v>7206060172</v>
      </c>
      <c r="B15542" t="s">
        <v>21571</v>
      </c>
      <c r="C15542" t="s">
        <v>7</v>
      </c>
      <c r="D15542" t="s">
        <v>21565</v>
      </c>
      <c r="E15542" t="s">
        <v>21459</v>
      </c>
      <c r="F15542" t="s">
        <v>21572</v>
      </c>
    </row>
    <row r="15543" spans="1:6" x14ac:dyDescent="0.25">
      <c r="A15543" t="str">
        <f>"720607411074"</f>
        <v>720607411074</v>
      </c>
      <c r="B15543" t="s">
        <v>21573</v>
      </c>
      <c r="C15543" t="s">
        <v>7</v>
      </c>
      <c r="D15543" t="s">
        <v>14</v>
      </c>
      <c r="E15543" t="s">
        <v>21459</v>
      </c>
    </row>
    <row r="15544" spans="1:6" x14ac:dyDescent="0.25">
      <c r="A15544" t="str">
        <f>"720608578245"</f>
        <v>720608578245</v>
      </c>
      <c r="B15544" t="s">
        <v>21574</v>
      </c>
      <c r="C15544" t="s">
        <v>7</v>
      </c>
      <c r="D15544" t="s">
        <v>14</v>
      </c>
      <c r="E15544" t="s">
        <v>21459</v>
      </c>
    </row>
    <row r="15545" spans="1:6" x14ac:dyDescent="0.25">
      <c r="A15545" t="str">
        <f>"720609746090"</f>
        <v>720609746090</v>
      </c>
      <c r="B15545" t="s">
        <v>21575</v>
      </c>
      <c r="C15545" t="s">
        <v>7</v>
      </c>
      <c r="D15545" t="s">
        <v>14</v>
      </c>
      <c r="E15545" t="s">
        <v>21459</v>
      </c>
    </row>
    <row r="15546" spans="1:6" x14ac:dyDescent="0.25">
      <c r="A15546" t="str">
        <f>"720611032343"</f>
        <v>720611032343</v>
      </c>
      <c r="B15546" t="s">
        <v>21576</v>
      </c>
      <c r="C15546" t="s">
        <v>7</v>
      </c>
      <c r="D15546" t="s">
        <v>14</v>
      </c>
      <c r="E15546" t="s">
        <v>21459</v>
      </c>
    </row>
    <row r="15547" spans="1:6" x14ac:dyDescent="0.25">
      <c r="A15547" t="str">
        <f>"720692752354"</f>
        <v>720692752354</v>
      </c>
      <c r="B15547" t="s">
        <v>21577</v>
      </c>
      <c r="C15547" t="s">
        <v>7</v>
      </c>
      <c r="D15547" t="s">
        <v>12</v>
      </c>
      <c r="E15547" t="s">
        <v>21459</v>
      </c>
    </row>
    <row r="15548" spans="1:6" x14ac:dyDescent="0.25">
      <c r="A15548" t="str">
        <f>"720692800738"</f>
        <v>720692800738</v>
      </c>
      <c r="B15548" t="s">
        <v>21578</v>
      </c>
      <c r="C15548" t="s">
        <v>7</v>
      </c>
      <c r="D15548" t="s">
        <v>14</v>
      </c>
      <c r="E15548" t="s">
        <v>21459</v>
      </c>
    </row>
    <row r="15549" spans="1:6" x14ac:dyDescent="0.25">
      <c r="A15549" t="str">
        <f>"720700036773"</f>
        <v>720700036773</v>
      </c>
      <c r="B15549" t="s">
        <v>21579</v>
      </c>
      <c r="C15549" t="s">
        <v>7</v>
      </c>
      <c r="D15549" t="s">
        <v>14</v>
      </c>
      <c r="E15549" t="s">
        <v>21459</v>
      </c>
    </row>
    <row r="15550" spans="1:6" x14ac:dyDescent="0.25">
      <c r="A15550" t="str">
        <f>"451500005019"</f>
        <v>451500005019</v>
      </c>
      <c r="B15550" t="s">
        <v>21580</v>
      </c>
      <c r="C15550" t="s">
        <v>7</v>
      </c>
      <c r="D15550" t="s">
        <v>14</v>
      </c>
      <c r="E15550" t="s">
        <v>21459</v>
      </c>
    </row>
    <row r="15551" spans="1:6" x14ac:dyDescent="0.25">
      <c r="A15551" t="str">
        <f>"720200490273"</f>
        <v>720200490273</v>
      </c>
      <c r="B15551" t="s">
        <v>21581</v>
      </c>
      <c r="C15551" t="s">
        <v>7</v>
      </c>
      <c r="D15551" t="s">
        <v>14</v>
      </c>
      <c r="E15551" t="s">
        <v>21459</v>
      </c>
    </row>
    <row r="15552" spans="1:6" x14ac:dyDescent="0.25">
      <c r="A15552" t="str">
        <f>"720204911934"</f>
        <v>720204911934</v>
      </c>
      <c r="B15552" t="s">
        <v>21582</v>
      </c>
      <c r="C15552" t="s">
        <v>7</v>
      </c>
      <c r="D15552" t="s">
        <v>12</v>
      </c>
      <c r="E15552" t="s">
        <v>21459</v>
      </c>
    </row>
    <row r="15553" spans="1:6" x14ac:dyDescent="0.25">
      <c r="A15553" t="str">
        <f>"720204995300"</f>
        <v>720204995300</v>
      </c>
      <c r="B15553" t="s">
        <v>21583</v>
      </c>
      <c r="C15553" t="s">
        <v>7</v>
      </c>
      <c r="D15553" t="s">
        <v>14</v>
      </c>
      <c r="E15553" t="s">
        <v>21459</v>
      </c>
    </row>
    <row r="15554" spans="1:6" x14ac:dyDescent="0.25">
      <c r="A15554" t="str">
        <f>"720209940520"</f>
        <v>720209940520</v>
      </c>
      <c r="B15554" t="s">
        <v>21584</v>
      </c>
      <c r="C15554" t="s">
        <v>7</v>
      </c>
      <c r="D15554" t="s">
        <v>14</v>
      </c>
      <c r="E15554" t="s">
        <v>21459</v>
      </c>
    </row>
    <row r="15555" spans="1:6" x14ac:dyDescent="0.25">
      <c r="A15555" t="str">
        <f>"720211213641"</f>
        <v>720211213641</v>
      </c>
      <c r="B15555" t="s">
        <v>21585</v>
      </c>
      <c r="C15555" t="s">
        <v>7</v>
      </c>
      <c r="D15555" t="s">
        <v>14</v>
      </c>
      <c r="E15555" t="s">
        <v>21459</v>
      </c>
    </row>
    <row r="15556" spans="1:6" x14ac:dyDescent="0.25">
      <c r="A15556" t="str">
        <f>"7202143607"</f>
        <v>7202143607</v>
      </c>
      <c r="B15556" t="s">
        <v>21586</v>
      </c>
      <c r="C15556" t="s">
        <v>7</v>
      </c>
      <c r="D15556" t="s">
        <v>12</v>
      </c>
      <c r="E15556" t="s">
        <v>21459</v>
      </c>
      <c r="F15556" t="s">
        <v>21587</v>
      </c>
    </row>
    <row r="15557" spans="1:6" x14ac:dyDescent="0.25">
      <c r="A15557" t="str">
        <f>"7202240054"</f>
        <v>7202240054</v>
      </c>
      <c r="B15557" t="s">
        <v>21588</v>
      </c>
      <c r="C15557" t="s">
        <v>7</v>
      </c>
      <c r="D15557" t="s">
        <v>8</v>
      </c>
      <c r="E15557" t="s">
        <v>21459</v>
      </c>
      <c r="F15557" t="s">
        <v>21589</v>
      </c>
    </row>
    <row r="15558" spans="1:6" x14ac:dyDescent="0.25">
      <c r="A15558" t="str">
        <f>"720300800585"</f>
        <v>720300800585</v>
      </c>
      <c r="B15558" t="s">
        <v>21590</v>
      </c>
      <c r="C15558" t="s">
        <v>7</v>
      </c>
      <c r="D15558" t="s">
        <v>14</v>
      </c>
      <c r="E15558" t="s">
        <v>21459</v>
      </c>
    </row>
    <row r="15559" spans="1:6" x14ac:dyDescent="0.25">
      <c r="A15559" t="str">
        <f>"720300891631"</f>
        <v>720300891631</v>
      </c>
      <c r="B15559" t="s">
        <v>21591</v>
      </c>
      <c r="C15559" t="s">
        <v>7</v>
      </c>
      <c r="D15559" t="s">
        <v>12</v>
      </c>
      <c r="E15559" t="s">
        <v>21459</v>
      </c>
    </row>
    <row r="15560" spans="1:6" x14ac:dyDescent="0.25">
      <c r="A15560" t="str">
        <f>"720300949352"</f>
        <v>720300949352</v>
      </c>
      <c r="B15560" t="s">
        <v>21592</v>
      </c>
      <c r="C15560" t="s">
        <v>7</v>
      </c>
      <c r="D15560" t="s">
        <v>12</v>
      </c>
      <c r="E15560" t="s">
        <v>21459</v>
      </c>
    </row>
    <row r="15561" spans="1:6" x14ac:dyDescent="0.25">
      <c r="A15561" t="str">
        <f>"720304980787"</f>
        <v>720304980787</v>
      </c>
      <c r="B15561" t="s">
        <v>21593</v>
      </c>
      <c r="C15561" t="s">
        <v>7</v>
      </c>
      <c r="D15561" t="s">
        <v>14</v>
      </c>
      <c r="E15561" t="s">
        <v>21459</v>
      </c>
    </row>
    <row r="15562" spans="1:6" x14ac:dyDescent="0.25">
      <c r="A15562" t="str">
        <f>"7203071786"</f>
        <v>7203071786</v>
      </c>
      <c r="B15562" t="s">
        <v>21594</v>
      </c>
      <c r="C15562" t="s">
        <v>7</v>
      </c>
      <c r="D15562" t="s">
        <v>12</v>
      </c>
      <c r="E15562" t="s">
        <v>21459</v>
      </c>
      <c r="F15562" t="s">
        <v>21595</v>
      </c>
    </row>
    <row r="15563" spans="1:6" x14ac:dyDescent="0.25">
      <c r="A15563" t="str">
        <f>"720308463814"</f>
        <v>720308463814</v>
      </c>
      <c r="B15563" t="s">
        <v>21596</v>
      </c>
      <c r="C15563" t="s">
        <v>7</v>
      </c>
      <c r="D15563" t="s">
        <v>14</v>
      </c>
      <c r="E15563" t="s">
        <v>21459</v>
      </c>
    </row>
    <row r="15564" spans="1:6" x14ac:dyDescent="0.25">
      <c r="A15564" t="str">
        <f>"720308884700"</f>
        <v>720308884700</v>
      </c>
      <c r="B15564" t="s">
        <v>21597</v>
      </c>
      <c r="C15564" t="s">
        <v>7</v>
      </c>
      <c r="D15564" t="s">
        <v>14</v>
      </c>
      <c r="E15564" t="s">
        <v>21459</v>
      </c>
    </row>
    <row r="15565" spans="1:6" x14ac:dyDescent="0.25">
      <c r="A15565" t="str">
        <f>"7203093518"</f>
        <v>7203093518</v>
      </c>
      <c r="B15565" t="s">
        <v>21598</v>
      </c>
      <c r="C15565" t="s">
        <v>7</v>
      </c>
      <c r="D15565" t="s">
        <v>14</v>
      </c>
      <c r="E15565" t="s">
        <v>21459</v>
      </c>
      <c r="F15565" t="s">
        <v>21599</v>
      </c>
    </row>
    <row r="15566" spans="1:6" x14ac:dyDescent="0.25">
      <c r="A15566" t="str">
        <f>"720311415923"</f>
        <v>720311415923</v>
      </c>
      <c r="B15566" t="s">
        <v>21600</v>
      </c>
      <c r="C15566" t="s">
        <v>7</v>
      </c>
      <c r="D15566" t="s">
        <v>14</v>
      </c>
      <c r="E15566" t="s">
        <v>21459</v>
      </c>
    </row>
    <row r="15567" spans="1:6" x14ac:dyDescent="0.25">
      <c r="A15567" t="str">
        <f>"720312327540"</f>
        <v>720312327540</v>
      </c>
      <c r="B15567" t="s">
        <v>21601</v>
      </c>
      <c r="C15567" t="s">
        <v>7</v>
      </c>
      <c r="D15567" t="s">
        <v>14</v>
      </c>
      <c r="E15567" t="s">
        <v>21459</v>
      </c>
    </row>
    <row r="15568" spans="1:6" x14ac:dyDescent="0.25">
      <c r="A15568" t="str">
        <f>"7203129612"</f>
        <v>7203129612</v>
      </c>
      <c r="B15568" t="s">
        <v>111</v>
      </c>
      <c r="C15568" t="s">
        <v>7</v>
      </c>
      <c r="D15568" t="s">
        <v>12</v>
      </c>
      <c r="E15568" t="s">
        <v>21459</v>
      </c>
      <c r="F15568" t="s">
        <v>21602</v>
      </c>
    </row>
    <row r="15569" spans="1:6" x14ac:dyDescent="0.25">
      <c r="A15569" t="str">
        <f>"7203147643"</f>
        <v>7203147643</v>
      </c>
      <c r="B15569" t="s">
        <v>21603</v>
      </c>
      <c r="C15569" t="s">
        <v>7</v>
      </c>
      <c r="D15569" t="s">
        <v>33</v>
      </c>
      <c r="E15569" t="s">
        <v>21459</v>
      </c>
      <c r="F15569" t="s">
        <v>21604</v>
      </c>
    </row>
    <row r="15570" spans="1:6" x14ac:dyDescent="0.25">
      <c r="A15570" t="str">
        <f>"7203159984"</f>
        <v>7203159984</v>
      </c>
      <c r="B15570" t="s">
        <v>21605</v>
      </c>
      <c r="C15570" t="s">
        <v>7</v>
      </c>
      <c r="D15570" t="s">
        <v>14</v>
      </c>
      <c r="E15570" t="s">
        <v>21459</v>
      </c>
      <c r="F15570" t="s">
        <v>21606</v>
      </c>
    </row>
    <row r="15571" spans="1:6" x14ac:dyDescent="0.25">
      <c r="A15571" t="str">
        <f>"7203160330"</f>
        <v>7203160330</v>
      </c>
      <c r="B15571" t="s">
        <v>21607</v>
      </c>
      <c r="C15571" t="s">
        <v>7</v>
      </c>
      <c r="D15571" t="s">
        <v>14</v>
      </c>
      <c r="E15571" t="s">
        <v>21459</v>
      </c>
      <c r="F15571" t="s">
        <v>21608</v>
      </c>
    </row>
    <row r="15572" spans="1:6" x14ac:dyDescent="0.25">
      <c r="A15572" t="str">
        <f>"720316157401"</f>
        <v>720316157401</v>
      </c>
      <c r="B15572" t="s">
        <v>21609</v>
      </c>
      <c r="C15572" t="s">
        <v>7</v>
      </c>
      <c r="D15572" t="s">
        <v>14</v>
      </c>
      <c r="E15572" t="s">
        <v>21459</v>
      </c>
    </row>
    <row r="15573" spans="1:6" x14ac:dyDescent="0.25">
      <c r="A15573" t="str">
        <f>"7203181098"</f>
        <v>7203181098</v>
      </c>
      <c r="B15573" t="s">
        <v>21610</v>
      </c>
      <c r="C15573" t="s">
        <v>7</v>
      </c>
      <c r="D15573" t="s">
        <v>674</v>
      </c>
      <c r="E15573" t="s">
        <v>21459</v>
      </c>
      <c r="F15573" t="s">
        <v>21611</v>
      </c>
    </row>
    <row r="15574" spans="1:6" x14ac:dyDescent="0.25">
      <c r="A15574" t="str">
        <f>"720318185490"</f>
        <v>720318185490</v>
      </c>
      <c r="B15574" t="s">
        <v>21612</v>
      </c>
      <c r="C15574" t="s">
        <v>7</v>
      </c>
      <c r="D15574" t="s">
        <v>12</v>
      </c>
      <c r="E15574" t="s">
        <v>21459</v>
      </c>
    </row>
    <row r="15575" spans="1:6" x14ac:dyDescent="0.25">
      <c r="A15575" t="str">
        <f>"720320636750"</f>
        <v>720320636750</v>
      </c>
      <c r="B15575" t="s">
        <v>21613</v>
      </c>
      <c r="C15575" t="s">
        <v>7</v>
      </c>
      <c r="D15575" t="s">
        <v>12</v>
      </c>
      <c r="E15575" t="s">
        <v>21459</v>
      </c>
    </row>
    <row r="15576" spans="1:6" x14ac:dyDescent="0.25">
      <c r="A15576" t="str">
        <f>"7203226447"</f>
        <v>7203226447</v>
      </c>
      <c r="B15576" t="s">
        <v>21614</v>
      </c>
      <c r="C15576" t="s">
        <v>7</v>
      </c>
      <c r="D15576" t="s">
        <v>14</v>
      </c>
      <c r="E15576" t="s">
        <v>21459</v>
      </c>
      <c r="F15576" t="s">
        <v>21615</v>
      </c>
    </row>
    <row r="15577" spans="1:6" x14ac:dyDescent="0.25">
      <c r="A15577" t="str">
        <f>"720322933726"</f>
        <v>720322933726</v>
      </c>
      <c r="B15577" t="s">
        <v>21616</v>
      </c>
      <c r="C15577" t="s">
        <v>7</v>
      </c>
      <c r="D15577" t="s">
        <v>14</v>
      </c>
      <c r="E15577" t="s">
        <v>21459</v>
      </c>
    </row>
    <row r="15578" spans="1:6" x14ac:dyDescent="0.25">
      <c r="A15578" t="str">
        <f>"7203269786"</f>
        <v>7203269786</v>
      </c>
      <c r="B15578" t="s">
        <v>21617</v>
      </c>
      <c r="C15578" t="s">
        <v>7</v>
      </c>
      <c r="D15578" t="s">
        <v>12</v>
      </c>
      <c r="E15578" t="s">
        <v>21459</v>
      </c>
      <c r="F15578" t="s">
        <v>21618</v>
      </c>
    </row>
    <row r="15579" spans="1:6" x14ac:dyDescent="0.25">
      <c r="A15579" t="str">
        <f>"7203283935"</f>
        <v>7203283935</v>
      </c>
      <c r="B15579" t="s">
        <v>21619</v>
      </c>
      <c r="C15579" t="s">
        <v>7</v>
      </c>
      <c r="D15579" t="s">
        <v>33</v>
      </c>
      <c r="E15579" t="s">
        <v>21459</v>
      </c>
      <c r="F15579" t="s">
        <v>21620</v>
      </c>
    </row>
    <row r="15580" spans="1:6" x14ac:dyDescent="0.25">
      <c r="A15580" t="str">
        <f>"7203344320"</f>
        <v>7203344320</v>
      </c>
      <c r="B15580" t="s">
        <v>21621</v>
      </c>
      <c r="C15580" t="s">
        <v>7</v>
      </c>
      <c r="D15580" t="s">
        <v>14</v>
      </c>
      <c r="E15580" t="s">
        <v>21459</v>
      </c>
      <c r="F15580" t="s">
        <v>21622</v>
      </c>
    </row>
    <row r="15581" spans="1:6" x14ac:dyDescent="0.25">
      <c r="A15581" t="str">
        <f>"7203354150"</f>
        <v>7203354150</v>
      </c>
      <c r="B15581" t="s">
        <v>21623</v>
      </c>
      <c r="C15581" t="s">
        <v>7</v>
      </c>
      <c r="D15581" t="s">
        <v>33</v>
      </c>
      <c r="E15581" t="s">
        <v>21459</v>
      </c>
      <c r="F15581" t="s">
        <v>21624</v>
      </c>
    </row>
    <row r="15582" spans="1:6" x14ac:dyDescent="0.25">
      <c r="A15582" t="str">
        <f>"7203365144"</f>
        <v>7203365144</v>
      </c>
      <c r="B15582" t="s">
        <v>21625</v>
      </c>
      <c r="C15582" t="s">
        <v>7</v>
      </c>
      <c r="D15582" t="s">
        <v>12</v>
      </c>
      <c r="E15582" t="s">
        <v>21459</v>
      </c>
      <c r="F15582" t="s">
        <v>21557</v>
      </c>
    </row>
    <row r="15583" spans="1:6" x14ac:dyDescent="0.25">
      <c r="A15583" t="str">
        <f>"7203397957"</f>
        <v>7203397957</v>
      </c>
      <c r="B15583" t="s">
        <v>21626</v>
      </c>
      <c r="C15583" t="s">
        <v>7</v>
      </c>
      <c r="D15583" t="s">
        <v>14</v>
      </c>
      <c r="E15583" t="s">
        <v>21459</v>
      </c>
      <c r="F15583" t="s">
        <v>21627</v>
      </c>
    </row>
    <row r="15584" spans="1:6" x14ac:dyDescent="0.25">
      <c r="A15584" t="str">
        <f>"7203422787"</f>
        <v>7203422787</v>
      </c>
      <c r="B15584" t="s">
        <v>21628</v>
      </c>
      <c r="C15584" t="s">
        <v>7</v>
      </c>
      <c r="D15584" t="s">
        <v>12</v>
      </c>
      <c r="E15584" t="s">
        <v>21459</v>
      </c>
      <c r="F15584" t="s">
        <v>21629</v>
      </c>
    </row>
    <row r="15585" spans="1:6" x14ac:dyDescent="0.25">
      <c r="A15585" t="str">
        <f>"7203435786"</f>
        <v>7203435786</v>
      </c>
      <c r="B15585" t="s">
        <v>11929</v>
      </c>
      <c r="C15585" t="s">
        <v>7</v>
      </c>
      <c r="D15585" t="s">
        <v>98</v>
      </c>
      <c r="E15585" t="s">
        <v>21459</v>
      </c>
      <c r="F15585" t="s">
        <v>21630</v>
      </c>
    </row>
    <row r="15586" spans="1:6" x14ac:dyDescent="0.25">
      <c r="A15586" t="str">
        <f>"7203451361"</f>
        <v>7203451361</v>
      </c>
      <c r="B15586" t="s">
        <v>21631</v>
      </c>
      <c r="C15586" t="s">
        <v>7</v>
      </c>
      <c r="D15586" t="s">
        <v>14</v>
      </c>
      <c r="E15586" t="s">
        <v>21459</v>
      </c>
      <c r="F15586" t="s">
        <v>21632</v>
      </c>
    </row>
    <row r="15587" spans="1:6" x14ac:dyDescent="0.25">
      <c r="A15587" t="str">
        <f>"7203460380"</f>
        <v>7203460380</v>
      </c>
      <c r="B15587" t="s">
        <v>21633</v>
      </c>
      <c r="C15587" t="s">
        <v>7</v>
      </c>
      <c r="D15587" t="s">
        <v>12</v>
      </c>
      <c r="E15587" t="s">
        <v>21459</v>
      </c>
      <c r="F15587" t="s">
        <v>21634</v>
      </c>
    </row>
    <row r="15588" spans="1:6" x14ac:dyDescent="0.25">
      <c r="A15588" t="str">
        <f>"7203468527"</f>
        <v>7203468527</v>
      </c>
      <c r="B15588" t="s">
        <v>21635</v>
      </c>
      <c r="C15588" t="s">
        <v>7</v>
      </c>
      <c r="D15588" t="s">
        <v>12</v>
      </c>
      <c r="E15588" t="s">
        <v>21459</v>
      </c>
      <c r="F15588" t="s">
        <v>21636</v>
      </c>
    </row>
    <row r="15589" spans="1:6" x14ac:dyDescent="0.25">
      <c r="A15589" t="str">
        <f>"7203505715"</f>
        <v>7203505715</v>
      </c>
      <c r="B15589" t="s">
        <v>21637</v>
      </c>
      <c r="C15589" t="s">
        <v>7</v>
      </c>
      <c r="D15589" t="s">
        <v>14</v>
      </c>
      <c r="E15589" t="s">
        <v>21459</v>
      </c>
      <c r="F15589" t="s">
        <v>21638</v>
      </c>
    </row>
    <row r="15590" spans="1:6" x14ac:dyDescent="0.25">
      <c r="A15590" t="str">
        <f>"7203512374"</f>
        <v>7203512374</v>
      </c>
      <c r="B15590" t="s">
        <v>21639</v>
      </c>
      <c r="C15590" t="s">
        <v>7</v>
      </c>
      <c r="D15590" t="s">
        <v>33</v>
      </c>
      <c r="E15590" t="s">
        <v>21459</v>
      </c>
      <c r="F15590" t="s">
        <v>21640</v>
      </c>
    </row>
    <row r="15591" spans="1:6" x14ac:dyDescent="0.25">
      <c r="A15591" t="str">
        <f>"7203517125"</f>
        <v>7203517125</v>
      </c>
      <c r="B15591" t="s">
        <v>21641</v>
      </c>
      <c r="C15591" t="s">
        <v>7</v>
      </c>
      <c r="D15591" t="s">
        <v>12</v>
      </c>
      <c r="E15591" t="s">
        <v>21459</v>
      </c>
      <c r="F15591" t="s">
        <v>21642</v>
      </c>
    </row>
    <row r="15592" spans="1:6" x14ac:dyDescent="0.25">
      <c r="A15592" t="str">
        <f>"7203522799"</f>
        <v>7203522799</v>
      </c>
      <c r="B15592" t="s">
        <v>21643</v>
      </c>
      <c r="C15592" t="s">
        <v>7</v>
      </c>
      <c r="D15592" t="s">
        <v>33</v>
      </c>
      <c r="E15592" t="s">
        <v>21459</v>
      </c>
      <c r="F15592" t="s">
        <v>21644</v>
      </c>
    </row>
    <row r="15593" spans="1:6" x14ac:dyDescent="0.25">
      <c r="A15593" t="str">
        <f>"7203534064"</f>
        <v>7203534064</v>
      </c>
      <c r="B15593" t="s">
        <v>21645</v>
      </c>
      <c r="C15593" t="s">
        <v>7</v>
      </c>
      <c r="D15593" t="s">
        <v>14</v>
      </c>
      <c r="E15593" t="s">
        <v>21459</v>
      </c>
      <c r="F15593" t="s">
        <v>21646</v>
      </c>
    </row>
    <row r="15594" spans="1:6" x14ac:dyDescent="0.25">
      <c r="A15594" t="str">
        <f>"7203542121"</f>
        <v>7203542121</v>
      </c>
      <c r="B15594" t="s">
        <v>21647</v>
      </c>
      <c r="C15594" t="s">
        <v>7</v>
      </c>
      <c r="D15594" t="s">
        <v>1430</v>
      </c>
      <c r="E15594" t="s">
        <v>21459</v>
      </c>
      <c r="F15594" t="s">
        <v>21648</v>
      </c>
    </row>
    <row r="15595" spans="1:6" x14ac:dyDescent="0.25">
      <c r="A15595" t="str">
        <f>"7203555233"</f>
        <v>7203555233</v>
      </c>
      <c r="B15595" t="s">
        <v>21649</v>
      </c>
      <c r="C15595" t="s">
        <v>7</v>
      </c>
      <c r="D15595" t="s">
        <v>14</v>
      </c>
      <c r="E15595" t="s">
        <v>21459</v>
      </c>
      <c r="F15595" t="s">
        <v>21650</v>
      </c>
    </row>
    <row r="15596" spans="1:6" x14ac:dyDescent="0.25">
      <c r="A15596" t="str">
        <f>"7203580790"</f>
        <v>7203580790</v>
      </c>
      <c r="B15596" t="s">
        <v>21651</v>
      </c>
      <c r="C15596" t="s">
        <v>7</v>
      </c>
      <c r="D15596" t="s">
        <v>14</v>
      </c>
      <c r="E15596" t="s">
        <v>21459</v>
      </c>
      <c r="F15596" t="s">
        <v>21652</v>
      </c>
    </row>
    <row r="15597" spans="1:6" x14ac:dyDescent="0.25">
      <c r="A15597" t="str">
        <f>"7204001630"</f>
        <v>7204001630</v>
      </c>
      <c r="B15597" t="s">
        <v>21653</v>
      </c>
      <c r="C15597" t="s">
        <v>7</v>
      </c>
      <c r="D15597" t="s">
        <v>98</v>
      </c>
      <c r="E15597" t="s">
        <v>21459</v>
      </c>
      <c r="F15597" t="s">
        <v>21654</v>
      </c>
    </row>
    <row r="15598" spans="1:6" x14ac:dyDescent="0.25">
      <c r="A15598" t="str">
        <f>"720400617520"</f>
        <v>720400617520</v>
      </c>
      <c r="B15598" t="s">
        <v>21655</v>
      </c>
      <c r="C15598" t="s">
        <v>7</v>
      </c>
      <c r="D15598" t="s">
        <v>14</v>
      </c>
      <c r="E15598" t="s">
        <v>21459</v>
      </c>
    </row>
    <row r="15599" spans="1:6" x14ac:dyDescent="0.25">
      <c r="A15599" t="str">
        <f>"720401701735"</f>
        <v>720401701735</v>
      </c>
      <c r="B15599" t="s">
        <v>21656</v>
      </c>
      <c r="C15599" t="s">
        <v>7</v>
      </c>
      <c r="D15599" t="s">
        <v>14</v>
      </c>
      <c r="E15599" t="s">
        <v>21459</v>
      </c>
    </row>
    <row r="15600" spans="1:6" x14ac:dyDescent="0.25">
      <c r="A15600" t="str">
        <f>"720401877947"</f>
        <v>720401877947</v>
      </c>
      <c r="B15600" t="s">
        <v>21657</v>
      </c>
      <c r="C15600" t="s">
        <v>7</v>
      </c>
      <c r="D15600" t="s">
        <v>12</v>
      </c>
      <c r="E15600" t="s">
        <v>21459</v>
      </c>
    </row>
    <row r="15601" spans="1:6" x14ac:dyDescent="0.25">
      <c r="A15601" t="str">
        <f>"7204020921"</f>
        <v>7204020921</v>
      </c>
      <c r="B15601" t="s">
        <v>21658</v>
      </c>
      <c r="C15601" t="s">
        <v>7</v>
      </c>
      <c r="D15601" t="s">
        <v>12</v>
      </c>
      <c r="E15601" t="s">
        <v>21459</v>
      </c>
      <c r="F15601" t="s">
        <v>21659</v>
      </c>
    </row>
    <row r="15602" spans="1:6" x14ac:dyDescent="0.25">
      <c r="A15602" t="str">
        <f>"720405169462"</f>
        <v>720405169462</v>
      </c>
      <c r="B15602" t="s">
        <v>21660</v>
      </c>
      <c r="C15602" t="s">
        <v>7</v>
      </c>
      <c r="D15602" t="s">
        <v>14</v>
      </c>
      <c r="E15602" t="s">
        <v>21459</v>
      </c>
    </row>
    <row r="15603" spans="1:6" x14ac:dyDescent="0.25">
      <c r="A15603" t="str">
        <f>"720405527904"</f>
        <v>720405527904</v>
      </c>
      <c r="B15603" t="s">
        <v>21661</v>
      </c>
      <c r="C15603" t="s">
        <v>7</v>
      </c>
      <c r="D15603" t="s">
        <v>12</v>
      </c>
      <c r="E15603" t="s">
        <v>21459</v>
      </c>
    </row>
    <row r="15604" spans="1:6" x14ac:dyDescent="0.25">
      <c r="A15604" t="str">
        <f>"720412334685"</f>
        <v>720412334685</v>
      </c>
      <c r="B15604" t="s">
        <v>21662</v>
      </c>
      <c r="C15604" t="s">
        <v>7</v>
      </c>
      <c r="D15604" t="s">
        <v>14</v>
      </c>
      <c r="E15604" t="s">
        <v>21459</v>
      </c>
    </row>
    <row r="15605" spans="1:6" x14ac:dyDescent="0.25">
      <c r="A15605" t="str">
        <f>"7204207260"</f>
        <v>7204207260</v>
      </c>
      <c r="B15605" t="s">
        <v>21663</v>
      </c>
      <c r="C15605" t="s">
        <v>7</v>
      </c>
      <c r="D15605" t="s">
        <v>12</v>
      </c>
      <c r="E15605" t="s">
        <v>21459</v>
      </c>
      <c r="F15605" t="s">
        <v>21664</v>
      </c>
    </row>
    <row r="15606" spans="1:6" x14ac:dyDescent="0.25">
      <c r="A15606" t="str">
        <f>"720500020261"</f>
        <v>720500020261</v>
      </c>
      <c r="B15606" t="s">
        <v>21665</v>
      </c>
      <c r="C15606" t="s">
        <v>7</v>
      </c>
      <c r="D15606" t="s">
        <v>14</v>
      </c>
      <c r="E15606" t="s">
        <v>21459</v>
      </c>
    </row>
    <row r="15607" spans="1:6" x14ac:dyDescent="0.25">
      <c r="A15607" t="str">
        <f>"7205022495"</f>
        <v>7205022495</v>
      </c>
      <c r="B15607" t="s">
        <v>21666</v>
      </c>
      <c r="C15607" t="s">
        <v>7</v>
      </c>
      <c r="D15607" t="s">
        <v>33</v>
      </c>
      <c r="E15607" t="s">
        <v>21459</v>
      </c>
      <c r="F15607" t="s">
        <v>21667</v>
      </c>
    </row>
    <row r="15608" spans="1:6" x14ac:dyDescent="0.25">
      <c r="A15608" t="str">
        <f>"7205028793"</f>
        <v>7205028793</v>
      </c>
      <c r="B15608" t="s">
        <v>709</v>
      </c>
      <c r="C15608" t="s">
        <v>7</v>
      </c>
      <c r="D15608" t="s">
        <v>14</v>
      </c>
      <c r="E15608" t="s">
        <v>21459</v>
      </c>
      <c r="F15608" t="s">
        <v>21668</v>
      </c>
    </row>
    <row r="15609" spans="1:6" x14ac:dyDescent="0.25">
      <c r="A15609" t="str">
        <f>"720510221383"</f>
        <v>720510221383</v>
      </c>
      <c r="B15609" t="s">
        <v>21669</v>
      </c>
      <c r="C15609" t="s">
        <v>7</v>
      </c>
      <c r="D15609" t="s">
        <v>14</v>
      </c>
      <c r="E15609" t="s">
        <v>21459</v>
      </c>
    </row>
    <row r="15610" spans="1:6" x14ac:dyDescent="0.25">
      <c r="A15610" t="str">
        <f>"720600041748"</f>
        <v>720600041748</v>
      </c>
      <c r="B15610" t="s">
        <v>21670</v>
      </c>
      <c r="C15610" t="s">
        <v>7</v>
      </c>
      <c r="D15610" t="s">
        <v>14</v>
      </c>
      <c r="E15610" t="s">
        <v>21459</v>
      </c>
    </row>
    <row r="15611" spans="1:6" x14ac:dyDescent="0.25">
      <c r="A15611" t="str">
        <f>"720601557694"</f>
        <v>720601557694</v>
      </c>
      <c r="B15611" t="s">
        <v>21671</v>
      </c>
      <c r="C15611" t="s">
        <v>7</v>
      </c>
      <c r="D15611" t="s">
        <v>14</v>
      </c>
      <c r="E15611" t="s">
        <v>21459</v>
      </c>
    </row>
    <row r="15612" spans="1:6" x14ac:dyDescent="0.25">
      <c r="A15612" t="str">
        <f>"720603147301"</f>
        <v>720603147301</v>
      </c>
      <c r="B15612" t="s">
        <v>21672</v>
      </c>
      <c r="C15612" t="s">
        <v>7</v>
      </c>
      <c r="D15612" t="s">
        <v>586</v>
      </c>
      <c r="E15612" t="s">
        <v>21459</v>
      </c>
    </row>
    <row r="15613" spans="1:6" x14ac:dyDescent="0.25">
      <c r="A15613" t="str">
        <f>"7206042085"</f>
        <v>7206042085</v>
      </c>
      <c r="B15613" t="s">
        <v>21673</v>
      </c>
      <c r="C15613" t="s">
        <v>7</v>
      </c>
      <c r="D15613" t="s">
        <v>14</v>
      </c>
      <c r="E15613" t="s">
        <v>21459</v>
      </c>
      <c r="F15613" t="s">
        <v>21674</v>
      </c>
    </row>
    <row r="15614" spans="1:6" x14ac:dyDescent="0.25">
      <c r="A15614" t="str">
        <f>"7206042448"</f>
        <v>7206042448</v>
      </c>
      <c r="B15614" t="s">
        <v>7329</v>
      </c>
      <c r="C15614" t="s">
        <v>7</v>
      </c>
      <c r="D15614" t="s">
        <v>14</v>
      </c>
      <c r="E15614" t="s">
        <v>21459</v>
      </c>
      <c r="F15614" t="s">
        <v>21675</v>
      </c>
    </row>
    <row r="15615" spans="1:6" x14ac:dyDescent="0.25">
      <c r="A15615" t="str">
        <f>"7206045270"</f>
        <v>7206045270</v>
      </c>
      <c r="B15615" t="s">
        <v>21676</v>
      </c>
      <c r="C15615" t="s">
        <v>7</v>
      </c>
      <c r="D15615" t="s">
        <v>14</v>
      </c>
      <c r="E15615" t="s">
        <v>21459</v>
      </c>
      <c r="F15615" t="s">
        <v>21677</v>
      </c>
    </row>
    <row r="15616" spans="1:6" x14ac:dyDescent="0.25">
      <c r="A15616" t="str">
        <f>"720800208803"</f>
        <v>720800208803</v>
      </c>
      <c r="B15616" t="s">
        <v>21678</v>
      </c>
      <c r="C15616" t="s">
        <v>7</v>
      </c>
      <c r="D15616" t="s">
        <v>14</v>
      </c>
      <c r="E15616" t="s">
        <v>21459</v>
      </c>
    </row>
    <row r="15617" spans="1:6" x14ac:dyDescent="0.25">
      <c r="A15617" t="str">
        <f>"720801707192"</f>
        <v>720801707192</v>
      </c>
      <c r="B15617" t="s">
        <v>21679</v>
      </c>
      <c r="C15617" t="s">
        <v>7</v>
      </c>
      <c r="D15617" t="s">
        <v>14</v>
      </c>
      <c r="E15617" t="s">
        <v>21459</v>
      </c>
    </row>
    <row r="15618" spans="1:6" x14ac:dyDescent="0.25">
      <c r="A15618" t="str">
        <f>"721300020530"</f>
        <v>721300020530</v>
      </c>
      <c r="B15618" t="s">
        <v>21680</v>
      </c>
      <c r="C15618" t="s">
        <v>7</v>
      </c>
      <c r="D15618" t="s">
        <v>14</v>
      </c>
      <c r="E15618" t="s">
        <v>21459</v>
      </c>
    </row>
    <row r="15619" spans="1:6" x14ac:dyDescent="0.25">
      <c r="A15619" t="str">
        <f>"7215001134"</f>
        <v>7215001134</v>
      </c>
      <c r="B15619" t="s">
        <v>9980</v>
      </c>
      <c r="C15619" t="s">
        <v>7</v>
      </c>
      <c r="D15619" t="s">
        <v>14</v>
      </c>
      <c r="E15619" t="s">
        <v>21459</v>
      </c>
      <c r="F15619" t="s">
        <v>21681</v>
      </c>
    </row>
    <row r="15620" spans="1:6" x14ac:dyDescent="0.25">
      <c r="A15620" t="str">
        <f>"721504381373"</f>
        <v>721504381373</v>
      </c>
      <c r="B15620" t="s">
        <v>21682</v>
      </c>
      <c r="C15620" t="s">
        <v>7</v>
      </c>
      <c r="D15620" t="s">
        <v>14</v>
      </c>
      <c r="E15620" t="s">
        <v>21459</v>
      </c>
    </row>
    <row r="15621" spans="1:6" x14ac:dyDescent="0.25">
      <c r="A15621" t="str">
        <f>"721800564000"</f>
        <v>721800564000</v>
      </c>
      <c r="B15621" t="s">
        <v>21683</v>
      </c>
      <c r="C15621" t="s">
        <v>7</v>
      </c>
      <c r="D15621" t="s">
        <v>14</v>
      </c>
      <c r="E15621" t="s">
        <v>21459</v>
      </c>
    </row>
    <row r="15622" spans="1:6" x14ac:dyDescent="0.25">
      <c r="A15622" t="str">
        <f>"722000000207"</f>
        <v>722000000207</v>
      </c>
      <c r="B15622" t="s">
        <v>21684</v>
      </c>
      <c r="C15622" t="s">
        <v>7</v>
      </c>
      <c r="D15622" t="s">
        <v>14</v>
      </c>
      <c r="E15622" t="s">
        <v>21459</v>
      </c>
    </row>
    <row r="15623" spans="1:6" x14ac:dyDescent="0.25">
      <c r="A15623" t="str">
        <f>"722000020676"</f>
        <v>722000020676</v>
      </c>
      <c r="B15623" t="s">
        <v>16522</v>
      </c>
      <c r="C15623" t="s">
        <v>7</v>
      </c>
      <c r="D15623" t="s">
        <v>14</v>
      </c>
      <c r="E15623" t="s">
        <v>21459</v>
      </c>
    </row>
    <row r="15624" spans="1:6" x14ac:dyDescent="0.25">
      <c r="A15624" t="str">
        <f>"7220099654"</f>
        <v>7220099654</v>
      </c>
      <c r="B15624" t="s">
        <v>11400</v>
      </c>
      <c r="C15624" t="s">
        <v>7</v>
      </c>
      <c r="D15624" t="s">
        <v>14</v>
      </c>
      <c r="E15624" t="s">
        <v>21459</v>
      </c>
      <c r="F15624" t="s">
        <v>21685</v>
      </c>
    </row>
    <row r="15625" spans="1:6" x14ac:dyDescent="0.25">
      <c r="A15625" t="str">
        <f>"722100003402"</f>
        <v>722100003402</v>
      </c>
      <c r="B15625" t="s">
        <v>21686</v>
      </c>
      <c r="C15625" t="s">
        <v>7</v>
      </c>
      <c r="D15625" t="s">
        <v>14</v>
      </c>
      <c r="E15625" t="s">
        <v>21459</v>
      </c>
    </row>
    <row r="15626" spans="1:6" x14ac:dyDescent="0.25">
      <c r="A15626" t="str">
        <f>"722400056740"</f>
        <v>722400056740</v>
      </c>
      <c r="B15626" t="s">
        <v>21687</v>
      </c>
      <c r="C15626" t="s">
        <v>7</v>
      </c>
      <c r="D15626" t="s">
        <v>14</v>
      </c>
      <c r="E15626" t="s">
        <v>21459</v>
      </c>
    </row>
    <row r="15627" spans="1:6" x14ac:dyDescent="0.25">
      <c r="A15627" t="str">
        <f>"7224030188"</f>
        <v>7224030188</v>
      </c>
      <c r="B15627" t="s">
        <v>21688</v>
      </c>
      <c r="C15627" t="s">
        <v>7</v>
      </c>
      <c r="D15627" t="s">
        <v>14</v>
      </c>
      <c r="E15627" t="s">
        <v>21459</v>
      </c>
      <c r="F15627" t="s">
        <v>21689</v>
      </c>
    </row>
    <row r="15628" spans="1:6" x14ac:dyDescent="0.25">
      <c r="A15628" t="str">
        <f>"722404576564"</f>
        <v>722404576564</v>
      </c>
      <c r="B15628" t="s">
        <v>21690</v>
      </c>
      <c r="C15628" t="s">
        <v>7</v>
      </c>
      <c r="D15628" t="s">
        <v>14</v>
      </c>
      <c r="E15628" t="s">
        <v>21459</v>
      </c>
    </row>
    <row r="15629" spans="1:6" x14ac:dyDescent="0.25">
      <c r="A15629" t="str">
        <f>"722405652994"</f>
        <v>722405652994</v>
      </c>
      <c r="B15629" t="s">
        <v>21691</v>
      </c>
      <c r="C15629" t="s">
        <v>7</v>
      </c>
      <c r="D15629" t="s">
        <v>14</v>
      </c>
      <c r="E15629" t="s">
        <v>21459</v>
      </c>
    </row>
    <row r="15630" spans="1:6" x14ac:dyDescent="0.25">
      <c r="A15630" t="str">
        <f>"7224070550"</f>
        <v>7224070550</v>
      </c>
      <c r="B15630" t="s">
        <v>21692</v>
      </c>
      <c r="C15630" t="s">
        <v>7</v>
      </c>
      <c r="D15630" t="s">
        <v>14</v>
      </c>
      <c r="E15630" t="s">
        <v>21459</v>
      </c>
      <c r="F15630" t="s">
        <v>21693</v>
      </c>
    </row>
    <row r="15631" spans="1:6" x14ac:dyDescent="0.25">
      <c r="A15631" t="str">
        <f>"7224080284"</f>
        <v>7224080284</v>
      </c>
      <c r="B15631" t="s">
        <v>21694</v>
      </c>
      <c r="C15631" t="s">
        <v>7</v>
      </c>
      <c r="D15631" t="s">
        <v>33</v>
      </c>
      <c r="E15631" t="s">
        <v>21459</v>
      </c>
      <c r="F15631" t="s">
        <v>21695</v>
      </c>
    </row>
    <row r="15632" spans="1:6" x14ac:dyDescent="0.25">
      <c r="A15632" t="str">
        <f>"7224091536"</f>
        <v>7224091536</v>
      </c>
      <c r="B15632" t="s">
        <v>21696</v>
      </c>
      <c r="C15632" t="s">
        <v>7</v>
      </c>
      <c r="D15632" t="s">
        <v>12</v>
      </c>
      <c r="E15632" t="s">
        <v>21459</v>
      </c>
      <c r="F15632" t="s">
        <v>21697</v>
      </c>
    </row>
    <row r="15633" spans="1:6" x14ac:dyDescent="0.25">
      <c r="A15633" t="str">
        <f>"722409286971"</f>
        <v>722409286971</v>
      </c>
      <c r="B15633" t="s">
        <v>21698</v>
      </c>
      <c r="C15633" t="s">
        <v>7</v>
      </c>
      <c r="D15633" t="s">
        <v>14</v>
      </c>
      <c r="E15633" t="s">
        <v>21459</v>
      </c>
    </row>
    <row r="15634" spans="1:6" x14ac:dyDescent="0.25">
      <c r="A15634" t="str">
        <f>"722700733048"</f>
        <v>722700733048</v>
      </c>
      <c r="B15634" t="s">
        <v>21699</v>
      </c>
      <c r="C15634" t="s">
        <v>7</v>
      </c>
      <c r="D15634" t="s">
        <v>14</v>
      </c>
      <c r="E15634" t="s">
        <v>21459</v>
      </c>
    </row>
    <row r="15635" spans="1:6" x14ac:dyDescent="0.25">
      <c r="A15635" t="str">
        <f>"722900744400"</f>
        <v>722900744400</v>
      </c>
      <c r="B15635" t="s">
        <v>21700</v>
      </c>
      <c r="C15635" t="s">
        <v>7</v>
      </c>
      <c r="D15635" t="s">
        <v>14</v>
      </c>
      <c r="E15635" t="s">
        <v>21459</v>
      </c>
    </row>
    <row r="15636" spans="1:6" x14ac:dyDescent="0.25">
      <c r="A15636" t="str">
        <f>"7229009180"</f>
        <v>7229009180</v>
      </c>
      <c r="B15636" t="s">
        <v>21701</v>
      </c>
      <c r="C15636" t="s">
        <v>7</v>
      </c>
      <c r="D15636" t="s">
        <v>14</v>
      </c>
      <c r="E15636" t="s">
        <v>21459</v>
      </c>
      <c r="F15636" t="s">
        <v>21702</v>
      </c>
    </row>
    <row r="15637" spans="1:6" x14ac:dyDescent="0.25">
      <c r="A15637" t="str">
        <f>"722901441905"</f>
        <v>722901441905</v>
      </c>
      <c r="B15637" t="s">
        <v>21703</v>
      </c>
      <c r="C15637" t="s">
        <v>7</v>
      </c>
      <c r="D15637" t="s">
        <v>14</v>
      </c>
      <c r="E15637" t="s">
        <v>21459</v>
      </c>
    </row>
    <row r="15638" spans="1:6" x14ac:dyDescent="0.25">
      <c r="A15638" t="str">
        <f>"723002427395"</f>
        <v>723002427395</v>
      </c>
      <c r="B15638" t="s">
        <v>21704</v>
      </c>
      <c r="C15638" t="s">
        <v>7</v>
      </c>
      <c r="D15638" t="s">
        <v>14</v>
      </c>
      <c r="E15638" t="s">
        <v>21459</v>
      </c>
    </row>
    <row r="15639" spans="1:6" x14ac:dyDescent="0.25">
      <c r="A15639" t="str">
        <f>"470307590404"</f>
        <v>470307590404</v>
      </c>
      <c r="B15639" t="s">
        <v>21705</v>
      </c>
      <c r="C15639" t="s">
        <v>7</v>
      </c>
      <c r="D15639" t="s">
        <v>14</v>
      </c>
      <c r="E15639" t="s">
        <v>21459</v>
      </c>
    </row>
    <row r="15640" spans="1:6" x14ac:dyDescent="0.25">
      <c r="A15640" t="str">
        <f>"720609658768"</f>
        <v>720609658768</v>
      </c>
      <c r="B15640" t="s">
        <v>21706</v>
      </c>
      <c r="C15640" t="s">
        <v>7</v>
      </c>
      <c r="D15640" t="s">
        <v>14</v>
      </c>
      <c r="E15640" t="s">
        <v>21459</v>
      </c>
    </row>
    <row r="15641" spans="1:6" x14ac:dyDescent="0.25">
      <c r="A15641" t="str">
        <f>"720692592809"</f>
        <v>720692592809</v>
      </c>
      <c r="B15641" t="s">
        <v>21707</v>
      </c>
      <c r="C15641" t="s">
        <v>7</v>
      </c>
      <c r="D15641" t="s">
        <v>14</v>
      </c>
      <c r="E15641" t="s">
        <v>21459</v>
      </c>
    </row>
    <row r="15642" spans="1:6" x14ac:dyDescent="0.25">
      <c r="A15642" t="str">
        <f>"720700040787"</f>
        <v>720700040787</v>
      </c>
      <c r="B15642" t="s">
        <v>21708</v>
      </c>
      <c r="C15642" t="s">
        <v>7</v>
      </c>
      <c r="D15642" t="s">
        <v>14</v>
      </c>
      <c r="E15642" t="s">
        <v>21459</v>
      </c>
    </row>
    <row r="15643" spans="1:6" x14ac:dyDescent="0.25">
      <c r="A15643" t="str">
        <f>"720700943926"</f>
        <v>720700943926</v>
      </c>
      <c r="B15643" t="s">
        <v>21709</v>
      </c>
      <c r="C15643" t="s">
        <v>7</v>
      </c>
      <c r="D15643" t="s">
        <v>14</v>
      </c>
      <c r="E15643" t="s">
        <v>21459</v>
      </c>
    </row>
    <row r="15644" spans="1:6" x14ac:dyDescent="0.25">
      <c r="A15644" t="str">
        <f>"7207014098"</f>
        <v>7207014098</v>
      </c>
      <c r="B15644" t="s">
        <v>21710</v>
      </c>
      <c r="C15644" t="s">
        <v>7</v>
      </c>
      <c r="D15644" t="s">
        <v>12</v>
      </c>
      <c r="E15644" t="s">
        <v>21459</v>
      </c>
      <c r="F15644" t="s">
        <v>21711</v>
      </c>
    </row>
    <row r="15645" spans="1:6" x14ac:dyDescent="0.25">
      <c r="A15645" t="str">
        <f>"720704454355"</f>
        <v>720704454355</v>
      </c>
      <c r="B15645" t="s">
        <v>21712</v>
      </c>
      <c r="C15645" t="s">
        <v>7</v>
      </c>
      <c r="D15645" t="s">
        <v>14</v>
      </c>
      <c r="E15645" t="s">
        <v>21459</v>
      </c>
    </row>
    <row r="15646" spans="1:6" x14ac:dyDescent="0.25">
      <c r="A15646" t="str">
        <f>"720800035170"</f>
        <v>720800035170</v>
      </c>
      <c r="B15646" t="s">
        <v>21713</v>
      </c>
      <c r="C15646" t="s">
        <v>7</v>
      </c>
      <c r="D15646" t="s">
        <v>14</v>
      </c>
      <c r="E15646" t="s">
        <v>21459</v>
      </c>
    </row>
    <row r="15647" spans="1:6" x14ac:dyDescent="0.25">
      <c r="A15647" t="str">
        <f>"721301313233"</f>
        <v>721301313233</v>
      </c>
      <c r="B15647" t="s">
        <v>21714</v>
      </c>
      <c r="C15647" t="s">
        <v>7</v>
      </c>
      <c r="D15647" t="s">
        <v>14</v>
      </c>
      <c r="E15647" t="s">
        <v>21459</v>
      </c>
    </row>
    <row r="15648" spans="1:6" x14ac:dyDescent="0.25">
      <c r="A15648" t="str">
        <f>"721401049920"</f>
        <v>721401049920</v>
      </c>
      <c r="B15648" t="s">
        <v>21715</v>
      </c>
      <c r="C15648" t="s">
        <v>7</v>
      </c>
      <c r="D15648" t="s">
        <v>12</v>
      </c>
      <c r="E15648" t="s">
        <v>21459</v>
      </c>
    </row>
    <row r="15649" spans="1:6" x14ac:dyDescent="0.25">
      <c r="A15649" t="str">
        <f>"721503677829"</f>
        <v>721503677829</v>
      </c>
      <c r="B15649" t="s">
        <v>21716</v>
      </c>
      <c r="C15649" t="s">
        <v>7</v>
      </c>
      <c r="D15649" t="s">
        <v>14</v>
      </c>
      <c r="E15649" t="s">
        <v>21459</v>
      </c>
    </row>
    <row r="15650" spans="1:6" x14ac:dyDescent="0.25">
      <c r="A15650" t="str">
        <f>"721503898031"</f>
        <v>721503898031</v>
      </c>
      <c r="B15650" t="s">
        <v>21717</v>
      </c>
      <c r="C15650" t="s">
        <v>7</v>
      </c>
      <c r="D15650" t="s">
        <v>14</v>
      </c>
      <c r="E15650" t="s">
        <v>21459</v>
      </c>
    </row>
    <row r="15651" spans="1:6" x14ac:dyDescent="0.25">
      <c r="A15651" t="str">
        <f>"721504278190"</f>
        <v>721504278190</v>
      </c>
      <c r="B15651" t="s">
        <v>21718</v>
      </c>
      <c r="C15651" t="s">
        <v>7</v>
      </c>
      <c r="D15651" t="s">
        <v>14</v>
      </c>
      <c r="E15651" t="s">
        <v>21459</v>
      </c>
    </row>
    <row r="15652" spans="1:6" x14ac:dyDescent="0.25">
      <c r="A15652" t="str">
        <f>"721602853137"</f>
        <v>721602853137</v>
      </c>
      <c r="B15652" t="s">
        <v>21719</v>
      </c>
      <c r="C15652" t="s">
        <v>7</v>
      </c>
      <c r="D15652" t="s">
        <v>14</v>
      </c>
      <c r="E15652" t="s">
        <v>21459</v>
      </c>
    </row>
    <row r="15653" spans="1:6" x14ac:dyDescent="0.25">
      <c r="A15653" t="str">
        <f>"7224044208"</f>
        <v>7224044208</v>
      </c>
      <c r="B15653" t="s">
        <v>21720</v>
      </c>
      <c r="C15653" t="s">
        <v>7</v>
      </c>
      <c r="D15653" t="s">
        <v>12</v>
      </c>
      <c r="E15653" t="s">
        <v>21459</v>
      </c>
      <c r="F15653" t="s">
        <v>21721</v>
      </c>
    </row>
    <row r="15654" spans="1:6" x14ac:dyDescent="0.25">
      <c r="A15654" t="str">
        <f>"7224077852"</f>
        <v>7224077852</v>
      </c>
      <c r="B15654" t="s">
        <v>21722</v>
      </c>
      <c r="C15654" t="s">
        <v>7</v>
      </c>
      <c r="D15654" t="s">
        <v>14</v>
      </c>
      <c r="E15654" t="s">
        <v>21459</v>
      </c>
      <c r="F15654" t="s">
        <v>21723</v>
      </c>
    </row>
    <row r="15655" spans="1:6" x14ac:dyDescent="0.25">
      <c r="A15655" t="str">
        <f>"7224084761"</f>
        <v>7224084761</v>
      </c>
      <c r="B15655" t="s">
        <v>5886</v>
      </c>
      <c r="C15655" t="s">
        <v>7</v>
      </c>
      <c r="D15655" t="s">
        <v>1430</v>
      </c>
      <c r="E15655" t="s">
        <v>21459</v>
      </c>
      <c r="F15655" t="s">
        <v>21724</v>
      </c>
    </row>
    <row r="15656" spans="1:6" x14ac:dyDescent="0.25">
      <c r="A15656" t="str">
        <f>"7224093981"</f>
        <v>7224093981</v>
      </c>
      <c r="B15656" t="s">
        <v>21725</v>
      </c>
      <c r="C15656" t="s">
        <v>7</v>
      </c>
      <c r="D15656" t="s">
        <v>14</v>
      </c>
      <c r="E15656" t="s">
        <v>21459</v>
      </c>
      <c r="F15656" t="s">
        <v>21726</v>
      </c>
    </row>
    <row r="15657" spans="1:6" x14ac:dyDescent="0.25">
      <c r="A15657" t="str">
        <f>"7224095724"</f>
        <v>7224095724</v>
      </c>
      <c r="B15657" t="s">
        <v>21727</v>
      </c>
      <c r="C15657" t="s">
        <v>7</v>
      </c>
      <c r="D15657" t="s">
        <v>14</v>
      </c>
      <c r="E15657" t="s">
        <v>21459</v>
      </c>
      <c r="F15657" t="s">
        <v>21728</v>
      </c>
    </row>
    <row r="15658" spans="1:6" x14ac:dyDescent="0.25">
      <c r="A15658" t="str">
        <f>"722411432820"</f>
        <v>722411432820</v>
      </c>
      <c r="B15658" t="s">
        <v>21729</v>
      </c>
      <c r="C15658" t="s">
        <v>7</v>
      </c>
      <c r="D15658" t="s">
        <v>33</v>
      </c>
      <c r="E15658" t="s">
        <v>21459</v>
      </c>
    </row>
    <row r="15659" spans="1:6" x14ac:dyDescent="0.25">
      <c r="A15659" t="str">
        <f>"722500130405"</f>
        <v>722500130405</v>
      </c>
      <c r="B15659" t="s">
        <v>21730</v>
      </c>
      <c r="C15659" t="s">
        <v>7</v>
      </c>
      <c r="D15659" t="s">
        <v>14</v>
      </c>
      <c r="E15659" t="s">
        <v>21459</v>
      </c>
    </row>
    <row r="15660" spans="1:6" x14ac:dyDescent="0.25">
      <c r="A15660" t="str">
        <f>"722600014843"</f>
        <v>722600014843</v>
      </c>
      <c r="B15660" t="s">
        <v>21731</v>
      </c>
      <c r="C15660" t="s">
        <v>7</v>
      </c>
      <c r="D15660" t="s">
        <v>14</v>
      </c>
      <c r="E15660" t="s">
        <v>21459</v>
      </c>
    </row>
    <row r="15661" spans="1:6" x14ac:dyDescent="0.25">
      <c r="A15661" t="str">
        <f>"722701206742"</f>
        <v>722701206742</v>
      </c>
      <c r="B15661" t="s">
        <v>21732</v>
      </c>
      <c r="C15661" t="s">
        <v>7</v>
      </c>
      <c r="D15661" t="s">
        <v>12</v>
      </c>
      <c r="E15661" t="s">
        <v>21459</v>
      </c>
    </row>
    <row r="15662" spans="1:6" x14ac:dyDescent="0.25">
      <c r="A15662" t="str">
        <f>"722900428651"</f>
        <v>722900428651</v>
      </c>
      <c r="B15662" t="s">
        <v>21733</v>
      </c>
      <c r="C15662" t="s">
        <v>7</v>
      </c>
      <c r="D15662" t="s">
        <v>14</v>
      </c>
      <c r="E15662" t="s">
        <v>21459</v>
      </c>
    </row>
    <row r="15663" spans="1:6" x14ac:dyDescent="0.25">
      <c r="A15663" t="str">
        <f>"723030509547"</f>
        <v>723030509547</v>
      </c>
      <c r="B15663" t="s">
        <v>21734</v>
      </c>
      <c r="C15663" t="s">
        <v>7</v>
      </c>
      <c r="D15663" t="s">
        <v>12</v>
      </c>
      <c r="E15663" t="s">
        <v>21459</v>
      </c>
    </row>
    <row r="15664" spans="1:6" x14ac:dyDescent="0.25">
      <c r="A15664" t="str">
        <f>"720200346946"</f>
        <v>720200346946</v>
      </c>
      <c r="B15664" t="s">
        <v>21735</v>
      </c>
      <c r="C15664" t="s">
        <v>7</v>
      </c>
      <c r="D15664" t="s">
        <v>14</v>
      </c>
      <c r="E15664" t="s">
        <v>21459</v>
      </c>
    </row>
    <row r="15665" spans="1:6" x14ac:dyDescent="0.25">
      <c r="A15665" t="str">
        <f>"720200504494"</f>
        <v>720200504494</v>
      </c>
      <c r="B15665" t="s">
        <v>21736</v>
      </c>
      <c r="C15665" t="s">
        <v>7</v>
      </c>
      <c r="D15665" t="s">
        <v>12</v>
      </c>
      <c r="E15665" t="s">
        <v>21459</v>
      </c>
    </row>
    <row r="15666" spans="1:6" x14ac:dyDescent="0.25">
      <c r="A15666" t="str">
        <f>"7202095417"</f>
        <v>7202095417</v>
      </c>
      <c r="B15666" t="s">
        <v>21737</v>
      </c>
      <c r="C15666" t="s">
        <v>7</v>
      </c>
      <c r="D15666" t="s">
        <v>12</v>
      </c>
      <c r="E15666" t="s">
        <v>21459</v>
      </c>
      <c r="F15666" t="s">
        <v>21738</v>
      </c>
    </row>
    <row r="15667" spans="1:6" x14ac:dyDescent="0.25">
      <c r="A15667" t="str">
        <f>"7202117484"</f>
        <v>7202117484</v>
      </c>
      <c r="B15667" t="s">
        <v>21739</v>
      </c>
      <c r="C15667" t="s">
        <v>7</v>
      </c>
      <c r="D15667" t="s">
        <v>460</v>
      </c>
      <c r="E15667" t="s">
        <v>21459</v>
      </c>
      <c r="F15667" t="s">
        <v>21740</v>
      </c>
    </row>
    <row r="15668" spans="1:6" x14ac:dyDescent="0.25">
      <c r="A15668" t="str">
        <f>"7202127482"</f>
        <v>7202127482</v>
      </c>
      <c r="B15668" t="s">
        <v>21741</v>
      </c>
      <c r="C15668" t="s">
        <v>7</v>
      </c>
      <c r="D15668" t="s">
        <v>14</v>
      </c>
      <c r="E15668" t="s">
        <v>21459</v>
      </c>
      <c r="F15668" t="s">
        <v>21742</v>
      </c>
    </row>
    <row r="15669" spans="1:6" x14ac:dyDescent="0.25">
      <c r="A15669" t="str">
        <f>"7202203260"</f>
        <v>7202203260</v>
      </c>
      <c r="B15669" t="s">
        <v>20962</v>
      </c>
      <c r="C15669" t="s">
        <v>7</v>
      </c>
      <c r="D15669" t="s">
        <v>14</v>
      </c>
      <c r="E15669" t="s">
        <v>21459</v>
      </c>
      <c r="F15669" t="s">
        <v>21743</v>
      </c>
    </row>
    <row r="15670" spans="1:6" x14ac:dyDescent="0.25">
      <c r="A15670" t="str">
        <f>"7202217009"</f>
        <v>7202217009</v>
      </c>
      <c r="B15670" t="s">
        <v>21744</v>
      </c>
      <c r="C15670" t="s">
        <v>7</v>
      </c>
      <c r="D15670" t="s">
        <v>14</v>
      </c>
      <c r="E15670" t="s">
        <v>21459</v>
      </c>
      <c r="F15670" t="s">
        <v>21745</v>
      </c>
    </row>
    <row r="15671" spans="1:6" x14ac:dyDescent="0.25">
      <c r="A15671" t="str">
        <f>"720302320070"</f>
        <v>720302320070</v>
      </c>
      <c r="B15671" t="s">
        <v>21746</v>
      </c>
      <c r="C15671" t="s">
        <v>7</v>
      </c>
      <c r="D15671" t="s">
        <v>14</v>
      </c>
      <c r="E15671" t="s">
        <v>21459</v>
      </c>
    </row>
    <row r="15672" spans="1:6" x14ac:dyDescent="0.25">
      <c r="A15672" t="str">
        <f>"7203090637"</f>
        <v>7203090637</v>
      </c>
      <c r="B15672" t="s">
        <v>21747</v>
      </c>
      <c r="C15672" t="s">
        <v>7</v>
      </c>
      <c r="D15672" t="s">
        <v>12</v>
      </c>
      <c r="E15672" t="s">
        <v>21459</v>
      </c>
      <c r="F15672" t="s">
        <v>21748</v>
      </c>
    </row>
    <row r="15673" spans="1:6" x14ac:dyDescent="0.25">
      <c r="A15673" t="str">
        <f>"720311302486"</f>
        <v>720311302486</v>
      </c>
      <c r="B15673" t="s">
        <v>21749</v>
      </c>
      <c r="C15673" t="s">
        <v>7</v>
      </c>
      <c r="D15673" t="s">
        <v>12</v>
      </c>
      <c r="E15673" t="s">
        <v>21459</v>
      </c>
    </row>
    <row r="15674" spans="1:6" x14ac:dyDescent="0.25">
      <c r="A15674" t="str">
        <f>"7203126844"</f>
        <v>7203126844</v>
      </c>
      <c r="B15674" t="s">
        <v>21750</v>
      </c>
      <c r="C15674" t="s">
        <v>7</v>
      </c>
      <c r="D15674" t="s">
        <v>189</v>
      </c>
      <c r="E15674" t="s">
        <v>21459</v>
      </c>
      <c r="F15674" t="s">
        <v>21751</v>
      </c>
    </row>
    <row r="15675" spans="1:6" x14ac:dyDescent="0.25">
      <c r="A15675" t="str">
        <f>"720314589131"</f>
        <v>720314589131</v>
      </c>
      <c r="B15675" t="s">
        <v>21752</v>
      </c>
      <c r="C15675" t="s">
        <v>7</v>
      </c>
      <c r="D15675" t="s">
        <v>14</v>
      </c>
      <c r="E15675" t="s">
        <v>21459</v>
      </c>
    </row>
    <row r="15676" spans="1:6" x14ac:dyDescent="0.25">
      <c r="A15676" t="str">
        <f>"720314874700"</f>
        <v>720314874700</v>
      </c>
      <c r="B15676" t="s">
        <v>21753</v>
      </c>
      <c r="C15676" t="s">
        <v>7</v>
      </c>
      <c r="D15676" t="s">
        <v>14</v>
      </c>
      <c r="E15676" t="s">
        <v>21459</v>
      </c>
    </row>
    <row r="15677" spans="1:6" x14ac:dyDescent="0.25">
      <c r="A15677" t="str">
        <f>"720315459583"</f>
        <v>720315459583</v>
      </c>
      <c r="B15677" t="s">
        <v>21754</v>
      </c>
      <c r="C15677" t="s">
        <v>7</v>
      </c>
      <c r="D15677" t="s">
        <v>12</v>
      </c>
      <c r="E15677" t="s">
        <v>21459</v>
      </c>
    </row>
    <row r="15678" spans="1:6" x14ac:dyDescent="0.25">
      <c r="A15678" t="str">
        <f>"7203159783"</f>
        <v>7203159783</v>
      </c>
      <c r="B15678" t="s">
        <v>16489</v>
      </c>
      <c r="C15678" t="s">
        <v>7</v>
      </c>
      <c r="D15678" t="s">
        <v>12</v>
      </c>
      <c r="E15678" t="s">
        <v>21459</v>
      </c>
      <c r="F15678" t="s">
        <v>21755</v>
      </c>
    </row>
    <row r="15679" spans="1:6" x14ac:dyDescent="0.25">
      <c r="A15679" t="str">
        <f>"7203161888"</f>
        <v>7203161888</v>
      </c>
      <c r="B15679" t="s">
        <v>21756</v>
      </c>
      <c r="C15679" t="s">
        <v>7</v>
      </c>
      <c r="D15679" t="s">
        <v>12</v>
      </c>
      <c r="E15679" t="s">
        <v>21459</v>
      </c>
      <c r="F15679" t="s">
        <v>21757</v>
      </c>
    </row>
    <row r="15680" spans="1:6" x14ac:dyDescent="0.25">
      <c r="A15680" t="str">
        <f>"7203177341"</f>
        <v>7203177341</v>
      </c>
      <c r="B15680" t="s">
        <v>21758</v>
      </c>
      <c r="C15680" t="s">
        <v>7</v>
      </c>
      <c r="D15680" t="s">
        <v>12</v>
      </c>
      <c r="E15680" t="s">
        <v>21459</v>
      </c>
      <c r="F15680" t="s">
        <v>21759</v>
      </c>
    </row>
    <row r="15681" spans="1:6" x14ac:dyDescent="0.25">
      <c r="A15681" t="str">
        <f>"720319424976"</f>
        <v>720319424976</v>
      </c>
      <c r="B15681" t="s">
        <v>21760</v>
      </c>
      <c r="C15681" t="s">
        <v>7</v>
      </c>
      <c r="D15681" t="s">
        <v>12</v>
      </c>
      <c r="E15681" t="s">
        <v>21459</v>
      </c>
    </row>
    <row r="15682" spans="1:6" x14ac:dyDescent="0.25">
      <c r="A15682" t="str">
        <f>"7203255744"</f>
        <v>7203255744</v>
      </c>
      <c r="B15682" t="s">
        <v>21761</v>
      </c>
      <c r="C15682" t="s">
        <v>7</v>
      </c>
      <c r="D15682" t="s">
        <v>33</v>
      </c>
      <c r="E15682" t="s">
        <v>21459</v>
      </c>
      <c r="F15682" t="s">
        <v>21762</v>
      </c>
    </row>
    <row r="15683" spans="1:6" x14ac:dyDescent="0.25">
      <c r="A15683" t="str">
        <f>"7203278195"</f>
        <v>7203278195</v>
      </c>
      <c r="B15683" t="s">
        <v>21763</v>
      </c>
      <c r="C15683" t="s">
        <v>7</v>
      </c>
      <c r="D15683" t="s">
        <v>12</v>
      </c>
      <c r="E15683" t="s">
        <v>21459</v>
      </c>
      <c r="F15683" t="s">
        <v>21764</v>
      </c>
    </row>
    <row r="15684" spans="1:6" x14ac:dyDescent="0.25">
      <c r="A15684" t="str">
        <f>"7203298882"</f>
        <v>7203298882</v>
      </c>
      <c r="B15684" t="s">
        <v>21765</v>
      </c>
      <c r="C15684" t="s">
        <v>7</v>
      </c>
      <c r="D15684" t="s">
        <v>12</v>
      </c>
      <c r="E15684" t="s">
        <v>21459</v>
      </c>
      <c r="F15684" t="s">
        <v>21766</v>
      </c>
    </row>
    <row r="15685" spans="1:6" x14ac:dyDescent="0.25">
      <c r="A15685" t="str">
        <f>"7203327773"</f>
        <v>7203327773</v>
      </c>
      <c r="B15685" t="s">
        <v>21767</v>
      </c>
      <c r="C15685" t="s">
        <v>7</v>
      </c>
      <c r="D15685" t="s">
        <v>14</v>
      </c>
      <c r="E15685" t="s">
        <v>21459</v>
      </c>
      <c r="F15685" t="s">
        <v>21768</v>
      </c>
    </row>
    <row r="15686" spans="1:6" x14ac:dyDescent="0.25">
      <c r="A15686" t="str">
        <f>"7203341680"</f>
        <v>7203341680</v>
      </c>
      <c r="B15686" t="s">
        <v>3723</v>
      </c>
      <c r="C15686" t="s">
        <v>7</v>
      </c>
      <c r="D15686" t="s">
        <v>33</v>
      </c>
      <c r="E15686" t="s">
        <v>21459</v>
      </c>
      <c r="F15686" t="s">
        <v>21769</v>
      </c>
    </row>
    <row r="15687" spans="1:6" x14ac:dyDescent="0.25">
      <c r="A15687" t="str">
        <f>"7203345726"</f>
        <v>7203345726</v>
      </c>
      <c r="B15687" t="s">
        <v>3250</v>
      </c>
      <c r="C15687" t="s">
        <v>7</v>
      </c>
      <c r="D15687" t="s">
        <v>12</v>
      </c>
      <c r="E15687" t="s">
        <v>21459</v>
      </c>
      <c r="F15687" t="s">
        <v>21770</v>
      </c>
    </row>
    <row r="15688" spans="1:6" x14ac:dyDescent="0.25">
      <c r="A15688" t="str">
        <f>"7203350331"</f>
        <v>7203350331</v>
      </c>
      <c r="B15688" t="s">
        <v>21771</v>
      </c>
      <c r="C15688" t="s">
        <v>7</v>
      </c>
      <c r="D15688" t="s">
        <v>12</v>
      </c>
      <c r="E15688" t="s">
        <v>21459</v>
      </c>
      <c r="F15688" t="s">
        <v>21772</v>
      </c>
    </row>
    <row r="15689" spans="1:6" x14ac:dyDescent="0.25">
      <c r="A15689" t="str">
        <f>"7203356044"</f>
        <v>7203356044</v>
      </c>
      <c r="B15689" t="s">
        <v>21773</v>
      </c>
      <c r="C15689" t="s">
        <v>7</v>
      </c>
      <c r="D15689" t="s">
        <v>12</v>
      </c>
      <c r="E15689" t="s">
        <v>21459</v>
      </c>
      <c r="F15689" t="s">
        <v>21774</v>
      </c>
    </row>
    <row r="15690" spans="1:6" x14ac:dyDescent="0.25">
      <c r="A15690" t="str">
        <f>"7203371652"</f>
        <v>7203371652</v>
      </c>
      <c r="B15690" t="s">
        <v>21775</v>
      </c>
      <c r="C15690" t="s">
        <v>7</v>
      </c>
      <c r="D15690" t="s">
        <v>12</v>
      </c>
      <c r="E15690" t="s">
        <v>21459</v>
      </c>
      <c r="F15690" t="s">
        <v>21776</v>
      </c>
    </row>
    <row r="15691" spans="1:6" x14ac:dyDescent="0.25">
      <c r="A15691" t="str">
        <f>"7203378070"</f>
        <v>7203378070</v>
      </c>
      <c r="B15691" t="s">
        <v>21777</v>
      </c>
      <c r="C15691" t="s">
        <v>7</v>
      </c>
      <c r="D15691" t="s">
        <v>12</v>
      </c>
      <c r="E15691" t="s">
        <v>21459</v>
      </c>
      <c r="F15691" t="s">
        <v>21778</v>
      </c>
    </row>
    <row r="15692" spans="1:6" x14ac:dyDescent="0.25">
      <c r="A15692" t="str">
        <f>"7203395773"</f>
        <v>7203395773</v>
      </c>
      <c r="B15692" t="s">
        <v>18767</v>
      </c>
      <c r="C15692" t="s">
        <v>7</v>
      </c>
      <c r="D15692" t="s">
        <v>12</v>
      </c>
      <c r="E15692" t="s">
        <v>21459</v>
      </c>
      <c r="F15692" t="s">
        <v>21779</v>
      </c>
    </row>
    <row r="15693" spans="1:6" x14ac:dyDescent="0.25">
      <c r="A15693" t="str">
        <f>"7203407595"</f>
        <v>7203407595</v>
      </c>
      <c r="B15693" t="s">
        <v>21780</v>
      </c>
      <c r="C15693" t="s">
        <v>7</v>
      </c>
      <c r="D15693" t="s">
        <v>14</v>
      </c>
      <c r="E15693" t="s">
        <v>21459</v>
      </c>
      <c r="F15693" t="s">
        <v>21781</v>
      </c>
    </row>
    <row r="15694" spans="1:6" x14ac:dyDescent="0.25">
      <c r="A15694" t="str">
        <f>"7203420187"</f>
        <v>7203420187</v>
      </c>
      <c r="B15694" t="s">
        <v>21782</v>
      </c>
      <c r="C15694" t="s">
        <v>7</v>
      </c>
      <c r="D15694" t="s">
        <v>14</v>
      </c>
      <c r="E15694" t="s">
        <v>21459</v>
      </c>
      <c r="F15694" t="s">
        <v>21783</v>
      </c>
    </row>
    <row r="15695" spans="1:6" x14ac:dyDescent="0.25">
      <c r="A15695" t="str">
        <f>"7203421127"</f>
        <v>7203421127</v>
      </c>
      <c r="B15695" t="s">
        <v>21784</v>
      </c>
      <c r="C15695" t="s">
        <v>7</v>
      </c>
      <c r="D15695" t="s">
        <v>33</v>
      </c>
      <c r="E15695" t="s">
        <v>21459</v>
      </c>
      <c r="F15695" t="s">
        <v>21785</v>
      </c>
    </row>
    <row r="15696" spans="1:6" x14ac:dyDescent="0.25">
      <c r="A15696" t="str">
        <f>"7203423389"</f>
        <v>7203423389</v>
      </c>
      <c r="B15696" t="s">
        <v>21786</v>
      </c>
      <c r="C15696" t="s">
        <v>7</v>
      </c>
      <c r="D15696" t="s">
        <v>14</v>
      </c>
      <c r="E15696" t="s">
        <v>21459</v>
      </c>
      <c r="F15696" t="s">
        <v>21787</v>
      </c>
    </row>
    <row r="15697" spans="1:6" x14ac:dyDescent="0.25">
      <c r="A15697" t="str">
        <f>"7203456320"</f>
        <v>7203456320</v>
      </c>
      <c r="B15697" t="s">
        <v>21788</v>
      </c>
      <c r="C15697" t="s">
        <v>7</v>
      </c>
      <c r="D15697" t="s">
        <v>33</v>
      </c>
      <c r="E15697" t="s">
        <v>21459</v>
      </c>
      <c r="F15697" t="s">
        <v>21789</v>
      </c>
    </row>
    <row r="15698" spans="1:6" x14ac:dyDescent="0.25">
      <c r="A15698" t="str">
        <f>"7203468372"</f>
        <v>7203468372</v>
      </c>
      <c r="B15698" t="s">
        <v>21790</v>
      </c>
      <c r="C15698" t="s">
        <v>7</v>
      </c>
      <c r="D15698" t="s">
        <v>12</v>
      </c>
      <c r="E15698" t="s">
        <v>21459</v>
      </c>
      <c r="F15698" t="s">
        <v>21791</v>
      </c>
    </row>
    <row r="15699" spans="1:6" x14ac:dyDescent="0.25">
      <c r="A15699" t="str">
        <f>"7203480690"</f>
        <v>7203480690</v>
      </c>
      <c r="B15699" t="s">
        <v>21792</v>
      </c>
      <c r="C15699" t="s">
        <v>7</v>
      </c>
      <c r="D15699" t="s">
        <v>14</v>
      </c>
      <c r="E15699" t="s">
        <v>21459</v>
      </c>
      <c r="F15699" t="s">
        <v>21793</v>
      </c>
    </row>
    <row r="15700" spans="1:6" x14ac:dyDescent="0.25">
      <c r="A15700" t="str">
        <f>"7203497084"</f>
        <v>7203497084</v>
      </c>
      <c r="B15700" t="s">
        <v>21794</v>
      </c>
      <c r="C15700" t="s">
        <v>7</v>
      </c>
      <c r="D15700" t="s">
        <v>14</v>
      </c>
      <c r="E15700" t="s">
        <v>21459</v>
      </c>
      <c r="F15700" t="s">
        <v>21795</v>
      </c>
    </row>
    <row r="15701" spans="1:6" x14ac:dyDescent="0.25">
      <c r="A15701" t="str">
        <f>"7203502351"</f>
        <v>7203502351</v>
      </c>
      <c r="B15701" t="s">
        <v>21796</v>
      </c>
      <c r="C15701" t="s">
        <v>7</v>
      </c>
      <c r="D15701" t="s">
        <v>12</v>
      </c>
      <c r="E15701" t="s">
        <v>21459</v>
      </c>
      <c r="F15701" t="s">
        <v>21797</v>
      </c>
    </row>
    <row r="15702" spans="1:6" x14ac:dyDescent="0.25">
      <c r="A15702" t="str">
        <f>"7203506116"</f>
        <v>7203506116</v>
      </c>
      <c r="B15702" t="s">
        <v>21798</v>
      </c>
      <c r="C15702" t="s">
        <v>7</v>
      </c>
      <c r="D15702" t="s">
        <v>12</v>
      </c>
      <c r="E15702" t="s">
        <v>21459</v>
      </c>
      <c r="F15702" t="s">
        <v>21799</v>
      </c>
    </row>
    <row r="15703" spans="1:6" x14ac:dyDescent="0.25">
      <c r="A15703" t="str">
        <f>"7203511532"</f>
        <v>7203511532</v>
      </c>
      <c r="B15703" t="s">
        <v>3266</v>
      </c>
      <c r="C15703" t="s">
        <v>7</v>
      </c>
      <c r="D15703" t="s">
        <v>33</v>
      </c>
      <c r="E15703" t="s">
        <v>21459</v>
      </c>
      <c r="F15703" t="s">
        <v>21800</v>
      </c>
    </row>
    <row r="15704" spans="1:6" x14ac:dyDescent="0.25">
      <c r="A15704" t="str">
        <f>"7203520720"</f>
        <v>7203520720</v>
      </c>
      <c r="B15704" t="s">
        <v>21801</v>
      </c>
      <c r="C15704" t="s">
        <v>7</v>
      </c>
      <c r="D15704" t="s">
        <v>33</v>
      </c>
      <c r="E15704" t="s">
        <v>21459</v>
      </c>
      <c r="F15704" t="s">
        <v>21802</v>
      </c>
    </row>
    <row r="15705" spans="1:6" x14ac:dyDescent="0.25">
      <c r="A15705" t="str">
        <f>"7203539489"</f>
        <v>7203539489</v>
      </c>
      <c r="B15705" t="s">
        <v>21803</v>
      </c>
      <c r="C15705" t="s">
        <v>7</v>
      </c>
      <c r="D15705" t="s">
        <v>12</v>
      </c>
      <c r="E15705" t="s">
        <v>21459</v>
      </c>
      <c r="F15705" t="s">
        <v>21804</v>
      </c>
    </row>
    <row r="15706" spans="1:6" x14ac:dyDescent="0.25">
      <c r="A15706" t="str">
        <f>"7203543990"</f>
        <v>7203543990</v>
      </c>
      <c r="B15706" t="s">
        <v>21805</v>
      </c>
      <c r="C15706" t="s">
        <v>7</v>
      </c>
      <c r="D15706" t="s">
        <v>14</v>
      </c>
      <c r="E15706" t="s">
        <v>21459</v>
      </c>
      <c r="F15706" t="s">
        <v>21806</v>
      </c>
    </row>
    <row r="15707" spans="1:6" x14ac:dyDescent="0.25">
      <c r="A15707" t="str">
        <f>"7203555755"</f>
        <v>7203555755</v>
      </c>
      <c r="B15707" t="s">
        <v>21807</v>
      </c>
      <c r="C15707" t="s">
        <v>7</v>
      </c>
      <c r="D15707" t="s">
        <v>14</v>
      </c>
      <c r="E15707" t="s">
        <v>21459</v>
      </c>
      <c r="F15707" t="s">
        <v>21808</v>
      </c>
    </row>
    <row r="15708" spans="1:6" x14ac:dyDescent="0.25">
      <c r="A15708" t="str">
        <f>"7203561205"</f>
        <v>7203561205</v>
      </c>
      <c r="B15708" t="s">
        <v>21809</v>
      </c>
      <c r="C15708" t="s">
        <v>7</v>
      </c>
      <c r="D15708" t="s">
        <v>98</v>
      </c>
      <c r="E15708" t="s">
        <v>21459</v>
      </c>
      <c r="F15708" t="s">
        <v>21810</v>
      </c>
    </row>
    <row r="15709" spans="1:6" x14ac:dyDescent="0.25">
      <c r="A15709" t="str">
        <f>"7203568401"</f>
        <v>7203568401</v>
      </c>
      <c r="B15709" t="s">
        <v>21811</v>
      </c>
      <c r="C15709" t="s">
        <v>7</v>
      </c>
      <c r="D15709" t="s">
        <v>33</v>
      </c>
      <c r="E15709" t="s">
        <v>21459</v>
      </c>
      <c r="F15709" t="s">
        <v>21812</v>
      </c>
    </row>
    <row r="15710" spans="1:6" x14ac:dyDescent="0.25">
      <c r="A15710" t="str">
        <f>"7203573095"</f>
        <v>7203573095</v>
      </c>
      <c r="B15710" t="s">
        <v>21813</v>
      </c>
      <c r="C15710" t="s">
        <v>7</v>
      </c>
      <c r="D15710" t="s">
        <v>14</v>
      </c>
      <c r="E15710" t="s">
        <v>21459</v>
      </c>
      <c r="F15710" t="s">
        <v>21814</v>
      </c>
    </row>
    <row r="15711" spans="1:6" x14ac:dyDescent="0.25">
      <c r="A15711" t="str">
        <f>"7203577727"</f>
        <v>7203577727</v>
      </c>
      <c r="B15711" t="s">
        <v>21815</v>
      </c>
      <c r="C15711" t="s">
        <v>7</v>
      </c>
      <c r="D15711" t="s">
        <v>14</v>
      </c>
      <c r="E15711" t="s">
        <v>21459</v>
      </c>
      <c r="F15711" t="s">
        <v>21461</v>
      </c>
    </row>
    <row r="15712" spans="1:6" x14ac:dyDescent="0.25">
      <c r="A15712" t="str">
        <f>"720404275027"</f>
        <v>720404275027</v>
      </c>
      <c r="B15712" t="s">
        <v>21816</v>
      </c>
      <c r="C15712" t="s">
        <v>7</v>
      </c>
      <c r="D15712" t="s">
        <v>14</v>
      </c>
      <c r="E15712" t="s">
        <v>21459</v>
      </c>
    </row>
    <row r="15713" spans="1:6" x14ac:dyDescent="0.25">
      <c r="A15713" t="str">
        <f>"7204050210"</f>
        <v>7204050210</v>
      </c>
      <c r="B15713" t="s">
        <v>21817</v>
      </c>
      <c r="C15713" t="s">
        <v>7</v>
      </c>
      <c r="D15713" t="s">
        <v>12</v>
      </c>
      <c r="E15713" t="s">
        <v>21459</v>
      </c>
      <c r="F15713" t="s">
        <v>21818</v>
      </c>
    </row>
    <row r="15714" spans="1:6" x14ac:dyDescent="0.25">
      <c r="A15714" t="str">
        <f>"720405451290"</f>
        <v>720405451290</v>
      </c>
      <c r="B15714" t="s">
        <v>21819</v>
      </c>
      <c r="C15714" t="s">
        <v>7</v>
      </c>
      <c r="D15714" t="s">
        <v>14</v>
      </c>
      <c r="E15714" t="s">
        <v>21459</v>
      </c>
    </row>
    <row r="15715" spans="1:6" x14ac:dyDescent="0.25">
      <c r="A15715" t="str">
        <f>"720405555041"</f>
        <v>720405555041</v>
      </c>
      <c r="B15715" t="s">
        <v>21820</v>
      </c>
      <c r="C15715" t="s">
        <v>7</v>
      </c>
      <c r="D15715" t="s">
        <v>12</v>
      </c>
      <c r="E15715" t="s">
        <v>21459</v>
      </c>
    </row>
    <row r="15716" spans="1:6" x14ac:dyDescent="0.25">
      <c r="A15716" t="str">
        <f>"720413358618"</f>
        <v>720413358618</v>
      </c>
      <c r="B15716" t="s">
        <v>21821</v>
      </c>
      <c r="C15716" t="s">
        <v>7</v>
      </c>
      <c r="D15716" t="s">
        <v>12</v>
      </c>
      <c r="E15716" t="s">
        <v>21459</v>
      </c>
    </row>
    <row r="15717" spans="1:6" x14ac:dyDescent="0.25">
      <c r="A15717" t="str">
        <f>"720415277185"</f>
        <v>720415277185</v>
      </c>
      <c r="B15717" t="s">
        <v>21822</v>
      </c>
      <c r="C15717" t="s">
        <v>7</v>
      </c>
      <c r="D15717" t="s">
        <v>14</v>
      </c>
      <c r="E15717" t="s">
        <v>21459</v>
      </c>
    </row>
    <row r="15718" spans="1:6" x14ac:dyDescent="0.25">
      <c r="A15718" t="str">
        <f>"720415893120"</f>
        <v>720415893120</v>
      </c>
      <c r="B15718" t="s">
        <v>21823</v>
      </c>
      <c r="C15718" t="s">
        <v>7</v>
      </c>
      <c r="D15718" t="s">
        <v>14</v>
      </c>
      <c r="E15718" t="s">
        <v>21459</v>
      </c>
    </row>
    <row r="15719" spans="1:6" x14ac:dyDescent="0.25">
      <c r="A15719" t="str">
        <f>"7204186067"</f>
        <v>7204186067</v>
      </c>
      <c r="B15719" t="s">
        <v>21824</v>
      </c>
      <c r="C15719" t="s">
        <v>7</v>
      </c>
      <c r="D15719" t="s">
        <v>12</v>
      </c>
      <c r="E15719" t="s">
        <v>21459</v>
      </c>
      <c r="F15719" t="s">
        <v>21825</v>
      </c>
    </row>
    <row r="15720" spans="1:6" x14ac:dyDescent="0.25">
      <c r="A15720" t="str">
        <f>"720500335141"</f>
        <v>720500335141</v>
      </c>
      <c r="B15720" t="s">
        <v>21826</v>
      </c>
      <c r="C15720" t="s">
        <v>7</v>
      </c>
      <c r="D15720" t="s">
        <v>14</v>
      </c>
      <c r="E15720" t="s">
        <v>21459</v>
      </c>
    </row>
    <row r="15721" spans="1:6" x14ac:dyDescent="0.25">
      <c r="A15721" t="str">
        <f>"720501815207"</f>
        <v>720501815207</v>
      </c>
      <c r="B15721" t="s">
        <v>21827</v>
      </c>
      <c r="C15721" t="s">
        <v>7</v>
      </c>
      <c r="D15721" t="s">
        <v>14</v>
      </c>
      <c r="E15721" t="s">
        <v>21459</v>
      </c>
    </row>
    <row r="15722" spans="1:6" x14ac:dyDescent="0.25">
      <c r="A15722" t="str">
        <f>"7205022350"</f>
        <v>7205022350</v>
      </c>
      <c r="B15722" t="s">
        <v>21828</v>
      </c>
      <c r="C15722" t="s">
        <v>7</v>
      </c>
      <c r="D15722" t="s">
        <v>12</v>
      </c>
      <c r="E15722" t="s">
        <v>21459</v>
      </c>
      <c r="F15722" t="s">
        <v>21829</v>
      </c>
    </row>
    <row r="15723" spans="1:6" x14ac:dyDescent="0.25">
      <c r="A15723" t="str">
        <f>"720504511736"</f>
        <v>720504511736</v>
      </c>
      <c r="B15723" t="s">
        <v>21830</v>
      </c>
      <c r="C15723" t="s">
        <v>7</v>
      </c>
      <c r="D15723" t="s">
        <v>14</v>
      </c>
      <c r="E15723" t="s">
        <v>21459</v>
      </c>
    </row>
    <row r="15724" spans="1:6" x14ac:dyDescent="0.25">
      <c r="A15724" t="str">
        <f>"720507119397"</f>
        <v>720507119397</v>
      </c>
      <c r="B15724" t="s">
        <v>21831</v>
      </c>
      <c r="C15724" t="s">
        <v>7</v>
      </c>
      <c r="D15724" t="s">
        <v>14</v>
      </c>
      <c r="E15724" t="s">
        <v>21459</v>
      </c>
    </row>
    <row r="15725" spans="1:6" x14ac:dyDescent="0.25">
      <c r="A15725" t="str">
        <f>"720600183397"</f>
        <v>720600183397</v>
      </c>
      <c r="B15725" t="s">
        <v>21832</v>
      </c>
      <c r="C15725" t="s">
        <v>7</v>
      </c>
      <c r="D15725" t="s">
        <v>14</v>
      </c>
      <c r="E15725" t="s">
        <v>21459</v>
      </c>
    </row>
    <row r="15726" spans="1:6" x14ac:dyDescent="0.25">
      <c r="A15726" t="str">
        <f>"720600302622"</f>
        <v>720600302622</v>
      </c>
      <c r="B15726" t="s">
        <v>21833</v>
      </c>
      <c r="C15726" t="s">
        <v>7</v>
      </c>
      <c r="D15726" t="s">
        <v>14</v>
      </c>
      <c r="E15726" t="s">
        <v>21459</v>
      </c>
    </row>
    <row r="15727" spans="1:6" x14ac:dyDescent="0.25">
      <c r="A15727" t="str">
        <f>"7206003907"</f>
        <v>7206003907</v>
      </c>
      <c r="B15727" t="s">
        <v>21834</v>
      </c>
      <c r="C15727" t="s">
        <v>7</v>
      </c>
      <c r="D15727" t="s">
        <v>14</v>
      </c>
      <c r="E15727" t="s">
        <v>21459</v>
      </c>
      <c r="F15727" t="s">
        <v>21835</v>
      </c>
    </row>
    <row r="15728" spans="1:6" x14ac:dyDescent="0.25">
      <c r="A15728" t="str">
        <f>"720601919295"</f>
        <v>720601919295</v>
      </c>
      <c r="B15728" t="s">
        <v>21836</v>
      </c>
      <c r="C15728" t="s">
        <v>7</v>
      </c>
      <c r="D15728" t="s">
        <v>14</v>
      </c>
      <c r="E15728" t="s">
        <v>21459</v>
      </c>
    </row>
    <row r="15729" spans="1:6" x14ac:dyDescent="0.25">
      <c r="A15729" t="str">
        <f>"7206048834"</f>
        <v>7206048834</v>
      </c>
      <c r="B15729" t="s">
        <v>3282</v>
      </c>
      <c r="C15729" t="s">
        <v>7</v>
      </c>
      <c r="D15729" t="s">
        <v>12</v>
      </c>
      <c r="E15729" t="s">
        <v>21459</v>
      </c>
      <c r="F15729" t="s">
        <v>21837</v>
      </c>
    </row>
    <row r="15730" spans="1:6" x14ac:dyDescent="0.25">
      <c r="A15730" t="str">
        <f>"227001321431"</f>
        <v>227001321431</v>
      </c>
      <c r="B15730" t="s">
        <v>21838</v>
      </c>
      <c r="C15730" t="s">
        <v>7</v>
      </c>
      <c r="D15730" t="s">
        <v>14</v>
      </c>
      <c r="E15730" t="s">
        <v>21459</v>
      </c>
    </row>
    <row r="15731" spans="1:6" x14ac:dyDescent="0.25">
      <c r="A15731" t="str">
        <f>"5504123829"</f>
        <v>5504123829</v>
      </c>
      <c r="B15731" t="s">
        <v>21839</v>
      </c>
      <c r="C15731" t="s">
        <v>7</v>
      </c>
      <c r="D15731" t="s">
        <v>14</v>
      </c>
      <c r="E15731" t="s">
        <v>21459</v>
      </c>
      <c r="F15731" t="s">
        <v>21840</v>
      </c>
    </row>
    <row r="15732" spans="1:6" x14ac:dyDescent="0.25">
      <c r="A15732" t="str">
        <f>"553001676508"</f>
        <v>553001676508</v>
      </c>
      <c r="B15732" t="s">
        <v>21841</v>
      </c>
      <c r="C15732" t="s">
        <v>7</v>
      </c>
      <c r="D15732" t="s">
        <v>14</v>
      </c>
      <c r="E15732" t="s">
        <v>21459</v>
      </c>
    </row>
    <row r="15733" spans="1:6" x14ac:dyDescent="0.25">
      <c r="A15733" t="str">
        <f>"720605896218"</f>
        <v>720605896218</v>
      </c>
      <c r="B15733" t="s">
        <v>21842</v>
      </c>
      <c r="C15733" t="s">
        <v>7</v>
      </c>
      <c r="D15733" t="s">
        <v>14</v>
      </c>
      <c r="E15733" t="s">
        <v>21459</v>
      </c>
    </row>
    <row r="15734" spans="1:6" x14ac:dyDescent="0.25">
      <c r="A15734" t="str">
        <f>"720608546860"</f>
        <v>720608546860</v>
      </c>
      <c r="B15734" t="s">
        <v>21843</v>
      </c>
      <c r="C15734" t="s">
        <v>7</v>
      </c>
      <c r="D15734" t="s">
        <v>14</v>
      </c>
      <c r="E15734" t="s">
        <v>21459</v>
      </c>
    </row>
    <row r="15735" spans="1:6" x14ac:dyDescent="0.25">
      <c r="A15735" t="str">
        <f>"720609804803"</f>
        <v>720609804803</v>
      </c>
      <c r="B15735" t="s">
        <v>21844</v>
      </c>
      <c r="C15735" t="s">
        <v>7</v>
      </c>
      <c r="D15735" t="s">
        <v>14</v>
      </c>
      <c r="E15735" t="s">
        <v>21459</v>
      </c>
    </row>
    <row r="15736" spans="1:6" x14ac:dyDescent="0.25">
      <c r="A15736" t="str">
        <f>"720698386400"</f>
        <v>720698386400</v>
      </c>
      <c r="B15736" t="s">
        <v>21845</v>
      </c>
      <c r="C15736" t="s">
        <v>7</v>
      </c>
      <c r="D15736" t="s">
        <v>14</v>
      </c>
      <c r="E15736" t="s">
        <v>21459</v>
      </c>
    </row>
    <row r="15737" spans="1:6" x14ac:dyDescent="0.25">
      <c r="A15737" t="str">
        <f>"721300007307"</f>
        <v>721300007307</v>
      </c>
      <c r="B15737" t="s">
        <v>21846</v>
      </c>
      <c r="C15737" t="s">
        <v>7</v>
      </c>
      <c r="D15737" t="s">
        <v>12</v>
      </c>
      <c r="E15737" t="s">
        <v>21459</v>
      </c>
    </row>
    <row r="15738" spans="1:6" x14ac:dyDescent="0.25">
      <c r="A15738" t="str">
        <f>"721301567051"</f>
        <v>721301567051</v>
      </c>
      <c r="B15738" t="s">
        <v>21847</v>
      </c>
      <c r="C15738" t="s">
        <v>7</v>
      </c>
      <c r="D15738" t="s">
        <v>14</v>
      </c>
      <c r="E15738" t="s">
        <v>21459</v>
      </c>
    </row>
    <row r="15739" spans="1:6" x14ac:dyDescent="0.25">
      <c r="A15739" t="str">
        <f>"721400031448"</f>
        <v>721400031448</v>
      </c>
      <c r="B15739" t="s">
        <v>21848</v>
      </c>
      <c r="C15739" t="s">
        <v>7</v>
      </c>
      <c r="D15739" t="s">
        <v>14</v>
      </c>
      <c r="E15739" t="s">
        <v>21459</v>
      </c>
    </row>
    <row r="15740" spans="1:6" x14ac:dyDescent="0.25">
      <c r="A15740" t="str">
        <f>"721500011607"</f>
        <v>721500011607</v>
      </c>
      <c r="B15740" t="s">
        <v>21849</v>
      </c>
      <c r="C15740" t="s">
        <v>7</v>
      </c>
      <c r="D15740" t="s">
        <v>14</v>
      </c>
      <c r="E15740" t="s">
        <v>21459</v>
      </c>
    </row>
    <row r="15741" spans="1:6" x14ac:dyDescent="0.25">
      <c r="A15741" t="str">
        <f>"721500012664"</f>
        <v>721500012664</v>
      </c>
      <c r="B15741" t="s">
        <v>21850</v>
      </c>
      <c r="C15741" t="s">
        <v>7</v>
      </c>
      <c r="D15741" t="s">
        <v>14</v>
      </c>
      <c r="E15741" t="s">
        <v>21459</v>
      </c>
    </row>
    <row r="15742" spans="1:6" x14ac:dyDescent="0.25">
      <c r="A15742" t="str">
        <f>"721500017493"</f>
        <v>721500017493</v>
      </c>
      <c r="B15742" t="s">
        <v>21851</v>
      </c>
      <c r="C15742" t="s">
        <v>7</v>
      </c>
      <c r="D15742" t="s">
        <v>14</v>
      </c>
      <c r="E15742" t="s">
        <v>21459</v>
      </c>
    </row>
    <row r="15743" spans="1:6" x14ac:dyDescent="0.25">
      <c r="A15743" t="str">
        <f>"721500029509"</f>
        <v>721500029509</v>
      </c>
      <c r="B15743" t="s">
        <v>21852</v>
      </c>
      <c r="C15743" t="s">
        <v>7</v>
      </c>
      <c r="D15743" t="s">
        <v>14</v>
      </c>
      <c r="E15743" t="s">
        <v>21459</v>
      </c>
    </row>
    <row r="15744" spans="1:6" x14ac:dyDescent="0.25">
      <c r="A15744" t="str">
        <f>"7215001430"</f>
        <v>7215001430</v>
      </c>
      <c r="B15744" t="s">
        <v>13393</v>
      </c>
      <c r="C15744" t="s">
        <v>7</v>
      </c>
      <c r="D15744" t="s">
        <v>14</v>
      </c>
      <c r="E15744" t="s">
        <v>21459</v>
      </c>
      <c r="F15744" t="s">
        <v>21853</v>
      </c>
    </row>
    <row r="15745" spans="1:6" x14ac:dyDescent="0.25">
      <c r="A15745" t="str">
        <f>"721501256568"</f>
        <v>721501256568</v>
      </c>
      <c r="B15745" t="s">
        <v>21854</v>
      </c>
      <c r="C15745" t="s">
        <v>7</v>
      </c>
      <c r="D15745" t="s">
        <v>14</v>
      </c>
      <c r="E15745" t="s">
        <v>21459</v>
      </c>
    </row>
    <row r="15746" spans="1:6" x14ac:dyDescent="0.25">
      <c r="A15746" t="str">
        <f>"721501352455"</f>
        <v>721501352455</v>
      </c>
      <c r="B15746" t="s">
        <v>21855</v>
      </c>
      <c r="C15746" t="s">
        <v>7</v>
      </c>
      <c r="D15746" t="s">
        <v>14</v>
      </c>
      <c r="E15746" t="s">
        <v>21459</v>
      </c>
    </row>
    <row r="15747" spans="1:6" x14ac:dyDescent="0.25">
      <c r="A15747" t="str">
        <f>"721601986399"</f>
        <v>721601986399</v>
      </c>
      <c r="B15747" t="s">
        <v>21856</v>
      </c>
      <c r="C15747" t="s">
        <v>7</v>
      </c>
      <c r="D15747" t="s">
        <v>14</v>
      </c>
      <c r="E15747" t="s">
        <v>21459</v>
      </c>
    </row>
    <row r="15748" spans="1:6" x14ac:dyDescent="0.25">
      <c r="A15748" t="str">
        <f>"7217000087"</f>
        <v>7217000087</v>
      </c>
      <c r="B15748" t="s">
        <v>21857</v>
      </c>
      <c r="C15748" t="s">
        <v>7</v>
      </c>
      <c r="D15748" t="s">
        <v>14</v>
      </c>
      <c r="E15748" t="s">
        <v>21459</v>
      </c>
      <c r="F15748" t="s">
        <v>21858</v>
      </c>
    </row>
    <row r="15749" spans="1:6" x14ac:dyDescent="0.25">
      <c r="A15749" t="str">
        <f>"721800542976"</f>
        <v>721800542976</v>
      </c>
      <c r="B15749" t="s">
        <v>21859</v>
      </c>
      <c r="C15749" t="s">
        <v>7</v>
      </c>
      <c r="D15749" t="s">
        <v>14</v>
      </c>
      <c r="E15749" t="s">
        <v>21459</v>
      </c>
    </row>
    <row r="15750" spans="1:6" x14ac:dyDescent="0.25">
      <c r="A15750" t="str">
        <f>"7219010605"</f>
        <v>7219010605</v>
      </c>
      <c r="B15750" t="s">
        <v>21860</v>
      </c>
      <c r="C15750" t="s">
        <v>7</v>
      </c>
      <c r="D15750" t="s">
        <v>14</v>
      </c>
      <c r="E15750" t="s">
        <v>21459</v>
      </c>
      <c r="F15750" t="s">
        <v>21861</v>
      </c>
    </row>
    <row r="15751" spans="1:6" x14ac:dyDescent="0.25">
      <c r="A15751" t="str">
        <f>"7220098668"</f>
        <v>7220098668</v>
      </c>
      <c r="B15751" t="s">
        <v>21862</v>
      </c>
      <c r="C15751" t="s">
        <v>7</v>
      </c>
      <c r="D15751" t="s">
        <v>14</v>
      </c>
      <c r="E15751" t="s">
        <v>21459</v>
      </c>
      <c r="F15751" t="s">
        <v>21863</v>
      </c>
    </row>
    <row r="15752" spans="1:6" x14ac:dyDescent="0.25">
      <c r="A15752" t="str">
        <f>"722200136607"</f>
        <v>722200136607</v>
      </c>
      <c r="B15752" t="s">
        <v>21864</v>
      </c>
      <c r="C15752" t="s">
        <v>7</v>
      </c>
      <c r="D15752" t="s">
        <v>14</v>
      </c>
      <c r="E15752" t="s">
        <v>21459</v>
      </c>
    </row>
    <row r="15753" spans="1:6" x14ac:dyDescent="0.25">
      <c r="A15753" t="str">
        <f>"722201153651"</f>
        <v>722201153651</v>
      </c>
      <c r="B15753" t="s">
        <v>21865</v>
      </c>
      <c r="C15753" t="s">
        <v>7</v>
      </c>
      <c r="D15753" t="s">
        <v>14</v>
      </c>
      <c r="E15753" t="s">
        <v>21459</v>
      </c>
    </row>
    <row r="15754" spans="1:6" x14ac:dyDescent="0.25">
      <c r="A15754" t="str">
        <f>"722400559896"</f>
        <v>722400559896</v>
      </c>
      <c r="B15754" t="s">
        <v>21866</v>
      </c>
      <c r="C15754" t="s">
        <v>7</v>
      </c>
      <c r="D15754" t="s">
        <v>14</v>
      </c>
      <c r="E15754" t="s">
        <v>21459</v>
      </c>
    </row>
    <row r="15755" spans="1:6" x14ac:dyDescent="0.25">
      <c r="A15755" t="str">
        <f>"722406571339"</f>
        <v>722406571339</v>
      </c>
      <c r="B15755" t="s">
        <v>21867</v>
      </c>
      <c r="C15755" t="s">
        <v>7</v>
      </c>
      <c r="D15755" t="s">
        <v>14</v>
      </c>
      <c r="E15755" t="s">
        <v>21459</v>
      </c>
    </row>
    <row r="15756" spans="1:6" x14ac:dyDescent="0.25">
      <c r="A15756" t="str">
        <f>"7224085564"</f>
        <v>7224085564</v>
      </c>
      <c r="B15756" t="s">
        <v>21868</v>
      </c>
      <c r="C15756" t="s">
        <v>7</v>
      </c>
      <c r="D15756" t="s">
        <v>33</v>
      </c>
      <c r="E15756" t="s">
        <v>21459</v>
      </c>
      <c r="F15756" t="s">
        <v>21695</v>
      </c>
    </row>
    <row r="15757" spans="1:6" x14ac:dyDescent="0.25">
      <c r="A15757" t="str">
        <f>"7224094093"</f>
        <v>7224094093</v>
      </c>
      <c r="B15757" t="s">
        <v>21869</v>
      </c>
      <c r="C15757" t="s">
        <v>7</v>
      </c>
      <c r="D15757" t="s">
        <v>14</v>
      </c>
      <c r="E15757" t="s">
        <v>21459</v>
      </c>
      <c r="F15757" t="s">
        <v>21870</v>
      </c>
    </row>
    <row r="15758" spans="1:6" x14ac:dyDescent="0.25">
      <c r="A15758" t="str">
        <f>"722409739572"</f>
        <v>722409739572</v>
      </c>
      <c r="B15758" t="s">
        <v>21871</v>
      </c>
      <c r="C15758" t="s">
        <v>7</v>
      </c>
      <c r="D15758" t="s">
        <v>12</v>
      </c>
      <c r="E15758" t="s">
        <v>21459</v>
      </c>
    </row>
    <row r="15759" spans="1:6" x14ac:dyDescent="0.25">
      <c r="A15759" t="str">
        <f>"722600831806"</f>
        <v>722600831806</v>
      </c>
      <c r="B15759" t="s">
        <v>21872</v>
      </c>
      <c r="C15759" t="s">
        <v>7</v>
      </c>
      <c r="D15759" t="s">
        <v>14</v>
      </c>
      <c r="E15759" t="s">
        <v>21459</v>
      </c>
    </row>
    <row r="15760" spans="1:6" x14ac:dyDescent="0.25">
      <c r="A15760" t="str">
        <f>"722601804107"</f>
        <v>722601804107</v>
      </c>
      <c r="B15760" t="s">
        <v>21873</v>
      </c>
      <c r="C15760" t="s">
        <v>7</v>
      </c>
      <c r="D15760" t="s">
        <v>14</v>
      </c>
      <c r="E15760" t="s">
        <v>21459</v>
      </c>
    </row>
    <row r="15761" spans="1:6" x14ac:dyDescent="0.25">
      <c r="A15761" t="str">
        <f>"722900008978"</f>
        <v>722900008978</v>
      </c>
      <c r="B15761" t="s">
        <v>21874</v>
      </c>
      <c r="C15761" t="s">
        <v>7</v>
      </c>
      <c r="D15761" t="s">
        <v>14</v>
      </c>
      <c r="E15761" t="s">
        <v>21459</v>
      </c>
    </row>
    <row r="15762" spans="1:6" x14ac:dyDescent="0.25">
      <c r="A15762" t="str">
        <f>"723006131656"</f>
        <v>723006131656</v>
      </c>
      <c r="B15762" t="s">
        <v>21875</v>
      </c>
      <c r="C15762" t="s">
        <v>7</v>
      </c>
      <c r="D15762" t="s">
        <v>12</v>
      </c>
      <c r="E15762" t="s">
        <v>21459</v>
      </c>
    </row>
    <row r="15763" spans="1:6" x14ac:dyDescent="0.25">
      <c r="A15763" t="str">
        <f>"661102108031"</f>
        <v>661102108031</v>
      </c>
      <c r="B15763" t="s">
        <v>21876</v>
      </c>
      <c r="C15763" t="s">
        <v>7</v>
      </c>
      <c r="D15763" t="s">
        <v>14</v>
      </c>
      <c r="E15763" t="s">
        <v>21459</v>
      </c>
    </row>
    <row r="15764" spans="1:6" x14ac:dyDescent="0.25">
      <c r="A15764" t="str">
        <f>"745503580954"</f>
        <v>745503580954</v>
      </c>
      <c r="B15764" t="s">
        <v>21877</v>
      </c>
      <c r="C15764" t="s">
        <v>7</v>
      </c>
      <c r="D15764" t="s">
        <v>14</v>
      </c>
      <c r="E15764" t="s">
        <v>21459</v>
      </c>
    </row>
    <row r="15765" spans="1:6" x14ac:dyDescent="0.25">
      <c r="A15765" t="str">
        <f>"7202191128"</f>
        <v>7202191128</v>
      </c>
      <c r="B15765" t="s">
        <v>21878</v>
      </c>
      <c r="C15765" t="s">
        <v>7</v>
      </c>
      <c r="D15765" t="s">
        <v>460</v>
      </c>
      <c r="E15765" t="s">
        <v>21459</v>
      </c>
      <c r="F15765" t="s">
        <v>21740</v>
      </c>
    </row>
    <row r="15766" spans="1:6" x14ac:dyDescent="0.25">
      <c r="A15766" t="str">
        <f>"720302205486"</f>
        <v>720302205486</v>
      </c>
      <c r="B15766" t="s">
        <v>21879</v>
      </c>
      <c r="C15766" t="s">
        <v>7</v>
      </c>
      <c r="D15766" t="s">
        <v>12</v>
      </c>
      <c r="E15766" t="s">
        <v>21459</v>
      </c>
    </row>
    <row r="15767" spans="1:6" x14ac:dyDescent="0.25">
      <c r="A15767" t="str">
        <f>"720303187053"</f>
        <v>720303187053</v>
      </c>
      <c r="B15767" t="s">
        <v>21880</v>
      </c>
      <c r="C15767" t="s">
        <v>7</v>
      </c>
      <c r="D15767" t="s">
        <v>14</v>
      </c>
      <c r="E15767" t="s">
        <v>21459</v>
      </c>
    </row>
    <row r="15768" spans="1:6" x14ac:dyDescent="0.25">
      <c r="A15768" t="str">
        <f>"7203183602"</f>
        <v>7203183602</v>
      </c>
      <c r="B15768" t="s">
        <v>21881</v>
      </c>
      <c r="C15768" t="s">
        <v>7</v>
      </c>
      <c r="D15768" t="s">
        <v>33</v>
      </c>
      <c r="E15768" t="s">
        <v>21459</v>
      </c>
      <c r="F15768" t="s">
        <v>21882</v>
      </c>
    </row>
    <row r="15769" spans="1:6" x14ac:dyDescent="0.25">
      <c r="A15769" t="str">
        <f>"7203455038"</f>
        <v>7203455038</v>
      </c>
      <c r="B15769" t="s">
        <v>21883</v>
      </c>
      <c r="C15769" t="s">
        <v>7</v>
      </c>
      <c r="D15769" t="s">
        <v>8</v>
      </c>
      <c r="E15769" t="s">
        <v>21459</v>
      </c>
      <c r="F15769" t="s">
        <v>21884</v>
      </c>
    </row>
    <row r="15770" spans="1:6" x14ac:dyDescent="0.25">
      <c r="A15770" t="str">
        <f>"7203475820"</f>
        <v>7203475820</v>
      </c>
      <c r="B15770" t="s">
        <v>21885</v>
      </c>
      <c r="C15770" t="s">
        <v>7</v>
      </c>
      <c r="D15770" t="s">
        <v>14</v>
      </c>
      <c r="E15770" t="s">
        <v>21459</v>
      </c>
      <c r="F15770" t="s">
        <v>21886</v>
      </c>
    </row>
    <row r="15771" spans="1:6" x14ac:dyDescent="0.25">
      <c r="A15771" t="str">
        <f>"7203483596"</f>
        <v>7203483596</v>
      </c>
      <c r="B15771" t="s">
        <v>21887</v>
      </c>
      <c r="C15771" t="s">
        <v>7</v>
      </c>
      <c r="D15771" t="s">
        <v>33</v>
      </c>
      <c r="E15771" t="s">
        <v>21459</v>
      </c>
      <c r="F15771" t="s">
        <v>21888</v>
      </c>
    </row>
    <row r="15772" spans="1:6" x14ac:dyDescent="0.25">
      <c r="A15772" t="str">
        <f>"7203522301"</f>
        <v>7203522301</v>
      </c>
      <c r="B15772" t="s">
        <v>21889</v>
      </c>
      <c r="C15772" t="s">
        <v>7</v>
      </c>
      <c r="D15772" t="s">
        <v>12</v>
      </c>
      <c r="E15772" t="s">
        <v>21459</v>
      </c>
      <c r="F15772" t="s">
        <v>21890</v>
      </c>
    </row>
    <row r="15773" spans="1:6" x14ac:dyDescent="0.25">
      <c r="A15773" t="str">
        <f>"660309023015"</f>
        <v>660309023015</v>
      </c>
      <c r="B15773" t="s">
        <v>21891</v>
      </c>
      <c r="C15773" t="s">
        <v>7</v>
      </c>
      <c r="D15773" t="s">
        <v>14</v>
      </c>
      <c r="E15773" t="s">
        <v>21459</v>
      </c>
    </row>
    <row r="15774" spans="1:6" x14ac:dyDescent="0.25">
      <c r="A15774" t="str">
        <f>"860204054942"</f>
        <v>860204054942</v>
      </c>
      <c r="B15774" t="s">
        <v>21892</v>
      </c>
      <c r="C15774" t="s">
        <v>7</v>
      </c>
      <c r="D15774" t="s">
        <v>33</v>
      </c>
      <c r="E15774" t="s">
        <v>21459</v>
      </c>
    </row>
    <row r="15775" spans="1:6" x14ac:dyDescent="0.25">
      <c r="A15775" t="str">
        <f>"860222419258"</f>
        <v>860222419258</v>
      </c>
      <c r="B15775" t="s">
        <v>21893</v>
      </c>
      <c r="C15775" t="s">
        <v>7</v>
      </c>
      <c r="D15775" t="s">
        <v>14</v>
      </c>
      <c r="E15775" t="s">
        <v>21459</v>
      </c>
    </row>
    <row r="15776" spans="1:6" x14ac:dyDescent="0.25">
      <c r="A15776" t="str">
        <f>"860308254417"</f>
        <v>860308254417</v>
      </c>
      <c r="B15776" t="s">
        <v>21894</v>
      </c>
      <c r="C15776" t="s">
        <v>7</v>
      </c>
      <c r="D15776" t="s">
        <v>14</v>
      </c>
      <c r="E15776" t="s">
        <v>21459</v>
      </c>
    </row>
    <row r="15777" spans="1:6" x14ac:dyDescent="0.25">
      <c r="A15777" t="str">
        <f>"860503775269"</f>
        <v>860503775269</v>
      </c>
      <c r="B15777" t="s">
        <v>21895</v>
      </c>
      <c r="C15777" t="s">
        <v>7</v>
      </c>
      <c r="D15777" t="s">
        <v>14</v>
      </c>
      <c r="E15777" t="s">
        <v>21459</v>
      </c>
    </row>
    <row r="15778" spans="1:6" x14ac:dyDescent="0.25">
      <c r="A15778" t="str">
        <f>"143527973351"</f>
        <v>143527973351</v>
      </c>
      <c r="B15778" t="s">
        <v>21896</v>
      </c>
      <c r="C15778" t="s">
        <v>7</v>
      </c>
      <c r="D15778" t="s">
        <v>14</v>
      </c>
      <c r="E15778" t="s">
        <v>21459</v>
      </c>
    </row>
    <row r="15779" spans="1:6" x14ac:dyDescent="0.25">
      <c r="A15779" t="str">
        <f>"860329725473"</f>
        <v>860329725473</v>
      </c>
      <c r="B15779" t="s">
        <v>21897</v>
      </c>
      <c r="C15779" t="s">
        <v>7</v>
      </c>
      <c r="D15779" t="s">
        <v>14</v>
      </c>
      <c r="E15779" t="s">
        <v>21459</v>
      </c>
    </row>
    <row r="15780" spans="1:6" x14ac:dyDescent="0.25">
      <c r="A15780" t="str">
        <f>"7205029395"</f>
        <v>7205029395</v>
      </c>
      <c r="B15780" t="s">
        <v>21898</v>
      </c>
      <c r="C15780" t="s">
        <v>7</v>
      </c>
      <c r="D15780" t="s">
        <v>14</v>
      </c>
      <c r="E15780" t="s">
        <v>21459</v>
      </c>
      <c r="F15780" t="s">
        <v>21899</v>
      </c>
    </row>
    <row r="15781" spans="1:6" x14ac:dyDescent="0.25">
      <c r="A15781" t="str">
        <f>"720700023453"</f>
        <v>720700023453</v>
      </c>
      <c r="B15781" t="s">
        <v>21900</v>
      </c>
      <c r="C15781" t="s">
        <v>7</v>
      </c>
      <c r="D15781" t="s">
        <v>14</v>
      </c>
      <c r="E15781" t="s">
        <v>21459</v>
      </c>
    </row>
    <row r="15782" spans="1:6" x14ac:dyDescent="0.25">
      <c r="A15782" t="str">
        <f>"720700812592"</f>
        <v>720700812592</v>
      </c>
      <c r="B15782" t="s">
        <v>21901</v>
      </c>
      <c r="C15782" t="s">
        <v>7</v>
      </c>
      <c r="D15782" t="s">
        <v>12</v>
      </c>
      <c r="E15782" t="s">
        <v>21459</v>
      </c>
    </row>
    <row r="15783" spans="1:6" x14ac:dyDescent="0.25">
      <c r="A15783" t="str">
        <f>"720704809209"</f>
        <v>720704809209</v>
      </c>
      <c r="B15783" t="s">
        <v>21902</v>
      </c>
      <c r="C15783" t="s">
        <v>7</v>
      </c>
      <c r="D15783" t="s">
        <v>14</v>
      </c>
      <c r="E15783" t="s">
        <v>21459</v>
      </c>
    </row>
    <row r="15784" spans="1:6" x14ac:dyDescent="0.25">
      <c r="A15784" t="str">
        <f>"721402249619"</f>
        <v>721402249619</v>
      </c>
      <c r="B15784" t="s">
        <v>21903</v>
      </c>
      <c r="C15784" t="s">
        <v>7</v>
      </c>
      <c r="D15784" t="s">
        <v>14</v>
      </c>
      <c r="E15784" t="s">
        <v>21459</v>
      </c>
    </row>
    <row r="15785" spans="1:6" x14ac:dyDescent="0.25">
      <c r="A15785" t="str">
        <f>"722300223109"</f>
        <v>722300223109</v>
      </c>
      <c r="B15785" t="s">
        <v>21904</v>
      </c>
      <c r="C15785" t="s">
        <v>7</v>
      </c>
      <c r="D15785" t="s">
        <v>14</v>
      </c>
      <c r="E15785" t="s">
        <v>21459</v>
      </c>
    </row>
    <row r="15786" spans="1:6" x14ac:dyDescent="0.25">
      <c r="A15786" t="str">
        <f>"7224081369"</f>
        <v>7224081369</v>
      </c>
      <c r="B15786" t="s">
        <v>21905</v>
      </c>
      <c r="C15786" t="s">
        <v>7</v>
      </c>
      <c r="D15786" t="s">
        <v>1430</v>
      </c>
      <c r="E15786" t="s">
        <v>21459</v>
      </c>
      <c r="F15786" t="s">
        <v>21906</v>
      </c>
    </row>
    <row r="15787" spans="1:6" x14ac:dyDescent="0.25">
      <c r="A15787" t="str">
        <f>"722500043103"</f>
        <v>722500043103</v>
      </c>
      <c r="B15787" t="s">
        <v>21907</v>
      </c>
      <c r="C15787" t="s">
        <v>7</v>
      </c>
      <c r="D15787" t="s">
        <v>14</v>
      </c>
      <c r="E15787" t="s">
        <v>21459</v>
      </c>
    </row>
    <row r="15788" spans="1:6" x14ac:dyDescent="0.25">
      <c r="A15788" t="str">
        <f>"7225003941"</f>
        <v>7225003941</v>
      </c>
      <c r="B15788" t="s">
        <v>21908</v>
      </c>
      <c r="C15788" t="s">
        <v>7</v>
      </c>
      <c r="D15788" t="s">
        <v>189</v>
      </c>
      <c r="E15788" t="s">
        <v>21459</v>
      </c>
      <c r="F15788" t="s">
        <v>21909</v>
      </c>
    </row>
    <row r="15789" spans="1:6" x14ac:dyDescent="0.25">
      <c r="A15789" t="str">
        <f>"722700324990"</f>
        <v>722700324990</v>
      </c>
      <c r="B15789" t="s">
        <v>21910</v>
      </c>
      <c r="C15789" t="s">
        <v>7</v>
      </c>
      <c r="D15789" t="s">
        <v>14</v>
      </c>
      <c r="E15789" t="s">
        <v>21459</v>
      </c>
    </row>
    <row r="15790" spans="1:6" x14ac:dyDescent="0.25">
      <c r="A15790" t="str">
        <f>"723008265197"</f>
        <v>723008265197</v>
      </c>
      <c r="B15790" t="s">
        <v>21911</v>
      </c>
      <c r="C15790" t="s">
        <v>7</v>
      </c>
      <c r="D15790" t="s">
        <v>12</v>
      </c>
      <c r="E15790" t="s">
        <v>21459</v>
      </c>
    </row>
    <row r="15791" spans="1:6" x14ac:dyDescent="0.25">
      <c r="A15791" t="str">
        <f>"160901366428"</f>
        <v>160901366428</v>
      </c>
      <c r="B15791" t="s">
        <v>21912</v>
      </c>
      <c r="C15791" t="s">
        <v>7</v>
      </c>
      <c r="D15791" t="s">
        <v>12</v>
      </c>
      <c r="E15791" t="s">
        <v>21459</v>
      </c>
    </row>
    <row r="15792" spans="1:6" x14ac:dyDescent="0.25">
      <c r="A15792" t="str">
        <f>"7705838531"</f>
        <v>7705838531</v>
      </c>
      <c r="B15792" t="s">
        <v>21913</v>
      </c>
      <c r="C15792" t="s">
        <v>7</v>
      </c>
      <c r="D15792" t="s">
        <v>14</v>
      </c>
      <c r="E15792" t="s">
        <v>21459</v>
      </c>
      <c r="F15792" t="s">
        <v>21914</v>
      </c>
    </row>
    <row r="15793" spans="1:6" x14ac:dyDescent="0.25">
      <c r="A15793" t="str">
        <f>"861801069687"</f>
        <v>861801069687</v>
      </c>
      <c r="B15793" t="s">
        <v>21915</v>
      </c>
      <c r="C15793" t="s">
        <v>7</v>
      </c>
      <c r="D15793" t="s">
        <v>14</v>
      </c>
      <c r="E15793" t="s">
        <v>21459</v>
      </c>
    </row>
    <row r="15794" spans="1:6" x14ac:dyDescent="0.25">
      <c r="A15794" t="str">
        <f>"890102309171"</f>
        <v>890102309171</v>
      </c>
      <c r="B15794" t="s">
        <v>21916</v>
      </c>
      <c r="C15794" t="s">
        <v>7</v>
      </c>
      <c r="D15794" t="s">
        <v>14</v>
      </c>
      <c r="E15794" t="s">
        <v>21459</v>
      </c>
    </row>
    <row r="15795" spans="1:6" x14ac:dyDescent="0.25">
      <c r="A15795" t="str">
        <f>"890202421716"</f>
        <v>890202421716</v>
      </c>
      <c r="B15795" t="s">
        <v>21917</v>
      </c>
      <c r="C15795" t="s">
        <v>7</v>
      </c>
      <c r="D15795" t="s">
        <v>14</v>
      </c>
      <c r="E15795" t="s">
        <v>21459</v>
      </c>
    </row>
    <row r="15796" spans="1:6" x14ac:dyDescent="0.25">
      <c r="A15796" t="str">
        <f>"890508237440"</f>
        <v>890508237440</v>
      </c>
      <c r="B15796" t="s">
        <v>21918</v>
      </c>
      <c r="C15796" t="s">
        <v>7</v>
      </c>
      <c r="D15796" t="s">
        <v>14</v>
      </c>
      <c r="E15796" t="s">
        <v>21459</v>
      </c>
    </row>
    <row r="15797" spans="1:6" x14ac:dyDescent="0.25">
      <c r="A15797" t="str">
        <f>"862100324980"</f>
        <v>862100324980</v>
      </c>
      <c r="B15797" t="s">
        <v>21919</v>
      </c>
      <c r="C15797" t="s">
        <v>7</v>
      </c>
      <c r="D15797" t="s">
        <v>12</v>
      </c>
      <c r="E15797" t="s">
        <v>21459</v>
      </c>
    </row>
    <row r="15798" spans="1:6" x14ac:dyDescent="0.25">
      <c r="A15798" t="str">
        <f>"890500104423"</f>
        <v>890500104423</v>
      </c>
      <c r="B15798" t="s">
        <v>21920</v>
      </c>
      <c r="C15798" t="s">
        <v>7</v>
      </c>
      <c r="D15798" t="s">
        <v>12</v>
      </c>
      <c r="E15798" t="s">
        <v>21459</v>
      </c>
    </row>
    <row r="15799" spans="1:6" x14ac:dyDescent="0.25">
      <c r="A15799" t="str">
        <f>"890508490121"</f>
        <v>890508490121</v>
      </c>
      <c r="B15799" t="s">
        <v>21921</v>
      </c>
      <c r="C15799" t="s">
        <v>7</v>
      </c>
      <c r="D15799" t="s">
        <v>14</v>
      </c>
      <c r="E15799" t="s">
        <v>21459</v>
      </c>
    </row>
    <row r="15800" spans="1:6" x14ac:dyDescent="0.25">
      <c r="A15800" t="str">
        <f>"861002788903"</f>
        <v>861002788903</v>
      </c>
      <c r="B15800" t="s">
        <v>21922</v>
      </c>
      <c r="C15800" t="s">
        <v>7</v>
      </c>
      <c r="D15800" t="s">
        <v>12</v>
      </c>
      <c r="E15800" t="s">
        <v>21459</v>
      </c>
    </row>
    <row r="15801" spans="1:6" x14ac:dyDescent="0.25">
      <c r="A15801" t="str">
        <f>"665406579463"</f>
        <v>665406579463</v>
      </c>
      <c r="B15801" t="s">
        <v>21923</v>
      </c>
      <c r="C15801" t="s">
        <v>7</v>
      </c>
      <c r="D15801" t="s">
        <v>12</v>
      </c>
      <c r="E15801" t="s">
        <v>21459</v>
      </c>
    </row>
    <row r="15802" spans="1:6" x14ac:dyDescent="0.25">
      <c r="A15802" t="str">
        <f>"665407157182"</f>
        <v>665407157182</v>
      </c>
      <c r="B15802" t="s">
        <v>21924</v>
      </c>
      <c r="C15802" t="s">
        <v>7</v>
      </c>
      <c r="D15802" t="s">
        <v>12</v>
      </c>
      <c r="E15802" t="s">
        <v>21459</v>
      </c>
    </row>
    <row r="15803" spans="1:6" x14ac:dyDescent="0.25">
      <c r="A15803" t="str">
        <f>"6681001362"</f>
        <v>6681001362</v>
      </c>
      <c r="B15803" t="s">
        <v>21925</v>
      </c>
      <c r="C15803" t="s">
        <v>7</v>
      </c>
      <c r="D15803" t="s">
        <v>14</v>
      </c>
      <c r="E15803" t="s">
        <v>21459</v>
      </c>
      <c r="F15803" t="s">
        <v>21926</v>
      </c>
    </row>
    <row r="15804" spans="1:6" x14ac:dyDescent="0.25">
      <c r="A15804" t="str">
        <f>"891313085973"</f>
        <v>891313085973</v>
      </c>
      <c r="B15804" t="s">
        <v>21927</v>
      </c>
      <c r="C15804" t="s">
        <v>7</v>
      </c>
      <c r="D15804" t="s">
        <v>12</v>
      </c>
      <c r="E15804" t="s">
        <v>21459</v>
      </c>
    </row>
    <row r="15805" spans="1:6" x14ac:dyDescent="0.25">
      <c r="A15805" t="str">
        <f>"598102674276"</f>
        <v>598102674276</v>
      </c>
      <c r="B15805" t="s">
        <v>21928</v>
      </c>
      <c r="C15805" t="s">
        <v>7</v>
      </c>
      <c r="D15805" t="s">
        <v>12</v>
      </c>
      <c r="E15805" t="s">
        <v>21459</v>
      </c>
    </row>
    <row r="15806" spans="1:6" x14ac:dyDescent="0.25">
      <c r="A15806" t="str">
        <f>"890400053302"</f>
        <v>890400053302</v>
      </c>
      <c r="B15806" t="s">
        <v>21929</v>
      </c>
      <c r="C15806" t="s">
        <v>7</v>
      </c>
      <c r="D15806" t="s">
        <v>14</v>
      </c>
      <c r="E15806" t="s">
        <v>21459</v>
      </c>
    </row>
    <row r="15807" spans="1:6" x14ac:dyDescent="0.25">
      <c r="A15807" t="str">
        <f>"7736348625"</f>
        <v>7736348625</v>
      </c>
      <c r="B15807" t="s">
        <v>21930</v>
      </c>
      <c r="C15807" t="s">
        <v>7</v>
      </c>
      <c r="D15807" t="s">
        <v>14</v>
      </c>
      <c r="E15807" t="s">
        <v>21931</v>
      </c>
      <c r="F15807" t="s">
        <v>21932</v>
      </c>
    </row>
    <row r="15808" spans="1:6" x14ac:dyDescent="0.25">
      <c r="A15808" t="str">
        <f>"6324087669"</f>
        <v>6324087669</v>
      </c>
      <c r="B15808" t="s">
        <v>21933</v>
      </c>
      <c r="C15808" t="s">
        <v>7</v>
      </c>
      <c r="D15808" t="s">
        <v>146</v>
      </c>
      <c r="E15808" t="s">
        <v>21931</v>
      </c>
      <c r="F15808" t="s">
        <v>21934</v>
      </c>
    </row>
    <row r="15809" spans="1:6" x14ac:dyDescent="0.25">
      <c r="A15809" t="str">
        <f>"6325036152"</f>
        <v>6325036152</v>
      </c>
      <c r="B15809" t="s">
        <v>21935</v>
      </c>
      <c r="C15809" t="s">
        <v>7</v>
      </c>
      <c r="D15809" t="s">
        <v>12</v>
      </c>
      <c r="E15809" t="s">
        <v>21931</v>
      </c>
      <c r="F15809" t="s">
        <v>21936</v>
      </c>
    </row>
    <row r="15810" spans="1:6" x14ac:dyDescent="0.25">
      <c r="A15810" t="str">
        <f>"7300020931"</f>
        <v>7300020931</v>
      </c>
      <c r="B15810" t="s">
        <v>21937</v>
      </c>
      <c r="C15810" t="s">
        <v>7</v>
      </c>
      <c r="D15810" t="s">
        <v>14</v>
      </c>
      <c r="E15810" t="s">
        <v>21931</v>
      </c>
      <c r="F15810" t="s">
        <v>21938</v>
      </c>
    </row>
    <row r="15811" spans="1:6" x14ac:dyDescent="0.25">
      <c r="A15811" t="str">
        <f>"7300025175"</f>
        <v>7300025175</v>
      </c>
      <c r="B15811" t="s">
        <v>21939</v>
      </c>
      <c r="C15811" t="s">
        <v>7</v>
      </c>
      <c r="D15811" t="s">
        <v>14</v>
      </c>
      <c r="E15811" t="s">
        <v>21931</v>
      </c>
      <c r="F15811" t="s">
        <v>21940</v>
      </c>
    </row>
    <row r="15812" spans="1:6" x14ac:dyDescent="0.25">
      <c r="A15812" t="str">
        <f>"730100882690"</f>
        <v>730100882690</v>
      </c>
      <c r="B15812" t="s">
        <v>21941</v>
      </c>
      <c r="C15812" t="s">
        <v>7</v>
      </c>
      <c r="D15812" t="s">
        <v>14</v>
      </c>
      <c r="E15812" t="s">
        <v>21931</v>
      </c>
    </row>
    <row r="15813" spans="1:6" x14ac:dyDescent="0.25">
      <c r="A15813" t="str">
        <f>"730291935565"</f>
        <v>730291935565</v>
      </c>
      <c r="B15813" t="s">
        <v>21942</v>
      </c>
      <c r="C15813" t="s">
        <v>7</v>
      </c>
      <c r="D15813" t="s">
        <v>12</v>
      </c>
      <c r="E15813" t="s">
        <v>21931</v>
      </c>
    </row>
    <row r="15814" spans="1:6" x14ac:dyDescent="0.25">
      <c r="A15814" t="str">
        <f>"730502155870"</f>
        <v>730502155870</v>
      </c>
      <c r="B15814" t="s">
        <v>21943</v>
      </c>
      <c r="C15814" t="s">
        <v>7</v>
      </c>
      <c r="D15814" t="s">
        <v>14</v>
      </c>
      <c r="E15814" t="s">
        <v>21931</v>
      </c>
    </row>
    <row r="15815" spans="1:6" x14ac:dyDescent="0.25">
      <c r="A15815" t="str">
        <f>"7311003470"</f>
        <v>7311003470</v>
      </c>
      <c r="B15815" t="s">
        <v>21944</v>
      </c>
      <c r="C15815" t="s">
        <v>7</v>
      </c>
      <c r="D15815" t="s">
        <v>14</v>
      </c>
      <c r="E15815" t="s">
        <v>21931</v>
      </c>
      <c r="F15815" t="s">
        <v>21945</v>
      </c>
    </row>
    <row r="15816" spans="1:6" x14ac:dyDescent="0.25">
      <c r="A15816" t="str">
        <f>"731103032879"</f>
        <v>731103032879</v>
      </c>
      <c r="B15816" t="s">
        <v>21946</v>
      </c>
      <c r="C15816" t="s">
        <v>7</v>
      </c>
      <c r="D15816" t="s">
        <v>14</v>
      </c>
      <c r="E15816" t="s">
        <v>21931</v>
      </c>
    </row>
    <row r="15817" spans="1:6" x14ac:dyDescent="0.25">
      <c r="A15817" t="str">
        <f>"731602111692"</f>
        <v>731602111692</v>
      </c>
      <c r="B15817" t="s">
        <v>21947</v>
      </c>
      <c r="C15817" t="s">
        <v>7</v>
      </c>
      <c r="D15817" t="s">
        <v>14</v>
      </c>
      <c r="E15817" t="s">
        <v>21931</v>
      </c>
    </row>
    <row r="15818" spans="1:6" x14ac:dyDescent="0.25">
      <c r="A15818" t="str">
        <f>"731800013390"</f>
        <v>731800013390</v>
      </c>
      <c r="B15818" t="s">
        <v>21948</v>
      </c>
      <c r="C15818" t="s">
        <v>7</v>
      </c>
      <c r="D15818" t="s">
        <v>14</v>
      </c>
      <c r="E15818" t="s">
        <v>21931</v>
      </c>
    </row>
    <row r="15819" spans="1:6" x14ac:dyDescent="0.25">
      <c r="A15819" t="str">
        <f>"731900973806"</f>
        <v>731900973806</v>
      </c>
      <c r="B15819" t="s">
        <v>21949</v>
      </c>
      <c r="C15819" t="s">
        <v>7</v>
      </c>
      <c r="D15819" t="s">
        <v>14</v>
      </c>
      <c r="E15819" t="s">
        <v>21931</v>
      </c>
    </row>
    <row r="15820" spans="1:6" x14ac:dyDescent="0.25">
      <c r="A15820" t="str">
        <f>"731901792802"</f>
        <v>731901792802</v>
      </c>
      <c r="B15820" t="s">
        <v>21950</v>
      </c>
      <c r="C15820" t="s">
        <v>7</v>
      </c>
      <c r="D15820" t="s">
        <v>14</v>
      </c>
      <c r="E15820" t="s">
        <v>21931</v>
      </c>
    </row>
    <row r="15821" spans="1:6" x14ac:dyDescent="0.25">
      <c r="A15821" t="str">
        <f>"732103120608"</f>
        <v>732103120608</v>
      </c>
      <c r="B15821" t="s">
        <v>21951</v>
      </c>
      <c r="C15821" t="s">
        <v>7</v>
      </c>
      <c r="D15821" t="s">
        <v>14</v>
      </c>
      <c r="E15821" t="s">
        <v>21931</v>
      </c>
    </row>
    <row r="15822" spans="1:6" x14ac:dyDescent="0.25">
      <c r="A15822" t="str">
        <f>"732300295727"</f>
        <v>732300295727</v>
      </c>
      <c r="B15822" t="s">
        <v>21952</v>
      </c>
      <c r="C15822" t="s">
        <v>7</v>
      </c>
      <c r="D15822" t="s">
        <v>14</v>
      </c>
      <c r="E15822" t="s">
        <v>21931</v>
      </c>
    </row>
    <row r="15823" spans="1:6" x14ac:dyDescent="0.25">
      <c r="A15823" t="str">
        <f>"732500975247"</f>
        <v>732500975247</v>
      </c>
      <c r="B15823" t="s">
        <v>21953</v>
      </c>
      <c r="C15823" t="s">
        <v>7</v>
      </c>
      <c r="D15823" t="s">
        <v>12</v>
      </c>
      <c r="E15823" t="s">
        <v>21931</v>
      </c>
    </row>
    <row r="15824" spans="1:6" x14ac:dyDescent="0.25">
      <c r="A15824" t="str">
        <f>"732503032875"</f>
        <v>732503032875</v>
      </c>
      <c r="B15824" t="s">
        <v>21954</v>
      </c>
      <c r="C15824" t="s">
        <v>7</v>
      </c>
      <c r="D15824" t="s">
        <v>14</v>
      </c>
      <c r="E15824" t="s">
        <v>21931</v>
      </c>
    </row>
    <row r="15825" spans="1:6" x14ac:dyDescent="0.25">
      <c r="A15825" t="str">
        <f>"7325130608"</f>
        <v>7325130608</v>
      </c>
      <c r="B15825" t="s">
        <v>21955</v>
      </c>
      <c r="C15825" t="s">
        <v>7</v>
      </c>
      <c r="D15825" t="s">
        <v>98</v>
      </c>
      <c r="E15825" t="s">
        <v>21931</v>
      </c>
      <c r="F15825" t="s">
        <v>21956</v>
      </c>
    </row>
    <row r="15826" spans="1:6" x14ac:dyDescent="0.25">
      <c r="A15826" t="str">
        <f>"7325130887"</f>
        <v>7325130887</v>
      </c>
      <c r="B15826" t="s">
        <v>21957</v>
      </c>
      <c r="C15826" t="s">
        <v>7</v>
      </c>
      <c r="D15826" t="s">
        <v>33</v>
      </c>
      <c r="E15826" t="s">
        <v>21931</v>
      </c>
      <c r="F15826" t="s">
        <v>21958</v>
      </c>
    </row>
    <row r="15827" spans="1:6" x14ac:dyDescent="0.25">
      <c r="A15827" t="str">
        <f>"732605738074"</f>
        <v>732605738074</v>
      </c>
      <c r="B15827" t="s">
        <v>21959</v>
      </c>
      <c r="C15827" t="s">
        <v>7</v>
      </c>
      <c r="D15827" t="s">
        <v>12</v>
      </c>
      <c r="E15827" t="s">
        <v>21931</v>
      </c>
    </row>
    <row r="15828" spans="1:6" x14ac:dyDescent="0.25">
      <c r="A15828" t="str">
        <f>"732608211504"</f>
        <v>732608211504</v>
      </c>
      <c r="B15828" t="s">
        <v>21960</v>
      </c>
      <c r="C15828" t="s">
        <v>7</v>
      </c>
      <c r="D15828" t="s">
        <v>14</v>
      </c>
      <c r="E15828" t="s">
        <v>21931</v>
      </c>
    </row>
    <row r="15829" spans="1:6" x14ac:dyDescent="0.25">
      <c r="A15829" t="str">
        <f>"7327038407"</f>
        <v>7327038407</v>
      </c>
      <c r="B15829" t="s">
        <v>21961</v>
      </c>
      <c r="C15829" t="s">
        <v>7</v>
      </c>
      <c r="D15829" t="s">
        <v>33</v>
      </c>
      <c r="E15829" t="s">
        <v>21931</v>
      </c>
      <c r="F15829" t="s">
        <v>21962</v>
      </c>
    </row>
    <row r="15830" spans="1:6" x14ac:dyDescent="0.25">
      <c r="A15830" t="str">
        <f>"732704034103"</f>
        <v>732704034103</v>
      </c>
      <c r="B15830" t="s">
        <v>21963</v>
      </c>
      <c r="C15830" t="s">
        <v>7</v>
      </c>
      <c r="D15830" t="s">
        <v>586</v>
      </c>
      <c r="E15830" t="s">
        <v>21931</v>
      </c>
    </row>
    <row r="15831" spans="1:6" x14ac:dyDescent="0.25">
      <c r="A15831" t="str">
        <f>"7327055508"</f>
        <v>7327055508</v>
      </c>
      <c r="B15831" t="s">
        <v>20555</v>
      </c>
      <c r="C15831" t="s">
        <v>7</v>
      </c>
      <c r="D15831" t="s">
        <v>12</v>
      </c>
      <c r="E15831" t="s">
        <v>21931</v>
      </c>
      <c r="F15831" t="s">
        <v>21964</v>
      </c>
    </row>
    <row r="15832" spans="1:6" x14ac:dyDescent="0.25">
      <c r="A15832" t="str">
        <f>"7300000036"</f>
        <v>7300000036</v>
      </c>
      <c r="B15832" t="s">
        <v>21965</v>
      </c>
      <c r="C15832" t="s">
        <v>7</v>
      </c>
      <c r="D15832" t="s">
        <v>14</v>
      </c>
      <c r="E15832" t="s">
        <v>21931</v>
      </c>
      <c r="F15832" t="s">
        <v>21966</v>
      </c>
    </row>
    <row r="15833" spans="1:6" x14ac:dyDescent="0.25">
      <c r="A15833" t="str">
        <f>"7300022985"</f>
        <v>7300022985</v>
      </c>
      <c r="B15833" t="s">
        <v>21967</v>
      </c>
      <c r="C15833" t="s">
        <v>7</v>
      </c>
      <c r="D15833" t="s">
        <v>14</v>
      </c>
      <c r="E15833" t="s">
        <v>21931</v>
      </c>
      <c r="F15833" t="s">
        <v>21968</v>
      </c>
    </row>
    <row r="15834" spans="1:6" x14ac:dyDescent="0.25">
      <c r="A15834" t="str">
        <f>"7300026115"</f>
        <v>7300026115</v>
      </c>
      <c r="B15834" t="s">
        <v>21969</v>
      </c>
      <c r="C15834" t="s">
        <v>7</v>
      </c>
      <c r="D15834" t="s">
        <v>12</v>
      </c>
      <c r="E15834" t="s">
        <v>21931</v>
      </c>
      <c r="F15834" t="s">
        <v>21970</v>
      </c>
    </row>
    <row r="15835" spans="1:6" x14ac:dyDescent="0.25">
      <c r="A15835" t="str">
        <f>"7300031411"</f>
        <v>7300031411</v>
      </c>
      <c r="B15835" t="s">
        <v>21971</v>
      </c>
      <c r="C15835" t="s">
        <v>7</v>
      </c>
      <c r="D15835" t="s">
        <v>33</v>
      </c>
      <c r="E15835" t="s">
        <v>21931</v>
      </c>
      <c r="F15835" t="s">
        <v>21972</v>
      </c>
    </row>
    <row r="15836" spans="1:6" x14ac:dyDescent="0.25">
      <c r="A15836" t="str">
        <f>"7300033850"</f>
        <v>7300033850</v>
      </c>
      <c r="B15836" t="s">
        <v>21973</v>
      </c>
      <c r="C15836" t="s">
        <v>7</v>
      </c>
      <c r="D15836" t="s">
        <v>33</v>
      </c>
      <c r="E15836" t="s">
        <v>21931</v>
      </c>
      <c r="F15836" t="s">
        <v>21974</v>
      </c>
    </row>
    <row r="15837" spans="1:6" x14ac:dyDescent="0.25">
      <c r="A15837" t="str">
        <f>"7300040448"</f>
        <v>7300040448</v>
      </c>
      <c r="B15837" t="s">
        <v>21975</v>
      </c>
      <c r="C15837" t="s">
        <v>7</v>
      </c>
      <c r="D15837" t="s">
        <v>12</v>
      </c>
      <c r="E15837" t="s">
        <v>21931</v>
      </c>
      <c r="F15837" t="s">
        <v>21976</v>
      </c>
    </row>
    <row r="15838" spans="1:6" x14ac:dyDescent="0.25">
      <c r="A15838" t="str">
        <f>"730210037647"</f>
        <v>730210037647</v>
      </c>
      <c r="B15838" t="s">
        <v>21977</v>
      </c>
      <c r="C15838" t="s">
        <v>7</v>
      </c>
      <c r="D15838" t="s">
        <v>33</v>
      </c>
      <c r="E15838" t="s">
        <v>21931</v>
      </c>
    </row>
    <row r="15839" spans="1:6" x14ac:dyDescent="0.25">
      <c r="A15839" t="str">
        <f>"730604150494"</f>
        <v>730604150494</v>
      </c>
      <c r="B15839" t="s">
        <v>21978</v>
      </c>
      <c r="C15839" t="s">
        <v>7</v>
      </c>
      <c r="D15839" t="s">
        <v>14</v>
      </c>
      <c r="E15839" t="s">
        <v>21931</v>
      </c>
    </row>
    <row r="15840" spans="1:6" x14ac:dyDescent="0.25">
      <c r="A15840" t="str">
        <f>"731053468314"</f>
        <v>731053468314</v>
      </c>
      <c r="B15840" t="s">
        <v>21979</v>
      </c>
      <c r="C15840" t="s">
        <v>7</v>
      </c>
      <c r="D15840" t="s">
        <v>14</v>
      </c>
      <c r="E15840" t="s">
        <v>21931</v>
      </c>
    </row>
    <row r="15841" spans="1:6" x14ac:dyDescent="0.25">
      <c r="A15841" t="str">
        <f>"731100047524"</f>
        <v>731100047524</v>
      </c>
      <c r="B15841" t="s">
        <v>21980</v>
      </c>
      <c r="C15841" t="s">
        <v>7</v>
      </c>
      <c r="D15841" t="s">
        <v>14</v>
      </c>
      <c r="E15841" t="s">
        <v>21931</v>
      </c>
    </row>
    <row r="15842" spans="1:6" x14ac:dyDescent="0.25">
      <c r="A15842" t="str">
        <f>"7313003901"</f>
        <v>7313003901</v>
      </c>
      <c r="B15842" t="s">
        <v>21981</v>
      </c>
      <c r="C15842" t="s">
        <v>7</v>
      </c>
      <c r="D15842" t="s">
        <v>33</v>
      </c>
      <c r="E15842" t="s">
        <v>21931</v>
      </c>
      <c r="F15842" t="s">
        <v>21982</v>
      </c>
    </row>
    <row r="15843" spans="1:6" x14ac:dyDescent="0.25">
      <c r="A15843" t="str">
        <f>"731400999130"</f>
        <v>731400999130</v>
      </c>
      <c r="B15843" t="s">
        <v>21983</v>
      </c>
      <c r="C15843" t="s">
        <v>7</v>
      </c>
      <c r="D15843" t="s">
        <v>14</v>
      </c>
      <c r="E15843" t="s">
        <v>21931</v>
      </c>
    </row>
    <row r="15844" spans="1:6" x14ac:dyDescent="0.25">
      <c r="A15844" t="str">
        <f>"731401155234"</f>
        <v>731401155234</v>
      </c>
      <c r="B15844" t="s">
        <v>21984</v>
      </c>
      <c r="C15844" t="s">
        <v>7</v>
      </c>
      <c r="D15844" t="s">
        <v>14</v>
      </c>
      <c r="E15844" t="s">
        <v>21931</v>
      </c>
    </row>
    <row r="15845" spans="1:6" x14ac:dyDescent="0.25">
      <c r="A15845" t="str">
        <f>"731700000542"</f>
        <v>731700000542</v>
      </c>
      <c r="B15845" t="s">
        <v>21985</v>
      </c>
      <c r="C15845" t="s">
        <v>7</v>
      </c>
      <c r="D15845" t="s">
        <v>14</v>
      </c>
      <c r="E15845" t="s">
        <v>21931</v>
      </c>
    </row>
    <row r="15846" spans="1:6" x14ac:dyDescent="0.25">
      <c r="A15846" t="str">
        <f>"732103445902"</f>
        <v>732103445902</v>
      </c>
      <c r="B15846" t="s">
        <v>21986</v>
      </c>
      <c r="C15846" t="s">
        <v>7</v>
      </c>
      <c r="D15846" t="s">
        <v>12</v>
      </c>
      <c r="E15846" t="s">
        <v>21931</v>
      </c>
    </row>
    <row r="15847" spans="1:6" x14ac:dyDescent="0.25">
      <c r="A15847" t="str">
        <f>"732192262954"</f>
        <v>732192262954</v>
      </c>
      <c r="B15847" t="s">
        <v>21987</v>
      </c>
      <c r="C15847" t="s">
        <v>7</v>
      </c>
      <c r="D15847" t="s">
        <v>14</v>
      </c>
      <c r="E15847" t="s">
        <v>21931</v>
      </c>
    </row>
    <row r="15848" spans="1:6" x14ac:dyDescent="0.25">
      <c r="A15848" t="str">
        <f>"732300065434"</f>
        <v>732300065434</v>
      </c>
      <c r="B15848" t="s">
        <v>21988</v>
      </c>
      <c r="C15848" t="s">
        <v>7</v>
      </c>
      <c r="D15848" t="s">
        <v>14</v>
      </c>
      <c r="E15848" t="s">
        <v>21931</v>
      </c>
    </row>
    <row r="15849" spans="1:6" x14ac:dyDescent="0.25">
      <c r="A15849" t="str">
        <f>"7325074512"</f>
        <v>7325074512</v>
      </c>
      <c r="B15849" t="s">
        <v>1008</v>
      </c>
      <c r="C15849" t="s">
        <v>7</v>
      </c>
      <c r="D15849" t="s">
        <v>33</v>
      </c>
      <c r="E15849" t="s">
        <v>21931</v>
      </c>
      <c r="F15849" t="s">
        <v>21989</v>
      </c>
    </row>
    <row r="15850" spans="1:6" x14ac:dyDescent="0.25">
      <c r="A15850" t="str">
        <f>"7325103121"</f>
        <v>7325103121</v>
      </c>
      <c r="B15850" t="s">
        <v>21990</v>
      </c>
      <c r="C15850" t="s">
        <v>7</v>
      </c>
      <c r="D15850" t="s">
        <v>14</v>
      </c>
      <c r="E15850" t="s">
        <v>21931</v>
      </c>
      <c r="F15850" t="s">
        <v>21991</v>
      </c>
    </row>
    <row r="15851" spans="1:6" x14ac:dyDescent="0.25">
      <c r="A15851" t="str">
        <f>"7325175133"</f>
        <v>7325175133</v>
      </c>
      <c r="B15851" t="s">
        <v>21992</v>
      </c>
      <c r="C15851" t="s">
        <v>7</v>
      </c>
      <c r="D15851" t="s">
        <v>8</v>
      </c>
      <c r="E15851" t="s">
        <v>21931</v>
      </c>
      <c r="F15851" t="s">
        <v>21993</v>
      </c>
    </row>
    <row r="15852" spans="1:6" x14ac:dyDescent="0.25">
      <c r="A15852" t="str">
        <f>"632513349974"</f>
        <v>632513349974</v>
      </c>
      <c r="B15852" t="s">
        <v>21994</v>
      </c>
      <c r="C15852" t="s">
        <v>7</v>
      </c>
      <c r="D15852" t="s">
        <v>12</v>
      </c>
      <c r="E15852" t="s">
        <v>21931</v>
      </c>
    </row>
    <row r="15853" spans="1:6" x14ac:dyDescent="0.25">
      <c r="A15853" t="str">
        <f>"7327065055"</f>
        <v>7327065055</v>
      </c>
      <c r="B15853" t="s">
        <v>21995</v>
      </c>
      <c r="C15853" t="s">
        <v>7</v>
      </c>
      <c r="D15853" t="s">
        <v>12</v>
      </c>
      <c r="E15853" t="s">
        <v>21931</v>
      </c>
      <c r="F15853" t="s">
        <v>21996</v>
      </c>
    </row>
    <row r="15854" spans="1:6" x14ac:dyDescent="0.25">
      <c r="A15854" t="str">
        <f>"7327068835"</f>
        <v>7327068835</v>
      </c>
      <c r="B15854" t="s">
        <v>21997</v>
      </c>
      <c r="C15854" t="s">
        <v>7</v>
      </c>
      <c r="D15854" t="s">
        <v>14</v>
      </c>
      <c r="E15854" t="s">
        <v>21931</v>
      </c>
      <c r="F15854" t="s">
        <v>21998</v>
      </c>
    </row>
    <row r="15855" spans="1:6" x14ac:dyDescent="0.25">
      <c r="A15855" t="str">
        <f>"7327070190"</f>
        <v>7327070190</v>
      </c>
      <c r="B15855" t="s">
        <v>21999</v>
      </c>
      <c r="C15855" t="s">
        <v>7</v>
      </c>
      <c r="D15855" t="s">
        <v>12</v>
      </c>
      <c r="E15855" t="s">
        <v>21931</v>
      </c>
      <c r="F15855" t="s">
        <v>22000</v>
      </c>
    </row>
    <row r="15856" spans="1:6" x14ac:dyDescent="0.25">
      <c r="A15856" t="str">
        <f>"7327085439"</f>
        <v>7327085439</v>
      </c>
      <c r="B15856" t="s">
        <v>22001</v>
      </c>
      <c r="C15856" t="s">
        <v>7</v>
      </c>
      <c r="D15856" t="s">
        <v>33</v>
      </c>
      <c r="E15856" t="s">
        <v>21931</v>
      </c>
      <c r="F15856" t="s">
        <v>22002</v>
      </c>
    </row>
    <row r="15857" spans="1:6" x14ac:dyDescent="0.25">
      <c r="A15857" t="str">
        <f>"7327098117"</f>
        <v>7327098117</v>
      </c>
      <c r="B15857" t="s">
        <v>22003</v>
      </c>
      <c r="C15857" t="s">
        <v>7</v>
      </c>
      <c r="D15857" t="s">
        <v>12</v>
      </c>
      <c r="E15857" t="s">
        <v>21931</v>
      </c>
      <c r="F15857" t="s">
        <v>22004</v>
      </c>
    </row>
    <row r="15858" spans="1:6" x14ac:dyDescent="0.25">
      <c r="A15858" t="str">
        <f>"7327098332"</f>
        <v>7327098332</v>
      </c>
      <c r="B15858" t="s">
        <v>22005</v>
      </c>
      <c r="C15858" t="s">
        <v>7</v>
      </c>
      <c r="D15858" t="s">
        <v>12</v>
      </c>
      <c r="E15858" t="s">
        <v>21931</v>
      </c>
      <c r="F15858" t="s">
        <v>22006</v>
      </c>
    </row>
    <row r="15859" spans="1:6" x14ac:dyDescent="0.25">
      <c r="A15859" t="str">
        <f>"7327099008"</f>
        <v>7327099008</v>
      </c>
      <c r="B15859" t="s">
        <v>16438</v>
      </c>
      <c r="C15859" t="s">
        <v>7</v>
      </c>
      <c r="D15859" t="s">
        <v>12</v>
      </c>
      <c r="E15859" t="s">
        <v>21931</v>
      </c>
      <c r="F15859" t="s">
        <v>22007</v>
      </c>
    </row>
    <row r="15860" spans="1:6" x14ac:dyDescent="0.25">
      <c r="A15860" t="str">
        <f>"7327099015"</f>
        <v>7327099015</v>
      </c>
      <c r="B15860" t="s">
        <v>5414</v>
      </c>
      <c r="C15860" t="s">
        <v>7</v>
      </c>
      <c r="D15860" t="s">
        <v>12</v>
      </c>
      <c r="E15860" t="s">
        <v>21931</v>
      </c>
      <c r="F15860" t="s">
        <v>22008</v>
      </c>
    </row>
    <row r="15861" spans="1:6" x14ac:dyDescent="0.25">
      <c r="A15861" t="str">
        <f>"7327099022"</f>
        <v>7327099022</v>
      </c>
      <c r="B15861" t="s">
        <v>22009</v>
      </c>
      <c r="C15861" t="s">
        <v>7</v>
      </c>
      <c r="D15861" t="s">
        <v>12</v>
      </c>
      <c r="E15861" t="s">
        <v>21931</v>
      </c>
      <c r="F15861" t="s">
        <v>22010</v>
      </c>
    </row>
    <row r="15862" spans="1:6" x14ac:dyDescent="0.25">
      <c r="A15862" t="str">
        <f>"732712395865"</f>
        <v>732712395865</v>
      </c>
      <c r="B15862" t="s">
        <v>22011</v>
      </c>
      <c r="C15862" t="s">
        <v>7</v>
      </c>
      <c r="D15862" t="s">
        <v>14</v>
      </c>
      <c r="E15862" t="s">
        <v>21931</v>
      </c>
    </row>
    <row r="15863" spans="1:6" x14ac:dyDescent="0.25">
      <c r="A15863" t="str">
        <f>"732771804661"</f>
        <v>732771804661</v>
      </c>
      <c r="B15863" t="s">
        <v>22012</v>
      </c>
      <c r="C15863" t="s">
        <v>7</v>
      </c>
      <c r="D15863" t="s">
        <v>14</v>
      </c>
      <c r="E15863" t="s">
        <v>21931</v>
      </c>
    </row>
    <row r="15864" spans="1:6" x14ac:dyDescent="0.25">
      <c r="A15864" t="str">
        <f>"732803448200"</f>
        <v>732803448200</v>
      </c>
      <c r="B15864" t="s">
        <v>22013</v>
      </c>
      <c r="C15864" t="s">
        <v>7</v>
      </c>
      <c r="D15864" t="s">
        <v>14</v>
      </c>
      <c r="E15864" t="s">
        <v>21931</v>
      </c>
    </row>
    <row r="15865" spans="1:6" x14ac:dyDescent="0.25">
      <c r="A15865" t="str">
        <f>"7328041096"</f>
        <v>7328041096</v>
      </c>
      <c r="B15865" t="s">
        <v>22014</v>
      </c>
      <c r="C15865" t="s">
        <v>7</v>
      </c>
      <c r="D15865" t="s">
        <v>463</v>
      </c>
      <c r="E15865" t="s">
        <v>21931</v>
      </c>
      <c r="F15865" t="s">
        <v>22015</v>
      </c>
    </row>
    <row r="15866" spans="1:6" x14ac:dyDescent="0.25">
      <c r="A15866" t="str">
        <f>"7328106561"</f>
        <v>7328106561</v>
      </c>
      <c r="B15866" t="s">
        <v>22016</v>
      </c>
      <c r="C15866" t="s">
        <v>7</v>
      </c>
      <c r="D15866" t="s">
        <v>33</v>
      </c>
      <c r="E15866" t="s">
        <v>21931</v>
      </c>
      <c r="F15866" t="s">
        <v>22017</v>
      </c>
    </row>
    <row r="15867" spans="1:6" x14ac:dyDescent="0.25">
      <c r="A15867" t="str">
        <f>"7329020035"</f>
        <v>7329020035</v>
      </c>
      <c r="B15867" t="s">
        <v>22018</v>
      </c>
      <c r="C15867" t="s">
        <v>7</v>
      </c>
      <c r="D15867" t="s">
        <v>14</v>
      </c>
      <c r="E15867" t="s">
        <v>21931</v>
      </c>
      <c r="F15867" t="s">
        <v>22019</v>
      </c>
    </row>
    <row r="15868" spans="1:6" x14ac:dyDescent="0.25">
      <c r="A15868" t="str">
        <f>"7326019088"</f>
        <v>7326019088</v>
      </c>
      <c r="B15868" t="s">
        <v>22020</v>
      </c>
      <c r="C15868" t="s">
        <v>7</v>
      </c>
      <c r="D15868" t="s">
        <v>14</v>
      </c>
      <c r="E15868" t="s">
        <v>21931</v>
      </c>
      <c r="F15868" t="s">
        <v>22021</v>
      </c>
    </row>
    <row r="15869" spans="1:6" x14ac:dyDescent="0.25">
      <c r="A15869" t="str">
        <f>"7326051885"</f>
        <v>7326051885</v>
      </c>
      <c r="B15869" t="s">
        <v>22022</v>
      </c>
      <c r="C15869" t="s">
        <v>7</v>
      </c>
      <c r="D15869" t="s">
        <v>12</v>
      </c>
      <c r="E15869" t="s">
        <v>21931</v>
      </c>
      <c r="F15869" t="s">
        <v>22023</v>
      </c>
    </row>
    <row r="15870" spans="1:6" x14ac:dyDescent="0.25">
      <c r="A15870" t="str">
        <f>"7326056788"</f>
        <v>7326056788</v>
      </c>
      <c r="B15870" t="s">
        <v>22024</v>
      </c>
      <c r="C15870" t="s">
        <v>7</v>
      </c>
      <c r="D15870" t="s">
        <v>12</v>
      </c>
      <c r="E15870" t="s">
        <v>21931</v>
      </c>
      <c r="F15870" t="s">
        <v>22025</v>
      </c>
    </row>
    <row r="15871" spans="1:6" x14ac:dyDescent="0.25">
      <c r="A15871" t="str">
        <f>"732609186748"</f>
        <v>732609186748</v>
      </c>
      <c r="B15871" t="s">
        <v>22026</v>
      </c>
      <c r="C15871" t="s">
        <v>7</v>
      </c>
      <c r="D15871" t="s">
        <v>14</v>
      </c>
      <c r="E15871" t="s">
        <v>21931</v>
      </c>
    </row>
    <row r="15872" spans="1:6" x14ac:dyDescent="0.25">
      <c r="A15872" t="str">
        <f>"7327023859"</f>
        <v>7327023859</v>
      </c>
      <c r="B15872" t="s">
        <v>18928</v>
      </c>
      <c r="C15872" t="s">
        <v>7</v>
      </c>
      <c r="D15872" t="s">
        <v>14</v>
      </c>
      <c r="E15872" t="s">
        <v>21931</v>
      </c>
      <c r="F15872" t="s">
        <v>22027</v>
      </c>
    </row>
    <row r="15873" spans="1:6" x14ac:dyDescent="0.25">
      <c r="A15873" t="str">
        <f>"7327035607"</f>
        <v>7327035607</v>
      </c>
      <c r="B15873" t="s">
        <v>22028</v>
      </c>
      <c r="C15873" t="s">
        <v>7</v>
      </c>
      <c r="D15873" t="s">
        <v>14</v>
      </c>
      <c r="E15873" t="s">
        <v>21931</v>
      </c>
      <c r="F15873" t="s">
        <v>22029</v>
      </c>
    </row>
    <row r="15874" spans="1:6" x14ac:dyDescent="0.25">
      <c r="A15874" t="str">
        <f>"7327036262"</f>
        <v>7327036262</v>
      </c>
      <c r="B15874" t="s">
        <v>22030</v>
      </c>
      <c r="C15874" t="s">
        <v>7</v>
      </c>
      <c r="D15874" t="s">
        <v>14</v>
      </c>
      <c r="E15874" t="s">
        <v>21931</v>
      </c>
      <c r="F15874" t="s">
        <v>22031</v>
      </c>
    </row>
    <row r="15875" spans="1:6" x14ac:dyDescent="0.25">
      <c r="A15875" t="str">
        <f>"7327039827"</f>
        <v>7327039827</v>
      </c>
      <c r="B15875" t="s">
        <v>22032</v>
      </c>
      <c r="C15875" t="s">
        <v>7</v>
      </c>
      <c r="D15875" t="s">
        <v>14</v>
      </c>
      <c r="E15875" t="s">
        <v>21931</v>
      </c>
      <c r="F15875" t="s">
        <v>22033</v>
      </c>
    </row>
    <row r="15876" spans="1:6" x14ac:dyDescent="0.25">
      <c r="A15876" t="str">
        <f>"7327048469"</f>
        <v>7327048469</v>
      </c>
      <c r="B15876" t="s">
        <v>22034</v>
      </c>
      <c r="C15876" t="s">
        <v>7</v>
      </c>
      <c r="D15876" t="s">
        <v>8</v>
      </c>
      <c r="E15876" t="s">
        <v>21931</v>
      </c>
      <c r="F15876" t="s">
        <v>22035</v>
      </c>
    </row>
    <row r="15877" spans="1:6" x14ac:dyDescent="0.25">
      <c r="A15877" t="str">
        <f>"7327068289"</f>
        <v>7327068289</v>
      </c>
      <c r="B15877" t="s">
        <v>22036</v>
      </c>
      <c r="C15877" t="s">
        <v>7</v>
      </c>
      <c r="D15877" t="s">
        <v>14</v>
      </c>
      <c r="E15877" t="s">
        <v>21931</v>
      </c>
      <c r="F15877" t="s">
        <v>22037</v>
      </c>
    </row>
    <row r="15878" spans="1:6" x14ac:dyDescent="0.25">
      <c r="A15878" t="str">
        <f>"7327075832"</f>
        <v>7327075832</v>
      </c>
      <c r="B15878" t="s">
        <v>22038</v>
      </c>
      <c r="C15878" t="s">
        <v>7</v>
      </c>
      <c r="D15878" t="s">
        <v>14</v>
      </c>
      <c r="E15878" t="s">
        <v>21931</v>
      </c>
      <c r="F15878" t="s">
        <v>22039</v>
      </c>
    </row>
    <row r="15879" spans="1:6" x14ac:dyDescent="0.25">
      <c r="A15879" t="str">
        <f>"7327081410"</f>
        <v>7327081410</v>
      </c>
      <c r="B15879" t="s">
        <v>22040</v>
      </c>
      <c r="C15879" t="s">
        <v>7</v>
      </c>
      <c r="D15879" t="s">
        <v>12</v>
      </c>
      <c r="E15879" t="s">
        <v>21931</v>
      </c>
      <c r="F15879" t="s">
        <v>22041</v>
      </c>
    </row>
    <row r="15880" spans="1:6" x14ac:dyDescent="0.25">
      <c r="A15880" t="str">
        <f>"7327098357"</f>
        <v>7327098357</v>
      </c>
      <c r="B15880" t="s">
        <v>22042</v>
      </c>
      <c r="C15880" t="s">
        <v>7</v>
      </c>
      <c r="D15880" t="s">
        <v>12</v>
      </c>
      <c r="E15880" t="s">
        <v>21931</v>
      </c>
      <c r="F15880" t="s">
        <v>22006</v>
      </c>
    </row>
    <row r="15881" spans="1:6" x14ac:dyDescent="0.25">
      <c r="A15881" t="str">
        <f>"732714929103"</f>
        <v>732714929103</v>
      </c>
      <c r="B15881" t="s">
        <v>22043</v>
      </c>
      <c r="C15881" t="s">
        <v>7</v>
      </c>
      <c r="D15881" t="s">
        <v>14</v>
      </c>
      <c r="E15881" t="s">
        <v>21931</v>
      </c>
    </row>
    <row r="15882" spans="1:6" x14ac:dyDescent="0.25">
      <c r="A15882" t="str">
        <f>"732731179073"</f>
        <v>732731179073</v>
      </c>
      <c r="B15882" t="s">
        <v>22044</v>
      </c>
      <c r="C15882" t="s">
        <v>7</v>
      </c>
      <c r="D15882" t="s">
        <v>12</v>
      </c>
      <c r="E15882" t="s">
        <v>21931</v>
      </c>
    </row>
    <row r="15883" spans="1:6" x14ac:dyDescent="0.25">
      <c r="A15883" t="str">
        <f>"732732321607"</f>
        <v>732732321607</v>
      </c>
      <c r="B15883" t="s">
        <v>22045</v>
      </c>
      <c r="C15883" t="s">
        <v>7</v>
      </c>
      <c r="D15883" t="s">
        <v>12</v>
      </c>
      <c r="E15883" t="s">
        <v>21931</v>
      </c>
    </row>
    <row r="15884" spans="1:6" x14ac:dyDescent="0.25">
      <c r="A15884" t="str">
        <f>"732803167591"</f>
        <v>732803167591</v>
      </c>
      <c r="B15884" t="s">
        <v>22046</v>
      </c>
      <c r="C15884" t="s">
        <v>7</v>
      </c>
      <c r="D15884" t="s">
        <v>14</v>
      </c>
      <c r="E15884" t="s">
        <v>21931</v>
      </c>
    </row>
    <row r="15885" spans="1:6" x14ac:dyDescent="0.25">
      <c r="A15885" t="str">
        <f>"732805045768"</f>
        <v>732805045768</v>
      </c>
      <c r="B15885" t="s">
        <v>22047</v>
      </c>
      <c r="C15885" t="s">
        <v>7</v>
      </c>
      <c r="D15885" t="s">
        <v>12</v>
      </c>
      <c r="E15885" t="s">
        <v>21931</v>
      </c>
    </row>
    <row r="15886" spans="1:6" x14ac:dyDescent="0.25">
      <c r="A15886" t="str">
        <f>"7328071478"</f>
        <v>7328071478</v>
      </c>
      <c r="B15886" t="s">
        <v>22048</v>
      </c>
      <c r="C15886" t="s">
        <v>7</v>
      </c>
      <c r="D15886" t="s">
        <v>14</v>
      </c>
      <c r="E15886" t="s">
        <v>21931</v>
      </c>
      <c r="F15886" t="s">
        <v>22049</v>
      </c>
    </row>
    <row r="15887" spans="1:6" x14ac:dyDescent="0.25">
      <c r="A15887" t="str">
        <f>"732811323452"</f>
        <v>732811323452</v>
      </c>
      <c r="B15887" t="s">
        <v>22050</v>
      </c>
      <c r="C15887" t="s">
        <v>7</v>
      </c>
      <c r="D15887" t="s">
        <v>14</v>
      </c>
      <c r="E15887" t="s">
        <v>21931</v>
      </c>
    </row>
    <row r="15888" spans="1:6" x14ac:dyDescent="0.25">
      <c r="A15888" t="str">
        <f>"732811824667"</f>
        <v>732811824667</v>
      </c>
      <c r="B15888" t="s">
        <v>22051</v>
      </c>
      <c r="C15888" t="s">
        <v>7</v>
      </c>
      <c r="D15888" t="s">
        <v>14</v>
      </c>
      <c r="E15888" t="s">
        <v>21931</v>
      </c>
    </row>
    <row r="15889" spans="1:6" x14ac:dyDescent="0.25">
      <c r="A15889" t="str">
        <f>"732813428002"</f>
        <v>732813428002</v>
      </c>
      <c r="B15889" t="s">
        <v>22052</v>
      </c>
      <c r="C15889" t="s">
        <v>7</v>
      </c>
      <c r="D15889" t="s">
        <v>33</v>
      </c>
      <c r="E15889" t="s">
        <v>21931</v>
      </c>
    </row>
    <row r="15890" spans="1:6" x14ac:dyDescent="0.25">
      <c r="A15890" t="str">
        <f>"7328509634"</f>
        <v>7328509634</v>
      </c>
      <c r="B15890" t="s">
        <v>22053</v>
      </c>
      <c r="C15890" t="s">
        <v>7</v>
      </c>
      <c r="D15890" t="s">
        <v>14</v>
      </c>
      <c r="E15890" t="s">
        <v>21931</v>
      </c>
      <c r="F15890" t="s">
        <v>22054</v>
      </c>
    </row>
    <row r="15891" spans="1:6" x14ac:dyDescent="0.25">
      <c r="A15891" t="str">
        <f>"732895808852"</f>
        <v>732895808852</v>
      </c>
      <c r="B15891" t="s">
        <v>22055</v>
      </c>
      <c r="C15891" t="s">
        <v>7</v>
      </c>
      <c r="D15891" t="s">
        <v>1430</v>
      </c>
      <c r="E15891" t="s">
        <v>21931</v>
      </c>
    </row>
    <row r="15892" spans="1:6" x14ac:dyDescent="0.25">
      <c r="A15892" t="str">
        <f>"732898291604"</f>
        <v>732898291604</v>
      </c>
      <c r="B15892" t="s">
        <v>22056</v>
      </c>
      <c r="C15892" t="s">
        <v>7</v>
      </c>
      <c r="D15892" t="s">
        <v>14</v>
      </c>
      <c r="E15892" t="s">
        <v>21931</v>
      </c>
    </row>
    <row r="15893" spans="1:6" x14ac:dyDescent="0.25">
      <c r="A15893" t="str">
        <f>"7329036726"</f>
        <v>7329036726</v>
      </c>
      <c r="B15893" t="s">
        <v>22057</v>
      </c>
      <c r="C15893" t="s">
        <v>7</v>
      </c>
      <c r="D15893" t="s">
        <v>12</v>
      </c>
      <c r="E15893" t="s">
        <v>21931</v>
      </c>
      <c r="F15893" t="s">
        <v>22058</v>
      </c>
    </row>
    <row r="15894" spans="1:6" x14ac:dyDescent="0.25">
      <c r="A15894" t="str">
        <f>"7300040462"</f>
        <v>7300040462</v>
      </c>
      <c r="B15894" t="s">
        <v>22059</v>
      </c>
      <c r="C15894" t="s">
        <v>7</v>
      </c>
      <c r="D15894" t="s">
        <v>14</v>
      </c>
      <c r="E15894" t="s">
        <v>21931</v>
      </c>
      <c r="F15894" t="s">
        <v>22060</v>
      </c>
    </row>
    <row r="15895" spans="1:6" x14ac:dyDescent="0.25">
      <c r="A15895" t="str">
        <f>"730200025811"</f>
        <v>730200025811</v>
      </c>
      <c r="B15895" t="s">
        <v>22061</v>
      </c>
      <c r="C15895" t="s">
        <v>7</v>
      </c>
      <c r="D15895" t="s">
        <v>12</v>
      </c>
      <c r="E15895" t="s">
        <v>21931</v>
      </c>
    </row>
    <row r="15896" spans="1:6" x14ac:dyDescent="0.25">
      <c r="A15896" t="str">
        <f>"730602220308"</f>
        <v>730602220308</v>
      </c>
      <c r="B15896" t="s">
        <v>22062</v>
      </c>
      <c r="C15896" t="s">
        <v>7</v>
      </c>
      <c r="D15896" t="s">
        <v>14</v>
      </c>
      <c r="E15896" t="s">
        <v>21931</v>
      </c>
    </row>
    <row r="15897" spans="1:6" x14ac:dyDescent="0.25">
      <c r="A15897" t="str">
        <f>"730800000992"</f>
        <v>730800000992</v>
      </c>
      <c r="B15897" t="s">
        <v>22063</v>
      </c>
      <c r="C15897" t="s">
        <v>7</v>
      </c>
      <c r="D15897" t="s">
        <v>14</v>
      </c>
      <c r="E15897" t="s">
        <v>21931</v>
      </c>
    </row>
    <row r="15898" spans="1:6" x14ac:dyDescent="0.25">
      <c r="A15898" t="str">
        <f>"730801005760"</f>
        <v>730801005760</v>
      </c>
      <c r="B15898" t="s">
        <v>22064</v>
      </c>
      <c r="C15898" t="s">
        <v>7</v>
      </c>
      <c r="D15898" t="s">
        <v>14</v>
      </c>
      <c r="E15898" t="s">
        <v>21931</v>
      </c>
    </row>
    <row r="15899" spans="1:6" x14ac:dyDescent="0.25">
      <c r="A15899" t="str">
        <f>"731301948470"</f>
        <v>731301948470</v>
      </c>
      <c r="B15899" t="s">
        <v>22065</v>
      </c>
      <c r="C15899" t="s">
        <v>7</v>
      </c>
      <c r="D15899" t="s">
        <v>14</v>
      </c>
      <c r="E15899" t="s">
        <v>21931</v>
      </c>
    </row>
    <row r="15900" spans="1:6" x14ac:dyDescent="0.25">
      <c r="A15900" t="str">
        <f>"731400158578"</f>
        <v>731400158578</v>
      </c>
      <c r="B15900" t="s">
        <v>22066</v>
      </c>
      <c r="C15900" t="s">
        <v>7</v>
      </c>
      <c r="D15900" t="s">
        <v>14</v>
      </c>
      <c r="E15900" t="s">
        <v>21931</v>
      </c>
    </row>
    <row r="15901" spans="1:6" x14ac:dyDescent="0.25">
      <c r="A15901" t="str">
        <f>"731400441105"</f>
        <v>731400441105</v>
      </c>
      <c r="B15901" t="s">
        <v>22067</v>
      </c>
      <c r="C15901" t="s">
        <v>7</v>
      </c>
      <c r="D15901" t="s">
        <v>14</v>
      </c>
      <c r="E15901" t="s">
        <v>21931</v>
      </c>
    </row>
    <row r="15902" spans="1:6" x14ac:dyDescent="0.25">
      <c r="A15902" t="str">
        <f>"731401206432"</f>
        <v>731401206432</v>
      </c>
      <c r="B15902" t="s">
        <v>22068</v>
      </c>
      <c r="C15902" t="s">
        <v>7</v>
      </c>
      <c r="D15902" t="s">
        <v>14</v>
      </c>
      <c r="E15902" t="s">
        <v>21931</v>
      </c>
    </row>
    <row r="15903" spans="1:6" x14ac:dyDescent="0.25">
      <c r="A15903" t="str">
        <f>"7321314837"</f>
        <v>7321314837</v>
      </c>
      <c r="B15903" t="s">
        <v>22069</v>
      </c>
      <c r="C15903" t="s">
        <v>7</v>
      </c>
      <c r="D15903" t="s">
        <v>33</v>
      </c>
      <c r="E15903" t="s">
        <v>21931</v>
      </c>
      <c r="F15903" t="s">
        <v>21989</v>
      </c>
    </row>
    <row r="15904" spans="1:6" x14ac:dyDescent="0.25">
      <c r="A15904" t="str">
        <f>"732300181085"</f>
        <v>732300181085</v>
      </c>
      <c r="B15904" t="s">
        <v>22070</v>
      </c>
      <c r="C15904" t="s">
        <v>7</v>
      </c>
      <c r="D15904" t="s">
        <v>14</v>
      </c>
      <c r="E15904" t="s">
        <v>21931</v>
      </c>
    </row>
    <row r="15905" spans="1:6" x14ac:dyDescent="0.25">
      <c r="A15905" t="str">
        <f>"732500768770"</f>
        <v>732500768770</v>
      </c>
      <c r="B15905" t="s">
        <v>22071</v>
      </c>
      <c r="C15905" t="s">
        <v>7</v>
      </c>
      <c r="D15905" t="s">
        <v>460</v>
      </c>
      <c r="E15905" t="s">
        <v>21931</v>
      </c>
    </row>
    <row r="15906" spans="1:6" x14ac:dyDescent="0.25">
      <c r="A15906" t="str">
        <f>"638202608031"</f>
        <v>638202608031</v>
      </c>
      <c r="B15906" t="s">
        <v>22072</v>
      </c>
      <c r="C15906" t="s">
        <v>7</v>
      </c>
      <c r="D15906" t="s">
        <v>14</v>
      </c>
      <c r="E15906" t="s">
        <v>21931</v>
      </c>
    </row>
    <row r="15907" spans="1:6" x14ac:dyDescent="0.25">
      <c r="A15907" t="str">
        <f>"561100001266"</f>
        <v>561100001266</v>
      </c>
      <c r="B15907" t="s">
        <v>22073</v>
      </c>
      <c r="C15907" t="s">
        <v>7</v>
      </c>
      <c r="D15907" t="s">
        <v>14</v>
      </c>
      <c r="E15907" t="s">
        <v>21931</v>
      </c>
    </row>
    <row r="15908" spans="1:6" x14ac:dyDescent="0.25">
      <c r="A15908" t="str">
        <f>"231556006721"</f>
        <v>231556006721</v>
      </c>
      <c r="B15908" t="s">
        <v>22074</v>
      </c>
      <c r="C15908" t="s">
        <v>7</v>
      </c>
      <c r="D15908" t="s">
        <v>14</v>
      </c>
      <c r="E15908" t="s">
        <v>21931</v>
      </c>
    </row>
    <row r="15909" spans="1:6" x14ac:dyDescent="0.25">
      <c r="A15909" t="str">
        <f>"732604759378"</f>
        <v>732604759378</v>
      </c>
      <c r="B15909" t="s">
        <v>22075</v>
      </c>
      <c r="C15909" t="s">
        <v>7</v>
      </c>
      <c r="D15909" t="s">
        <v>12</v>
      </c>
      <c r="E15909" t="s">
        <v>21931</v>
      </c>
    </row>
    <row r="15910" spans="1:6" x14ac:dyDescent="0.25">
      <c r="A15910" t="str">
        <f>"7326051902"</f>
        <v>7326051902</v>
      </c>
      <c r="B15910" t="s">
        <v>2204</v>
      </c>
      <c r="C15910" t="s">
        <v>7</v>
      </c>
      <c r="D15910" t="s">
        <v>12</v>
      </c>
      <c r="E15910" t="s">
        <v>21931</v>
      </c>
      <c r="F15910" t="s">
        <v>22076</v>
      </c>
    </row>
    <row r="15911" spans="1:6" x14ac:dyDescent="0.25">
      <c r="A15911" t="str">
        <f>"732700593260"</f>
        <v>732700593260</v>
      </c>
      <c r="B15911" t="s">
        <v>22077</v>
      </c>
      <c r="C15911" t="s">
        <v>7</v>
      </c>
      <c r="D15911" t="s">
        <v>12</v>
      </c>
      <c r="E15911" t="s">
        <v>21931</v>
      </c>
    </row>
    <row r="15912" spans="1:6" x14ac:dyDescent="0.25">
      <c r="A15912" t="str">
        <f>"7327008321"</f>
        <v>7327008321</v>
      </c>
      <c r="B15912" t="s">
        <v>22078</v>
      </c>
      <c r="C15912" t="s">
        <v>7</v>
      </c>
      <c r="D15912" t="s">
        <v>14</v>
      </c>
      <c r="E15912" t="s">
        <v>21931</v>
      </c>
      <c r="F15912" t="s">
        <v>22079</v>
      </c>
    </row>
    <row r="15913" spans="1:6" x14ac:dyDescent="0.25">
      <c r="A15913" t="str">
        <f>"7327045193"</f>
        <v>7327045193</v>
      </c>
      <c r="B15913" t="s">
        <v>22080</v>
      </c>
      <c r="C15913" t="s">
        <v>7</v>
      </c>
      <c r="D15913" t="s">
        <v>14</v>
      </c>
      <c r="E15913" t="s">
        <v>21931</v>
      </c>
      <c r="F15913" t="s">
        <v>21996</v>
      </c>
    </row>
    <row r="15914" spans="1:6" x14ac:dyDescent="0.25">
      <c r="A15914" t="str">
        <f>"7327054504"</f>
        <v>7327054504</v>
      </c>
      <c r="B15914" t="s">
        <v>22081</v>
      </c>
      <c r="C15914" t="s">
        <v>7</v>
      </c>
      <c r="D15914" t="s">
        <v>146</v>
      </c>
      <c r="E15914" t="s">
        <v>21931</v>
      </c>
      <c r="F15914" t="s">
        <v>22082</v>
      </c>
    </row>
    <row r="15915" spans="1:6" x14ac:dyDescent="0.25">
      <c r="A15915" t="str">
        <f>"7327058227"</f>
        <v>7327058227</v>
      </c>
      <c r="B15915" t="s">
        <v>22083</v>
      </c>
      <c r="C15915" t="s">
        <v>7</v>
      </c>
      <c r="D15915" t="s">
        <v>14</v>
      </c>
      <c r="E15915" t="s">
        <v>21931</v>
      </c>
      <c r="F15915" t="s">
        <v>22033</v>
      </c>
    </row>
    <row r="15916" spans="1:6" x14ac:dyDescent="0.25">
      <c r="A15916" t="str">
        <f>"7327075840"</f>
        <v>7327075840</v>
      </c>
      <c r="B15916" t="s">
        <v>22084</v>
      </c>
      <c r="C15916" t="s">
        <v>7</v>
      </c>
      <c r="D15916" t="s">
        <v>14</v>
      </c>
      <c r="E15916" t="s">
        <v>21931</v>
      </c>
      <c r="F15916" t="s">
        <v>22085</v>
      </c>
    </row>
    <row r="15917" spans="1:6" x14ac:dyDescent="0.25">
      <c r="A15917" t="str">
        <f>"7327077188"</f>
        <v>7327077188</v>
      </c>
      <c r="B15917" t="s">
        <v>22086</v>
      </c>
      <c r="C15917" t="s">
        <v>7</v>
      </c>
      <c r="D15917" t="s">
        <v>33</v>
      </c>
      <c r="E15917" t="s">
        <v>21931</v>
      </c>
      <c r="F15917" t="s">
        <v>22087</v>
      </c>
    </row>
    <row r="15918" spans="1:6" x14ac:dyDescent="0.25">
      <c r="A15918" t="str">
        <f>"7327086263"</f>
        <v>7327086263</v>
      </c>
      <c r="B15918" t="s">
        <v>22088</v>
      </c>
      <c r="C15918" t="s">
        <v>7</v>
      </c>
      <c r="D15918" t="s">
        <v>14</v>
      </c>
      <c r="E15918" t="s">
        <v>21931</v>
      </c>
      <c r="F15918" t="s">
        <v>22089</v>
      </c>
    </row>
    <row r="15919" spans="1:6" x14ac:dyDescent="0.25">
      <c r="A15919" t="str">
        <f>"7327096222"</f>
        <v>7327096222</v>
      </c>
      <c r="B15919" t="s">
        <v>18667</v>
      </c>
      <c r="C15919" t="s">
        <v>7</v>
      </c>
      <c r="D15919" t="s">
        <v>33</v>
      </c>
      <c r="E15919" t="s">
        <v>21931</v>
      </c>
      <c r="F15919" t="s">
        <v>22090</v>
      </c>
    </row>
    <row r="15920" spans="1:6" x14ac:dyDescent="0.25">
      <c r="A15920" t="str">
        <f>"732896142205"</f>
        <v>732896142205</v>
      </c>
      <c r="B15920" t="s">
        <v>22091</v>
      </c>
      <c r="C15920" t="s">
        <v>7</v>
      </c>
      <c r="D15920" t="s">
        <v>14</v>
      </c>
      <c r="E15920" t="s">
        <v>21931</v>
      </c>
    </row>
    <row r="15921" spans="1:6" x14ac:dyDescent="0.25">
      <c r="A15921" t="str">
        <f>"732899987539"</f>
        <v>732899987539</v>
      </c>
      <c r="B15921" t="s">
        <v>22092</v>
      </c>
      <c r="C15921" t="s">
        <v>7</v>
      </c>
      <c r="D15921" t="s">
        <v>14</v>
      </c>
      <c r="E15921" t="s">
        <v>21931</v>
      </c>
    </row>
    <row r="15922" spans="1:6" x14ac:dyDescent="0.25">
      <c r="A15922" t="str">
        <f>"732900659775"</f>
        <v>732900659775</v>
      </c>
      <c r="B15922" t="s">
        <v>22093</v>
      </c>
      <c r="C15922" t="s">
        <v>7</v>
      </c>
      <c r="D15922" t="s">
        <v>14</v>
      </c>
      <c r="E15922" t="s">
        <v>21931</v>
      </c>
    </row>
    <row r="15923" spans="1:6" x14ac:dyDescent="0.25">
      <c r="A15923" t="str">
        <f>"732901292368"</f>
        <v>732901292368</v>
      </c>
      <c r="B15923" t="s">
        <v>22094</v>
      </c>
      <c r="C15923" t="s">
        <v>7</v>
      </c>
      <c r="D15923" t="s">
        <v>14</v>
      </c>
      <c r="E15923" t="s">
        <v>21931</v>
      </c>
    </row>
    <row r="15924" spans="1:6" x14ac:dyDescent="0.25">
      <c r="A15924" t="str">
        <f>"732901726978"</f>
        <v>732901726978</v>
      </c>
      <c r="B15924" t="s">
        <v>22095</v>
      </c>
      <c r="C15924" t="s">
        <v>7</v>
      </c>
      <c r="D15924" t="s">
        <v>14</v>
      </c>
      <c r="E15924" t="s">
        <v>21931</v>
      </c>
    </row>
    <row r="15925" spans="1:6" x14ac:dyDescent="0.25">
      <c r="A15925" t="str">
        <f>"7300012779"</f>
        <v>7300012779</v>
      </c>
      <c r="B15925" t="s">
        <v>22096</v>
      </c>
      <c r="C15925" t="s">
        <v>7</v>
      </c>
      <c r="D15925" t="s">
        <v>33</v>
      </c>
      <c r="E15925" t="s">
        <v>21931</v>
      </c>
      <c r="F15925" t="s">
        <v>22097</v>
      </c>
    </row>
    <row r="15926" spans="1:6" x14ac:dyDescent="0.25">
      <c r="A15926" t="str">
        <f>"730292311136"</f>
        <v>730292311136</v>
      </c>
      <c r="B15926" t="s">
        <v>22098</v>
      </c>
      <c r="C15926" t="s">
        <v>7</v>
      </c>
      <c r="D15926" t="s">
        <v>14</v>
      </c>
      <c r="E15926" t="s">
        <v>21931</v>
      </c>
    </row>
    <row r="15927" spans="1:6" x14ac:dyDescent="0.25">
      <c r="A15927" t="str">
        <f>"732504074300"</f>
        <v>732504074300</v>
      </c>
      <c r="B15927" t="s">
        <v>22099</v>
      </c>
      <c r="C15927" t="s">
        <v>7</v>
      </c>
      <c r="D15927" t="s">
        <v>14</v>
      </c>
      <c r="E15927" t="s">
        <v>21931</v>
      </c>
    </row>
    <row r="15928" spans="1:6" x14ac:dyDescent="0.25">
      <c r="A15928" t="str">
        <f>"7326016464"</f>
        <v>7326016464</v>
      </c>
      <c r="B15928" t="s">
        <v>22100</v>
      </c>
      <c r="C15928" t="s">
        <v>7</v>
      </c>
      <c r="D15928" t="s">
        <v>33</v>
      </c>
      <c r="E15928" t="s">
        <v>21931</v>
      </c>
      <c r="F15928" t="s">
        <v>22101</v>
      </c>
    </row>
    <row r="15929" spans="1:6" x14ac:dyDescent="0.25">
      <c r="A15929" t="str">
        <f>"7327072630"</f>
        <v>7327072630</v>
      </c>
      <c r="B15929" t="s">
        <v>22102</v>
      </c>
      <c r="C15929" t="s">
        <v>7</v>
      </c>
      <c r="D15929" t="s">
        <v>33</v>
      </c>
      <c r="E15929" t="s">
        <v>21931</v>
      </c>
      <c r="F15929" t="s">
        <v>22103</v>
      </c>
    </row>
    <row r="15930" spans="1:6" x14ac:dyDescent="0.25">
      <c r="A15930" t="str">
        <f>"7328062508"</f>
        <v>7328062508</v>
      </c>
      <c r="B15930" t="s">
        <v>22104</v>
      </c>
      <c r="C15930" t="s">
        <v>7</v>
      </c>
      <c r="D15930" t="s">
        <v>12</v>
      </c>
      <c r="E15930" t="s">
        <v>21931</v>
      </c>
      <c r="F15930" t="s">
        <v>22105</v>
      </c>
    </row>
    <row r="15931" spans="1:6" x14ac:dyDescent="0.25">
      <c r="A15931" t="str">
        <f>"732807605704"</f>
        <v>732807605704</v>
      </c>
      <c r="B15931" t="s">
        <v>22106</v>
      </c>
      <c r="C15931" t="s">
        <v>7</v>
      </c>
      <c r="D15931" t="s">
        <v>14</v>
      </c>
      <c r="E15931" t="s">
        <v>21931</v>
      </c>
    </row>
    <row r="15932" spans="1:6" x14ac:dyDescent="0.25">
      <c r="A15932" t="str">
        <f>"7328106931"</f>
        <v>7328106931</v>
      </c>
      <c r="B15932" t="s">
        <v>21062</v>
      </c>
      <c r="C15932" t="s">
        <v>7</v>
      </c>
      <c r="D15932" t="s">
        <v>12</v>
      </c>
      <c r="E15932" t="s">
        <v>21931</v>
      </c>
      <c r="F15932" t="s">
        <v>22107</v>
      </c>
    </row>
    <row r="15933" spans="1:6" x14ac:dyDescent="0.25">
      <c r="A15933" t="str">
        <f>"732812996193"</f>
        <v>732812996193</v>
      </c>
      <c r="B15933" t="s">
        <v>22108</v>
      </c>
      <c r="C15933" t="s">
        <v>7</v>
      </c>
      <c r="D15933" t="s">
        <v>14</v>
      </c>
      <c r="E15933" t="s">
        <v>21931</v>
      </c>
    </row>
    <row r="15934" spans="1:6" x14ac:dyDescent="0.25">
      <c r="A15934" t="str">
        <f>"020401501800"</f>
        <v>020401501800</v>
      </c>
      <c r="B15934" t="s">
        <v>22109</v>
      </c>
      <c r="C15934" t="s">
        <v>7</v>
      </c>
      <c r="D15934" t="s">
        <v>14</v>
      </c>
      <c r="E15934" t="s">
        <v>22110</v>
      </c>
    </row>
    <row r="15935" spans="1:6" x14ac:dyDescent="0.25">
      <c r="A15935" t="str">
        <f>"027901534317"</f>
        <v>027901534317</v>
      </c>
      <c r="B15935" t="s">
        <v>22111</v>
      </c>
      <c r="C15935" t="s">
        <v>7</v>
      </c>
      <c r="D15935" t="s">
        <v>14</v>
      </c>
      <c r="E15935" t="s">
        <v>22110</v>
      </c>
    </row>
    <row r="15936" spans="1:6" x14ac:dyDescent="0.25">
      <c r="A15936" t="str">
        <f>"360504866042"</f>
        <v>360504866042</v>
      </c>
      <c r="B15936" t="s">
        <v>22112</v>
      </c>
      <c r="C15936" t="s">
        <v>7</v>
      </c>
      <c r="D15936" t="s">
        <v>33</v>
      </c>
      <c r="E15936" t="s">
        <v>22110</v>
      </c>
    </row>
    <row r="15937" spans="1:6" x14ac:dyDescent="0.25">
      <c r="A15937" t="str">
        <f>"031803825458"</f>
        <v>031803825458</v>
      </c>
      <c r="B15937" t="s">
        <v>22113</v>
      </c>
      <c r="C15937" t="s">
        <v>7</v>
      </c>
      <c r="D15937" t="s">
        <v>14</v>
      </c>
      <c r="E15937" t="s">
        <v>22110</v>
      </c>
    </row>
    <row r="15938" spans="1:6" x14ac:dyDescent="0.25">
      <c r="A15938" t="str">
        <f>"550101656517"</f>
        <v>550101656517</v>
      </c>
      <c r="B15938" t="s">
        <v>22114</v>
      </c>
      <c r="C15938" t="s">
        <v>7</v>
      </c>
      <c r="D15938" t="s">
        <v>12</v>
      </c>
      <c r="E15938" t="s">
        <v>22110</v>
      </c>
    </row>
    <row r="15939" spans="1:6" x14ac:dyDescent="0.25">
      <c r="A15939" t="str">
        <f>"740103480530"</f>
        <v>740103480530</v>
      </c>
      <c r="B15939" t="s">
        <v>22115</v>
      </c>
      <c r="C15939" t="s">
        <v>7</v>
      </c>
      <c r="D15939" t="s">
        <v>14</v>
      </c>
      <c r="E15939" t="s">
        <v>22110</v>
      </c>
    </row>
    <row r="15940" spans="1:6" x14ac:dyDescent="0.25">
      <c r="A15940" t="str">
        <f>"740105459501"</f>
        <v>740105459501</v>
      </c>
      <c r="B15940" t="s">
        <v>22116</v>
      </c>
      <c r="C15940" t="s">
        <v>7</v>
      </c>
      <c r="D15940" t="s">
        <v>14</v>
      </c>
      <c r="E15940" t="s">
        <v>22110</v>
      </c>
    </row>
    <row r="15941" spans="1:6" x14ac:dyDescent="0.25">
      <c r="A15941" t="str">
        <f>"740202520159"</f>
        <v>740202520159</v>
      </c>
      <c r="B15941" t="s">
        <v>22117</v>
      </c>
      <c r="C15941" t="s">
        <v>7</v>
      </c>
      <c r="D15941" t="s">
        <v>14</v>
      </c>
      <c r="E15941" t="s">
        <v>22110</v>
      </c>
    </row>
    <row r="15942" spans="1:6" x14ac:dyDescent="0.25">
      <c r="A15942" t="str">
        <f>"740300149334"</f>
        <v>740300149334</v>
      </c>
      <c r="B15942" t="s">
        <v>22118</v>
      </c>
      <c r="C15942" t="s">
        <v>7</v>
      </c>
      <c r="D15942" t="s">
        <v>14</v>
      </c>
      <c r="E15942" t="s">
        <v>22110</v>
      </c>
    </row>
    <row r="15943" spans="1:6" x14ac:dyDescent="0.25">
      <c r="A15943" t="str">
        <f>"740302739770"</f>
        <v>740302739770</v>
      </c>
      <c r="B15943" t="s">
        <v>22119</v>
      </c>
      <c r="C15943" t="s">
        <v>7</v>
      </c>
      <c r="D15943" t="s">
        <v>14</v>
      </c>
      <c r="E15943" t="s">
        <v>22110</v>
      </c>
    </row>
    <row r="15944" spans="1:6" x14ac:dyDescent="0.25">
      <c r="A15944" t="str">
        <f>"740400194193"</f>
        <v>740400194193</v>
      </c>
      <c r="B15944" t="s">
        <v>22120</v>
      </c>
      <c r="C15944" t="s">
        <v>7</v>
      </c>
      <c r="D15944" t="s">
        <v>14</v>
      </c>
      <c r="E15944" t="s">
        <v>22110</v>
      </c>
    </row>
    <row r="15945" spans="1:6" x14ac:dyDescent="0.25">
      <c r="A15945" t="str">
        <f>"740400398630"</f>
        <v>740400398630</v>
      </c>
      <c r="B15945" t="s">
        <v>22121</v>
      </c>
      <c r="C15945" t="s">
        <v>7</v>
      </c>
      <c r="D15945" t="s">
        <v>12</v>
      </c>
      <c r="E15945" t="s">
        <v>22110</v>
      </c>
    </row>
    <row r="15946" spans="1:6" x14ac:dyDescent="0.25">
      <c r="A15946" t="str">
        <f>"740415580434"</f>
        <v>740415580434</v>
      </c>
      <c r="B15946" t="s">
        <v>22122</v>
      </c>
      <c r="C15946" t="s">
        <v>7</v>
      </c>
      <c r="D15946" t="s">
        <v>14</v>
      </c>
      <c r="E15946" t="s">
        <v>22110</v>
      </c>
    </row>
    <row r="15947" spans="1:6" x14ac:dyDescent="0.25">
      <c r="A15947" t="str">
        <f>"740416100923"</f>
        <v>740416100923</v>
      </c>
      <c r="B15947" t="s">
        <v>22123</v>
      </c>
      <c r="C15947" t="s">
        <v>7</v>
      </c>
      <c r="D15947" t="s">
        <v>12</v>
      </c>
      <c r="E15947" t="s">
        <v>22110</v>
      </c>
    </row>
    <row r="15948" spans="1:6" x14ac:dyDescent="0.25">
      <c r="A15948" t="str">
        <f>"740501834570"</f>
        <v>740501834570</v>
      </c>
      <c r="B15948" t="s">
        <v>22124</v>
      </c>
      <c r="C15948" t="s">
        <v>7</v>
      </c>
      <c r="D15948" t="s">
        <v>14</v>
      </c>
      <c r="E15948" t="s">
        <v>22110</v>
      </c>
    </row>
    <row r="15949" spans="1:6" x14ac:dyDescent="0.25">
      <c r="A15949" t="str">
        <f>"7407002318"</f>
        <v>7407002318</v>
      </c>
      <c r="B15949" t="s">
        <v>22125</v>
      </c>
      <c r="C15949" t="s">
        <v>7</v>
      </c>
      <c r="D15949" t="s">
        <v>14</v>
      </c>
      <c r="E15949" t="s">
        <v>22110</v>
      </c>
      <c r="F15949" t="s">
        <v>22126</v>
      </c>
    </row>
    <row r="15950" spans="1:6" x14ac:dyDescent="0.25">
      <c r="A15950" t="str">
        <f>"7407006016"</f>
        <v>7407006016</v>
      </c>
      <c r="B15950" t="s">
        <v>22127</v>
      </c>
      <c r="C15950" t="s">
        <v>7</v>
      </c>
      <c r="D15950" t="s">
        <v>14</v>
      </c>
      <c r="E15950" t="s">
        <v>22110</v>
      </c>
      <c r="F15950" t="s">
        <v>22128</v>
      </c>
    </row>
    <row r="15951" spans="1:6" x14ac:dyDescent="0.25">
      <c r="A15951" t="str">
        <f>"740900054116"</f>
        <v>740900054116</v>
      </c>
      <c r="B15951" t="s">
        <v>22129</v>
      </c>
      <c r="C15951" t="s">
        <v>7</v>
      </c>
      <c r="D15951" t="s">
        <v>14</v>
      </c>
      <c r="E15951" t="s">
        <v>22110</v>
      </c>
    </row>
    <row r="15952" spans="1:6" x14ac:dyDescent="0.25">
      <c r="A15952" t="str">
        <f>"741000072347"</f>
        <v>741000072347</v>
      </c>
      <c r="B15952" t="s">
        <v>22130</v>
      </c>
      <c r="C15952" t="s">
        <v>7</v>
      </c>
      <c r="D15952" t="s">
        <v>14</v>
      </c>
      <c r="E15952" t="s">
        <v>22110</v>
      </c>
    </row>
    <row r="15953" spans="1:5" x14ac:dyDescent="0.25">
      <c r="A15953" t="str">
        <f>"741001958843"</f>
        <v>741001958843</v>
      </c>
      <c r="B15953" t="s">
        <v>22131</v>
      </c>
      <c r="C15953" t="s">
        <v>7</v>
      </c>
      <c r="D15953" t="s">
        <v>14</v>
      </c>
      <c r="E15953" t="s">
        <v>22110</v>
      </c>
    </row>
    <row r="15954" spans="1:5" x14ac:dyDescent="0.25">
      <c r="A15954" t="str">
        <f>"741002659331"</f>
        <v>741002659331</v>
      </c>
      <c r="B15954" t="s">
        <v>22132</v>
      </c>
      <c r="C15954" t="s">
        <v>7</v>
      </c>
      <c r="D15954" t="s">
        <v>14</v>
      </c>
      <c r="E15954" t="s">
        <v>22110</v>
      </c>
    </row>
    <row r="15955" spans="1:5" x14ac:dyDescent="0.25">
      <c r="A15955" t="str">
        <f>"741003046070"</f>
        <v>741003046070</v>
      </c>
      <c r="B15955" t="s">
        <v>22133</v>
      </c>
      <c r="C15955" t="s">
        <v>7</v>
      </c>
      <c r="D15955" t="s">
        <v>14</v>
      </c>
      <c r="E15955" t="s">
        <v>22110</v>
      </c>
    </row>
    <row r="15956" spans="1:5" x14ac:dyDescent="0.25">
      <c r="A15956" t="str">
        <f>"741003496792"</f>
        <v>741003496792</v>
      </c>
      <c r="B15956" t="s">
        <v>22134</v>
      </c>
      <c r="C15956" t="s">
        <v>7</v>
      </c>
      <c r="D15956" t="s">
        <v>14</v>
      </c>
      <c r="E15956" t="s">
        <v>22110</v>
      </c>
    </row>
    <row r="15957" spans="1:5" x14ac:dyDescent="0.25">
      <c r="A15957" t="str">
        <f>"741100622026"</f>
        <v>741100622026</v>
      </c>
      <c r="B15957" t="s">
        <v>22135</v>
      </c>
      <c r="C15957" t="s">
        <v>7</v>
      </c>
      <c r="D15957" t="s">
        <v>12</v>
      </c>
      <c r="E15957" t="s">
        <v>22110</v>
      </c>
    </row>
    <row r="15958" spans="1:5" x14ac:dyDescent="0.25">
      <c r="A15958" t="str">
        <f>"741108506769"</f>
        <v>741108506769</v>
      </c>
      <c r="B15958" t="s">
        <v>22136</v>
      </c>
      <c r="C15958" t="s">
        <v>7</v>
      </c>
      <c r="D15958" t="s">
        <v>14</v>
      </c>
      <c r="E15958" t="s">
        <v>22110</v>
      </c>
    </row>
    <row r="15959" spans="1:5" x14ac:dyDescent="0.25">
      <c r="A15959" t="str">
        <f>"741109939003"</f>
        <v>741109939003</v>
      </c>
      <c r="B15959" t="s">
        <v>22137</v>
      </c>
      <c r="C15959" t="s">
        <v>7</v>
      </c>
      <c r="D15959" t="s">
        <v>586</v>
      </c>
      <c r="E15959" t="s">
        <v>22110</v>
      </c>
    </row>
    <row r="15960" spans="1:5" x14ac:dyDescent="0.25">
      <c r="A15960" t="str">
        <f>"741110209280"</f>
        <v>741110209280</v>
      </c>
      <c r="B15960" t="s">
        <v>22138</v>
      </c>
      <c r="C15960" t="s">
        <v>7</v>
      </c>
      <c r="D15960" t="s">
        <v>14</v>
      </c>
      <c r="E15960" t="s">
        <v>22110</v>
      </c>
    </row>
    <row r="15961" spans="1:5" x14ac:dyDescent="0.25">
      <c r="A15961" t="str">
        <f>"741113704893"</f>
        <v>741113704893</v>
      </c>
      <c r="B15961" t="s">
        <v>22139</v>
      </c>
      <c r="C15961" t="s">
        <v>7</v>
      </c>
      <c r="D15961" t="s">
        <v>14</v>
      </c>
      <c r="E15961" t="s">
        <v>22110</v>
      </c>
    </row>
    <row r="15962" spans="1:5" x14ac:dyDescent="0.25">
      <c r="A15962" t="str">
        <f>"741115192591"</f>
        <v>741115192591</v>
      </c>
      <c r="B15962" t="s">
        <v>22140</v>
      </c>
      <c r="C15962" t="s">
        <v>7</v>
      </c>
      <c r="D15962" t="s">
        <v>14</v>
      </c>
      <c r="E15962" t="s">
        <v>22110</v>
      </c>
    </row>
    <row r="15963" spans="1:5" x14ac:dyDescent="0.25">
      <c r="A15963" t="str">
        <f>"741115328450"</f>
        <v>741115328450</v>
      </c>
      <c r="B15963" t="s">
        <v>22141</v>
      </c>
      <c r="C15963" t="s">
        <v>7</v>
      </c>
      <c r="D15963" t="s">
        <v>12</v>
      </c>
      <c r="E15963" t="s">
        <v>22110</v>
      </c>
    </row>
    <row r="15964" spans="1:5" x14ac:dyDescent="0.25">
      <c r="A15964" t="str">
        <f>"741201941597"</f>
        <v>741201941597</v>
      </c>
      <c r="B15964" t="s">
        <v>22142</v>
      </c>
      <c r="C15964" t="s">
        <v>7</v>
      </c>
      <c r="D15964" t="s">
        <v>14</v>
      </c>
      <c r="E15964" t="s">
        <v>22110</v>
      </c>
    </row>
    <row r="15965" spans="1:5" x14ac:dyDescent="0.25">
      <c r="A15965" t="str">
        <f>"741210069936"</f>
        <v>741210069936</v>
      </c>
      <c r="B15965" t="s">
        <v>22143</v>
      </c>
      <c r="C15965" t="s">
        <v>7</v>
      </c>
      <c r="D15965" t="s">
        <v>14</v>
      </c>
      <c r="E15965" t="s">
        <v>22110</v>
      </c>
    </row>
    <row r="15966" spans="1:5" x14ac:dyDescent="0.25">
      <c r="A15966" t="str">
        <f>"741300887911"</f>
        <v>741300887911</v>
      </c>
      <c r="B15966" t="s">
        <v>22144</v>
      </c>
      <c r="C15966" t="s">
        <v>7</v>
      </c>
      <c r="D15966" t="s">
        <v>14</v>
      </c>
      <c r="E15966" t="s">
        <v>22110</v>
      </c>
    </row>
    <row r="15967" spans="1:5" x14ac:dyDescent="0.25">
      <c r="A15967" t="str">
        <f>"741307473490"</f>
        <v>741307473490</v>
      </c>
      <c r="B15967" t="s">
        <v>22145</v>
      </c>
      <c r="C15967" t="s">
        <v>7</v>
      </c>
      <c r="D15967" t="s">
        <v>14</v>
      </c>
      <c r="E15967" t="s">
        <v>22110</v>
      </c>
    </row>
    <row r="15968" spans="1:5" x14ac:dyDescent="0.25">
      <c r="A15968" t="str">
        <f>"741500188413"</f>
        <v>741500188413</v>
      </c>
      <c r="B15968" t="s">
        <v>22146</v>
      </c>
      <c r="C15968" t="s">
        <v>7</v>
      </c>
      <c r="D15968" t="s">
        <v>14</v>
      </c>
      <c r="E15968" t="s">
        <v>22110</v>
      </c>
    </row>
    <row r="15969" spans="1:6" x14ac:dyDescent="0.25">
      <c r="A15969" t="str">
        <f>"741502856539"</f>
        <v>741502856539</v>
      </c>
      <c r="B15969" t="s">
        <v>22147</v>
      </c>
      <c r="C15969" t="s">
        <v>7</v>
      </c>
      <c r="D15969" t="s">
        <v>14</v>
      </c>
      <c r="E15969" t="s">
        <v>22110</v>
      </c>
    </row>
    <row r="15970" spans="1:6" x14ac:dyDescent="0.25">
      <c r="A15970" t="str">
        <f>"7415094489"</f>
        <v>7415094489</v>
      </c>
      <c r="B15970" t="s">
        <v>22148</v>
      </c>
      <c r="C15970" t="s">
        <v>7</v>
      </c>
      <c r="D15970" t="s">
        <v>33</v>
      </c>
      <c r="E15970" t="s">
        <v>22110</v>
      </c>
      <c r="F15970" t="s">
        <v>22149</v>
      </c>
    </row>
    <row r="15971" spans="1:6" x14ac:dyDescent="0.25">
      <c r="A15971" t="str">
        <f>"741509621110"</f>
        <v>741509621110</v>
      </c>
      <c r="B15971" t="s">
        <v>22150</v>
      </c>
      <c r="C15971" t="s">
        <v>7</v>
      </c>
      <c r="D15971" t="s">
        <v>14</v>
      </c>
      <c r="E15971" t="s">
        <v>22110</v>
      </c>
    </row>
    <row r="15972" spans="1:6" x14ac:dyDescent="0.25">
      <c r="A15972" t="str">
        <f>"7415102387"</f>
        <v>7415102387</v>
      </c>
      <c r="B15972" t="s">
        <v>22151</v>
      </c>
      <c r="C15972" t="s">
        <v>7</v>
      </c>
      <c r="D15972" t="s">
        <v>33</v>
      </c>
      <c r="E15972" t="s">
        <v>22110</v>
      </c>
      <c r="F15972" t="s">
        <v>22152</v>
      </c>
    </row>
    <row r="15973" spans="1:6" x14ac:dyDescent="0.25">
      <c r="A15973" t="str">
        <f>"741510376920"</f>
        <v>741510376920</v>
      </c>
      <c r="B15973" t="s">
        <v>22153</v>
      </c>
      <c r="C15973" t="s">
        <v>7</v>
      </c>
      <c r="D15973" t="s">
        <v>12</v>
      </c>
      <c r="E15973" t="s">
        <v>22110</v>
      </c>
    </row>
    <row r="15974" spans="1:6" x14ac:dyDescent="0.25">
      <c r="A15974" t="str">
        <f>"741511042751"</f>
        <v>741511042751</v>
      </c>
      <c r="B15974" t="s">
        <v>22154</v>
      </c>
      <c r="C15974" t="s">
        <v>7</v>
      </c>
      <c r="D15974" t="s">
        <v>12</v>
      </c>
      <c r="E15974" t="s">
        <v>22110</v>
      </c>
    </row>
    <row r="15975" spans="1:6" x14ac:dyDescent="0.25">
      <c r="A15975" t="str">
        <f>"741511255573"</f>
        <v>741511255573</v>
      </c>
      <c r="B15975" t="s">
        <v>22155</v>
      </c>
      <c r="C15975" t="s">
        <v>7</v>
      </c>
      <c r="D15975" t="s">
        <v>14</v>
      </c>
      <c r="E15975" t="s">
        <v>22110</v>
      </c>
    </row>
    <row r="15976" spans="1:6" x14ac:dyDescent="0.25">
      <c r="A15976" t="str">
        <f>"741513000549"</f>
        <v>741513000549</v>
      </c>
      <c r="B15976" t="s">
        <v>22156</v>
      </c>
      <c r="C15976" t="s">
        <v>7</v>
      </c>
      <c r="D15976" t="s">
        <v>12</v>
      </c>
      <c r="E15976" t="s">
        <v>22110</v>
      </c>
    </row>
    <row r="15977" spans="1:6" x14ac:dyDescent="0.25">
      <c r="A15977" t="str">
        <f>"741514836657"</f>
        <v>741514836657</v>
      </c>
      <c r="B15977" t="s">
        <v>22157</v>
      </c>
      <c r="C15977" t="s">
        <v>7</v>
      </c>
      <c r="D15977" t="s">
        <v>14</v>
      </c>
      <c r="E15977" t="s">
        <v>22110</v>
      </c>
    </row>
    <row r="15978" spans="1:6" x14ac:dyDescent="0.25">
      <c r="A15978" t="str">
        <f>"7417011819"</f>
        <v>7417011819</v>
      </c>
      <c r="B15978" t="s">
        <v>2417</v>
      </c>
      <c r="C15978" t="s">
        <v>7</v>
      </c>
      <c r="D15978" t="s">
        <v>14</v>
      </c>
      <c r="E15978" t="s">
        <v>22110</v>
      </c>
      <c r="F15978" t="s">
        <v>22158</v>
      </c>
    </row>
    <row r="15979" spans="1:6" x14ac:dyDescent="0.25">
      <c r="A15979" t="str">
        <f>"741705918357"</f>
        <v>741705918357</v>
      </c>
      <c r="B15979" t="s">
        <v>22159</v>
      </c>
      <c r="C15979" t="s">
        <v>7</v>
      </c>
      <c r="D15979" t="s">
        <v>14</v>
      </c>
      <c r="E15979" t="s">
        <v>22110</v>
      </c>
    </row>
    <row r="15980" spans="1:6" x14ac:dyDescent="0.25">
      <c r="A15980" t="str">
        <f>"741707023129"</f>
        <v>741707023129</v>
      </c>
      <c r="B15980" t="s">
        <v>22160</v>
      </c>
      <c r="C15980" t="s">
        <v>7</v>
      </c>
      <c r="D15980" t="s">
        <v>14</v>
      </c>
      <c r="E15980" t="s">
        <v>22110</v>
      </c>
    </row>
    <row r="15981" spans="1:6" x14ac:dyDescent="0.25">
      <c r="A15981" t="str">
        <f>"741708582923"</f>
        <v>741708582923</v>
      </c>
      <c r="B15981" t="s">
        <v>22161</v>
      </c>
      <c r="C15981" t="s">
        <v>7</v>
      </c>
      <c r="D15981" t="s">
        <v>14</v>
      </c>
      <c r="E15981" t="s">
        <v>22110</v>
      </c>
    </row>
    <row r="15982" spans="1:6" x14ac:dyDescent="0.25">
      <c r="A15982" t="str">
        <f>"741854952428"</f>
        <v>741854952428</v>
      </c>
      <c r="B15982" t="s">
        <v>22162</v>
      </c>
      <c r="C15982" t="s">
        <v>7</v>
      </c>
      <c r="D15982" t="s">
        <v>14</v>
      </c>
      <c r="E15982" t="s">
        <v>22110</v>
      </c>
    </row>
    <row r="15983" spans="1:6" x14ac:dyDescent="0.25">
      <c r="A15983" t="str">
        <f>"741855305536"</f>
        <v>741855305536</v>
      </c>
      <c r="B15983" t="s">
        <v>22163</v>
      </c>
      <c r="C15983" t="s">
        <v>7</v>
      </c>
      <c r="D15983" t="s">
        <v>12</v>
      </c>
      <c r="E15983" t="s">
        <v>22110</v>
      </c>
    </row>
    <row r="15984" spans="1:6" x14ac:dyDescent="0.25">
      <c r="A15984" t="str">
        <f>"741856403871"</f>
        <v>741856403871</v>
      </c>
      <c r="B15984" t="s">
        <v>22164</v>
      </c>
      <c r="C15984" t="s">
        <v>7</v>
      </c>
      <c r="D15984" t="s">
        <v>14</v>
      </c>
      <c r="E15984" t="s">
        <v>22110</v>
      </c>
    </row>
    <row r="15985" spans="1:6" x14ac:dyDescent="0.25">
      <c r="A15985" t="str">
        <f>"742200678137"</f>
        <v>742200678137</v>
      </c>
      <c r="B15985" t="s">
        <v>22165</v>
      </c>
      <c r="C15985" t="s">
        <v>7</v>
      </c>
      <c r="D15985" t="s">
        <v>14</v>
      </c>
      <c r="E15985" t="s">
        <v>22110</v>
      </c>
    </row>
    <row r="15986" spans="1:6" x14ac:dyDescent="0.25">
      <c r="A15986" t="str">
        <f>"742200703979"</f>
        <v>742200703979</v>
      </c>
      <c r="B15986" t="s">
        <v>22166</v>
      </c>
      <c r="C15986" t="s">
        <v>7</v>
      </c>
      <c r="D15986" t="s">
        <v>14</v>
      </c>
      <c r="E15986" t="s">
        <v>22110</v>
      </c>
    </row>
    <row r="15987" spans="1:6" x14ac:dyDescent="0.25">
      <c r="A15987" t="str">
        <f>"742300181243"</f>
        <v>742300181243</v>
      </c>
      <c r="B15987" t="s">
        <v>22167</v>
      </c>
      <c r="C15987" t="s">
        <v>7</v>
      </c>
      <c r="D15987" t="s">
        <v>14</v>
      </c>
      <c r="E15987" t="s">
        <v>22110</v>
      </c>
    </row>
    <row r="15988" spans="1:6" x14ac:dyDescent="0.25">
      <c r="A15988" t="str">
        <f>"740102997124"</f>
        <v>740102997124</v>
      </c>
      <c r="B15988" t="s">
        <v>22168</v>
      </c>
      <c r="C15988" t="s">
        <v>7</v>
      </c>
      <c r="D15988" t="s">
        <v>14</v>
      </c>
      <c r="E15988" t="s">
        <v>22110</v>
      </c>
    </row>
    <row r="15989" spans="1:6" x14ac:dyDescent="0.25">
      <c r="A15989" t="str">
        <f>"740200775899"</f>
        <v>740200775899</v>
      </c>
      <c r="B15989" t="s">
        <v>22169</v>
      </c>
      <c r="C15989" t="s">
        <v>7</v>
      </c>
      <c r="D15989" t="s">
        <v>14</v>
      </c>
      <c r="E15989" t="s">
        <v>22110</v>
      </c>
    </row>
    <row r="15990" spans="1:6" x14ac:dyDescent="0.25">
      <c r="A15990" t="str">
        <f>"7403000180"</f>
        <v>7403000180</v>
      </c>
      <c r="B15990" t="s">
        <v>6983</v>
      </c>
      <c r="C15990" t="s">
        <v>7</v>
      </c>
      <c r="D15990" t="s">
        <v>14</v>
      </c>
      <c r="E15990" t="s">
        <v>22110</v>
      </c>
      <c r="F15990" t="s">
        <v>22170</v>
      </c>
    </row>
    <row r="15991" spans="1:6" x14ac:dyDescent="0.25">
      <c r="A15991" t="str">
        <f>"7404005046"</f>
        <v>7404005046</v>
      </c>
      <c r="B15991" t="s">
        <v>22171</v>
      </c>
      <c r="C15991" t="s">
        <v>7</v>
      </c>
      <c r="D15991" t="s">
        <v>14</v>
      </c>
      <c r="E15991" t="s">
        <v>22110</v>
      </c>
      <c r="F15991" t="s">
        <v>22172</v>
      </c>
    </row>
    <row r="15992" spans="1:6" x14ac:dyDescent="0.25">
      <c r="A15992" t="str">
        <f>"740401782960"</f>
        <v>740401782960</v>
      </c>
      <c r="B15992" t="s">
        <v>22173</v>
      </c>
      <c r="C15992" t="s">
        <v>7</v>
      </c>
      <c r="D15992" t="s">
        <v>14</v>
      </c>
      <c r="E15992" t="s">
        <v>22110</v>
      </c>
    </row>
    <row r="15993" spans="1:6" x14ac:dyDescent="0.25">
      <c r="A15993" t="str">
        <f>"740410658101"</f>
        <v>740410658101</v>
      </c>
      <c r="B15993" t="s">
        <v>22174</v>
      </c>
      <c r="C15993" t="s">
        <v>7</v>
      </c>
      <c r="D15993" t="s">
        <v>14</v>
      </c>
      <c r="E15993" t="s">
        <v>22110</v>
      </c>
    </row>
    <row r="15994" spans="1:6" x14ac:dyDescent="0.25">
      <c r="A15994" t="str">
        <f>"740413485506"</f>
        <v>740413485506</v>
      </c>
      <c r="B15994" t="s">
        <v>22175</v>
      </c>
      <c r="C15994" t="s">
        <v>7</v>
      </c>
      <c r="D15994" t="s">
        <v>14</v>
      </c>
      <c r="E15994" t="s">
        <v>22110</v>
      </c>
    </row>
    <row r="15995" spans="1:6" x14ac:dyDescent="0.25">
      <c r="A15995" t="str">
        <f>"740701775321"</f>
        <v>740701775321</v>
      </c>
      <c r="B15995" t="s">
        <v>22176</v>
      </c>
      <c r="C15995" t="s">
        <v>7</v>
      </c>
      <c r="D15995" t="s">
        <v>14</v>
      </c>
      <c r="E15995" t="s">
        <v>22110</v>
      </c>
    </row>
    <row r="15996" spans="1:6" x14ac:dyDescent="0.25">
      <c r="A15996" t="str">
        <f>"740705502406"</f>
        <v>740705502406</v>
      </c>
      <c r="B15996" t="s">
        <v>22177</v>
      </c>
      <c r="C15996" t="s">
        <v>7</v>
      </c>
      <c r="D15996" t="s">
        <v>12</v>
      </c>
      <c r="E15996" t="s">
        <v>22110</v>
      </c>
    </row>
    <row r="15997" spans="1:6" x14ac:dyDescent="0.25">
      <c r="A15997" t="str">
        <f>"741000012644"</f>
        <v>741000012644</v>
      </c>
      <c r="B15997" t="s">
        <v>22178</v>
      </c>
      <c r="C15997" t="s">
        <v>7</v>
      </c>
      <c r="D15997" t="s">
        <v>14</v>
      </c>
      <c r="E15997" t="s">
        <v>22110</v>
      </c>
    </row>
    <row r="15998" spans="1:6" x14ac:dyDescent="0.25">
      <c r="A15998" t="str">
        <f>"741002367882"</f>
        <v>741002367882</v>
      </c>
      <c r="B15998" t="s">
        <v>22179</v>
      </c>
      <c r="C15998" t="s">
        <v>7</v>
      </c>
      <c r="D15998" t="s">
        <v>14</v>
      </c>
      <c r="E15998" t="s">
        <v>22110</v>
      </c>
    </row>
    <row r="15999" spans="1:6" x14ac:dyDescent="0.25">
      <c r="A15999" t="str">
        <f>"741307533358"</f>
        <v>741307533358</v>
      </c>
      <c r="B15999" t="s">
        <v>22180</v>
      </c>
      <c r="C15999" t="s">
        <v>7</v>
      </c>
      <c r="D15999" t="s">
        <v>14</v>
      </c>
      <c r="E15999" t="s">
        <v>22110</v>
      </c>
    </row>
    <row r="16000" spans="1:6" x14ac:dyDescent="0.25">
      <c r="A16000" t="str">
        <f>"741504038296"</f>
        <v>741504038296</v>
      </c>
      <c r="B16000" t="s">
        <v>22181</v>
      </c>
      <c r="C16000" t="s">
        <v>7</v>
      </c>
      <c r="D16000" t="s">
        <v>14</v>
      </c>
      <c r="E16000" t="s">
        <v>22110</v>
      </c>
    </row>
    <row r="16001" spans="1:6" x14ac:dyDescent="0.25">
      <c r="A16001" t="str">
        <f>"7415047785"</f>
        <v>7415047785</v>
      </c>
      <c r="B16001" t="s">
        <v>22182</v>
      </c>
      <c r="C16001" t="s">
        <v>7</v>
      </c>
      <c r="D16001" t="s">
        <v>14</v>
      </c>
      <c r="E16001" t="s">
        <v>22110</v>
      </c>
      <c r="F16001" t="s">
        <v>22183</v>
      </c>
    </row>
    <row r="16002" spans="1:6" x14ac:dyDescent="0.25">
      <c r="A16002" t="str">
        <f>"7415082726"</f>
        <v>7415082726</v>
      </c>
      <c r="B16002" t="s">
        <v>22184</v>
      </c>
      <c r="C16002" t="s">
        <v>7</v>
      </c>
      <c r="D16002" t="s">
        <v>33</v>
      </c>
      <c r="E16002" t="s">
        <v>22110</v>
      </c>
      <c r="F16002" t="s">
        <v>22185</v>
      </c>
    </row>
    <row r="16003" spans="1:6" x14ac:dyDescent="0.25">
      <c r="A16003" t="str">
        <f>"7415105797"</f>
        <v>7415105797</v>
      </c>
      <c r="B16003" t="s">
        <v>12970</v>
      </c>
      <c r="C16003" t="s">
        <v>7</v>
      </c>
      <c r="D16003" t="s">
        <v>33</v>
      </c>
      <c r="E16003" t="s">
        <v>22110</v>
      </c>
      <c r="F16003" t="s">
        <v>22186</v>
      </c>
    </row>
    <row r="16004" spans="1:6" x14ac:dyDescent="0.25">
      <c r="A16004" t="str">
        <f>"741510876793"</f>
        <v>741510876793</v>
      </c>
      <c r="B16004" t="s">
        <v>22187</v>
      </c>
      <c r="C16004" t="s">
        <v>7</v>
      </c>
      <c r="D16004" t="s">
        <v>14</v>
      </c>
      <c r="E16004" t="s">
        <v>22110</v>
      </c>
    </row>
    <row r="16005" spans="1:6" x14ac:dyDescent="0.25">
      <c r="A16005" t="str">
        <f>"741512756195"</f>
        <v>741512756195</v>
      </c>
      <c r="B16005" t="s">
        <v>22188</v>
      </c>
      <c r="C16005" t="s">
        <v>7</v>
      </c>
      <c r="D16005" t="s">
        <v>14</v>
      </c>
      <c r="E16005" t="s">
        <v>22110</v>
      </c>
    </row>
    <row r="16006" spans="1:6" x14ac:dyDescent="0.25">
      <c r="A16006" t="str">
        <f>"741700044458"</f>
        <v>741700044458</v>
      </c>
      <c r="B16006" t="s">
        <v>22189</v>
      </c>
      <c r="C16006" t="s">
        <v>7</v>
      </c>
      <c r="D16006" t="s">
        <v>14</v>
      </c>
      <c r="E16006" t="s">
        <v>22110</v>
      </c>
    </row>
    <row r="16007" spans="1:6" x14ac:dyDescent="0.25">
      <c r="A16007" t="str">
        <f>"741705279037"</f>
        <v>741705279037</v>
      </c>
      <c r="B16007" t="s">
        <v>22190</v>
      </c>
      <c r="C16007" t="s">
        <v>7</v>
      </c>
      <c r="D16007" t="s">
        <v>14</v>
      </c>
      <c r="E16007" t="s">
        <v>22110</v>
      </c>
    </row>
    <row r="16008" spans="1:6" x14ac:dyDescent="0.25">
      <c r="A16008" t="str">
        <f>"741803240743"</f>
        <v>741803240743</v>
      </c>
      <c r="B16008" t="s">
        <v>22191</v>
      </c>
      <c r="C16008" t="s">
        <v>7</v>
      </c>
      <c r="D16008" t="s">
        <v>14</v>
      </c>
      <c r="E16008" t="s">
        <v>22110</v>
      </c>
    </row>
    <row r="16009" spans="1:6" x14ac:dyDescent="0.25">
      <c r="A16009" t="str">
        <f>"741803248929"</f>
        <v>741803248929</v>
      </c>
      <c r="B16009" t="s">
        <v>22192</v>
      </c>
      <c r="C16009" t="s">
        <v>7</v>
      </c>
      <c r="D16009" t="s">
        <v>14</v>
      </c>
      <c r="E16009" t="s">
        <v>22110</v>
      </c>
    </row>
    <row r="16010" spans="1:6" x14ac:dyDescent="0.25">
      <c r="A16010" t="str">
        <f>"741855878008"</f>
        <v>741855878008</v>
      </c>
      <c r="B16010" t="s">
        <v>22193</v>
      </c>
      <c r="C16010" t="s">
        <v>7</v>
      </c>
      <c r="D16010" t="s">
        <v>14</v>
      </c>
      <c r="E16010" t="s">
        <v>22110</v>
      </c>
    </row>
    <row r="16011" spans="1:6" x14ac:dyDescent="0.25">
      <c r="A16011" t="str">
        <f>"741857563677"</f>
        <v>741857563677</v>
      </c>
      <c r="B16011" t="s">
        <v>22194</v>
      </c>
      <c r="C16011" t="s">
        <v>7</v>
      </c>
      <c r="D16011" t="s">
        <v>14</v>
      </c>
      <c r="E16011" t="s">
        <v>22110</v>
      </c>
    </row>
    <row r="16012" spans="1:6" x14ac:dyDescent="0.25">
      <c r="A16012" t="str">
        <f>"741900038275"</f>
        <v>741900038275</v>
      </c>
      <c r="B16012" t="s">
        <v>22195</v>
      </c>
      <c r="C16012" t="s">
        <v>7</v>
      </c>
      <c r="D16012" t="s">
        <v>14</v>
      </c>
      <c r="E16012" t="s">
        <v>22110</v>
      </c>
    </row>
    <row r="16013" spans="1:6" x14ac:dyDescent="0.25">
      <c r="A16013" t="str">
        <f>"741900208939"</f>
        <v>741900208939</v>
      </c>
      <c r="B16013" t="s">
        <v>22196</v>
      </c>
      <c r="C16013" t="s">
        <v>7</v>
      </c>
      <c r="D16013" t="s">
        <v>14</v>
      </c>
      <c r="E16013" t="s">
        <v>22110</v>
      </c>
    </row>
    <row r="16014" spans="1:6" x14ac:dyDescent="0.25">
      <c r="A16014" t="str">
        <f>"741901869554"</f>
        <v>741901869554</v>
      </c>
      <c r="B16014" t="s">
        <v>22197</v>
      </c>
      <c r="C16014" t="s">
        <v>7</v>
      </c>
      <c r="D16014" t="s">
        <v>14</v>
      </c>
      <c r="E16014" t="s">
        <v>22110</v>
      </c>
    </row>
    <row r="16015" spans="1:6" x14ac:dyDescent="0.25">
      <c r="A16015" t="str">
        <f>"742002712643"</f>
        <v>742002712643</v>
      </c>
      <c r="B16015" t="s">
        <v>22198</v>
      </c>
      <c r="C16015" t="s">
        <v>7</v>
      </c>
      <c r="D16015" t="s">
        <v>14</v>
      </c>
      <c r="E16015" t="s">
        <v>22110</v>
      </c>
    </row>
    <row r="16016" spans="1:6" x14ac:dyDescent="0.25">
      <c r="A16016" t="str">
        <f>"742004646435"</f>
        <v>742004646435</v>
      </c>
      <c r="B16016" t="s">
        <v>22199</v>
      </c>
      <c r="C16016" t="s">
        <v>7</v>
      </c>
      <c r="D16016" t="s">
        <v>14</v>
      </c>
      <c r="E16016" t="s">
        <v>22110</v>
      </c>
    </row>
    <row r="16017" spans="1:6" x14ac:dyDescent="0.25">
      <c r="A16017" t="str">
        <f>"742004695143"</f>
        <v>742004695143</v>
      </c>
      <c r="B16017" t="s">
        <v>22200</v>
      </c>
      <c r="C16017" t="s">
        <v>7</v>
      </c>
      <c r="D16017" t="s">
        <v>14</v>
      </c>
      <c r="E16017" t="s">
        <v>22110</v>
      </c>
    </row>
    <row r="16018" spans="1:6" x14ac:dyDescent="0.25">
      <c r="A16018" t="str">
        <f>"560103339005"</f>
        <v>560103339005</v>
      </c>
      <c r="B16018" t="s">
        <v>22201</v>
      </c>
      <c r="C16018" t="s">
        <v>7</v>
      </c>
      <c r="D16018" t="s">
        <v>12</v>
      </c>
      <c r="E16018" t="s">
        <v>22110</v>
      </c>
    </row>
    <row r="16019" spans="1:6" x14ac:dyDescent="0.25">
      <c r="A16019" t="str">
        <f>"742402844147"</f>
        <v>742402844147</v>
      </c>
      <c r="B16019" t="s">
        <v>22202</v>
      </c>
      <c r="C16019" t="s">
        <v>7</v>
      </c>
      <c r="D16019" t="s">
        <v>14</v>
      </c>
      <c r="E16019" t="s">
        <v>22110</v>
      </c>
    </row>
    <row r="16020" spans="1:6" x14ac:dyDescent="0.25">
      <c r="A16020" t="str">
        <f>"742502834590"</f>
        <v>742502834590</v>
      </c>
      <c r="B16020" t="s">
        <v>22203</v>
      </c>
      <c r="C16020" t="s">
        <v>7</v>
      </c>
      <c r="D16020" t="s">
        <v>14</v>
      </c>
      <c r="E16020" t="s">
        <v>22110</v>
      </c>
    </row>
    <row r="16021" spans="1:6" x14ac:dyDescent="0.25">
      <c r="A16021" t="str">
        <f>"742702351897"</f>
        <v>742702351897</v>
      </c>
      <c r="B16021" t="s">
        <v>22204</v>
      </c>
      <c r="C16021" t="s">
        <v>7</v>
      </c>
      <c r="D16021" t="s">
        <v>14</v>
      </c>
      <c r="E16021" t="s">
        <v>22110</v>
      </c>
    </row>
    <row r="16022" spans="1:6" x14ac:dyDescent="0.25">
      <c r="A16022" t="str">
        <f>"743014744793"</f>
        <v>743014744793</v>
      </c>
      <c r="B16022" t="s">
        <v>22205</v>
      </c>
      <c r="C16022" t="s">
        <v>7</v>
      </c>
      <c r="D16022" t="s">
        <v>12</v>
      </c>
      <c r="E16022" t="s">
        <v>22110</v>
      </c>
    </row>
    <row r="16023" spans="1:6" x14ac:dyDescent="0.25">
      <c r="A16023" t="str">
        <f>"7432000762"</f>
        <v>7432000762</v>
      </c>
      <c r="B16023" t="s">
        <v>22206</v>
      </c>
      <c r="C16023" t="s">
        <v>7</v>
      </c>
      <c r="D16023" t="s">
        <v>14</v>
      </c>
      <c r="E16023" t="s">
        <v>22110</v>
      </c>
      <c r="F16023" t="s">
        <v>22207</v>
      </c>
    </row>
    <row r="16024" spans="1:6" x14ac:dyDescent="0.25">
      <c r="A16024" t="str">
        <f>"743202460201"</f>
        <v>743202460201</v>
      </c>
      <c r="B16024" t="s">
        <v>22208</v>
      </c>
      <c r="C16024" t="s">
        <v>7</v>
      </c>
      <c r="D16024" t="s">
        <v>14</v>
      </c>
      <c r="E16024" t="s">
        <v>22110</v>
      </c>
    </row>
    <row r="16025" spans="1:6" x14ac:dyDescent="0.25">
      <c r="A16025" t="str">
        <f>"743400105128"</f>
        <v>743400105128</v>
      </c>
      <c r="B16025" t="s">
        <v>22209</v>
      </c>
      <c r="C16025" t="s">
        <v>7</v>
      </c>
      <c r="D16025" t="s">
        <v>14</v>
      </c>
      <c r="E16025" t="s">
        <v>22110</v>
      </c>
    </row>
    <row r="16026" spans="1:6" x14ac:dyDescent="0.25">
      <c r="A16026" t="str">
        <f>"7435000070"</f>
        <v>7435000070</v>
      </c>
      <c r="B16026" t="s">
        <v>22210</v>
      </c>
      <c r="C16026" t="s">
        <v>7</v>
      </c>
      <c r="D16026" t="s">
        <v>14</v>
      </c>
      <c r="E16026" t="s">
        <v>22110</v>
      </c>
      <c r="F16026" t="s">
        <v>22211</v>
      </c>
    </row>
    <row r="16027" spans="1:6" x14ac:dyDescent="0.25">
      <c r="A16027" t="str">
        <f>"743701030807"</f>
        <v>743701030807</v>
      </c>
      <c r="B16027" t="s">
        <v>22212</v>
      </c>
      <c r="C16027" t="s">
        <v>7</v>
      </c>
      <c r="D16027" t="s">
        <v>14</v>
      </c>
      <c r="E16027" t="s">
        <v>22110</v>
      </c>
    </row>
    <row r="16028" spans="1:6" x14ac:dyDescent="0.25">
      <c r="A16028" t="str">
        <f>"7438030403"</f>
        <v>7438030403</v>
      </c>
      <c r="B16028" t="s">
        <v>22213</v>
      </c>
      <c r="C16028" t="s">
        <v>7</v>
      </c>
      <c r="D16028" t="s">
        <v>14</v>
      </c>
      <c r="E16028" t="s">
        <v>22110</v>
      </c>
      <c r="F16028" t="s">
        <v>22214</v>
      </c>
    </row>
    <row r="16029" spans="1:6" x14ac:dyDescent="0.25">
      <c r="A16029" t="str">
        <f>"743804222701"</f>
        <v>743804222701</v>
      </c>
      <c r="B16029" t="s">
        <v>22215</v>
      </c>
      <c r="C16029" t="s">
        <v>7</v>
      </c>
      <c r="D16029" t="s">
        <v>33</v>
      </c>
      <c r="E16029" t="s">
        <v>22110</v>
      </c>
    </row>
    <row r="16030" spans="1:6" x14ac:dyDescent="0.25">
      <c r="A16030" t="str">
        <f>"743804869182"</f>
        <v>743804869182</v>
      </c>
      <c r="B16030" t="s">
        <v>22216</v>
      </c>
      <c r="C16030" t="s">
        <v>7</v>
      </c>
      <c r="D16030" t="s">
        <v>14</v>
      </c>
      <c r="E16030" t="s">
        <v>22110</v>
      </c>
    </row>
    <row r="16031" spans="1:6" x14ac:dyDescent="0.25">
      <c r="A16031" t="str">
        <f>"744001582667"</f>
        <v>744001582667</v>
      </c>
      <c r="B16031" t="s">
        <v>22217</v>
      </c>
      <c r="C16031" t="s">
        <v>7</v>
      </c>
      <c r="D16031" t="s">
        <v>12</v>
      </c>
      <c r="E16031" t="s">
        <v>22110</v>
      </c>
    </row>
    <row r="16032" spans="1:6" x14ac:dyDescent="0.25">
      <c r="A16032" t="str">
        <f>"744001607488"</f>
        <v>744001607488</v>
      </c>
      <c r="B16032" t="s">
        <v>22218</v>
      </c>
      <c r="C16032" t="s">
        <v>7</v>
      </c>
      <c r="D16032" t="s">
        <v>14</v>
      </c>
      <c r="E16032" t="s">
        <v>22110</v>
      </c>
    </row>
    <row r="16033" spans="1:6" x14ac:dyDescent="0.25">
      <c r="A16033" t="str">
        <f>"744002080050"</f>
        <v>744002080050</v>
      </c>
      <c r="B16033" t="s">
        <v>22219</v>
      </c>
      <c r="C16033" t="s">
        <v>7</v>
      </c>
      <c r="D16033" t="s">
        <v>14</v>
      </c>
      <c r="E16033" t="s">
        <v>22110</v>
      </c>
    </row>
    <row r="16034" spans="1:6" x14ac:dyDescent="0.25">
      <c r="A16034" t="str">
        <f>"744402337912"</f>
        <v>744402337912</v>
      </c>
      <c r="B16034" t="s">
        <v>22220</v>
      </c>
      <c r="C16034" t="s">
        <v>7</v>
      </c>
      <c r="D16034" t="s">
        <v>12</v>
      </c>
      <c r="E16034" t="s">
        <v>22110</v>
      </c>
    </row>
    <row r="16035" spans="1:6" x14ac:dyDescent="0.25">
      <c r="A16035" t="str">
        <f>"7444040590"</f>
        <v>7444040590</v>
      </c>
      <c r="B16035" t="s">
        <v>22221</v>
      </c>
      <c r="C16035" t="s">
        <v>7</v>
      </c>
      <c r="D16035" t="s">
        <v>14</v>
      </c>
      <c r="E16035" t="s">
        <v>22110</v>
      </c>
      <c r="F16035" t="s">
        <v>22222</v>
      </c>
    </row>
    <row r="16036" spans="1:6" x14ac:dyDescent="0.25">
      <c r="A16036" t="str">
        <f>"7444047927"</f>
        <v>7444047927</v>
      </c>
      <c r="B16036" t="s">
        <v>22223</v>
      </c>
      <c r="C16036" t="s">
        <v>7</v>
      </c>
      <c r="D16036" t="s">
        <v>14</v>
      </c>
      <c r="E16036" t="s">
        <v>22110</v>
      </c>
      <c r="F16036" t="s">
        <v>22224</v>
      </c>
    </row>
    <row r="16037" spans="1:6" x14ac:dyDescent="0.25">
      <c r="A16037" t="str">
        <f>"744500363124"</f>
        <v>744500363124</v>
      </c>
      <c r="B16037" t="s">
        <v>22225</v>
      </c>
      <c r="C16037" t="s">
        <v>7</v>
      </c>
      <c r="D16037" t="s">
        <v>12</v>
      </c>
      <c r="E16037" t="s">
        <v>22110</v>
      </c>
    </row>
    <row r="16038" spans="1:6" x14ac:dyDescent="0.25">
      <c r="A16038" t="str">
        <f>"744504349480"</f>
        <v>744504349480</v>
      </c>
      <c r="B16038" t="s">
        <v>22226</v>
      </c>
      <c r="C16038" t="s">
        <v>7</v>
      </c>
      <c r="D16038" t="s">
        <v>12</v>
      </c>
      <c r="E16038" t="s">
        <v>22110</v>
      </c>
    </row>
    <row r="16039" spans="1:6" x14ac:dyDescent="0.25">
      <c r="A16039" t="str">
        <f>"744512660202"</f>
        <v>744512660202</v>
      </c>
      <c r="B16039" t="s">
        <v>22227</v>
      </c>
      <c r="C16039" t="s">
        <v>7</v>
      </c>
      <c r="D16039" t="s">
        <v>14</v>
      </c>
      <c r="E16039" t="s">
        <v>22110</v>
      </c>
    </row>
    <row r="16040" spans="1:6" x14ac:dyDescent="0.25">
      <c r="A16040" t="str">
        <f>"744512854310"</f>
        <v>744512854310</v>
      </c>
      <c r="B16040" t="s">
        <v>22228</v>
      </c>
      <c r="C16040" t="s">
        <v>7</v>
      </c>
      <c r="D16040" t="s">
        <v>12</v>
      </c>
      <c r="E16040" t="s">
        <v>22110</v>
      </c>
    </row>
    <row r="16041" spans="1:6" x14ac:dyDescent="0.25">
      <c r="A16041" t="str">
        <f>"744513606960"</f>
        <v>744513606960</v>
      </c>
      <c r="B16041" t="s">
        <v>22229</v>
      </c>
      <c r="C16041" t="s">
        <v>7</v>
      </c>
      <c r="D16041" t="s">
        <v>14</v>
      </c>
      <c r="E16041" t="s">
        <v>22110</v>
      </c>
    </row>
    <row r="16042" spans="1:6" x14ac:dyDescent="0.25">
      <c r="A16042" t="str">
        <f>"744514414403"</f>
        <v>744514414403</v>
      </c>
      <c r="B16042" t="s">
        <v>22230</v>
      </c>
      <c r="C16042" t="s">
        <v>7</v>
      </c>
      <c r="D16042" t="s">
        <v>14</v>
      </c>
      <c r="E16042" t="s">
        <v>22110</v>
      </c>
    </row>
    <row r="16043" spans="1:6" x14ac:dyDescent="0.25">
      <c r="A16043" t="str">
        <f>"744516909440"</f>
        <v>744516909440</v>
      </c>
      <c r="B16043" t="s">
        <v>22231</v>
      </c>
      <c r="C16043" t="s">
        <v>7</v>
      </c>
      <c r="D16043" t="s">
        <v>14</v>
      </c>
      <c r="E16043" t="s">
        <v>22110</v>
      </c>
    </row>
    <row r="16044" spans="1:6" x14ac:dyDescent="0.25">
      <c r="A16044" t="str">
        <f>"744516949637"</f>
        <v>744516949637</v>
      </c>
      <c r="B16044" t="s">
        <v>22232</v>
      </c>
      <c r="C16044" t="s">
        <v>7</v>
      </c>
      <c r="D16044" t="s">
        <v>14</v>
      </c>
      <c r="E16044" t="s">
        <v>22110</v>
      </c>
    </row>
    <row r="16045" spans="1:6" x14ac:dyDescent="0.25">
      <c r="A16045" t="str">
        <f>"7447051128"</f>
        <v>7447051128</v>
      </c>
      <c r="B16045" t="s">
        <v>11845</v>
      </c>
      <c r="C16045" t="s">
        <v>7</v>
      </c>
      <c r="D16045" t="s">
        <v>189</v>
      </c>
      <c r="E16045" t="s">
        <v>22110</v>
      </c>
      <c r="F16045" t="s">
        <v>22233</v>
      </c>
    </row>
    <row r="16046" spans="1:6" x14ac:dyDescent="0.25">
      <c r="A16046" t="str">
        <f>"744706550784"</f>
        <v>744706550784</v>
      </c>
      <c r="B16046" t="s">
        <v>22234</v>
      </c>
      <c r="C16046" t="s">
        <v>7</v>
      </c>
      <c r="D16046" t="s">
        <v>14</v>
      </c>
      <c r="E16046" t="s">
        <v>22110</v>
      </c>
    </row>
    <row r="16047" spans="1:6" x14ac:dyDescent="0.25">
      <c r="A16047" t="str">
        <f>"7447082863"</f>
        <v>7447082863</v>
      </c>
      <c r="B16047" t="s">
        <v>3571</v>
      </c>
      <c r="C16047" t="s">
        <v>7</v>
      </c>
      <c r="D16047" t="s">
        <v>33</v>
      </c>
      <c r="E16047" t="s">
        <v>22110</v>
      </c>
      <c r="F16047" t="s">
        <v>22235</v>
      </c>
    </row>
    <row r="16048" spans="1:6" x14ac:dyDescent="0.25">
      <c r="A16048" t="str">
        <f>"7447089450"</f>
        <v>7447089450</v>
      </c>
      <c r="B16048" t="s">
        <v>22236</v>
      </c>
      <c r="C16048" t="s">
        <v>7</v>
      </c>
      <c r="D16048" t="s">
        <v>12</v>
      </c>
      <c r="E16048" t="s">
        <v>22110</v>
      </c>
      <c r="F16048" t="s">
        <v>22237</v>
      </c>
    </row>
    <row r="16049" spans="1:6" x14ac:dyDescent="0.25">
      <c r="A16049" t="str">
        <f>"744717104125"</f>
        <v>744717104125</v>
      </c>
      <c r="B16049" t="s">
        <v>22238</v>
      </c>
      <c r="C16049" t="s">
        <v>7</v>
      </c>
      <c r="D16049" t="s">
        <v>14</v>
      </c>
      <c r="E16049" t="s">
        <v>22110</v>
      </c>
    </row>
    <row r="16050" spans="1:6" x14ac:dyDescent="0.25">
      <c r="A16050" t="str">
        <f>"7447246857"</f>
        <v>7447246857</v>
      </c>
      <c r="B16050" t="s">
        <v>22239</v>
      </c>
      <c r="C16050" t="s">
        <v>7</v>
      </c>
      <c r="D16050" t="s">
        <v>14</v>
      </c>
      <c r="E16050" t="s">
        <v>22110</v>
      </c>
      <c r="F16050" t="s">
        <v>22240</v>
      </c>
    </row>
    <row r="16051" spans="1:6" x14ac:dyDescent="0.25">
      <c r="A16051" t="str">
        <f>"7447252770"</f>
        <v>7447252770</v>
      </c>
      <c r="B16051" t="s">
        <v>22241</v>
      </c>
      <c r="C16051" t="s">
        <v>7</v>
      </c>
      <c r="D16051" t="s">
        <v>12</v>
      </c>
      <c r="E16051" t="s">
        <v>22110</v>
      </c>
      <c r="F16051" t="s">
        <v>22242</v>
      </c>
    </row>
    <row r="16052" spans="1:6" x14ac:dyDescent="0.25">
      <c r="A16052" t="str">
        <f>"7447275417"</f>
        <v>7447275417</v>
      </c>
      <c r="B16052" t="s">
        <v>11400</v>
      </c>
      <c r="C16052" t="s">
        <v>7</v>
      </c>
      <c r="D16052" t="s">
        <v>12</v>
      </c>
      <c r="E16052" t="s">
        <v>22110</v>
      </c>
      <c r="F16052" t="s">
        <v>22243</v>
      </c>
    </row>
    <row r="16053" spans="1:6" x14ac:dyDescent="0.25">
      <c r="A16053" t="str">
        <f>"7447279002"</f>
        <v>7447279002</v>
      </c>
      <c r="B16053" t="s">
        <v>22244</v>
      </c>
      <c r="C16053" t="s">
        <v>7</v>
      </c>
      <c r="D16053" t="s">
        <v>14</v>
      </c>
      <c r="E16053" t="s">
        <v>22110</v>
      </c>
      <c r="F16053" t="s">
        <v>22245</v>
      </c>
    </row>
    <row r="16054" spans="1:6" x14ac:dyDescent="0.25">
      <c r="A16054" t="str">
        <f>"7448129200"</f>
        <v>7448129200</v>
      </c>
      <c r="B16054" t="s">
        <v>22246</v>
      </c>
      <c r="C16054" t="s">
        <v>7</v>
      </c>
      <c r="D16054" t="s">
        <v>674</v>
      </c>
      <c r="E16054" t="s">
        <v>22110</v>
      </c>
      <c r="F16054" t="s">
        <v>22247</v>
      </c>
    </row>
    <row r="16055" spans="1:6" x14ac:dyDescent="0.25">
      <c r="A16055" t="str">
        <f>"744813788453"</f>
        <v>744813788453</v>
      </c>
      <c r="B16055" t="s">
        <v>22248</v>
      </c>
      <c r="C16055" t="s">
        <v>7</v>
      </c>
      <c r="D16055" t="s">
        <v>14</v>
      </c>
      <c r="E16055" t="s">
        <v>22110</v>
      </c>
    </row>
    <row r="16056" spans="1:6" x14ac:dyDescent="0.25">
      <c r="A16056" t="str">
        <f>"7448158473"</f>
        <v>7448158473</v>
      </c>
      <c r="B16056" t="s">
        <v>22249</v>
      </c>
      <c r="C16056" t="s">
        <v>7</v>
      </c>
      <c r="D16056" t="s">
        <v>12</v>
      </c>
      <c r="E16056" t="s">
        <v>22110</v>
      </c>
      <c r="F16056" t="s">
        <v>22250</v>
      </c>
    </row>
    <row r="16057" spans="1:6" x14ac:dyDescent="0.25">
      <c r="A16057" t="str">
        <f>"7448200862"</f>
        <v>7448200862</v>
      </c>
      <c r="B16057" t="s">
        <v>22251</v>
      </c>
      <c r="C16057" t="s">
        <v>7</v>
      </c>
      <c r="D16057" t="s">
        <v>33</v>
      </c>
      <c r="E16057" t="s">
        <v>22110</v>
      </c>
      <c r="F16057" t="s">
        <v>22252</v>
      </c>
    </row>
    <row r="16058" spans="1:6" x14ac:dyDescent="0.25">
      <c r="A16058" t="str">
        <f>"7448204024"</f>
        <v>7448204024</v>
      </c>
      <c r="B16058" t="s">
        <v>22253</v>
      </c>
      <c r="C16058" t="s">
        <v>7</v>
      </c>
      <c r="D16058" t="s">
        <v>33</v>
      </c>
      <c r="E16058" t="s">
        <v>22110</v>
      </c>
      <c r="F16058" t="s">
        <v>22254</v>
      </c>
    </row>
    <row r="16059" spans="1:6" x14ac:dyDescent="0.25">
      <c r="A16059" t="str">
        <f>"744842380429"</f>
        <v>744842380429</v>
      </c>
      <c r="B16059" t="s">
        <v>22255</v>
      </c>
      <c r="C16059" t="s">
        <v>7</v>
      </c>
      <c r="D16059" t="s">
        <v>14</v>
      </c>
      <c r="E16059" t="s">
        <v>22110</v>
      </c>
    </row>
    <row r="16060" spans="1:6" x14ac:dyDescent="0.25">
      <c r="A16060" t="str">
        <f>"744843357052"</f>
        <v>744843357052</v>
      </c>
      <c r="B16060" t="s">
        <v>22256</v>
      </c>
      <c r="C16060" t="s">
        <v>7</v>
      </c>
      <c r="D16060" t="s">
        <v>14</v>
      </c>
      <c r="E16060" t="s">
        <v>22110</v>
      </c>
    </row>
    <row r="16061" spans="1:6" x14ac:dyDescent="0.25">
      <c r="A16061" t="str">
        <f>"744900690408"</f>
        <v>744900690408</v>
      </c>
      <c r="B16061" t="s">
        <v>22257</v>
      </c>
      <c r="C16061" t="s">
        <v>7</v>
      </c>
      <c r="D16061" t="s">
        <v>14</v>
      </c>
      <c r="E16061" t="s">
        <v>22110</v>
      </c>
    </row>
    <row r="16062" spans="1:6" x14ac:dyDescent="0.25">
      <c r="A16062" t="str">
        <f>"7449106260"</f>
        <v>7449106260</v>
      </c>
      <c r="B16062" t="s">
        <v>22258</v>
      </c>
      <c r="C16062" t="s">
        <v>7</v>
      </c>
      <c r="D16062" t="s">
        <v>14</v>
      </c>
      <c r="E16062" t="s">
        <v>22110</v>
      </c>
      <c r="F16062" t="s">
        <v>22259</v>
      </c>
    </row>
    <row r="16063" spans="1:6" x14ac:dyDescent="0.25">
      <c r="A16063" t="str">
        <f>"744911251770"</f>
        <v>744911251770</v>
      </c>
      <c r="B16063" t="s">
        <v>22260</v>
      </c>
      <c r="C16063" t="s">
        <v>7</v>
      </c>
      <c r="D16063" t="s">
        <v>14</v>
      </c>
      <c r="E16063" t="s">
        <v>22110</v>
      </c>
    </row>
    <row r="16064" spans="1:6" x14ac:dyDescent="0.25">
      <c r="A16064" t="str">
        <f>"7449120730"</f>
        <v>7449120730</v>
      </c>
      <c r="B16064" t="s">
        <v>22261</v>
      </c>
      <c r="C16064" t="s">
        <v>7</v>
      </c>
      <c r="D16064" t="s">
        <v>12</v>
      </c>
      <c r="E16064" t="s">
        <v>22110</v>
      </c>
      <c r="F16064" t="s">
        <v>22262</v>
      </c>
    </row>
    <row r="16065" spans="1:6" x14ac:dyDescent="0.25">
      <c r="A16065" t="str">
        <f>"7449132870"</f>
        <v>7449132870</v>
      </c>
      <c r="B16065" t="s">
        <v>22263</v>
      </c>
      <c r="C16065" t="s">
        <v>7</v>
      </c>
      <c r="D16065" t="s">
        <v>12</v>
      </c>
      <c r="E16065" t="s">
        <v>22110</v>
      </c>
      <c r="F16065" t="s">
        <v>22264</v>
      </c>
    </row>
    <row r="16066" spans="1:6" x14ac:dyDescent="0.25">
      <c r="A16066" t="str">
        <f>"7449135334"</f>
        <v>7449135334</v>
      </c>
      <c r="B16066" t="s">
        <v>22265</v>
      </c>
      <c r="C16066" t="s">
        <v>7</v>
      </c>
      <c r="D16066" t="s">
        <v>33</v>
      </c>
      <c r="E16066" t="s">
        <v>22110</v>
      </c>
      <c r="F16066" t="s">
        <v>22266</v>
      </c>
    </row>
    <row r="16067" spans="1:6" x14ac:dyDescent="0.25">
      <c r="A16067" t="str">
        <f>"744915679157"</f>
        <v>744915679157</v>
      </c>
      <c r="B16067" t="s">
        <v>22267</v>
      </c>
      <c r="C16067" t="s">
        <v>7</v>
      </c>
      <c r="D16067" t="s">
        <v>14</v>
      </c>
      <c r="E16067" t="s">
        <v>22110</v>
      </c>
    </row>
    <row r="16068" spans="1:6" x14ac:dyDescent="0.25">
      <c r="A16068" t="str">
        <f>"744918674365"</f>
        <v>744918674365</v>
      </c>
      <c r="B16068" t="s">
        <v>22268</v>
      </c>
      <c r="C16068" t="s">
        <v>7</v>
      </c>
      <c r="D16068" t="s">
        <v>12</v>
      </c>
      <c r="E16068" t="s">
        <v>22110</v>
      </c>
    </row>
    <row r="16069" spans="1:6" x14ac:dyDescent="0.25">
      <c r="A16069" t="str">
        <f>"744919521844"</f>
        <v>744919521844</v>
      </c>
      <c r="B16069" t="s">
        <v>22269</v>
      </c>
      <c r="C16069" t="s">
        <v>7</v>
      </c>
      <c r="D16069" t="s">
        <v>12</v>
      </c>
      <c r="E16069" t="s">
        <v>22110</v>
      </c>
    </row>
    <row r="16070" spans="1:6" x14ac:dyDescent="0.25">
      <c r="A16070" t="str">
        <f>"744919705070"</f>
        <v>744919705070</v>
      </c>
      <c r="B16070" t="s">
        <v>22270</v>
      </c>
      <c r="C16070" t="s">
        <v>7</v>
      </c>
      <c r="D16070" t="s">
        <v>12</v>
      </c>
      <c r="E16070" t="s">
        <v>22110</v>
      </c>
    </row>
    <row r="16071" spans="1:6" x14ac:dyDescent="0.25">
      <c r="A16071" t="str">
        <f>"744922563107"</f>
        <v>744922563107</v>
      </c>
      <c r="B16071" t="s">
        <v>22271</v>
      </c>
      <c r="C16071" t="s">
        <v>7</v>
      </c>
      <c r="D16071" t="s">
        <v>14</v>
      </c>
      <c r="E16071" t="s">
        <v>22110</v>
      </c>
    </row>
    <row r="16072" spans="1:6" x14ac:dyDescent="0.25">
      <c r="A16072" t="str">
        <f>"745000039643"</f>
        <v>745000039643</v>
      </c>
      <c r="B16072" t="s">
        <v>22272</v>
      </c>
      <c r="C16072" t="s">
        <v>7</v>
      </c>
      <c r="D16072" t="s">
        <v>14</v>
      </c>
      <c r="E16072" t="s">
        <v>22110</v>
      </c>
    </row>
    <row r="16073" spans="1:6" x14ac:dyDescent="0.25">
      <c r="A16073" t="str">
        <f>"745000431956"</f>
        <v>745000431956</v>
      </c>
      <c r="B16073" t="s">
        <v>22273</v>
      </c>
      <c r="C16073" t="s">
        <v>7</v>
      </c>
      <c r="D16073" t="s">
        <v>33</v>
      </c>
      <c r="E16073" t="s">
        <v>22110</v>
      </c>
    </row>
    <row r="16074" spans="1:6" x14ac:dyDescent="0.25">
      <c r="A16074" t="str">
        <f>"745003484794"</f>
        <v>745003484794</v>
      </c>
      <c r="B16074" t="s">
        <v>22274</v>
      </c>
      <c r="C16074" t="s">
        <v>7</v>
      </c>
      <c r="D16074" t="s">
        <v>14</v>
      </c>
      <c r="E16074" t="s">
        <v>22110</v>
      </c>
    </row>
    <row r="16075" spans="1:6" x14ac:dyDescent="0.25">
      <c r="A16075" t="str">
        <f>"745003494658"</f>
        <v>745003494658</v>
      </c>
      <c r="B16075" t="s">
        <v>22275</v>
      </c>
      <c r="C16075" t="s">
        <v>7</v>
      </c>
      <c r="D16075" t="s">
        <v>14</v>
      </c>
      <c r="E16075" t="s">
        <v>22110</v>
      </c>
    </row>
    <row r="16076" spans="1:6" x14ac:dyDescent="0.25">
      <c r="A16076" t="str">
        <f>"745105961679"</f>
        <v>745105961679</v>
      </c>
      <c r="B16076" t="s">
        <v>22276</v>
      </c>
      <c r="C16076" t="s">
        <v>7</v>
      </c>
      <c r="D16076" t="s">
        <v>14</v>
      </c>
      <c r="E16076" t="s">
        <v>22110</v>
      </c>
    </row>
    <row r="16077" spans="1:6" x14ac:dyDescent="0.25">
      <c r="A16077" t="str">
        <f>"7451191689"</f>
        <v>7451191689</v>
      </c>
      <c r="B16077" t="s">
        <v>22277</v>
      </c>
      <c r="C16077" t="s">
        <v>7</v>
      </c>
      <c r="D16077" t="s">
        <v>33</v>
      </c>
      <c r="E16077" t="s">
        <v>22110</v>
      </c>
      <c r="F16077" t="s">
        <v>22278</v>
      </c>
    </row>
    <row r="16078" spans="1:6" x14ac:dyDescent="0.25">
      <c r="A16078" t="str">
        <f>"7451333936"</f>
        <v>7451333936</v>
      </c>
      <c r="B16078" t="s">
        <v>22279</v>
      </c>
      <c r="C16078" t="s">
        <v>7</v>
      </c>
      <c r="D16078" t="s">
        <v>28</v>
      </c>
      <c r="E16078" t="s">
        <v>22110</v>
      </c>
      <c r="F16078" t="s">
        <v>22280</v>
      </c>
    </row>
    <row r="16079" spans="1:6" x14ac:dyDescent="0.25">
      <c r="A16079" t="str">
        <f>"7451335193"</f>
        <v>7451335193</v>
      </c>
      <c r="B16079" t="s">
        <v>22281</v>
      </c>
      <c r="C16079" t="s">
        <v>7</v>
      </c>
      <c r="D16079" t="s">
        <v>463</v>
      </c>
      <c r="E16079" t="s">
        <v>22110</v>
      </c>
      <c r="F16079" t="s">
        <v>22282</v>
      </c>
    </row>
    <row r="16080" spans="1:6" x14ac:dyDescent="0.25">
      <c r="A16080" t="str">
        <f>"7451376200"</f>
        <v>7451376200</v>
      </c>
      <c r="B16080" t="s">
        <v>22283</v>
      </c>
      <c r="C16080" t="s">
        <v>7</v>
      </c>
      <c r="D16080" t="s">
        <v>14</v>
      </c>
      <c r="E16080" t="s">
        <v>22110</v>
      </c>
      <c r="F16080" t="s">
        <v>22284</v>
      </c>
    </row>
    <row r="16081" spans="1:6" x14ac:dyDescent="0.25">
      <c r="A16081" t="str">
        <f>"7451434395"</f>
        <v>7451434395</v>
      </c>
      <c r="B16081" t="s">
        <v>22285</v>
      </c>
      <c r="C16081" t="s">
        <v>7</v>
      </c>
      <c r="D16081" t="s">
        <v>98</v>
      </c>
      <c r="E16081" t="s">
        <v>22110</v>
      </c>
      <c r="F16081" t="s">
        <v>22286</v>
      </c>
    </row>
    <row r="16082" spans="1:6" x14ac:dyDescent="0.25">
      <c r="A16082" t="str">
        <f>"7451453648"</f>
        <v>7451453648</v>
      </c>
      <c r="B16082" t="s">
        <v>22287</v>
      </c>
      <c r="C16082" t="s">
        <v>7</v>
      </c>
      <c r="D16082" t="s">
        <v>12</v>
      </c>
      <c r="E16082" t="s">
        <v>22110</v>
      </c>
      <c r="F16082" t="s">
        <v>22288</v>
      </c>
    </row>
    <row r="16083" spans="1:6" x14ac:dyDescent="0.25">
      <c r="A16083" t="str">
        <f>"7452007741"</f>
        <v>7452007741</v>
      </c>
      <c r="B16083" t="s">
        <v>22289</v>
      </c>
      <c r="C16083" t="s">
        <v>7</v>
      </c>
      <c r="D16083" t="s">
        <v>12</v>
      </c>
      <c r="E16083" t="s">
        <v>22110</v>
      </c>
      <c r="F16083" t="s">
        <v>22290</v>
      </c>
    </row>
    <row r="16084" spans="1:6" x14ac:dyDescent="0.25">
      <c r="A16084" t="str">
        <f>"7452021714"</f>
        <v>7452021714</v>
      </c>
      <c r="B16084" t="s">
        <v>22291</v>
      </c>
      <c r="C16084" t="s">
        <v>7</v>
      </c>
      <c r="D16084" t="s">
        <v>33</v>
      </c>
      <c r="E16084" t="s">
        <v>22110</v>
      </c>
      <c r="F16084" t="s">
        <v>22292</v>
      </c>
    </row>
    <row r="16085" spans="1:6" x14ac:dyDescent="0.25">
      <c r="A16085" t="str">
        <f>"7452047840"</f>
        <v>7452047840</v>
      </c>
      <c r="B16085" t="s">
        <v>22293</v>
      </c>
      <c r="C16085" t="s">
        <v>7</v>
      </c>
      <c r="D16085" t="s">
        <v>14</v>
      </c>
      <c r="E16085" t="s">
        <v>22110</v>
      </c>
      <c r="F16085" t="s">
        <v>22294</v>
      </c>
    </row>
    <row r="16086" spans="1:6" x14ac:dyDescent="0.25">
      <c r="A16086" t="str">
        <f>"7452052350"</f>
        <v>7452052350</v>
      </c>
      <c r="B16086" t="s">
        <v>22295</v>
      </c>
      <c r="C16086" t="s">
        <v>7</v>
      </c>
      <c r="D16086" t="s">
        <v>33</v>
      </c>
      <c r="E16086" t="s">
        <v>22110</v>
      </c>
      <c r="F16086" t="s">
        <v>22296</v>
      </c>
    </row>
    <row r="16087" spans="1:6" x14ac:dyDescent="0.25">
      <c r="A16087" t="str">
        <f>"7423013290"</f>
        <v>7423013290</v>
      </c>
      <c r="B16087" t="s">
        <v>22297</v>
      </c>
      <c r="C16087" t="s">
        <v>7</v>
      </c>
      <c r="D16087" t="s">
        <v>12</v>
      </c>
      <c r="E16087" t="s">
        <v>22110</v>
      </c>
      <c r="F16087" t="s">
        <v>22294</v>
      </c>
    </row>
    <row r="16088" spans="1:6" x14ac:dyDescent="0.25">
      <c r="A16088" t="str">
        <f>"7424021046"</f>
        <v>7424021046</v>
      </c>
      <c r="B16088" t="s">
        <v>22298</v>
      </c>
      <c r="C16088" t="s">
        <v>7</v>
      </c>
      <c r="D16088" t="s">
        <v>12</v>
      </c>
      <c r="E16088" t="s">
        <v>22110</v>
      </c>
      <c r="F16088" t="s">
        <v>22299</v>
      </c>
    </row>
    <row r="16089" spans="1:6" x14ac:dyDescent="0.25">
      <c r="A16089" t="str">
        <f>"742402521876"</f>
        <v>742402521876</v>
      </c>
      <c r="B16089" t="s">
        <v>22300</v>
      </c>
      <c r="C16089" t="s">
        <v>7</v>
      </c>
      <c r="D16089" t="s">
        <v>98</v>
      </c>
      <c r="E16089" t="s">
        <v>22110</v>
      </c>
    </row>
    <row r="16090" spans="1:6" x14ac:dyDescent="0.25">
      <c r="A16090" t="str">
        <f>"742901072023"</f>
        <v>742901072023</v>
      </c>
      <c r="B16090" t="s">
        <v>22301</v>
      </c>
      <c r="C16090" t="s">
        <v>7</v>
      </c>
      <c r="D16090" t="s">
        <v>14</v>
      </c>
      <c r="E16090" t="s">
        <v>22110</v>
      </c>
    </row>
    <row r="16091" spans="1:6" x14ac:dyDescent="0.25">
      <c r="A16091" t="str">
        <f>"7430029413"</f>
        <v>7430029413</v>
      </c>
      <c r="B16091" t="s">
        <v>22302</v>
      </c>
      <c r="C16091" t="s">
        <v>7</v>
      </c>
      <c r="D16091" t="s">
        <v>674</v>
      </c>
      <c r="E16091" t="s">
        <v>22110</v>
      </c>
      <c r="F16091" t="s">
        <v>22303</v>
      </c>
    </row>
    <row r="16092" spans="1:6" x14ac:dyDescent="0.25">
      <c r="A16092" t="str">
        <f>"743200061233"</f>
        <v>743200061233</v>
      </c>
      <c r="B16092" t="s">
        <v>22304</v>
      </c>
      <c r="C16092" t="s">
        <v>7</v>
      </c>
      <c r="D16092" t="s">
        <v>14</v>
      </c>
      <c r="E16092" t="s">
        <v>22110</v>
      </c>
    </row>
    <row r="16093" spans="1:6" x14ac:dyDescent="0.25">
      <c r="A16093" t="str">
        <f>"743201364431"</f>
        <v>743201364431</v>
      </c>
      <c r="B16093" t="s">
        <v>22305</v>
      </c>
      <c r="C16093" t="s">
        <v>7</v>
      </c>
      <c r="D16093" t="s">
        <v>14</v>
      </c>
      <c r="E16093" t="s">
        <v>22110</v>
      </c>
    </row>
    <row r="16094" spans="1:6" x14ac:dyDescent="0.25">
      <c r="A16094" t="str">
        <f>"7438009698"</f>
        <v>7438009698</v>
      </c>
      <c r="B16094" t="s">
        <v>22306</v>
      </c>
      <c r="C16094" t="s">
        <v>7</v>
      </c>
      <c r="D16094" t="s">
        <v>14</v>
      </c>
      <c r="E16094" t="s">
        <v>22110</v>
      </c>
      <c r="F16094" t="s">
        <v>22290</v>
      </c>
    </row>
    <row r="16095" spans="1:6" x14ac:dyDescent="0.25">
      <c r="A16095" t="str">
        <f>"743901656951"</f>
        <v>743901656951</v>
      </c>
      <c r="B16095" t="s">
        <v>22307</v>
      </c>
      <c r="C16095" t="s">
        <v>7</v>
      </c>
      <c r="D16095" t="s">
        <v>14</v>
      </c>
      <c r="E16095" t="s">
        <v>22110</v>
      </c>
    </row>
    <row r="16096" spans="1:6" x14ac:dyDescent="0.25">
      <c r="A16096" t="str">
        <f>"744201573412"</f>
        <v>744201573412</v>
      </c>
      <c r="B16096" t="s">
        <v>22308</v>
      </c>
      <c r="C16096" t="s">
        <v>7</v>
      </c>
      <c r="D16096" t="s">
        <v>14</v>
      </c>
      <c r="E16096" t="s">
        <v>22110</v>
      </c>
    </row>
    <row r="16097" spans="1:6" x14ac:dyDescent="0.25">
      <c r="A16097" t="str">
        <f>"744405194300"</f>
        <v>744405194300</v>
      </c>
      <c r="B16097" t="s">
        <v>22309</v>
      </c>
      <c r="C16097" t="s">
        <v>7</v>
      </c>
      <c r="D16097" t="s">
        <v>14</v>
      </c>
      <c r="E16097" t="s">
        <v>22110</v>
      </c>
    </row>
    <row r="16098" spans="1:6" x14ac:dyDescent="0.25">
      <c r="A16098" t="str">
        <f>"744500463288"</f>
        <v>744500463288</v>
      </c>
      <c r="B16098" t="s">
        <v>22310</v>
      </c>
      <c r="C16098" t="s">
        <v>7</v>
      </c>
      <c r="D16098" t="s">
        <v>14</v>
      </c>
      <c r="E16098" t="s">
        <v>22110</v>
      </c>
    </row>
    <row r="16099" spans="1:6" x14ac:dyDescent="0.25">
      <c r="A16099" t="str">
        <f>"744508757593"</f>
        <v>744508757593</v>
      </c>
      <c r="B16099" t="s">
        <v>22311</v>
      </c>
      <c r="C16099" t="s">
        <v>7</v>
      </c>
      <c r="D16099" t="s">
        <v>14</v>
      </c>
      <c r="E16099" t="s">
        <v>22110</v>
      </c>
    </row>
    <row r="16100" spans="1:6" x14ac:dyDescent="0.25">
      <c r="A16100" t="str">
        <f>"744515468521"</f>
        <v>744515468521</v>
      </c>
      <c r="B16100" t="s">
        <v>22312</v>
      </c>
      <c r="C16100" t="s">
        <v>7</v>
      </c>
      <c r="D16100" t="s">
        <v>14</v>
      </c>
      <c r="E16100" t="s">
        <v>22110</v>
      </c>
    </row>
    <row r="16101" spans="1:6" x14ac:dyDescent="0.25">
      <c r="A16101" t="str">
        <f>"744517071930"</f>
        <v>744517071930</v>
      </c>
      <c r="B16101" t="s">
        <v>22313</v>
      </c>
      <c r="C16101" t="s">
        <v>7</v>
      </c>
      <c r="D16101" t="s">
        <v>14</v>
      </c>
      <c r="E16101" t="s">
        <v>22110</v>
      </c>
    </row>
    <row r="16102" spans="1:6" x14ac:dyDescent="0.25">
      <c r="A16102" t="str">
        <f>"744600332546"</f>
        <v>744600332546</v>
      </c>
      <c r="B16102" t="s">
        <v>22314</v>
      </c>
      <c r="C16102" t="s">
        <v>7</v>
      </c>
      <c r="D16102" t="s">
        <v>14</v>
      </c>
      <c r="E16102" t="s">
        <v>22110</v>
      </c>
    </row>
    <row r="16103" spans="1:6" x14ac:dyDescent="0.25">
      <c r="A16103" t="str">
        <f>"7446039311"</f>
        <v>7446039311</v>
      </c>
      <c r="B16103" t="s">
        <v>22315</v>
      </c>
      <c r="C16103" t="s">
        <v>7</v>
      </c>
      <c r="D16103" t="s">
        <v>14</v>
      </c>
      <c r="E16103" t="s">
        <v>22110</v>
      </c>
      <c r="F16103" t="s">
        <v>22316</v>
      </c>
    </row>
    <row r="16104" spans="1:6" x14ac:dyDescent="0.25">
      <c r="A16104" t="str">
        <f>"7446040564"</f>
        <v>7446040564</v>
      </c>
      <c r="B16104" t="s">
        <v>22317</v>
      </c>
      <c r="C16104" t="s">
        <v>7</v>
      </c>
      <c r="D16104" t="s">
        <v>14</v>
      </c>
      <c r="E16104" t="s">
        <v>22110</v>
      </c>
      <c r="F16104" t="s">
        <v>22318</v>
      </c>
    </row>
    <row r="16105" spans="1:6" x14ac:dyDescent="0.25">
      <c r="A16105" t="str">
        <f>"744700031461"</f>
        <v>744700031461</v>
      </c>
      <c r="B16105" t="s">
        <v>22319</v>
      </c>
      <c r="C16105" t="s">
        <v>7</v>
      </c>
      <c r="D16105" t="s">
        <v>14</v>
      </c>
      <c r="E16105" t="s">
        <v>22110</v>
      </c>
    </row>
    <row r="16106" spans="1:6" x14ac:dyDescent="0.25">
      <c r="A16106" t="str">
        <f>"744700775894"</f>
        <v>744700775894</v>
      </c>
      <c r="B16106" t="s">
        <v>22320</v>
      </c>
      <c r="C16106" t="s">
        <v>7</v>
      </c>
      <c r="D16106" t="s">
        <v>14</v>
      </c>
      <c r="E16106" t="s">
        <v>22110</v>
      </c>
    </row>
    <row r="16107" spans="1:6" x14ac:dyDescent="0.25">
      <c r="A16107" t="str">
        <f>"7447062698"</f>
        <v>7447062698</v>
      </c>
      <c r="B16107" t="s">
        <v>22321</v>
      </c>
      <c r="C16107" t="s">
        <v>7</v>
      </c>
      <c r="D16107" t="s">
        <v>33</v>
      </c>
      <c r="E16107" t="s">
        <v>22110</v>
      </c>
      <c r="F16107" t="s">
        <v>22322</v>
      </c>
    </row>
    <row r="16108" spans="1:6" x14ac:dyDescent="0.25">
      <c r="A16108" t="str">
        <f>"7447082542"</f>
        <v>7447082542</v>
      </c>
      <c r="B16108" t="s">
        <v>4879</v>
      </c>
      <c r="C16108" t="s">
        <v>7</v>
      </c>
      <c r="D16108" t="s">
        <v>1430</v>
      </c>
      <c r="E16108" t="s">
        <v>22110</v>
      </c>
      <c r="F16108" t="s">
        <v>22323</v>
      </c>
    </row>
    <row r="16109" spans="1:6" x14ac:dyDescent="0.25">
      <c r="A16109" t="str">
        <f>"7447124601"</f>
        <v>7447124601</v>
      </c>
      <c r="B16109" t="s">
        <v>22324</v>
      </c>
      <c r="C16109" t="s">
        <v>7</v>
      </c>
      <c r="D16109" t="s">
        <v>12</v>
      </c>
      <c r="E16109" t="s">
        <v>22110</v>
      </c>
      <c r="F16109" t="s">
        <v>22325</v>
      </c>
    </row>
    <row r="16110" spans="1:6" x14ac:dyDescent="0.25">
      <c r="A16110" t="str">
        <f>"744717105898"</f>
        <v>744717105898</v>
      </c>
      <c r="B16110" t="s">
        <v>22326</v>
      </c>
      <c r="C16110" t="s">
        <v>7</v>
      </c>
      <c r="D16110" t="s">
        <v>460</v>
      </c>
      <c r="E16110" t="s">
        <v>22110</v>
      </c>
    </row>
    <row r="16111" spans="1:6" x14ac:dyDescent="0.25">
      <c r="A16111" t="str">
        <f>"7447212858"</f>
        <v>7447212858</v>
      </c>
      <c r="B16111" t="s">
        <v>21673</v>
      </c>
      <c r="C16111" t="s">
        <v>7</v>
      </c>
      <c r="D16111" t="s">
        <v>12</v>
      </c>
      <c r="E16111" t="s">
        <v>22110</v>
      </c>
      <c r="F16111" t="s">
        <v>22327</v>
      </c>
    </row>
    <row r="16112" spans="1:6" x14ac:dyDescent="0.25">
      <c r="A16112" t="str">
        <f>"7447235238"</f>
        <v>7447235238</v>
      </c>
      <c r="B16112" t="s">
        <v>7117</v>
      </c>
      <c r="C16112" t="s">
        <v>7</v>
      </c>
      <c r="D16112" t="s">
        <v>14</v>
      </c>
      <c r="E16112" t="s">
        <v>22110</v>
      </c>
      <c r="F16112" t="s">
        <v>22328</v>
      </c>
    </row>
    <row r="16113" spans="1:6" x14ac:dyDescent="0.25">
      <c r="A16113" t="str">
        <f>"7447254030"</f>
        <v>7447254030</v>
      </c>
      <c r="B16113" t="s">
        <v>22329</v>
      </c>
      <c r="C16113" t="s">
        <v>7</v>
      </c>
      <c r="D16113" t="s">
        <v>14</v>
      </c>
      <c r="E16113" t="s">
        <v>22110</v>
      </c>
      <c r="F16113" t="s">
        <v>22330</v>
      </c>
    </row>
    <row r="16114" spans="1:6" x14ac:dyDescent="0.25">
      <c r="A16114" t="str">
        <f>"7447287211"</f>
        <v>7447287211</v>
      </c>
      <c r="B16114" t="s">
        <v>22331</v>
      </c>
      <c r="C16114" t="s">
        <v>7</v>
      </c>
      <c r="D16114" t="s">
        <v>33</v>
      </c>
      <c r="E16114" t="s">
        <v>22110</v>
      </c>
      <c r="F16114" t="s">
        <v>22332</v>
      </c>
    </row>
    <row r="16115" spans="1:6" x14ac:dyDescent="0.25">
      <c r="A16115" t="str">
        <f>"7447319343"</f>
        <v>7447319343</v>
      </c>
      <c r="B16115" t="s">
        <v>22333</v>
      </c>
      <c r="C16115" t="s">
        <v>7</v>
      </c>
      <c r="D16115" t="s">
        <v>14</v>
      </c>
      <c r="E16115" t="s">
        <v>22110</v>
      </c>
      <c r="F16115" t="s">
        <v>22334</v>
      </c>
    </row>
    <row r="16116" spans="1:6" x14ac:dyDescent="0.25">
      <c r="A16116" t="str">
        <f>"7447322917"</f>
        <v>7447322917</v>
      </c>
      <c r="B16116" t="s">
        <v>22335</v>
      </c>
      <c r="C16116" t="s">
        <v>7</v>
      </c>
      <c r="D16116" t="s">
        <v>33</v>
      </c>
      <c r="E16116" t="s">
        <v>22110</v>
      </c>
      <c r="F16116" t="s">
        <v>22336</v>
      </c>
    </row>
    <row r="16117" spans="1:6" x14ac:dyDescent="0.25">
      <c r="A16117" t="str">
        <f>"7448043264"</f>
        <v>7448043264</v>
      </c>
      <c r="B16117" t="s">
        <v>22337</v>
      </c>
      <c r="C16117" t="s">
        <v>7</v>
      </c>
      <c r="D16117" t="s">
        <v>12</v>
      </c>
      <c r="E16117" t="s">
        <v>22110</v>
      </c>
      <c r="F16117" t="s">
        <v>22338</v>
      </c>
    </row>
    <row r="16118" spans="1:6" x14ac:dyDescent="0.25">
      <c r="A16118" t="str">
        <f>"744806333487"</f>
        <v>744806333487</v>
      </c>
      <c r="B16118" t="s">
        <v>22339</v>
      </c>
      <c r="C16118" t="s">
        <v>7</v>
      </c>
      <c r="D16118" t="s">
        <v>14</v>
      </c>
      <c r="E16118" t="s">
        <v>22110</v>
      </c>
    </row>
    <row r="16119" spans="1:6" x14ac:dyDescent="0.25">
      <c r="A16119" t="str">
        <f>"744813512582"</f>
        <v>744813512582</v>
      </c>
      <c r="B16119" t="s">
        <v>22340</v>
      </c>
      <c r="C16119" t="s">
        <v>7</v>
      </c>
      <c r="D16119" t="s">
        <v>14</v>
      </c>
      <c r="E16119" t="s">
        <v>22110</v>
      </c>
    </row>
    <row r="16120" spans="1:6" x14ac:dyDescent="0.25">
      <c r="A16120" t="str">
        <f>"7448136590"</f>
        <v>7448136590</v>
      </c>
      <c r="B16120" t="s">
        <v>6983</v>
      </c>
      <c r="C16120" t="s">
        <v>7</v>
      </c>
      <c r="D16120" t="s">
        <v>189</v>
      </c>
      <c r="E16120" t="s">
        <v>22110</v>
      </c>
      <c r="F16120" t="s">
        <v>22341</v>
      </c>
    </row>
    <row r="16121" spans="1:6" x14ac:dyDescent="0.25">
      <c r="A16121" t="str">
        <f>"7448151171"</f>
        <v>7448151171</v>
      </c>
      <c r="B16121" t="s">
        <v>22342</v>
      </c>
      <c r="C16121" t="s">
        <v>7</v>
      </c>
      <c r="D16121" t="s">
        <v>33</v>
      </c>
      <c r="E16121" t="s">
        <v>22110</v>
      </c>
      <c r="F16121" t="s">
        <v>22343</v>
      </c>
    </row>
    <row r="16122" spans="1:6" x14ac:dyDescent="0.25">
      <c r="A16122" t="str">
        <f>"7448186417"</f>
        <v>7448186417</v>
      </c>
      <c r="B16122" t="s">
        <v>22344</v>
      </c>
      <c r="C16122" t="s">
        <v>7</v>
      </c>
      <c r="D16122" t="s">
        <v>146</v>
      </c>
      <c r="E16122" t="s">
        <v>22110</v>
      </c>
      <c r="F16122" t="s">
        <v>22345</v>
      </c>
    </row>
    <row r="16123" spans="1:6" x14ac:dyDescent="0.25">
      <c r="A16123" t="str">
        <f>"7448189961"</f>
        <v>7448189961</v>
      </c>
      <c r="B16123" t="s">
        <v>3136</v>
      </c>
      <c r="C16123" t="s">
        <v>7</v>
      </c>
      <c r="D16123" t="s">
        <v>189</v>
      </c>
      <c r="E16123" t="s">
        <v>22110</v>
      </c>
      <c r="F16123" t="s">
        <v>22346</v>
      </c>
    </row>
    <row r="16124" spans="1:6" x14ac:dyDescent="0.25">
      <c r="A16124" t="str">
        <f>"7448195394"</f>
        <v>7448195394</v>
      </c>
      <c r="B16124" t="s">
        <v>22347</v>
      </c>
      <c r="C16124" t="s">
        <v>7</v>
      </c>
      <c r="D16124" t="s">
        <v>33</v>
      </c>
      <c r="E16124" t="s">
        <v>22110</v>
      </c>
      <c r="F16124" t="s">
        <v>22348</v>
      </c>
    </row>
    <row r="16125" spans="1:6" x14ac:dyDescent="0.25">
      <c r="A16125" t="str">
        <f>"7448198814"</f>
        <v>7448198814</v>
      </c>
      <c r="B16125" t="s">
        <v>22349</v>
      </c>
      <c r="C16125" t="s">
        <v>7</v>
      </c>
      <c r="D16125" t="s">
        <v>33</v>
      </c>
      <c r="E16125" t="s">
        <v>22110</v>
      </c>
      <c r="F16125" t="s">
        <v>22350</v>
      </c>
    </row>
    <row r="16126" spans="1:6" x14ac:dyDescent="0.25">
      <c r="A16126" t="str">
        <f>"7448217217"</f>
        <v>7448217217</v>
      </c>
      <c r="B16126" t="s">
        <v>22351</v>
      </c>
      <c r="C16126" t="s">
        <v>7</v>
      </c>
      <c r="D16126" t="s">
        <v>14</v>
      </c>
      <c r="E16126" t="s">
        <v>22110</v>
      </c>
      <c r="F16126" t="s">
        <v>22352</v>
      </c>
    </row>
    <row r="16127" spans="1:6" x14ac:dyDescent="0.25">
      <c r="A16127" t="str">
        <f>"7448255036"</f>
        <v>7448255036</v>
      </c>
      <c r="B16127" t="s">
        <v>22353</v>
      </c>
      <c r="C16127" t="s">
        <v>7</v>
      </c>
      <c r="D16127" t="s">
        <v>33</v>
      </c>
      <c r="E16127" t="s">
        <v>22110</v>
      </c>
      <c r="F16127" t="s">
        <v>22354</v>
      </c>
    </row>
    <row r="16128" spans="1:6" x14ac:dyDescent="0.25">
      <c r="A16128" t="str">
        <f>"744842878045"</f>
        <v>744842878045</v>
      </c>
      <c r="B16128" t="s">
        <v>22355</v>
      </c>
      <c r="C16128" t="s">
        <v>7</v>
      </c>
      <c r="D16128" t="s">
        <v>33</v>
      </c>
      <c r="E16128" t="s">
        <v>22110</v>
      </c>
    </row>
    <row r="16129" spans="1:6" x14ac:dyDescent="0.25">
      <c r="A16129" t="str">
        <f>"744900062330"</f>
        <v>744900062330</v>
      </c>
      <c r="B16129" t="s">
        <v>22356</v>
      </c>
      <c r="C16129" t="s">
        <v>7</v>
      </c>
      <c r="D16129" t="s">
        <v>14</v>
      </c>
      <c r="E16129" t="s">
        <v>22110</v>
      </c>
    </row>
    <row r="16130" spans="1:6" x14ac:dyDescent="0.25">
      <c r="A16130" t="str">
        <f>"744900721092"</f>
        <v>744900721092</v>
      </c>
      <c r="B16130" t="s">
        <v>22357</v>
      </c>
      <c r="C16130" t="s">
        <v>7</v>
      </c>
      <c r="D16130" t="s">
        <v>14</v>
      </c>
      <c r="E16130" t="s">
        <v>22110</v>
      </c>
    </row>
    <row r="16131" spans="1:6" x14ac:dyDescent="0.25">
      <c r="A16131" t="str">
        <f>"7449054653"</f>
        <v>7449054653</v>
      </c>
      <c r="B16131" t="s">
        <v>22358</v>
      </c>
      <c r="C16131" t="s">
        <v>7</v>
      </c>
      <c r="D16131" t="s">
        <v>33</v>
      </c>
      <c r="E16131" t="s">
        <v>22110</v>
      </c>
      <c r="F16131" t="s">
        <v>22359</v>
      </c>
    </row>
    <row r="16132" spans="1:6" x14ac:dyDescent="0.25">
      <c r="A16132" t="str">
        <f>"7449074642"</f>
        <v>7449074642</v>
      </c>
      <c r="B16132" t="s">
        <v>22360</v>
      </c>
      <c r="C16132" t="s">
        <v>7</v>
      </c>
      <c r="D16132" t="s">
        <v>33</v>
      </c>
      <c r="E16132" t="s">
        <v>22110</v>
      </c>
      <c r="F16132" t="s">
        <v>22361</v>
      </c>
    </row>
    <row r="16133" spans="1:6" x14ac:dyDescent="0.25">
      <c r="A16133" t="str">
        <f>"7449116910"</f>
        <v>7449116910</v>
      </c>
      <c r="B16133" t="s">
        <v>22362</v>
      </c>
      <c r="C16133" t="s">
        <v>7</v>
      </c>
      <c r="D16133" t="s">
        <v>33</v>
      </c>
      <c r="E16133" t="s">
        <v>22110</v>
      </c>
      <c r="F16133" t="s">
        <v>22363</v>
      </c>
    </row>
    <row r="16134" spans="1:6" x14ac:dyDescent="0.25">
      <c r="A16134" t="str">
        <f>"7449118040"</f>
        <v>7449118040</v>
      </c>
      <c r="B16134" t="s">
        <v>22364</v>
      </c>
      <c r="C16134" t="s">
        <v>7</v>
      </c>
      <c r="D16134" t="s">
        <v>12</v>
      </c>
      <c r="E16134" t="s">
        <v>22110</v>
      </c>
      <c r="F16134" t="s">
        <v>22365</v>
      </c>
    </row>
    <row r="16135" spans="1:6" x14ac:dyDescent="0.25">
      <c r="A16135" t="str">
        <f>"744914720902"</f>
        <v>744914720902</v>
      </c>
      <c r="B16135" t="s">
        <v>22366</v>
      </c>
      <c r="C16135" t="s">
        <v>7</v>
      </c>
      <c r="D16135" t="s">
        <v>14</v>
      </c>
      <c r="E16135" t="s">
        <v>22110</v>
      </c>
    </row>
    <row r="16136" spans="1:6" x14ac:dyDescent="0.25">
      <c r="A16136" t="str">
        <f>"7449153870"</f>
        <v>7449153870</v>
      </c>
      <c r="B16136" t="s">
        <v>22367</v>
      </c>
      <c r="C16136" t="s">
        <v>7</v>
      </c>
      <c r="D16136" t="s">
        <v>33</v>
      </c>
      <c r="E16136" t="s">
        <v>22110</v>
      </c>
      <c r="F16136" t="s">
        <v>22368</v>
      </c>
    </row>
    <row r="16137" spans="1:6" x14ac:dyDescent="0.25">
      <c r="A16137" t="str">
        <f>"7449154640"</f>
        <v>7449154640</v>
      </c>
      <c r="B16137" t="s">
        <v>6983</v>
      </c>
      <c r="C16137" t="s">
        <v>7</v>
      </c>
      <c r="D16137" t="s">
        <v>33</v>
      </c>
      <c r="E16137" t="s">
        <v>22110</v>
      </c>
      <c r="F16137" t="s">
        <v>22369</v>
      </c>
    </row>
    <row r="16138" spans="1:6" x14ac:dyDescent="0.25">
      <c r="A16138" t="str">
        <f>"745000651038"</f>
        <v>745000651038</v>
      </c>
      <c r="B16138" t="s">
        <v>22370</v>
      </c>
      <c r="C16138" t="s">
        <v>7</v>
      </c>
      <c r="D16138" t="s">
        <v>14</v>
      </c>
      <c r="E16138" t="s">
        <v>22110</v>
      </c>
    </row>
    <row r="16139" spans="1:6" x14ac:dyDescent="0.25">
      <c r="A16139" t="str">
        <f>"745001634211"</f>
        <v>745001634211</v>
      </c>
      <c r="B16139" t="s">
        <v>22371</v>
      </c>
      <c r="C16139" t="s">
        <v>7</v>
      </c>
      <c r="D16139" t="s">
        <v>12</v>
      </c>
      <c r="E16139" t="s">
        <v>22110</v>
      </c>
    </row>
    <row r="16140" spans="1:6" x14ac:dyDescent="0.25">
      <c r="A16140" t="str">
        <f>"732592640008"</f>
        <v>732592640008</v>
      </c>
      <c r="B16140" t="s">
        <v>22372</v>
      </c>
      <c r="C16140" t="s">
        <v>7</v>
      </c>
      <c r="D16140" t="s">
        <v>14</v>
      </c>
      <c r="E16140" t="s">
        <v>22110</v>
      </c>
    </row>
    <row r="16141" spans="1:6" x14ac:dyDescent="0.25">
      <c r="A16141" t="str">
        <f>"740100207067"</f>
        <v>740100207067</v>
      </c>
      <c r="B16141" t="s">
        <v>22373</v>
      </c>
      <c r="C16141" t="s">
        <v>7</v>
      </c>
      <c r="D16141" t="s">
        <v>14</v>
      </c>
      <c r="E16141" t="s">
        <v>22110</v>
      </c>
    </row>
    <row r="16142" spans="1:6" x14ac:dyDescent="0.25">
      <c r="A16142" t="str">
        <f>"740106391334"</f>
        <v>740106391334</v>
      </c>
      <c r="B16142" t="s">
        <v>22374</v>
      </c>
      <c r="C16142" t="s">
        <v>7</v>
      </c>
      <c r="D16142" t="s">
        <v>14</v>
      </c>
      <c r="E16142" t="s">
        <v>22110</v>
      </c>
    </row>
    <row r="16143" spans="1:6" x14ac:dyDescent="0.25">
      <c r="A16143" t="str">
        <f>"7402005410"</f>
        <v>7402005410</v>
      </c>
      <c r="B16143" t="s">
        <v>10717</v>
      </c>
      <c r="C16143" t="s">
        <v>7</v>
      </c>
      <c r="D16143" t="s">
        <v>14</v>
      </c>
      <c r="E16143" t="s">
        <v>22110</v>
      </c>
      <c r="F16143" t="s">
        <v>22375</v>
      </c>
    </row>
    <row r="16144" spans="1:6" x14ac:dyDescent="0.25">
      <c r="A16144" t="str">
        <f>"740201189583"</f>
        <v>740201189583</v>
      </c>
      <c r="B16144" t="s">
        <v>22376</v>
      </c>
      <c r="C16144" t="s">
        <v>7</v>
      </c>
      <c r="D16144" t="s">
        <v>14</v>
      </c>
      <c r="E16144" t="s">
        <v>22110</v>
      </c>
    </row>
    <row r="16145" spans="1:6" x14ac:dyDescent="0.25">
      <c r="A16145" t="str">
        <f>"740402955076"</f>
        <v>740402955076</v>
      </c>
      <c r="B16145" t="s">
        <v>22377</v>
      </c>
      <c r="C16145" t="s">
        <v>7</v>
      </c>
      <c r="D16145" t="s">
        <v>14</v>
      </c>
      <c r="E16145" t="s">
        <v>22110</v>
      </c>
    </row>
    <row r="16146" spans="1:6" x14ac:dyDescent="0.25">
      <c r="A16146" t="str">
        <f>"7404034914"</f>
        <v>7404034914</v>
      </c>
      <c r="B16146" t="s">
        <v>22378</v>
      </c>
      <c r="C16146" t="s">
        <v>7</v>
      </c>
      <c r="D16146" t="s">
        <v>12</v>
      </c>
      <c r="E16146" t="s">
        <v>22110</v>
      </c>
      <c r="F16146" t="s">
        <v>22379</v>
      </c>
    </row>
    <row r="16147" spans="1:6" x14ac:dyDescent="0.25">
      <c r="A16147" t="str">
        <f>"740407731908"</f>
        <v>740407731908</v>
      </c>
      <c r="B16147" t="s">
        <v>22380</v>
      </c>
      <c r="C16147" t="s">
        <v>7</v>
      </c>
      <c r="D16147" t="s">
        <v>14</v>
      </c>
      <c r="E16147" t="s">
        <v>22110</v>
      </c>
    </row>
    <row r="16148" spans="1:6" x14ac:dyDescent="0.25">
      <c r="A16148" t="str">
        <f>"740413390808"</f>
        <v>740413390808</v>
      </c>
      <c r="B16148" t="s">
        <v>22381</v>
      </c>
      <c r="C16148" t="s">
        <v>7</v>
      </c>
      <c r="D16148" t="s">
        <v>14</v>
      </c>
      <c r="E16148" t="s">
        <v>22110</v>
      </c>
    </row>
    <row r="16149" spans="1:6" x14ac:dyDescent="0.25">
      <c r="A16149" t="str">
        <f>"740414095636"</f>
        <v>740414095636</v>
      </c>
      <c r="B16149" t="s">
        <v>22382</v>
      </c>
      <c r="C16149" t="s">
        <v>7</v>
      </c>
      <c r="D16149" t="s">
        <v>14</v>
      </c>
      <c r="E16149" t="s">
        <v>22110</v>
      </c>
    </row>
    <row r="16150" spans="1:6" x14ac:dyDescent="0.25">
      <c r="A16150" t="str">
        <f>"740417116309"</f>
        <v>740417116309</v>
      </c>
      <c r="B16150" t="s">
        <v>22383</v>
      </c>
      <c r="C16150" t="s">
        <v>7</v>
      </c>
      <c r="D16150" t="s">
        <v>14</v>
      </c>
      <c r="E16150" t="s">
        <v>22110</v>
      </c>
    </row>
    <row r="16151" spans="1:6" x14ac:dyDescent="0.25">
      <c r="A16151" t="str">
        <f>"740601257904"</f>
        <v>740601257904</v>
      </c>
      <c r="B16151" t="s">
        <v>22384</v>
      </c>
      <c r="C16151" t="s">
        <v>7</v>
      </c>
      <c r="D16151" t="s">
        <v>14</v>
      </c>
      <c r="E16151" t="s">
        <v>22110</v>
      </c>
    </row>
    <row r="16152" spans="1:6" x14ac:dyDescent="0.25">
      <c r="A16152" t="str">
        <f>"740700015536"</f>
        <v>740700015536</v>
      </c>
      <c r="B16152" t="s">
        <v>22385</v>
      </c>
      <c r="C16152" t="s">
        <v>7</v>
      </c>
      <c r="D16152" t="s">
        <v>14</v>
      </c>
      <c r="E16152" t="s">
        <v>22110</v>
      </c>
    </row>
    <row r="16153" spans="1:6" x14ac:dyDescent="0.25">
      <c r="A16153" t="str">
        <f>"740903625262"</f>
        <v>740903625262</v>
      </c>
      <c r="B16153" t="s">
        <v>22386</v>
      </c>
      <c r="C16153" t="s">
        <v>7</v>
      </c>
      <c r="D16153" t="s">
        <v>14</v>
      </c>
      <c r="E16153" t="s">
        <v>22110</v>
      </c>
    </row>
    <row r="16154" spans="1:6" x14ac:dyDescent="0.25">
      <c r="A16154" t="str">
        <f>"741001036292"</f>
        <v>741001036292</v>
      </c>
      <c r="B16154" t="s">
        <v>22387</v>
      </c>
      <c r="C16154" t="s">
        <v>7</v>
      </c>
      <c r="D16154" t="s">
        <v>14</v>
      </c>
      <c r="E16154" t="s">
        <v>22110</v>
      </c>
    </row>
    <row r="16155" spans="1:6" x14ac:dyDescent="0.25">
      <c r="A16155" t="str">
        <f>"741100605334"</f>
        <v>741100605334</v>
      </c>
      <c r="B16155" t="s">
        <v>22388</v>
      </c>
      <c r="C16155" t="s">
        <v>7</v>
      </c>
      <c r="D16155" t="s">
        <v>14</v>
      </c>
      <c r="E16155" t="s">
        <v>22110</v>
      </c>
    </row>
    <row r="16156" spans="1:6" x14ac:dyDescent="0.25">
      <c r="A16156" t="str">
        <f>"741107455374"</f>
        <v>741107455374</v>
      </c>
      <c r="B16156" t="s">
        <v>22389</v>
      </c>
      <c r="C16156" t="s">
        <v>7</v>
      </c>
      <c r="D16156" t="s">
        <v>14</v>
      </c>
      <c r="E16156" t="s">
        <v>22110</v>
      </c>
    </row>
    <row r="16157" spans="1:6" x14ac:dyDescent="0.25">
      <c r="A16157" t="str">
        <f>"741108205835"</f>
        <v>741108205835</v>
      </c>
      <c r="B16157" t="s">
        <v>22390</v>
      </c>
      <c r="C16157" t="s">
        <v>7</v>
      </c>
      <c r="D16157" t="s">
        <v>12</v>
      </c>
      <c r="E16157" t="s">
        <v>22110</v>
      </c>
    </row>
    <row r="16158" spans="1:6" x14ac:dyDescent="0.25">
      <c r="A16158" t="str">
        <f>"741300113587"</f>
        <v>741300113587</v>
      </c>
      <c r="B16158" t="s">
        <v>22391</v>
      </c>
      <c r="C16158" t="s">
        <v>7</v>
      </c>
      <c r="D16158" t="s">
        <v>14</v>
      </c>
      <c r="E16158" t="s">
        <v>22110</v>
      </c>
    </row>
    <row r="16159" spans="1:6" x14ac:dyDescent="0.25">
      <c r="A16159" t="str">
        <f>"741303993499"</f>
        <v>741303993499</v>
      </c>
      <c r="B16159" t="s">
        <v>22392</v>
      </c>
      <c r="C16159" t="s">
        <v>7</v>
      </c>
      <c r="D16159" t="s">
        <v>14</v>
      </c>
      <c r="E16159" t="s">
        <v>22110</v>
      </c>
    </row>
    <row r="16160" spans="1:6" x14ac:dyDescent="0.25">
      <c r="A16160" t="str">
        <f>"741500164282"</f>
        <v>741500164282</v>
      </c>
      <c r="B16160" t="s">
        <v>22393</v>
      </c>
      <c r="C16160" t="s">
        <v>7</v>
      </c>
      <c r="D16160" t="s">
        <v>14</v>
      </c>
      <c r="E16160" t="s">
        <v>22110</v>
      </c>
    </row>
    <row r="16161" spans="1:6" x14ac:dyDescent="0.25">
      <c r="A16161" t="str">
        <f>"741500340570"</f>
        <v>741500340570</v>
      </c>
      <c r="B16161" t="s">
        <v>22394</v>
      </c>
      <c r="C16161" t="s">
        <v>7</v>
      </c>
      <c r="D16161" t="s">
        <v>12</v>
      </c>
      <c r="E16161" t="s">
        <v>22110</v>
      </c>
    </row>
    <row r="16162" spans="1:6" x14ac:dyDescent="0.25">
      <c r="A16162" t="str">
        <f>"7415019467"</f>
        <v>7415019467</v>
      </c>
      <c r="B16162" t="s">
        <v>22395</v>
      </c>
      <c r="C16162" t="s">
        <v>7</v>
      </c>
      <c r="D16162" t="s">
        <v>33</v>
      </c>
      <c r="E16162" t="s">
        <v>22110</v>
      </c>
      <c r="F16162" t="s">
        <v>22396</v>
      </c>
    </row>
    <row r="16163" spans="1:6" x14ac:dyDescent="0.25">
      <c r="A16163" t="str">
        <f>"741507658298"</f>
        <v>741507658298</v>
      </c>
      <c r="B16163" t="s">
        <v>22397</v>
      </c>
      <c r="C16163" t="s">
        <v>7</v>
      </c>
      <c r="D16163" t="s">
        <v>14</v>
      </c>
      <c r="E16163" t="s">
        <v>22110</v>
      </c>
    </row>
    <row r="16164" spans="1:6" x14ac:dyDescent="0.25">
      <c r="A16164" t="str">
        <f>"7415084995"</f>
        <v>7415084995</v>
      </c>
      <c r="B16164" t="s">
        <v>22398</v>
      </c>
      <c r="C16164" t="s">
        <v>7</v>
      </c>
      <c r="D16164" t="s">
        <v>33</v>
      </c>
      <c r="E16164" t="s">
        <v>22110</v>
      </c>
      <c r="F16164" t="s">
        <v>22399</v>
      </c>
    </row>
    <row r="16165" spans="1:6" x14ac:dyDescent="0.25">
      <c r="A16165" t="str">
        <f>"7415085903"</f>
        <v>7415085903</v>
      </c>
      <c r="B16165" t="s">
        <v>4710</v>
      </c>
      <c r="C16165" t="s">
        <v>7</v>
      </c>
      <c r="D16165" t="s">
        <v>33</v>
      </c>
      <c r="E16165" t="s">
        <v>22110</v>
      </c>
      <c r="F16165" t="s">
        <v>22400</v>
      </c>
    </row>
    <row r="16166" spans="1:6" x14ac:dyDescent="0.25">
      <c r="A16166" t="str">
        <f>"741509613013"</f>
        <v>741509613013</v>
      </c>
      <c r="B16166" t="s">
        <v>22401</v>
      </c>
      <c r="C16166" t="s">
        <v>7</v>
      </c>
      <c r="D16166" t="s">
        <v>14</v>
      </c>
      <c r="E16166" t="s">
        <v>22110</v>
      </c>
    </row>
    <row r="16167" spans="1:6" x14ac:dyDescent="0.25">
      <c r="A16167" t="str">
        <f>"741511181804"</f>
        <v>741511181804</v>
      </c>
      <c r="B16167" t="s">
        <v>22402</v>
      </c>
      <c r="C16167" t="s">
        <v>7</v>
      </c>
      <c r="D16167" t="s">
        <v>14</v>
      </c>
      <c r="E16167" t="s">
        <v>22110</v>
      </c>
    </row>
    <row r="16168" spans="1:6" x14ac:dyDescent="0.25">
      <c r="A16168" t="str">
        <f>"741511848277"</f>
        <v>741511848277</v>
      </c>
      <c r="B16168" t="s">
        <v>22403</v>
      </c>
      <c r="C16168" t="s">
        <v>7</v>
      </c>
      <c r="D16168" t="s">
        <v>14</v>
      </c>
      <c r="E16168" t="s">
        <v>22110</v>
      </c>
    </row>
    <row r="16169" spans="1:6" x14ac:dyDescent="0.25">
      <c r="A16169" t="str">
        <f>"741512610911"</f>
        <v>741512610911</v>
      </c>
      <c r="B16169" t="s">
        <v>22404</v>
      </c>
      <c r="C16169" t="s">
        <v>7</v>
      </c>
      <c r="D16169" t="s">
        <v>14</v>
      </c>
      <c r="E16169" t="s">
        <v>22110</v>
      </c>
    </row>
    <row r="16170" spans="1:6" x14ac:dyDescent="0.25">
      <c r="A16170" t="str">
        <f>"741513694262"</f>
        <v>741513694262</v>
      </c>
      <c r="B16170" t="s">
        <v>22405</v>
      </c>
      <c r="C16170" t="s">
        <v>7</v>
      </c>
      <c r="D16170" t="s">
        <v>14</v>
      </c>
      <c r="E16170" t="s">
        <v>22110</v>
      </c>
    </row>
    <row r="16171" spans="1:6" x14ac:dyDescent="0.25">
      <c r="A16171" t="str">
        <f>"741517145520"</f>
        <v>741517145520</v>
      </c>
      <c r="B16171" t="s">
        <v>22406</v>
      </c>
      <c r="C16171" t="s">
        <v>7</v>
      </c>
      <c r="D16171" t="s">
        <v>14</v>
      </c>
      <c r="E16171" t="s">
        <v>22110</v>
      </c>
    </row>
    <row r="16172" spans="1:6" x14ac:dyDescent="0.25">
      <c r="A16172" t="str">
        <f>"741519636860"</f>
        <v>741519636860</v>
      </c>
      <c r="B16172" t="s">
        <v>22407</v>
      </c>
      <c r="C16172" t="s">
        <v>7</v>
      </c>
      <c r="D16172" t="s">
        <v>14</v>
      </c>
      <c r="E16172" t="s">
        <v>22110</v>
      </c>
    </row>
    <row r="16173" spans="1:6" x14ac:dyDescent="0.25">
      <c r="A16173" t="str">
        <f>"741600759903"</f>
        <v>741600759903</v>
      </c>
      <c r="B16173" t="s">
        <v>22408</v>
      </c>
      <c r="C16173" t="s">
        <v>7</v>
      </c>
      <c r="D16173" t="s">
        <v>14</v>
      </c>
      <c r="E16173" t="s">
        <v>22110</v>
      </c>
    </row>
    <row r="16174" spans="1:6" x14ac:dyDescent="0.25">
      <c r="A16174" t="str">
        <f>"741700181278"</f>
        <v>741700181278</v>
      </c>
      <c r="B16174" t="s">
        <v>22409</v>
      </c>
      <c r="C16174" t="s">
        <v>7</v>
      </c>
      <c r="D16174" t="s">
        <v>14</v>
      </c>
      <c r="E16174" t="s">
        <v>22110</v>
      </c>
    </row>
    <row r="16175" spans="1:6" x14ac:dyDescent="0.25">
      <c r="A16175" t="str">
        <f>"741701061199"</f>
        <v>741701061199</v>
      </c>
      <c r="B16175" t="s">
        <v>22410</v>
      </c>
      <c r="C16175" t="s">
        <v>7</v>
      </c>
      <c r="D16175" t="s">
        <v>14</v>
      </c>
      <c r="E16175" t="s">
        <v>22110</v>
      </c>
    </row>
    <row r="16176" spans="1:6" x14ac:dyDescent="0.25">
      <c r="A16176" t="str">
        <f>"741802548461"</f>
        <v>741802548461</v>
      </c>
      <c r="B16176" t="s">
        <v>22411</v>
      </c>
      <c r="C16176" t="s">
        <v>7</v>
      </c>
      <c r="D16176" t="s">
        <v>14</v>
      </c>
      <c r="E16176" t="s">
        <v>22110</v>
      </c>
    </row>
    <row r="16177" spans="1:6" x14ac:dyDescent="0.25">
      <c r="A16177" t="str">
        <f>"741803567996"</f>
        <v>741803567996</v>
      </c>
      <c r="B16177" t="s">
        <v>22412</v>
      </c>
      <c r="C16177" t="s">
        <v>7</v>
      </c>
      <c r="D16177" t="s">
        <v>14</v>
      </c>
      <c r="E16177" t="s">
        <v>22110</v>
      </c>
    </row>
    <row r="16178" spans="1:6" x14ac:dyDescent="0.25">
      <c r="A16178" t="str">
        <f>"741855970902"</f>
        <v>741855970902</v>
      </c>
      <c r="B16178" t="s">
        <v>22413</v>
      </c>
      <c r="C16178" t="s">
        <v>7</v>
      </c>
      <c r="D16178" t="s">
        <v>33</v>
      </c>
      <c r="E16178" t="s">
        <v>22110</v>
      </c>
    </row>
    <row r="16179" spans="1:6" x14ac:dyDescent="0.25">
      <c r="A16179" t="str">
        <f>"741902191350"</f>
        <v>741902191350</v>
      </c>
      <c r="B16179" t="s">
        <v>22414</v>
      </c>
      <c r="C16179" t="s">
        <v>7</v>
      </c>
      <c r="D16179" t="s">
        <v>14</v>
      </c>
      <c r="E16179" t="s">
        <v>22110</v>
      </c>
    </row>
    <row r="16180" spans="1:6" x14ac:dyDescent="0.25">
      <c r="A16180" t="str">
        <f>"745210619351"</f>
        <v>745210619351</v>
      </c>
      <c r="B16180" t="s">
        <v>22415</v>
      </c>
      <c r="C16180" t="s">
        <v>7</v>
      </c>
      <c r="D16180" t="s">
        <v>12</v>
      </c>
      <c r="E16180" t="s">
        <v>22110</v>
      </c>
    </row>
    <row r="16181" spans="1:6" x14ac:dyDescent="0.25">
      <c r="A16181" t="str">
        <f>"7452114937"</f>
        <v>7452114937</v>
      </c>
      <c r="B16181" t="s">
        <v>22416</v>
      </c>
      <c r="C16181" t="s">
        <v>7</v>
      </c>
      <c r="D16181" t="s">
        <v>8</v>
      </c>
      <c r="E16181" t="s">
        <v>22110</v>
      </c>
      <c r="F16181" t="s">
        <v>22417</v>
      </c>
    </row>
    <row r="16182" spans="1:6" x14ac:dyDescent="0.25">
      <c r="A16182" t="str">
        <f>"745211821296"</f>
        <v>745211821296</v>
      </c>
      <c r="B16182" t="s">
        <v>22418</v>
      </c>
      <c r="C16182" t="s">
        <v>7</v>
      </c>
      <c r="D16182" t="s">
        <v>12</v>
      </c>
      <c r="E16182" t="s">
        <v>22110</v>
      </c>
    </row>
    <row r="16183" spans="1:6" x14ac:dyDescent="0.25">
      <c r="A16183" t="str">
        <f>"745211928578"</f>
        <v>745211928578</v>
      </c>
      <c r="B16183" t="s">
        <v>22419</v>
      </c>
      <c r="C16183" t="s">
        <v>7</v>
      </c>
      <c r="D16183" t="s">
        <v>14</v>
      </c>
      <c r="E16183" t="s">
        <v>22110</v>
      </c>
    </row>
    <row r="16184" spans="1:6" x14ac:dyDescent="0.25">
      <c r="A16184" t="str">
        <f>"745212886088"</f>
        <v>745212886088</v>
      </c>
      <c r="B16184" t="s">
        <v>22420</v>
      </c>
      <c r="C16184" t="s">
        <v>7</v>
      </c>
      <c r="D16184" t="s">
        <v>8</v>
      </c>
      <c r="E16184" t="s">
        <v>22110</v>
      </c>
    </row>
    <row r="16185" spans="1:6" x14ac:dyDescent="0.25">
      <c r="A16185" t="str">
        <f>"745218701329"</f>
        <v>745218701329</v>
      </c>
      <c r="B16185" t="s">
        <v>22421</v>
      </c>
      <c r="C16185" t="s">
        <v>7</v>
      </c>
      <c r="D16185" t="s">
        <v>14</v>
      </c>
      <c r="E16185" t="s">
        <v>22110</v>
      </c>
    </row>
    <row r="16186" spans="1:6" x14ac:dyDescent="0.25">
      <c r="A16186" t="str">
        <f>"745300241040"</f>
        <v>745300241040</v>
      </c>
      <c r="B16186" t="s">
        <v>22422</v>
      </c>
      <c r="C16186" t="s">
        <v>7</v>
      </c>
      <c r="D16186" t="s">
        <v>14</v>
      </c>
      <c r="E16186" t="s">
        <v>22110</v>
      </c>
    </row>
    <row r="16187" spans="1:6" x14ac:dyDescent="0.25">
      <c r="A16187" t="str">
        <f>"745304285707"</f>
        <v>745304285707</v>
      </c>
      <c r="B16187" t="s">
        <v>22423</v>
      </c>
      <c r="C16187" t="s">
        <v>7</v>
      </c>
      <c r="D16187" t="s">
        <v>14</v>
      </c>
      <c r="E16187" t="s">
        <v>22110</v>
      </c>
    </row>
    <row r="16188" spans="1:6" x14ac:dyDescent="0.25">
      <c r="A16188" t="str">
        <f>"745304518905"</f>
        <v>745304518905</v>
      </c>
      <c r="B16188" t="s">
        <v>22424</v>
      </c>
      <c r="C16188" t="s">
        <v>7</v>
      </c>
      <c r="D16188" t="s">
        <v>14</v>
      </c>
      <c r="E16188" t="s">
        <v>22110</v>
      </c>
    </row>
    <row r="16189" spans="1:6" x14ac:dyDescent="0.25">
      <c r="A16189" t="str">
        <f>"7453048035"</f>
        <v>7453048035</v>
      </c>
      <c r="B16189" t="s">
        <v>22425</v>
      </c>
      <c r="C16189" t="s">
        <v>7</v>
      </c>
      <c r="D16189" t="s">
        <v>12</v>
      </c>
      <c r="E16189" t="s">
        <v>22110</v>
      </c>
      <c r="F16189" t="s">
        <v>22426</v>
      </c>
    </row>
    <row r="16190" spans="1:6" x14ac:dyDescent="0.25">
      <c r="A16190" t="str">
        <f>"7453063989"</f>
        <v>7453063989</v>
      </c>
      <c r="B16190" t="s">
        <v>22427</v>
      </c>
      <c r="C16190" t="s">
        <v>7</v>
      </c>
      <c r="D16190" t="s">
        <v>674</v>
      </c>
      <c r="E16190" t="s">
        <v>22110</v>
      </c>
      <c r="F16190" t="s">
        <v>22428</v>
      </c>
    </row>
    <row r="16191" spans="1:6" x14ac:dyDescent="0.25">
      <c r="A16191" t="str">
        <f>"745310446254"</f>
        <v>745310446254</v>
      </c>
      <c r="B16191" t="s">
        <v>22429</v>
      </c>
      <c r="C16191" t="s">
        <v>7</v>
      </c>
      <c r="D16191" t="s">
        <v>14</v>
      </c>
      <c r="E16191" t="s">
        <v>22110</v>
      </c>
    </row>
    <row r="16192" spans="1:6" x14ac:dyDescent="0.25">
      <c r="A16192" t="str">
        <f>"7453136740"</f>
        <v>7453136740</v>
      </c>
      <c r="B16192" t="s">
        <v>22430</v>
      </c>
      <c r="C16192" t="s">
        <v>7</v>
      </c>
      <c r="D16192" t="s">
        <v>14</v>
      </c>
      <c r="E16192" t="s">
        <v>22110</v>
      </c>
      <c r="F16192" t="s">
        <v>22431</v>
      </c>
    </row>
    <row r="16193" spans="1:6" x14ac:dyDescent="0.25">
      <c r="A16193" t="str">
        <f>"7453174992"</f>
        <v>7453174992</v>
      </c>
      <c r="B16193" t="s">
        <v>22432</v>
      </c>
      <c r="C16193" t="s">
        <v>7</v>
      </c>
      <c r="D16193" t="s">
        <v>12</v>
      </c>
      <c r="E16193" t="s">
        <v>22110</v>
      </c>
      <c r="F16193" t="s">
        <v>22433</v>
      </c>
    </row>
    <row r="16194" spans="1:6" x14ac:dyDescent="0.25">
      <c r="A16194" t="str">
        <f>"7453230647"</f>
        <v>7453230647</v>
      </c>
      <c r="B16194" t="s">
        <v>22434</v>
      </c>
      <c r="C16194" t="s">
        <v>7</v>
      </c>
      <c r="D16194" t="s">
        <v>33</v>
      </c>
      <c r="E16194" t="s">
        <v>22110</v>
      </c>
      <c r="F16194" t="s">
        <v>22435</v>
      </c>
    </row>
    <row r="16195" spans="1:6" x14ac:dyDescent="0.25">
      <c r="A16195" t="str">
        <f>"7453284040"</f>
        <v>7453284040</v>
      </c>
      <c r="B16195" t="s">
        <v>22436</v>
      </c>
      <c r="C16195" t="s">
        <v>7</v>
      </c>
      <c r="D16195" t="s">
        <v>33</v>
      </c>
      <c r="E16195" t="s">
        <v>22110</v>
      </c>
      <c r="F16195" t="s">
        <v>22437</v>
      </c>
    </row>
    <row r="16196" spans="1:6" x14ac:dyDescent="0.25">
      <c r="A16196" t="str">
        <f>"7453297835"</f>
        <v>7453297835</v>
      </c>
      <c r="B16196" t="s">
        <v>22438</v>
      </c>
      <c r="C16196" t="s">
        <v>7</v>
      </c>
      <c r="D16196" t="s">
        <v>33</v>
      </c>
      <c r="E16196" t="s">
        <v>22110</v>
      </c>
      <c r="F16196" t="s">
        <v>22437</v>
      </c>
    </row>
    <row r="16197" spans="1:6" x14ac:dyDescent="0.25">
      <c r="A16197" t="str">
        <f>"7453327543"</f>
        <v>7453327543</v>
      </c>
      <c r="B16197" t="s">
        <v>22439</v>
      </c>
      <c r="C16197" t="s">
        <v>7</v>
      </c>
      <c r="D16197" t="s">
        <v>14</v>
      </c>
      <c r="E16197" t="s">
        <v>22110</v>
      </c>
      <c r="F16197" t="s">
        <v>22440</v>
      </c>
    </row>
    <row r="16198" spans="1:6" x14ac:dyDescent="0.25">
      <c r="A16198" t="str">
        <f>"7453331772"</f>
        <v>7453331772</v>
      </c>
      <c r="B16198" t="s">
        <v>22441</v>
      </c>
      <c r="C16198" t="s">
        <v>7</v>
      </c>
      <c r="D16198" t="s">
        <v>12</v>
      </c>
      <c r="E16198" t="s">
        <v>22110</v>
      </c>
      <c r="F16198" t="s">
        <v>22442</v>
      </c>
    </row>
    <row r="16199" spans="1:6" x14ac:dyDescent="0.25">
      <c r="A16199" t="str">
        <f>"7455025410"</f>
        <v>7455025410</v>
      </c>
      <c r="B16199" t="s">
        <v>22022</v>
      </c>
      <c r="C16199" t="s">
        <v>7</v>
      </c>
      <c r="D16199" t="s">
        <v>12</v>
      </c>
      <c r="E16199" t="s">
        <v>22110</v>
      </c>
      <c r="F16199" t="s">
        <v>22443</v>
      </c>
    </row>
    <row r="16200" spans="1:6" x14ac:dyDescent="0.25">
      <c r="A16200" t="str">
        <f>"7455041807"</f>
        <v>7455041807</v>
      </c>
      <c r="B16200" t="s">
        <v>22444</v>
      </c>
      <c r="C16200" t="s">
        <v>7</v>
      </c>
      <c r="D16200" t="s">
        <v>14</v>
      </c>
      <c r="E16200" t="s">
        <v>22110</v>
      </c>
      <c r="F16200" t="s">
        <v>22445</v>
      </c>
    </row>
    <row r="16201" spans="1:6" x14ac:dyDescent="0.25">
      <c r="A16201" t="str">
        <f>"7456043966"</f>
        <v>7456043966</v>
      </c>
      <c r="B16201" t="s">
        <v>1157</v>
      </c>
      <c r="C16201" t="s">
        <v>7</v>
      </c>
      <c r="D16201" t="s">
        <v>14</v>
      </c>
      <c r="E16201" t="s">
        <v>22110</v>
      </c>
      <c r="F16201" t="s">
        <v>22446</v>
      </c>
    </row>
    <row r="16202" spans="1:6" x14ac:dyDescent="0.25">
      <c r="A16202" t="str">
        <f>"7460029121"</f>
        <v>7460029121</v>
      </c>
      <c r="B16202" t="s">
        <v>22447</v>
      </c>
      <c r="C16202" t="s">
        <v>7</v>
      </c>
      <c r="D16202" t="s">
        <v>33</v>
      </c>
      <c r="E16202" t="s">
        <v>22110</v>
      </c>
      <c r="F16202" t="s">
        <v>22448</v>
      </c>
    </row>
    <row r="16203" spans="1:6" x14ac:dyDescent="0.25">
      <c r="A16203" t="str">
        <f>"7460056206"</f>
        <v>7460056206</v>
      </c>
      <c r="B16203" t="s">
        <v>22449</v>
      </c>
      <c r="C16203" t="s">
        <v>7</v>
      </c>
      <c r="D16203" t="s">
        <v>14</v>
      </c>
      <c r="E16203" t="s">
        <v>22110</v>
      </c>
      <c r="F16203" t="s">
        <v>22450</v>
      </c>
    </row>
    <row r="16204" spans="1:6" x14ac:dyDescent="0.25">
      <c r="A16204" t="str">
        <f>"7460059253"</f>
        <v>7460059253</v>
      </c>
      <c r="B16204" t="s">
        <v>22451</v>
      </c>
      <c r="C16204" t="s">
        <v>7</v>
      </c>
      <c r="D16204" t="s">
        <v>146</v>
      </c>
      <c r="E16204" t="s">
        <v>22110</v>
      </c>
      <c r="F16204" t="s">
        <v>22452</v>
      </c>
    </row>
    <row r="16205" spans="1:6" x14ac:dyDescent="0.25">
      <c r="A16205" t="str">
        <f>"745108558309"</f>
        <v>745108558309</v>
      </c>
      <c r="B16205" t="s">
        <v>22453</v>
      </c>
      <c r="C16205" t="s">
        <v>7</v>
      </c>
      <c r="D16205" t="s">
        <v>12</v>
      </c>
      <c r="E16205" t="s">
        <v>22110</v>
      </c>
    </row>
    <row r="16206" spans="1:6" x14ac:dyDescent="0.25">
      <c r="A16206" t="str">
        <f>"745110176628"</f>
        <v>745110176628</v>
      </c>
      <c r="B16206" t="s">
        <v>22454</v>
      </c>
      <c r="C16206" t="s">
        <v>7</v>
      </c>
      <c r="D16206" t="s">
        <v>14</v>
      </c>
      <c r="E16206" t="s">
        <v>22110</v>
      </c>
    </row>
    <row r="16207" spans="1:6" x14ac:dyDescent="0.25">
      <c r="A16207" t="str">
        <f>"7451306731"</f>
        <v>7451306731</v>
      </c>
      <c r="B16207" t="s">
        <v>22455</v>
      </c>
      <c r="C16207" t="s">
        <v>7</v>
      </c>
      <c r="D16207" t="s">
        <v>12</v>
      </c>
      <c r="E16207" t="s">
        <v>22110</v>
      </c>
      <c r="F16207" t="s">
        <v>22456</v>
      </c>
    </row>
    <row r="16208" spans="1:6" x14ac:dyDescent="0.25">
      <c r="A16208" t="str">
        <f>"7451343596"</f>
        <v>7451343596</v>
      </c>
      <c r="B16208" t="s">
        <v>22457</v>
      </c>
      <c r="C16208" t="s">
        <v>7</v>
      </c>
      <c r="D16208" t="s">
        <v>14</v>
      </c>
      <c r="E16208" t="s">
        <v>22110</v>
      </c>
      <c r="F16208" t="s">
        <v>22458</v>
      </c>
    </row>
    <row r="16209" spans="1:6" x14ac:dyDescent="0.25">
      <c r="A16209" t="str">
        <f>"7451350748"</f>
        <v>7451350748</v>
      </c>
      <c r="B16209" t="s">
        <v>22459</v>
      </c>
      <c r="C16209" t="s">
        <v>7</v>
      </c>
      <c r="D16209" t="s">
        <v>14</v>
      </c>
      <c r="E16209" t="s">
        <v>22110</v>
      </c>
      <c r="F16209" t="s">
        <v>22460</v>
      </c>
    </row>
    <row r="16210" spans="1:6" x14ac:dyDescent="0.25">
      <c r="A16210" t="str">
        <f>"7451360496"</f>
        <v>7451360496</v>
      </c>
      <c r="B16210" t="s">
        <v>9666</v>
      </c>
      <c r="C16210" t="s">
        <v>7</v>
      </c>
      <c r="D16210" t="s">
        <v>8</v>
      </c>
      <c r="E16210" t="s">
        <v>22110</v>
      </c>
      <c r="F16210" t="s">
        <v>22461</v>
      </c>
    </row>
    <row r="16211" spans="1:6" x14ac:dyDescent="0.25">
      <c r="A16211" t="str">
        <f>"7451362172"</f>
        <v>7451362172</v>
      </c>
      <c r="B16211" t="s">
        <v>22462</v>
      </c>
      <c r="C16211" t="s">
        <v>7</v>
      </c>
      <c r="D16211" t="s">
        <v>33</v>
      </c>
      <c r="E16211" t="s">
        <v>22110</v>
      </c>
      <c r="F16211" t="s">
        <v>22463</v>
      </c>
    </row>
    <row r="16212" spans="1:6" x14ac:dyDescent="0.25">
      <c r="A16212" t="str">
        <f>"7451370744"</f>
        <v>7451370744</v>
      </c>
      <c r="B16212" t="s">
        <v>22464</v>
      </c>
      <c r="C16212" t="s">
        <v>7</v>
      </c>
      <c r="D16212" t="s">
        <v>14</v>
      </c>
      <c r="E16212" t="s">
        <v>22110</v>
      </c>
      <c r="F16212" t="s">
        <v>22465</v>
      </c>
    </row>
    <row r="16213" spans="1:6" x14ac:dyDescent="0.25">
      <c r="A16213" t="str">
        <f>"7451372491"</f>
        <v>7451372491</v>
      </c>
      <c r="B16213" t="s">
        <v>22466</v>
      </c>
      <c r="C16213" t="s">
        <v>7</v>
      </c>
      <c r="D16213" t="s">
        <v>8</v>
      </c>
      <c r="E16213" t="s">
        <v>22110</v>
      </c>
      <c r="F16213" t="s">
        <v>22467</v>
      </c>
    </row>
    <row r="16214" spans="1:6" x14ac:dyDescent="0.25">
      <c r="A16214" t="str">
        <f>"7451401512"</f>
        <v>7451401512</v>
      </c>
      <c r="B16214" t="s">
        <v>22468</v>
      </c>
      <c r="C16214" t="s">
        <v>7</v>
      </c>
      <c r="D16214" t="s">
        <v>33</v>
      </c>
      <c r="E16214" t="s">
        <v>22110</v>
      </c>
      <c r="F16214" t="s">
        <v>22469</v>
      </c>
    </row>
    <row r="16215" spans="1:6" x14ac:dyDescent="0.25">
      <c r="A16215" t="str">
        <f>"7451402812"</f>
        <v>7451402812</v>
      </c>
      <c r="B16215" t="s">
        <v>22470</v>
      </c>
      <c r="C16215" t="s">
        <v>7</v>
      </c>
      <c r="D16215" t="s">
        <v>12</v>
      </c>
      <c r="E16215" t="s">
        <v>22110</v>
      </c>
      <c r="F16215" t="s">
        <v>22471</v>
      </c>
    </row>
    <row r="16216" spans="1:6" x14ac:dyDescent="0.25">
      <c r="A16216" t="str">
        <f>"7451408074"</f>
        <v>7451408074</v>
      </c>
      <c r="B16216" t="s">
        <v>22472</v>
      </c>
      <c r="C16216" t="s">
        <v>7</v>
      </c>
      <c r="D16216" t="s">
        <v>33</v>
      </c>
      <c r="E16216" t="s">
        <v>22110</v>
      </c>
      <c r="F16216" t="s">
        <v>22473</v>
      </c>
    </row>
    <row r="16217" spans="1:6" x14ac:dyDescent="0.25">
      <c r="A16217" t="str">
        <f>"7451427775"</f>
        <v>7451427775</v>
      </c>
      <c r="B16217" t="s">
        <v>22474</v>
      </c>
      <c r="C16217" t="s">
        <v>7</v>
      </c>
      <c r="D16217" t="s">
        <v>33</v>
      </c>
      <c r="E16217" t="s">
        <v>22110</v>
      </c>
      <c r="F16217" t="s">
        <v>22475</v>
      </c>
    </row>
    <row r="16218" spans="1:6" x14ac:dyDescent="0.25">
      <c r="A16218" t="str">
        <f>"7451436836"</f>
        <v>7451436836</v>
      </c>
      <c r="B16218" t="s">
        <v>22476</v>
      </c>
      <c r="C16218" t="s">
        <v>7</v>
      </c>
      <c r="D16218" t="s">
        <v>12</v>
      </c>
      <c r="E16218" t="s">
        <v>22110</v>
      </c>
      <c r="F16218" t="s">
        <v>22477</v>
      </c>
    </row>
    <row r="16219" spans="1:6" x14ac:dyDescent="0.25">
      <c r="A16219" t="str">
        <f>"7451448912"</f>
        <v>7451448912</v>
      </c>
      <c r="B16219" t="s">
        <v>6211</v>
      </c>
      <c r="C16219" t="s">
        <v>7</v>
      </c>
      <c r="D16219" t="s">
        <v>8</v>
      </c>
      <c r="E16219" t="s">
        <v>22110</v>
      </c>
      <c r="F16219" t="s">
        <v>22478</v>
      </c>
    </row>
    <row r="16220" spans="1:6" x14ac:dyDescent="0.25">
      <c r="A16220" t="str">
        <f>"7451453800"</f>
        <v>7451453800</v>
      </c>
      <c r="B16220" t="s">
        <v>22479</v>
      </c>
      <c r="C16220" t="s">
        <v>7</v>
      </c>
      <c r="D16220" t="s">
        <v>33</v>
      </c>
      <c r="E16220" t="s">
        <v>22110</v>
      </c>
      <c r="F16220" t="s">
        <v>22480</v>
      </c>
    </row>
    <row r="16221" spans="1:6" x14ac:dyDescent="0.25">
      <c r="A16221" t="str">
        <f>"7451457145"</f>
        <v>7451457145</v>
      </c>
      <c r="B16221" t="s">
        <v>22481</v>
      </c>
      <c r="C16221" t="s">
        <v>7</v>
      </c>
      <c r="D16221" t="s">
        <v>33</v>
      </c>
      <c r="E16221" t="s">
        <v>22110</v>
      </c>
      <c r="F16221" t="s">
        <v>22482</v>
      </c>
    </row>
    <row r="16222" spans="1:6" x14ac:dyDescent="0.25">
      <c r="A16222" t="str">
        <f>"7451459449"</f>
        <v>7451459449</v>
      </c>
      <c r="B16222" t="s">
        <v>22483</v>
      </c>
      <c r="C16222" t="s">
        <v>7</v>
      </c>
      <c r="D16222" t="s">
        <v>12</v>
      </c>
      <c r="E16222" t="s">
        <v>22110</v>
      </c>
      <c r="F16222" t="s">
        <v>22484</v>
      </c>
    </row>
    <row r="16223" spans="1:6" x14ac:dyDescent="0.25">
      <c r="A16223" t="str">
        <f>"7451461134"</f>
        <v>7451461134</v>
      </c>
      <c r="B16223" t="s">
        <v>22485</v>
      </c>
      <c r="C16223" t="s">
        <v>7</v>
      </c>
      <c r="D16223" t="s">
        <v>14</v>
      </c>
      <c r="E16223" t="s">
        <v>22110</v>
      </c>
      <c r="F16223" t="s">
        <v>22486</v>
      </c>
    </row>
    <row r="16224" spans="1:6" x14ac:dyDescent="0.25">
      <c r="A16224" t="str">
        <f>"7451464833"</f>
        <v>7451464833</v>
      </c>
      <c r="B16224" t="s">
        <v>22487</v>
      </c>
      <c r="C16224" t="s">
        <v>7</v>
      </c>
      <c r="D16224" t="s">
        <v>12</v>
      </c>
      <c r="E16224" t="s">
        <v>22110</v>
      </c>
      <c r="F16224" t="s">
        <v>22488</v>
      </c>
    </row>
    <row r="16225" spans="1:6" x14ac:dyDescent="0.25">
      <c r="A16225" t="str">
        <f>"7451473620"</f>
        <v>7451473620</v>
      </c>
      <c r="B16225" t="s">
        <v>22489</v>
      </c>
      <c r="C16225" t="s">
        <v>7</v>
      </c>
      <c r="D16225" t="s">
        <v>33</v>
      </c>
      <c r="E16225" t="s">
        <v>22110</v>
      </c>
      <c r="F16225" t="s">
        <v>22490</v>
      </c>
    </row>
    <row r="16226" spans="1:6" x14ac:dyDescent="0.25">
      <c r="A16226" t="str">
        <f>"745205457320"</f>
        <v>745205457320</v>
      </c>
      <c r="B16226" t="s">
        <v>22491</v>
      </c>
      <c r="C16226" t="s">
        <v>7</v>
      </c>
      <c r="D16226" t="s">
        <v>14</v>
      </c>
      <c r="E16226" t="s">
        <v>22110</v>
      </c>
    </row>
    <row r="16227" spans="1:6" x14ac:dyDescent="0.25">
      <c r="A16227" t="str">
        <f>"745207599105"</f>
        <v>745207599105</v>
      </c>
      <c r="B16227" t="s">
        <v>22492</v>
      </c>
      <c r="C16227" t="s">
        <v>7</v>
      </c>
      <c r="D16227" t="s">
        <v>14</v>
      </c>
      <c r="E16227" t="s">
        <v>22110</v>
      </c>
    </row>
    <row r="16228" spans="1:6" x14ac:dyDescent="0.25">
      <c r="A16228" t="str">
        <f>"745207826206"</f>
        <v>745207826206</v>
      </c>
      <c r="B16228" t="s">
        <v>22493</v>
      </c>
      <c r="C16228" t="s">
        <v>7</v>
      </c>
      <c r="D16228" t="s">
        <v>14</v>
      </c>
      <c r="E16228" t="s">
        <v>22110</v>
      </c>
    </row>
    <row r="16229" spans="1:6" x14ac:dyDescent="0.25">
      <c r="A16229" t="str">
        <f>"7452100035"</f>
        <v>7452100035</v>
      </c>
      <c r="B16229" t="s">
        <v>22494</v>
      </c>
      <c r="C16229" t="s">
        <v>7</v>
      </c>
      <c r="D16229" t="s">
        <v>12</v>
      </c>
      <c r="E16229" t="s">
        <v>22110</v>
      </c>
      <c r="F16229" t="s">
        <v>22495</v>
      </c>
    </row>
    <row r="16230" spans="1:6" x14ac:dyDescent="0.25">
      <c r="A16230" t="str">
        <f>"7452100236"</f>
        <v>7452100236</v>
      </c>
      <c r="B16230" t="s">
        <v>22496</v>
      </c>
      <c r="C16230" t="s">
        <v>7</v>
      </c>
      <c r="D16230" t="s">
        <v>33</v>
      </c>
      <c r="E16230" t="s">
        <v>22110</v>
      </c>
      <c r="F16230" t="s">
        <v>22497</v>
      </c>
    </row>
    <row r="16231" spans="1:6" x14ac:dyDescent="0.25">
      <c r="A16231" t="str">
        <f>"7452105530"</f>
        <v>7452105530</v>
      </c>
      <c r="B16231" t="s">
        <v>22498</v>
      </c>
      <c r="C16231" t="s">
        <v>7</v>
      </c>
      <c r="D16231" t="s">
        <v>12</v>
      </c>
      <c r="E16231" t="s">
        <v>22110</v>
      </c>
      <c r="F16231" t="s">
        <v>22499</v>
      </c>
    </row>
    <row r="16232" spans="1:6" x14ac:dyDescent="0.25">
      <c r="A16232" t="str">
        <f>"745210988158"</f>
        <v>745210988158</v>
      </c>
      <c r="B16232" t="s">
        <v>22500</v>
      </c>
      <c r="C16232" t="s">
        <v>7</v>
      </c>
      <c r="D16232" t="s">
        <v>14</v>
      </c>
      <c r="E16232" t="s">
        <v>22110</v>
      </c>
    </row>
    <row r="16233" spans="1:6" x14ac:dyDescent="0.25">
      <c r="A16233" t="str">
        <f>"745213541840"</f>
        <v>745213541840</v>
      </c>
      <c r="B16233" t="s">
        <v>22501</v>
      </c>
      <c r="C16233" t="s">
        <v>7</v>
      </c>
      <c r="D16233" t="s">
        <v>12</v>
      </c>
      <c r="E16233" t="s">
        <v>22110</v>
      </c>
    </row>
    <row r="16234" spans="1:6" x14ac:dyDescent="0.25">
      <c r="A16234" t="str">
        <f>"7452143857"</f>
        <v>7452143857</v>
      </c>
      <c r="B16234" t="s">
        <v>22502</v>
      </c>
      <c r="C16234" t="s">
        <v>7</v>
      </c>
      <c r="D16234" t="s">
        <v>12</v>
      </c>
      <c r="E16234" t="s">
        <v>22110</v>
      </c>
      <c r="F16234" t="s">
        <v>22503</v>
      </c>
    </row>
    <row r="16235" spans="1:6" x14ac:dyDescent="0.25">
      <c r="A16235" t="str">
        <f>"7452154538"</f>
        <v>7452154538</v>
      </c>
      <c r="B16235" t="s">
        <v>22504</v>
      </c>
      <c r="C16235" t="s">
        <v>7</v>
      </c>
      <c r="D16235" t="s">
        <v>33</v>
      </c>
      <c r="E16235" t="s">
        <v>22110</v>
      </c>
      <c r="F16235" t="s">
        <v>22505</v>
      </c>
    </row>
    <row r="16236" spans="1:6" x14ac:dyDescent="0.25">
      <c r="A16236" t="str">
        <f>"7452159254"</f>
        <v>7452159254</v>
      </c>
      <c r="B16236" t="s">
        <v>22506</v>
      </c>
      <c r="C16236" t="s">
        <v>7</v>
      </c>
      <c r="D16236" t="s">
        <v>33</v>
      </c>
      <c r="E16236" t="s">
        <v>22110</v>
      </c>
      <c r="F16236" t="s">
        <v>22507</v>
      </c>
    </row>
    <row r="16237" spans="1:6" x14ac:dyDescent="0.25">
      <c r="A16237" t="str">
        <f>"745216745930"</f>
        <v>745216745930</v>
      </c>
      <c r="B16237" t="s">
        <v>22508</v>
      </c>
      <c r="C16237" t="s">
        <v>7</v>
      </c>
      <c r="D16237" t="s">
        <v>14</v>
      </c>
      <c r="E16237" t="s">
        <v>22110</v>
      </c>
    </row>
    <row r="16238" spans="1:6" x14ac:dyDescent="0.25">
      <c r="A16238" t="str">
        <f>"7452170346"</f>
        <v>7452170346</v>
      </c>
      <c r="B16238" t="s">
        <v>22509</v>
      </c>
      <c r="C16238" t="s">
        <v>7</v>
      </c>
      <c r="D16238" t="s">
        <v>14</v>
      </c>
      <c r="E16238" t="s">
        <v>22110</v>
      </c>
      <c r="F16238" t="s">
        <v>22510</v>
      </c>
    </row>
    <row r="16239" spans="1:6" x14ac:dyDescent="0.25">
      <c r="A16239" t="str">
        <f>"745219065972"</f>
        <v>745219065972</v>
      </c>
      <c r="B16239" t="s">
        <v>22511</v>
      </c>
      <c r="C16239" t="s">
        <v>7</v>
      </c>
      <c r="D16239" t="s">
        <v>14</v>
      </c>
      <c r="E16239" t="s">
        <v>22110</v>
      </c>
    </row>
    <row r="16240" spans="1:6" x14ac:dyDescent="0.25">
      <c r="A16240" t="str">
        <f>"745220226649"</f>
        <v>745220226649</v>
      </c>
      <c r="B16240" t="s">
        <v>22512</v>
      </c>
      <c r="C16240" t="s">
        <v>7</v>
      </c>
      <c r="D16240" t="s">
        <v>14</v>
      </c>
      <c r="E16240" t="s">
        <v>22110</v>
      </c>
    </row>
    <row r="16241" spans="1:6" x14ac:dyDescent="0.25">
      <c r="A16241" t="str">
        <f>"745303595343"</f>
        <v>745303595343</v>
      </c>
      <c r="B16241" t="s">
        <v>22513</v>
      </c>
      <c r="C16241" t="s">
        <v>7</v>
      </c>
      <c r="D16241" t="s">
        <v>14</v>
      </c>
      <c r="E16241" t="s">
        <v>22110</v>
      </c>
    </row>
    <row r="16242" spans="1:6" x14ac:dyDescent="0.25">
      <c r="A16242" t="str">
        <f>"7453142976"</f>
        <v>7453142976</v>
      </c>
      <c r="B16242" t="s">
        <v>22514</v>
      </c>
      <c r="C16242" t="s">
        <v>7</v>
      </c>
      <c r="D16242" t="s">
        <v>12</v>
      </c>
      <c r="E16242" t="s">
        <v>22110</v>
      </c>
      <c r="F16242" t="s">
        <v>22515</v>
      </c>
    </row>
    <row r="16243" spans="1:6" x14ac:dyDescent="0.25">
      <c r="A16243" t="str">
        <f>"7453260916"</f>
        <v>7453260916</v>
      </c>
      <c r="B16243" t="s">
        <v>22516</v>
      </c>
      <c r="C16243" t="s">
        <v>7</v>
      </c>
      <c r="D16243" t="s">
        <v>33</v>
      </c>
      <c r="E16243" t="s">
        <v>22110</v>
      </c>
      <c r="F16243" t="s">
        <v>22517</v>
      </c>
    </row>
    <row r="16244" spans="1:6" x14ac:dyDescent="0.25">
      <c r="A16244" t="str">
        <f>"7453279402"</f>
        <v>7453279402</v>
      </c>
      <c r="B16244" t="s">
        <v>22518</v>
      </c>
      <c r="C16244" t="s">
        <v>7</v>
      </c>
      <c r="D16244" t="s">
        <v>12</v>
      </c>
      <c r="E16244" t="s">
        <v>22110</v>
      </c>
      <c r="F16244" t="s">
        <v>22519</v>
      </c>
    </row>
    <row r="16245" spans="1:6" x14ac:dyDescent="0.25">
      <c r="A16245" t="str">
        <f>"7453290406"</f>
        <v>7453290406</v>
      </c>
      <c r="B16245" t="s">
        <v>22520</v>
      </c>
      <c r="C16245" t="s">
        <v>7</v>
      </c>
      <c r="D16245" t="s">
        <v>33</v>
      </c>
      <c r="E16245" t="s">
        <v>22110</v>
      </c>
      <c r="F16245" t="s">
        <v>22521</v>
      </c>
    </row>
    <row r="16246" spans="1:6" x14ac:dyDescent="0.25">
      <c r="A16246" t="str">
        <f>"7453300238"</f>
        <v>7453300238</v>
      </c>
      <c r="B16246" t="s">
        <v>21722</v>
      </c>
      <c r="C16246" t="s">
        <v>7</v>
      </c>
      <c r="D16246" t="s">
        <v>14</v>
      </c>
      <c r="E16246" t="s">
        <v>22110</v>
      </c>
      <c r="F16246" t="s">
        <v>22522</v>
      </c>
    </row>
    <row r="16247" spans="1:6" x14ac:dyDescent="0.25">
      <c r="A16247" t="str">
        <f>"7453349850"</f>
        <v>7453349850</v>
      </c>
      <c r="B16247" t="s">
        <v>22523</v>
      </c>
      <c r="C16247" t="s">
        <v>7</v>
      </c>
      <c r="D16247" t="s">
        <v>14</v>
      </c>
      <c r="E16247" t="s">
        <v>22110</v>
      </c>
      <c r="F16247" t="s">
        <v>22524</v>
      </c>
    </row>
    <row r="16248" spans="1:6" x14ac:dyDescent="0.25">
      <c r="A16248" t="str">
        <f>"7456022275"</f>
        <v>7456022275</v>
      </c>
      <c r="B16248" t="s">
        <v>22525</v>
      </c>
      <c r="C16248" t="s">
        <v>7</v>
      </c>
      <c r="D16248" t="s">
        <v>12</v>
      </c>
      <c r="E16248" t="s">
        <v>22110</v>
      </c>
      <c r="F16248" t="s">
        <v>22526</v>
      </c>
    </row>
    <row r="16249" spans="1:6" x14ac:dyDescent="0.25">
      <c r="A16249" t="str">
        <f>"7456053682"</f>
        <v>7456053682</v>
      </c>
      <c r="B16249" t="s">
        <v>22527</v>
      </c>
      <c r="C16249" t="s">
        <v>7</v>
      </c>
      <c r="D16249" t="s">
        <v>12</v>
      </c>
      <c r="E16249" t="s">
        <v>22110</v>
      </c>
      <c r="F16249" t="s">
        <v>22528</v>
      </c>
    </row>
    <row r="16250" spans="1:6" x14ac:dyDescent="0.25">
      <c r="A16250" t="str">
        <f>"7457004906"</f>
        <v>7457004906</v>
      </c>
      <c r="B16250" t="s">
        <v>22529</v>
      </c>
      <c r="C16250" t="s">
        <v>7</v>
      </c>
      <c r="D16250" t="s">
        <v>14</v>
      </c>
      <c r="E16250" t="s">
        <v>22110</v>
      </c>
      <c r="F16250" t="s">
        <v>22530</v>
      </c>
    </row>
    <row r="16251" spans="1:6" x14ac:dyDescent="0.25">
      <c r="A16251" t="str">
        <f>"7458003479"</f>
        <v>7458003479</v>
      </c>
      <c r="B16251" t="s">
        <v>22531</v>
      </c>
      <c r="C16251" t="s">
        <v>7</v>
      </c>
      <c r="D16251" t="s">
        <v>14</v>
      </c>
      <c r="E16251" t="s">
        <v>22110</v>
      </c>
      <c r="F16251" t="s">
        <v>22532</v>
      </c>
    </row>
    <row r="16252" spans="1:6" x14ac:dyDescent="0.25">
      <c r="A16252" t="str">
        <f>"746001732860"</f>
        <v>746001732860</v>
      </c>
      <c r="B16252" t="s">
        <v>22533</v>
      </c>
      <c r="C16252" t="s">
        <v>7</v>
      </c>
      <c r="D16252" t="s">
        <v>14</v>
      </c>
      <c r="E16252" t="s">
        <v>22110</v>
      </c>
    </row>
    <row r="16253" spans="1:6" x14ac:dyDescent="0.25">
      <c r="A16253" t="str">
        <f>"7460030367"</f>
        <v>7460030367</v>
      </c>
      <c r="B16253" t="s">
        <v>22534</v>
      </c>
      <c r="C16253" t="s">
        <v>7</v>
      </c>
      <c r="D16253" t="s">
        <v>33</v>
      </c>
      <c r="E16253" t="s">
        <v>22110</v>
      </c>
      <c r="F16253" t="s">
        <v>22535</v>
      </c>
    </row>
    <row r="16254" spans="1:6" x14ac:dyDescent="0.25">
      <c r="A16254" t="str">
        <f>"742005988872"</f>
        <v>742005988872</v>
      </c>
      <c r="B16254" t="s">
        <v>22536</v>
      </c>
      <c r="C16254" t="s">
        <v>7</v>
      </c>
      <c r="D16254" t="s">
        <v>14</v>
      </c>
      <c r="E16254" t="s">
        <v>22110</v>
      </c>
    </row>
    <row r="16255" spans="1:6" x14ac:dyDescent="0.25">
      <c r="A16255" t="str">
        <f>"742200103410"</f>
        <v>742200103410</v>
      </c>
      <c r="B16255" t="s">
        <v>22537</v>
      </c>
      <c r="C16255" t="s">
        <v>7</v>
      </c>
      <c r="D16255" t="s">
        <v>14</v>
      </c>
      <c r="E16255" t="s">
        <v>22110</v>
      </c>
    </row>
    <row r="16256" spans="1:6" x14ac:dyDescent="0.25">
      <c r="A16256" t="str">
        <f>"7422001206"</f>
        <v>7422001206</v>
      </c>
      <c r="B16256" t="s">
        <v>22538</v>
      </c>
      <c r="C16256" t="s">
        <v>7</v>
      </c>
      <c r="D16256" t="s">
        <v>14</v>
      </c>
      <c r="E16256" t="s">
        <v>22110</v>
      </c>
      <c r="F16256" t="s">
        <v>22539</v>
      </c>
    </row>
    <row r="16257" spans="1:6" x14ac:dyDescent="0.25">
      <c r="A16257" t="str">
        <f>"7422019080"</f>
        <v>7422019080</v>
      </c>
      <c r="B16257" t="s">
        <v>22540</v>
      </c>
      <c r="C16257" t="s">
        <v>7</v>
      </c>
      <c r="D16257" t="s">
        <v>33</v>
      </c>
      <c r="E16257" t="s">
        <v>22110</v>
      </c>
      <c r="F16257" t="s">
        <v>22541</v>
      </c>
    </row>
    <row r="16258" spans="1:6" x14ac:dyDescent="0.25">
      <c r="A16258" t="str">
        <f>"742300082605"</f>
        <v>742300082605</v>
      </c>
      <c r="B16258" t="s">
        <v>22542</v>
      </c>
      <c r="C16258" t="s">
        <v>7</v>
      </c>
      <c r="D16258" t="s">
        <v>14</v>
      </c>
      <c r="E16258" t="s">
        <v>22110</v>
      </c>
    </row>
    <row r="16259" spans="1:6" x14ac:dyDescent="0.25">
      <c r="A16259" t="str">
        <f>"742400080129"</f>
        <v>742400080129</v>
      </c>
      <c r="B16259" t="s">
        <v>22543</v>
      </c>
      <c r="C16259" t="s">
        <v>7</v>
      </c>
      <c r="D16259" t="s">
        <v>14</v>
      </c>
      <c r="E16259" t="s">
        <v>22110</v>
      </c>
    </row>
    <row r="16260" spans="1:6" x14ac:dyDescent="0.25">
      <c r="A16260" t="str">
        <f>"742401588758"</f>
        <v>742401588758</v>
      </c>
      <c r="B16260" t="s">
        <v>22544</v>
      </c>
      <c r="C16260" t="s">
        <v>7</v>
      </c>
      <c r="D16260" t="s">
        <v>463</v>
      </c>
      <c r="E16260" t="s">
        <v>22110</v>
      </c>
    </row>
    <row r="16261" spans="1:6" x14ac:dyDescent="0.25">
      <c r="A16261" t="str">
        <f>"742401770816"</f>
        <v>742401770816</v>
      </c>
      <c r="B16261" t="s">
        <v>22545</v>
      </c>
      <c r="C16261" t="s">
        <v>7</v>
      </c>
      <c r="D16261" t="s">
        <v>14</v>
      </c>
      <c r="E16261" t="s">
        <v>22110</v>
      </c>
    </row>
    <row r="16262" spans="1:6" x14ac:dyDescent="0.25">
      <c r="A16262" t="str">
        <f>"742402586545"</f>
        <v>742402586545</v>
      </c>
      <c r="B16262" t="s">
        <v>22546</v>
      </c>
      <c r="C16262" t="s">
        <v>7</v>
      </c>
      <c r="D16262" t="s">
        <v>14</v>
      </c>
      <c r="E16262" t="s">
        <v>22110</v>
      </c>
    </row>
    <row r="16263" spans="1:6" x14ac:dyDescent="0.25">
      <c r="A16263" t="str">
        <f>"742404492571"</f>
        <v>742404492571</v>
      </c>
      <c r="B16263" t="s">
        <v>22547</v>
      </c>
      <c r="C16263" t="s">
        <v>7</v>
      </c>
      <c r="D16263" t="s">
        <v>14</v>
      </c>
      <c r="E16263" t="s">
        <v>22110</v>
      </c>
    </row>
    <row r="16264" spans="1:6" x14ac:dyDescent="0.25">
      <c r="A16264" t="str">
        <f>"742404641030"</f>
        <v>742404641030</v>
      </c>
      <c r="B16264" t="s">
        <v>22548</v>
      </c>
      <c r="C16264" t="s">
        <v>7</v>
      </c>
      <c r="D16264" t="s">
        <v>12</v>
      </c>
      <c r="E16264" t="s">
        <v>22110</v>
      </c>
    </row>
    <row r="16265" spans="1:6" x14ac:dyDescent="0.25">
      <c r="A16265" t="str">
        <f>"7426000884"</f>
        <v>7426000884</v>
      </c>
      <c r="B16265" t="s">
        <v>22549</v>
      </c>
      <c r="C16265" t="s">
        <v>7</v>
      </c>
      <c r="D16265" t="s">
        <v>14</v>
      </c>
      <c r="E16265" t="s">
        <v>22110</v>
      </c>
      <c r="F16265" t="s">
        <v>22550</v>
      </c>
    </row>
    <row r="16266" spans="1:6" x14ac:dyDescent="0.25">
      <c r="A16266" t="str">
        <f>"743000438891"</f>
        <v>743000438891</v>
      </c>
      <c r="B16266" t="s">
        <v>22551</v>
      </c>
      <c r="C16266" t="s">
        <v>7</v>
      </c>
      <c r="D16266" t="s">
        <v>14</v>
      </c>
      <c r="E16266" t="s">
        <v>22110</v>
      </c>
    </row>
    <row r="16267" spans="1:6" x14ac:dyDescent="0.25">
      <c r="A16267" t="str">
        <f>"7430036210"</f>
        <v>7430036210</v>
      </c>
      <c r="B16267" t="s">
        <v>22552</v>
      </c>
      <c r="C16267" t="s">
        <v>7</v>
      </c>
      <c r="D16267" t="s">
        <v>12</v>
      </c>
      <c r="E16267" t="s">
        <v>22110</v>
      </c>
      <c r="F16267" t="s">
        <v>22553</v>
      </c>
    </row>
    <row r="16268" spans="1:6" x14ac:dyDescent="0.25">
      <c r="A16268" t="str">
        <f>"743003772710"</f>
        <v>743003772710</v>
      </c>
      <c r="B16268" t="s">
        <v>22554</v>
      </c>
      <c r="C16268" t="s">
        <v>7</v>
      </c>
      <c r="D16268" t="s">
        <v>14</v>
      </c>
      <c r="E16268" t="s">
        <v>22110</v>
      </c>
    </row>
    <row r="16269" spans="1:6" x14ac:dyDescent="0.25">
      <c r="A16269" t="str">
        <f>"743005727706"</f>
        <v>743005727706</v>
      </c>
      <c r="B16269" t="s">
        <v>22555</v>
      </c>
      <c r="C16269" t="s">
        <v>7</v>
      </c>
      <c r="D16269" t="s">
        <v>14</v>
      </c>
      <c r="E16269" t="s">
        <v>22110</v>
      </c>
    </row>
    <row r="16270" spans="1:6" x14ac:dyDescent="0.25">
      <c r="A16270" t="str">
        <f>"743014088076"</f>
        <v>743014088076</v>
      </c>
      <c r="B16270" t="s">
        <v>22556</v>
      </c>
      <c r="C16270" t="s">
        <v>7</v>
      </c>
      <c r="D16270" t="s">
        <v>12</v>
      </c>
      <c r="E16270" t="s">
        <v>22110</v>
      </c>
    </row>
    <row r="16271" spans="1:6" x14ac:dyDescent="0.25">
      <c r="A16271" t="str">
        <f>"743015176769"</f>
        <v>743015176769</v>
      </c>
      <c r="B16271" t="s">
        <v>22557</v>
      </c>
      <c r="C16271" t="s">
        <v>7</v>
      </c>
      <c r="D16271" t="s">
        <v>14</v>
      </c>
      <c r="E16271" t="s">
        <v>22110</v>
      </c>
    </row>
    <row r="16272" spans="1:6" x14ac:dyDescent="0.25">
      <c r="A16272" t="str">
        <f>"743100122700"</f>
        <v>743100122700</v>
      </c>
      <c r="B16272" t="s">
        <v>22558</v>
      </c>
      <c r="C16272" t="s">
        <v>7</v>
      </c>
      <c r="D16272" t="s">
        <v>14</v>
      </c>
      <c r="E16272" t="s">
        <v>22110</v>
      </c>
    </row>
    <row r="16273" spans="1:6" x14ac:dyDescent="0.25">
      <c r="A16273" t="str">
        <f>"743201439704"</f>
        <v>743201439704</v>
      </c>
      <c r="B16273" t="s">
        <v>22559</v>
      </c>
      <c r="C16273" t="s">
        <v>7</v>
      </c>
      <c r="D16273" t="s">
        <v>14</v>
      </c>
      <c r="E16273" t="s">
        <v>22110</v>
      </c>
    </row>
    <row r="16274" spans="1:6" x14ac:dyDescent="0.25">
      <c r="A16274" t="str">
        <f>"743701076569"</f>
        <v>743701076569</v>
      </c>
      <c r="B16274" t="s">
        <v>22560</v>
      </c>
      <c r="C16274" t="s">
        <v>7</v>
      </c>
      <c r="D16274" t="s">
        <v>14</v>
      </c>
      <c r="E16274" t="s">
        <v>22110</v>
      </c>
    </row>
    <row r="16275" spans="1:6" x14ac:dyDescent="0.25">
      <c r="A16275" t="str">
        <f>"744200929440"</f>
        <v>744200929440</v>
      </c>
      <c r="B16275" t="s">
        <v>22561</v>
      </c>
      <c r="C16275" t="s">
        <v>7</v>
      </c>
      <c r="D16275" t="s">
        <v>586</v>
      </c>
      <c r="E16275" t="s">
        <v>22110</v>
      </c>
    </row>
    <row r="16276" spans="1:6" x14ac:dyDescent="0.25">
      <c r="A16276" t="str">
        <f>"744201945830"</f>
        <v>744201945830</v>
      </c>
      <c r="B16276" t="s">
        <v>22562</v>
      </c>
      <c r="C16276" t="s">
        <v>7</v>
      </c>
      <c r="D16276" t="s">
        <v>14</v>
      </c>
      <c r="E16276" t="s">
        <v>22110</v>
      </c>
    </row>
    <row r="16277" spans="1:6" x14ac:dyDescent="0.25">
      <c r="A16277" t="str">
        <f>"744301426193"</f>
        <v>744301426193</v>
      </c>
      <c r="B16277" t="s">
        <v>22563</v>
      </c>
      <c r="C16277" t="s">
        <v>7</v>
      </c>
      <c r="D16277" t="s">
        <v>14</v>
      </c>
      <c r="E16277" t="s">
        <v>22110</v>
      </c>
    </row>
    <row r="16278" spans="1:6" x14ac:dyDescent="0.25">
      <c r="A16278" t="str">
        <f>"744400301999"</f>
        <v>744400301999</v>
      </c>
      <c r="B16278" t="s">
        <v>22564</v>
      </c>
      <c r="C16278" t="s">
        <v>7</v>
      </c>
      <c r="D16278" t="s">
        <v>14</v>
      </c>
      <c r="E16278" t="s">
        <v>22110</v>
      </c>
    </row>
    <row r="16279" spans="1:6" x14ac:dyDescent="0.25">
      <c r="A16279" t="str">
        <f>"7444049642"</f>
        <v>7444049642</v>
      </c>
      <c r="B16279" t="s">
        <v>22565</v>
      </c>
      <c r="C16279" t="s">
        <v>7</v>
      </c>
      <c r="D16279" t="s">
        <v>674</v>
      </c>
      <c r="E16279" t="s">
        <v>22110</v>
      </c>
      <c r="F16279" t="s">
        <v>22566</v>
      </c>
    </row>
    <row r="16280" spans="1:6" x14ac:dyDescent="0.25">
      <c r="A16280" t="str">
        <f>"744503795108"</f>
        <v>744503795108</v>
      </c>
      <c r="B16280" t="s">
        <v>22567</v>
      </c>
      <c r="C16280" t="s">
        <v>7</v>
      </c>
      <c r="D16280" t="s">
        <v>14</v>
      </c>
      <c r="E16280" t="s">
        <v>22110</v>
      </c>
    </row>
    <row r="16281" spans="1:6" x14ac:dyDescent="0.25">
      <c r="A16281" t="str">
        <f>"744506955705"</f>
        <v>744506955705</v>
      </c>
      <c r="B16281" t="s">
        <v>22568</v>
      </c>
      <c r="C16281" t="s">
        <v>7</v>
      </c>
      <c r="D16281" t="s">
        <v>14</v>
      </c>
      <c r="E16281" t="s">
        <v>22110</v>
      </c>
    </row>
    <row r="16282" spans="1:6" x14ac:dyDescent="0.25">
      <c r="A16282" t="str">
        <f>"744516200703"</f>
        <v>744516200703</v>
      </c>
      <c r="B16282" t="s">
        <v>22569</v>
      </c>
      <c r="C16282" t="s">
        <v>7</v>
      </c>
      <c r="D16282" t="s">
        <v>14</v>
      </c>
      <c r="E16282" t="s">
        <v>22110</v>
      </c>
    </row>
    <row r="16283" spans="1:6" x14ac:dyDescent="0.25">
      <c r="A16283" t="str">
        <f>"744516422103"</f>
        <v>744516422103</v>
      </c>
      <c r="B16283" t="s">
        <v>22570</v>
      </c>
      <c r="C16283" t="s">
        <v>7</v>
      </c>
      <c r="D16283" t="s">
        <v>14</v>
      </c>
      <c r="E16283" t="s">
        <v>22110</v>
      </c>
    </row>
    <row r="16284" spans="1:6" x14ac:dyDescent="0.25">
      <c r="A16284" t="str">
        <f>"744516732401"</f>
        <v>744516732401</v>
      </c>
      <c r="B16284" t="s">
        <v>22571</v>
      </c>
      <c r="C16284" t="s">
        <v>7</v>
      </c>
      <c r="D16284" t="s">
        <v>14</v>
      </c>
      <c r="E16284" t="s">
        <v>22110</v>
      </c>
    </row>
    <row r="16285" spans="1:6" x14ac:dyDescent="0.25">
      <c r="A16285" t="str">
        <f>"744701302643"</f>
        <v>744701302643</v>
      </c>
      <c r="B16285" t="s">
        <v>22572</v>
      </c>
      <c r="C16285" t="s">
        <v>7</v>
      </c>
      <c r="D16285" t="s">
        <v>14</v>
      </c>
      <c r="E16285" t="s">
        <v>22110</v>
      </c>
    </row>
    <row r="16286" spans="1:6" x14ac:dyDescent="0.25">
      <c r="A16286" t="str">
        <f>"744704097008"</f>
        <v>744704097008</v>
      </c>
      <c r="B16286" t="s">
        <v>22573</v>
      </c>
      <c r="C16286" t="s">
        <v>7</v>
      </c>
      <c r="D16286" t="s">
        <v>14</v>
      </c>
      <c r="E16286" t="s">
        <v>22110</v>
      </c>
    </row>
    <row r="16287" spans="1:6" x14ac:dyDescent="0.25">
      <c r="A16287" t="str">
        <f>"7447128444"</f>
        <v>7447128444</v>
      </c>
      <c r="B16287" t="s">
        <v>22574</v>
      </c>
      <c r="C16287" t="s">
        <v>7</v>
      </c>
      <c r="D16287" t="s">
        <v>33</v>
      </c>
      <c r="E16287" t="s">
        <v>22110</v>
      </c>
      <c r="F16287" t="s">
        <v>22575</v>
      </c>
    </row>
    <row r="16288" spans="1:6" x14ac:dyDescent="0.25">
      <c r="A16288" t="str">
        <f>"7447159065"</f>
        <v>7447159065</v>
      </c>
      <c r="B16288" t="s">
        <v>22576</v>
      </c>
      <c r="C16288" t="s">
        <v>7</v>
      </c>
      <c r="D16288" t="s">
        <v>14</v>
      </c>
      <c r="E16288" t="s">
        <v>22110</v>
      </c>
      <c r="F16288" t="s">
        <v>22577</v>
      </c>
    </row>
    <row r="16289" spans="1:6" x14ac:dyDescent="0.25">
      <c r="A16289" t="str">
        <f>"744720319032"</f>
        <v>744720319032</v>
      </c>
      <c r="B16289" t="s">
        <v>22578</v>
      </c>
      <c r="C16289" t="s">
        <v>7</v>
      </c>
      <c r="D16289" t="s">
        <v>12</v>
      </c>
      <c r="E16289" t="s">
        <v>22110</v>
      </c>
    </row>
    <row r="16290" spans="1:6" x14ac:dyDescent="0.25">
      <c r="A16290" t="str">
        <f>"7447211075"</f>
        <v>7447211075</v>
      </c>
      <c r="B16290" t="s">
        <v>22579</v>
      </c>
      <c r="C16290" t="s">
        <v>7</v>
      </c>
      <c r="D16290" t="s">
        <v>14</v>
      </c>
      <c r="E16290" t="s">
        <v>22110</v>
      </c>
      <c r="F16290" t="s">
        <v>22580</v>
      </c>
    </row>
    <row r="16291" spans="1:6" x14ac:dyDescent="0.25">
      <c r="A16291" t="str">
        <f>"7447212456"</f>
        <v>7447212456</v>
      </c>
      <c r="B16291" t="s">
        <v>22581</v>
      </c>
      <c r="C16291" t="s">
        <v>7</v>
      </c>
      <c r="D16291" t="s">
        <v>12</v>
      </c>
      <c r="E16291" t="s">
        <v>22110</v>
      </c>
      <c r="F16291" t="s">
        <v>22582</v>
      </c>
    </row>
    <row r="16292" spans="1:6" x14ac:dyDescent="0.25">
      <c r="A16292" t="str">
        <f>"744721329650"</f>
        <v>744721329650</v>
      </c>
      <c r="B16292" t="s">
        <v>22583</v>
      </c>
      <c r="C16292" t="s">
        <v>7</v>
      </c>
      <c r="D16292" t="s">
        <v>14</v>
      </c>
      <c r="E16292" t="s">
        <v>22110</v>
      </c>
    </row>
    <row r="16293" spans="1:6" x14ac:dyDescent="0.25">
      <c r="A16293" t="str">
        <f>"7447229650"</f>
        <v>7447229650</v>
      </c>
      <c r="B16293" t="s">
        <v>22584</v>
      </c>
      <c r="C16293" t="s">
        <v>7</v>
      </c>
      <c r="D16293" t="s">
        <v>14</v>
      </c>
      <c r="E16293" t="s">
        <v>22110</v>
      </c>
      <c r="F16293" t="s">
        <v>22585</v>
      </c>
    </row>
    <row r="16294" spans="1:6" x14ac:dyDescent="0.25">
      <c r="A16294" t="str">
        <f>"744723344252"</f>
        <v>744723344252</v>
      </c>
      <c r="B16294" t="s">
        <v>22586</v>
      </c>
      <c r="C16294" t="s">
        <v>7</v>
      </c>
      <c r="D16294" t="s">
        <v>14</v>
      </c>
      <c r="E16294" t="s">
        <v>22110</v>
      </c>
    </row>
    <row r="16295" spans="1:6" x14ac:dyDescent="0.25">
      <c r="A16295" t="str">
        <f>"7447236175"</f>
        <v>7447236175</v>
      </c>
      <c r="B16295" t="s">
        <v>22587</v>
      </c>
      <c r="C16295" t="s">
        <v>7</v>
      </c>
      <c r="D16295" t="s">
        <v>33</v>
      </c>
      <c r="E16295" t="s">
        <v>22110</v>
      </c>
      <c r="F16295" t="s">
        <v>22588</v>
      </c>
    </row>
    <row r="16296" spans="1:6" x14ac:dyDescent="0.25">
      <c r="A16296" t="str">
        <f>"7447258933"</f>
        <v>7447258933</v>
      </c>
      <c r="B16296" t="s">
        <v>22589</v>
      </c>
      <c r="C16296" t="s">
        <v>7</v>
      </c>
      <c r="D16296" t="s">
        <v>33</v>
      </c>
      <c r="E16296" t="s">
        <v>22110</v>
      </c>
      <c r="F16296" t="s">
        <v>22590</v>
      </c>
    </row>
    <row r="16297" spans="1:6" x14ac:dyDescent="0.25">
      <c r="A16297" t="str">
        <f>"7447306834"</f>
        <v>7447306834</v>
      </c>
      <c r="B16297" t="s">
        <v>22591</v>
      </c>
      <c r="C16297" t="s">
        <v>7</v>
      </c>
      <c r="D16297" t="s">
        <v>98</v>
      </c>
      <c r="E16297" t="s">
        <v>22110</v>
      </c>
      <c r="F16297" t="s">
        <v>22592</v>
      </c>
    </row>
    <row r="16298" spans="1:6" x14ac:dyDescent="0.25">
      <c r="A16298" t="str">
        <f>"7447309352"</f>
        <v>7447309352</v>
      </c>
      <c r="B16298" t="s">
        <v>3541</v>
      </c>
      <c r="C16298" t="s">
        <v>7</v>
      </c>
      <c r="D16298" t="s">
        <v>12</v>
      </c>
      <c r="E16298" t="s">
        <v>22110</v>
      </c>
      <c r="F16298" t="s">
        <v>22593</v>
      </c>
    </row>
    <row r="16299" spans="1:6" x14ac:dyDescent="0.25">
      <c r="A16299" t="str">
        <f>"7447317032"</f>
        <v>7447317032</v>
      </c>
      <c r="B16299" t="s">
        <v>22594</v>
      </c>
      <c r="C16299" t="s">
        <v>7</v>
      </c>
      <c r="D16299" t="s">
        <v>33</v>
      </c>
      <c r="E16299" t="s">
        <v>22110</v>
      </c>
      <c r="F16299" t="s">
        <v>22595</v>
      </c>
    </row>
    <row r="16300" spans="1:6" x14ac:dyDescent="0.25">
      <c r="A16300" t="str">
        <f>"7448061270"</f>
        <v>7448061270</v>
      </c>
      <c r="B16300" t="s">
        <v>22596</v>
      </c>
      <c r="C16300" t="s">
        <v>7</v>
      </c>
      <c r="D16300" t="s">
        <v>14</v>
      </c>
      <c r="E16300" t="s">
        <v>22110</v>
      </c>
      <c r="F16300" t="s">
        <v>22597</v>
      </c>
    </row>
    <row r="16301" spans="1:6" x14ac:dyDescent="0.25">
      <c r="A16301" t="str">
        <f>"7448071350"</f>
        <v>7448071350</v>
      </c>
      <c r="B16301" t="s">
        <v>22598</v>
      </c>
      <c r="C16301" t="s">
        <v>7</v>
      </c>
      <c r="D16301" t="s">
        <v>12</v>
      </c>
      <c r="E16301" t="s">
        <v>22110</v>
      </c>
      <c r="F16301" t="s">
        <v>22599</v>
      </c>
    </row>
    <row r="16302" spans="1:6" x14ac:dyDescent="0.25">
      <c r="A16302" t="str">
        <f>"7448080481"</f>
        <v>7448080481</v>
      </c>
      <c r="B16302" t="s">
        <v>22600</v>
      </c>
      <c r="C16302" t="s">
        <v>7</v>
      </c>
      <c r="D16302" t="s">
        <v>33</v>
      </c>
      <c r="E16302" t="s">
        <v>22110</v>
      </c>
      <c r="F16302" t="s">
        <v>22601</v>
      </c>
    </row>
    <row r="16303" spans="1:6" x14ac:dyDescent="0.25">
      <c r="A16303" t="str">
        <f>"7448110489"</f>
        <v>7448110489</v>
      </c>
      <c r="B16303" t="s">
        <v>5837</v>
      </c>
      <c r="C16303" t="s">
        <v>7</v>
      </c>
      <c r="D16303" t="s">
        <v>146</v>
      </c>
      <c r="E16303" t="s">
        <v>22110</v>
      </c>
      <c r="F16303" t="s">
        <v>22602</v>
      </c>
    </row>
    <row r="16304" spans="1:6" x14ac:dyDescent="0.25">
      <c r="A16304" t="str">
        <f>"7448127235"</f>
        <v>7448127235</v>
      </c>
      <c r="B16304" t="s">
        <v>5533</v>
      </c>
      <c r="C16304" t="s">
        <v>7</v>
      </c>
      <c r="D16304" t="s">
        <v>460</v>
      </c>
      <c r="E16304" t="s">
        <v>22110</v>
      </c>
      <c r="F16304" t="s">
        <v>22603</v>
      </c>
    </row>
    <row r="16305" spans="1:6" x14ac:dyDescent="0.25">
      <c r="A16305" t="str">
        <f>"744813886034"</f>
        <v>744813886034</v>
      </c>
      <c r="B16305" t="s">
        <v>22604</v>
      </c>
      <c r="C16305" t="s">
        <v>7</v>
      </c>
      <c r="D16305" t="s">
        <v>14</v>
      </c>
      <c r="E16305" t="s">
        <v>22110</v>
      </c>
    </row>
    <row r="16306" spans="1:6" x14ac:dyDescent="0.25">
      <c r="A16306" t="str">
        <f>"7448138893"</f>
        <v>7448138893</v>
      </c>
      <c r="B16306" t="s">
        <v>22605</v>
      </c>
      <c r="C16306" t="s">
        <v>7</v>
      </c>
      <c r="D16306" t="s">
        <v>6745</v>
      </c>
      <c r="E16306" t="s">
        <v>22110</v>
      </c>
      <c r="F16306" t="s">
        <v>22606</v>
      </c>
    </row>
    <row r="16307" spans="1:6" x14ac:dyDescent="0.25">
      <c r="A16307" t="str">
        <f>"744814139701"</f>
        <v>744814139701</v>
      </c>
      <c r="B16307" t="s">
        <v>22607</v>
      </c>
      <c r="C16307" t="s">
        <v>7</v>
      </c>
      <c r="D16307" t="s">
        <v>12</v>
      </c>
      <c r="E16307" t="s">
        <v>22110</v>
      </c>
    </row>
    <row r="16308" spans="1:6" x14ac:dyDescent="0.25">
      <c r="A16308" t="str">
        <f>"744815166472"</f>
        <v>744815166472</v>
      </c>
      <c r="B16308" t="s">
        <v>22608</v>
      </c>
      <c r="C16308" t="s">
        <v>7</v>
      </c>
      <c r="D16308" t="s">
        <v>14</v>
      </c>
      <c r="E16308" t="s">
        <v>22110</v>
      </c>
    </row>
    <row r="16309" spans="1:6" x14ac:dyDescent="0.25">
      <c r="A16309" t="str">
        <f>"7448156860"</f>
        <v>7448156860</v>
      </c>
      <c r="B16309" t="s">
        <v>12970</v>
      </c>
      <c r="C16309" t="s">
        <v>7</v>
      </c>
      <c r="D16309" t="s">
        <v>12</v>
      </c>
      <c r="E16309" t="s">
        <v>22110</v>
      </c>
      <c r="F16309" t="s">
        <v>22609</v>
      </c>
    </row>
    <row r="16310" spans="1:6" x14ac:dyDescent="0.25">
      <c r="A16310" t="str">
        <f>"7448193238"</f>
        <v>7448193238</v>
      </c>
      <c r="B16310" t="s">
        <v>22610</v>
      </c>
      <c r="C16310" t="s">
        <v>7</v>
      </c>
      <c r="D16310" t="s">
        <v>33</v>
      </c>
      <c r="E16310" t="s">
        <v>22110</v>
      </c>
      <c r="F16310" t="s">
        <v>22611</v>
      </c>
    </row>
    <row r="16311" spans="1:6" x14ac:dyDescent="0.25">
      <c r="A16311" t="str">
        <f>"7448224782"</f>
        <v>7448224782</v>
      </c>
      <c r="B16311" t="s">
        <v>22612</v>
      </c>
      <c r="C16311" t="s">
        <v>7</v>
      </c>
      <c r="D16311" t="s">
        <v>12</v>
      </c>
      <c r="E16311" t="s">
        <v>22110</v>
      </c>
      <c r="F16311" t="s">
        <v>22613</v>
      </c>
    </row>
    <row r="16312" spans="1:6" x14ac:dyDescent="0.25">
      <c r="A16312" t="str">
        <f>"7448253462"</f>
        <v>7448253462</v>
      </c>
      <c r="B16312" t="s">
        <v>3838</v>
      </c>
      <c r="C16312" t="s">
        <v>7</v>
      </c>
      <c r="D16312" t="s">
        <v>33</v>
      </c>
      <c r="E16312" t="s">
        <v>22110</v>
      </c>
      <c r="F16312" t="s">
        <v>22614</v>
      </c>
    </row>
    <row r="16313" spans="1:6" x14ac:dyDescent="0.25">
      <c r="A16313" t="str">
        <f>"7448259930"</f>
        <v>7448259930</v>
      </c>
      <c r="B16313" t="s">
        <v>22615</v>
      </c>
      <c r="C16313" t="s">
        <v>7</v>
      </c>
      <c r="D16313" t="s">
        <v>12</v>
      </c>
      <c r="E16313" t="s">
        <v>22110</v>
      </c>
      <c r="F16313" t="s">
        <v>22616</v>
      </c>
    </row>
    <row r="16314" spans="1:6" x14ac:dyDescent="0.25">
      <c r="A16314" t="str">
        <f>"744842486295"</f>
        <v>744842486295</v>
      </c>
      <c r="B16314" t="s">
        <v>22617</v>
      </c>
      <c r="C16314" t="s">
        <v>7</v>
      </c>
      <c r="D16314" t="s">
        <v>14</v>
      </c>
      <c r="E16314" t="s">
        <v>22110</v>
      </c>
    </row>
    <row r="16315" spans="1:6" x14ac:dyDescent="0.25">
      <c r="A16315" t="str">
        <f>"744900615305"</f>
        <v>744900615305</v>
      </c>
      <c r="B16315" t="s">
        <v>22618</v>
      </c>
      <c r="C16315" t="s">
        <v>7</v>
      </c>
      <c r="D16315" t="s">
        <v>14</v>
      </c>
      <c r="E16315" t="s">
        <v>22110</v>
      </c>
    </row>
    <row r="16316" spans="1:6" x14ac:dyDescent="0.25">
      <c r="A16316" t="str">
        <f>"7449072557"</f>
        <v>7449072557</v>
      </c>
      <c r="B16316" t="s">
        <v>1018</v>
      </c>
      <c r="C16316" t="s">
        <v>7</v>
      </c>
      <c r="D16316" t="s">
        <v>12</v>
      </c>
      <c r="E16316" t="s">
        <v>22110</v>
      </c>
      <c r="F16316" t="s">
        <v>22619</v>
      </c>
    </row>
    <row r="16317" spans="1:6" x14ac:dyDescent="0.25">
      <c r="A16317" t="str">
        <f>"7449106478"</f>
        <v>7449106478</v>
      </c>
      <c r="B16317" t="s">
        <v>22620</v>
      </c>
      <c r="C16317" t="s">
        <v>7</v>
      </c>
      <c r="D16317" t="s">
        <v>12</v>
      </c>
      <c r="E16317" t="s">
        <v>22110</v>
      </c>
      <c r="F16317" t="s">
        <v>22621</v>
      </c>
    </row>
    <row r="16318" spans="1:6" x14ac:dyDescent="0.25">
      <c r="A16318" t="str">
        <f>"7449111365"</f>
        <v>7449111365</v>
      </c>
      <c r="B16318" t="s">
        <v>22622</v>
      </c>
      <c r="C16318" t="s">
        <v>7</v>
      </c>
      <c r="D16318" t="s">
        <v>98</v>
      </c>
      <c r="E16318" t="s">
        <v>22110</v>
      </c>
      <c r="F16318" t="s">
        <v>22623</v>
      </c>
    </row>
    <row r="16319" spans="1:6" x14ac:dyDescent="0.25">
      <c r="A16319" t="str">
        <f>"744912325569"</f>
        <v>744912325569</v>
      </c>
      <c r="B16319" t="s">
        <v>22624</v>
      </c>
      <c r="C16319" t="s">
        <v>7</v>
      </c>
      <c r="D16319" t="s">
        <v>33</v>
      </c>
      <c r="E16319" t="s">
        <v>22110</v>
      </c>
    </row>
    <row r="16320" spans="1:6" x14ac:dyDescent="0.25">
      <c r="A16320" t="str">
        <f>"7449128866"</f>
        <v>7449128866</v>
      </c>
      <c r="B16320" t="s">
        <v>7103</v>
      </c>
      <c r="C16320" t="s">
        <v>7</v>
      </c>
      <c r="D16320" t="s">
        <v>33</v>
      </c>
      <c r="E16320" t="s">
        <v>22110</v>
      </c>
      <c r="F16320" t="s">
        <v>22625</v>
      </c>
    </row>
    <row r="16321" spans="1:6" x14ac:dyDescent="0.25">
      <c r="A16321" t="str">
        <f>"7449129362"</f>
        <v>7449129362</v>
      </c>
      <c r="B16321" t="s">
        <v>22626</v>
      </c>
      <c r="C16321" t="s">
        <v>7</v>
      </c>
      <c r="D16321" t="s">
        <v>12</v>
      </c>
      <c r="E16321" t="s">
        <v>22110</v>
      </c>
      <c r="F16321" t="s">
        <v>22627</v>
      </c>
    </row>
    <row r="16322" spans="1:6" x14ac:dyDescent="0.25">
      <c r="A16322" t="str">
        <f>"7449136419"</f>
        <v>7449136419</v>
      </c>
      <c r="B16322" t="s">
        <v>22628</v>
      </c>
      <c r="C16322" t="s">
        <v>7</v>
      </c>
      <c r="D16322" t="s">
        <v>98</v>
      </c>
      <c r="E16322" t="s">
        <v>22110</v>
      </c>
      <c r="F16322" t="s">
        <v>22629</v>
      </c>
    </row>
    <row r="16323" spans="1:6" x14ac:dyDescent="0.25">
      <c r="A16323" t="str">
        <f>"7449141930"</f>
        <v>7449141930</v>
      </c>
      <c r="B16323" t="s">
        <v>5561</v>
      </c>
      <c r="C16323" t="s">
        <v>7</v>
      </c>
      <c r="D16323" t="s">
        <v>14</v>
      </c>
      <c r="E16323" t="s">
        <v>22110</v>
      </c>
      <c r="F16323" t="s">
        <v>22630</v>
      </c>
    </row>
    <row r="16324" spans="1:6" x14ac:dyDescent="0.25">
      <c r="A16324" t="str">
        <f>"7450002353"</f>
        <v>7450002353</v>
      </c>
      <c r="B16324" t="s">
        <v>4700</v>
      </c>
      <c r="C16324" t="s">
        <v>7</v>
      </c>
      <c r="D16324" t="s">
        <v>14</v>
      </c>
      <c r="E16324" t="s">
        <v>22110</v>
      </c>
      <c r="F16324" t="s">
        <v>22631</v>
      </c>
    </row>
    <row r="16325" spans="1:6" x14ac:dyDescent="0.25">
      <c r="A16325" t="str">
        <f>"745001394753"</f>
        <v>745001394753</v>
      </c>
      <c r="B16325" t="s">
        <v>22632</v>
      </c>
      <c r="C16325" t="s">
        <v>7</v>
      </c>
      <c r="D16325" t="s">
        <v>33</v>
      </c>
      <c r="E16325" t="s">
        <v>22110</v>
      </c>
    </row>
    <row r="16326" spans="1:6" x14ac:dyDescent="0.25">
      <c r="A16326" t="str">
        <f>"7450027196"</f>
        <v>7450027196</v>
      </c>
      <c r="B16326" t="s">
        <v>22633</v>
      </c>
      <c r="C16326" t="s">
        <v>7</v>
      </c>
      <c r="D16326" t="s">
        <v>33</v>
      </c>
      <c r="E16326" t="s">
        <v>22110</v>
      </c>
      <c r="F16326" t="s">
        <v>22634</v>
      </c>
    </row>
    <row r="16327" spans="1:6" x14ac:dyDescent="0.25">
      <c r="A16327" t="str">
        <f>"745003497867"</f>
        <v>745003497867</v>
      </c>
      <c r="B16327" t="s">
        <v>22635</v>
      </c>
      <c r="C16327" t="s">
        <v>7</v>
      </c>
      <c r="D16327" t="s">
        <v>463</v>
      </c>
      <c r="E16327" t="s">
        <v>22110</v>
      </c>
    </row>
    <row r="16328" spans="1:6" x14ac:dyDescent="0.25">
      <c r="A16328" t="str">
        <f>"745013179567"</f>
        <v>745013179567</v>
      </c>
      <c r="B16328" t="s">
        <v>22636</v>
      </c>
      <c r="C16328" t="s">
        <v>7</v>
      </c>
      <c r="D16328" t="s">
        <v>14</v>
      </c>
      <c r="E16328" t="s">
        <v>22110</v>
      </c>
    </row>
    <row r="16329" spans="1:6" x14ac:dyDescent="0.25">
      <c r="A16329" t="str">
        <f>"745110053390"</f>
        <v>745110053390</v>
      </c>
      <c r="B16329" t="s">
        <v>22637</v>
      </c>
      <c r="C16329" t="s">
        <v>7</v>
      </c>
      <c r="D16329" t="s">
        <v>12</v>
      </c>
      <c r="E16329" t="s">
        <v>22110</v>
      </c>
    </row>
    <row r="16330" spans="1:6" x14ac:dyDescent="0.25">
      <c r="A16330" t="str">
        <f>"745110546710"</f>
        <v>745110546710</v>
      </c>
      <c r="B16330" t="s">
        <v>22638</v>
      </c>
      <c r="C16330" t="s">
        <v>7</v>
      </c>
      <c r="D16330" t="s">
        <v>14</v>
      </c>
      <c r="E16330" t="s">
        <v>22110</v>
      </c>
    </row>
    <row r="16331" spans="1:6" x14ac:dyDescent="0.25">
      <c r="A16331" t="str">
        <f>"745111172016"</f>
        <v>745111172016</v>
      </c>
      <c r="B16331" t="s">
        <v>22639</v>
      </c>
      <c r="C16331" t="s">
        <v>7</v>
      </c>
      <c r="D16331" t="s">
        <v>12</v>
      </c>
      <c r="E16331" t="s">
        <v>22110</v>
      </c>
    </row>
    <row r="16332" spans="1:6" x14ac:dyDescent="0.25">
      <c r="A16332" t="str">
        <f>"745116513573"</f>
        <v>745116513573</v>
      </c>
      <c r="B16332" t="s">
        <v>22640</v>
      </c>
      <c r="C16332" t="s">
        <v>7</v>
      </c>
      <c r="D16332" t="s">
        <v>33</v>
      </c>
      <c r="E16332" t="s">
        <v>22110</v>
      </c>
    </row>
    <row r="16333" spans="1:6" x14ac:dyDescent="0.25">
      <c r="A16333" t="str">
        <f>"7451216566"</f>
        <v>7451216566</v>
      </c>
      <c r="B16333" t="s">
        <v>22641</v>
      </c>
      <c r="C16333" t="s">
        <v>7</v>
      </c>
      <c r="D16333" t="s">
        <v>14</v>
      </c>
      <c r="E16333" t="s">
        <v>22110</v>
      </c>
      <c r="F16333" t="s">
        <v>22642</v>
      </c>
    </row>
    <row r="16334" spans="1:6" x14ac:dyDescent="0.25">
      <c r="A16334" t="str">
        <f>"7451277216"</f>
        <v>7451277216</v>
      </c>
      <c r="B16334" t="s">
        <v>22643</v>
      </c>
      <c r="C16334" t="s">
        <v>7</v>
      </c>
      <c r="D16334" t="s">
        <v>28</v>
      </c>
      <c r="E16334" t="s">
        <v>22110</v>
      </c>
      <c r="F16334" t="s">
        <v>22280</v>
      </c>
    </row>
    <row r="16335" spans="1:6" x14ac:dyDescent="0.25">
      <c r="A16335" t="str">
        <f>"7451419982"</f>
        <v>7451419982</v>
      </c>
      <c r="B16335" t="s">
        <v>22644</v>
      </c>
      <c r="C16335" t="s">
        <v>7</v>
      </c>
      <c r="D16335" t="s">
        <v>33</v>
      </c>
      <c r="E16335" t="s">
        <v>22110</v>
      </c>
      <c r="F16335" t="s">
        <v>22645</v>
      </c>
    </row>
    <row r="16336" spans="1:6" x14ac:dyDescent="0.25">
      <c r="A16336" t="str">
        <f>"7451433169"</f>
        <v>7451433169</v>
      </c>
      <c r="B16336" t="s">
        <v>22646</v>
      </c>
      <c r="C16336" t="s">
        <v>7</v>
      </c>
      <c r="D16336" t="s">
        <v>33</v>
      </c>
      <c r="E16336" t="s">
        <v>22110</v>
      </c>
      <c r="F16336" t="s">
        <v>22647</v>
      </c>
    </row>
    <row r="16337" spans="1:6" x14ac:dyDescent="0.25">
      <c r="A16337" t="str">
        <f>"7451458237"</f>
        <v>7451458237</v>
      </c>
      <c r="B16337" t="s">
        <v>22648</v>
      </c>
      <c r="C16337" t="s">
        <v>7</v>
      </c>
      <c r="D16337" t="s">
        <v>33</v>
      </c>
      <c r="E16337" t="s">
        <v>22110</v>
      </c>
      <c r="F16337" t="s">
        <v>22649</v>
      </c>
    </row>
    <row r="16338" spans="1:6" x14ac:dyDescent="0.25">
      <c r="A16338" t="str">
        <f>"7451459047"</f>
        <v>7451459047</v>
      </c>
      <c r="B16338" t="s">
        <v>22650</v>
      </c>
      <c r="C16338" t="s">
        <v>7</v>
      </c>
      <c r="D16338" t="s">
        <v>33</v>
      </c>
      <c r="E16338" t="s">
        <v>22110</v>
      </c>
      <c r="F16338" t="s">
        <v>22651</v>
      </c>
    </row>
    <row r="16339" spans="1:6" x14ac:dyDescent="0.25">
      <c r="A16339" t="str">
        <f>"7451460807"</f>
        <v>7451460807</v>
      </c>
      <c r="B16339" t="s">
        <v>22652</v>
      </c>
      <c r="C16339" t="s">
        <v>7</v>
      </c>
      <c r="D16339" t="s">
        <v>674</v>
      </c>
      <c r="E16339" t="s">
        <v>22110</v>
      </c>
      <c r="F16339" t="s">
        <v>22653</v>
      </c>
    </row>
    <row r="16340" spans="1:6" x14ac:dyDescent="0.25">
      <c r="A16340" t="str">
        <f>"7451461737"</f>
        <v>7451461737</v>
      </c>
      <c r="B16340" t="s">
        <v>21021</v>
      </c>
      <c r="C16340" t="s">
        <v>7</v>
      </c>
      <c r="D16340" t="s">
        <v>33</v>
      </c>
      <c r="E16340" t="s">
        <v>22110</v>
      </c>
      <c r="F16340" t="s">
        <v>22654</v>
      </c>
    </row>
    <row r="16341" spans="1:6" x14ac:dyDescent="0.25">
      <c r="A16341" t="str">
        <f>"7451463893"</f>
        <v>7451463893</v>
      </c>
      <c r="B16341" t="s">
        <v>22655</v>
      </c>
      <c r="C16341" t="s">
        <v>7</v>
      </c>
      <c r="D16341" t="s">
        <v>14</v>
      </c>
      <c r="E16341" t="s">
        <v>22110</v>
      </c>
      <c r="F16341" t="s">
        <v>22656</v>
      </c>
    </row>
    <row r="16342" spans="1:6" x14ac:dyDescent="0.25">
      <c r="A16342" t="str">
        <f>"7451467190"</f>
        <v>7451467190</v>
      </c>
      <c r="B16342" t="s">
        <v>22657</v>
      </c>
      <c r="C16342" t="s">
        <v>7</v>
      </c>
      <c r="D16342" t="s">
        <v>12</v>
      </c>
      <c r="E16342" t="s">
        <v>22110</v>
      </c>
      <c r="F16342" t="s">
        <v>22609</v>
      </c>
    </row>
    <row r="16343" spans="1:6" x14ac:dyDescent="0.25">
      <c r="A16343" t="str">
        <f>"745209513400"</f>
        <v>745209513400</v>
      </c>
      <c r="B16343" t="s">
        <v>22658</v>
      </c>
      <c r="C16343" t="s">
        <v>7</v>
      </c>
      <c r="D16343" t="s">
        <v>14</v>
      </c>
      <c r="E16343" t="s">
        <v>22110</v>
      </c>
    </row>
    <row r="16344" spans="1:6" x14ac:dyDescent="0.25">
      <c r="A16344" t="str">
        <f>"7452099005"</f>
        <v>7452099005</v>
      </c>
      <c r="B16344" t="s">
        <v>22659</v>
      </c>
      <c r="C16344" t="s">
        <v>7</v>
      </c>
      <c r="D16344" t="s">
        <v>33</v>
      </c>
      <c r="E16344" t="s">
        <v>22110</v>
      </c>
      <c r="F16344" t="s">
        <v>22660</v>
      </c>
    </row>
    <row r="16345" spans="1:6" x14ac:dyDescent="0.25">
      <c r="A16345" t="str">
        <f>"745210317939"</f>
        <v>745210317939</v>
      </c>
      <c r="B16345" t="s">
        <v>22661</v>
      </c>
      <c r="C16345" t="s">
        <v>7</v>
      </c>
      <c r="D16345" t="s">
        <v>14</v>
      </c>
      <c r="E16345" t="s">
        <v>22110</v>
      </c>
    </row>
    <row r="16346" spans="1:6" x14ac:dyDescent="0.25">
      <c r="A16346" t="str">
        <f>"745210359350"</f>
        <v>745210359350</v>
      </c>
      <c r="B16346" t="s">
        <v>22662</v>
      </c>
      <c r="C16346" t="s">
        <v>7</v>
      </c>
      <c r="D16346" t="s">
        <v>8</v>
      </c>
      <c r="E16346" t="s">
        <v>22110</v>
      </c>
    </row>
    <row r="16347" spans="1:6" x14ac:dyDescent="0.25">
      <c r="A16347" t="str">
        <f>"7452147844"</f>
        <v>7452147844</v>
      </c>
      <c r="B16347" t="s">
        <v>22663</v>
      </c>
      <c r="C16347" t="s">
        <v>7</v>
      </c>
      <c r="D16347" t="s">
        <v>33</v>
      </c>
      <c r="E16347" t="s">
        <v>22110</v>
      </c>
      <c r="F16347" t="s">
        <v>22664</v>
      </c>
    </row>
    <row r="16348" spans="1:6" x14ac:dyDescent="0.25">
      <c r="A16348" t="str">
        <f>"745214944313"</f>
        <v>745214944313</v>
      </c>
      <c r="B16348" t="s">
        <v>22665</v>
      </c>
      <c r="C16348" t="s">
        <v>7</v>
      </c>
      <c r="D16348" t="s">
        <v>14</v>
      </c>
      <c r="E16348" t="s">
        <v>22110</v>
      </c>
    </row>
    <row r="16349" spans="1:6" x14ac:dyDescent="0.25">
      <c r="A16349" t="str">
        <f>"7452158691"</f>
        <v>7452158691</v>
      </c>
      <c r="B16349" t="s">
        <v>7437</v>
      </c>
      <c r="C16349" t="s">
        <v>7</v>
      </c>
      <c r="D16349" t="s">
        <v>14</v>
      </c>
      <c r="E16349" t="s">
        <v>22110</v>
      </c>
      <c r="F16349" t="s">
        <v>22666</v>
      </c>
    </row>
    <row r="16350" spans="1:6" x14ac:dyDescent="0.25">
      <c r="A16350" t="str">
        <f>"7452164409"</f>
        <v>7452164409</v>
      </c>
      <c r="B16350" t="s">
        <v>22667</v>
      </c>
      <c r="C16350" t="s">
        <v>7</v>
      </c>
      <c r="D16350" t="s">
        <v>12</v>
      </c>
      <c r="E16350" t="s">
        <v>22110</v>
      </c>
      <c r="F16350" t="s">
        <v>22668</v>
      </c>
    </row>
    <row r="16351" spans="1:6" x14ac:dyDescent="0.25">
      <c r="A16351" t="str">
        <f>"745300951441"</f>
        <v>745300951441</v>
      </c>
      <c r="B16351" t="s">
        <v>22669</v>
      </c>
      <c r="C16351" t="s">
        <v>7</v>
      </c>
      <c r="D16351" t="s">
        <v>14</v>
      </c>
      <c r="E16351" t="s">
        <v>22110</v>
      </c>
    </row>
    <row r="16352" spans="1:6" x14ac:dyDescent="0.25">
      <c r="A16352" t="str">
        <f>"7453326860"</f>
        <v>7453326860</v>
      </c>
      <c r="B16352" t="s">
        <v>22670</v>
      </c>
      <c r="C16352" t="s">
        <v>7</v>
      </c>
      <c r="D16352" t="s">
        <v>33</v>
      </c>
      <c r="E16352" t="s">
        <v>22110</v>
      </c>
      <c r="F16352" t="s">
        <v>22671</v>
      </c>
    </row>
    <row r="16353" spans="1:6" x14ac:dyDescent="0.25">
      <c r="A16353" t="str">
        <f>"7453346017"</f>
        <v>7453346017</v>
      </c>
      <c r="B16353" t="s">
        <v>22672</v>
      </c>
      <c r="C16353" t="s">
        <v>7</v>
      </c>
      <c r="D16353" t="s">
        <v>189</v>
      </c>
      <c r="E16353" t="s">
        <v>22110</v>
      </c>
      <c r="F16353" t="s">
        <v>22673</v>
      </c>
    </row>
    <row r="16354" spans="1:6" x14ac:dyDescent="0.25">
      <c r="A16354" t="str">
        <f>"7453346232"</f>
        <v>7453346232</v>
      </c>
      <c r="B16354" t="s">
        <v>22674</v>
      </c>
      <c r="C16354" t="s">
        <v>7</v>
      </c>
      <c r="D16354" t="s">
        <v>33</v>
      </c>
      <c r="E16354" t="s">
        <v>22110</v>
      </c>
      <c r="F16354" t="s">
        <v>22675</v>
      </c>
    </row>
    <row r="16355" spans="1:6" x14ac:dyDescent="0.25">
      <c r="A16355" t="str">
        <f>"7453365059"</f>
        <v>7453365059</v>
      </c>
      <c r="B16355" t="s">
        <v>22676</v>
      </c>
      <c r="C16355" t="s">
        <v>7</v>
      </c>
      <c r="D16355" t="s">
        <v>8</v>
      </c>
      <c r="E16355" t="s">
        <v>22110</v>
      </c>
      <c r="F16355" t="s">
        <v>22677</v>
      </c>
    </row>
    <row r="16356" spans="1:6" x14ac:dyDescent="0.25">
      <c r="A16356" t="str">
        <f>"7455013662"</f>
        <v>7455013662</v>
      </c>
      <c r="B16356" t="s">
        <v>22678</v>
      </c>
      <c r="C16356" t="s">
        <v>7</v>
      </c>
      <c r="D16356" t="s">
        <v>14</v>
      </c>
      <c r="E16356" t="s">
        <v>22110</v>
      </c>
      <c r="F16356" t="s">
        <v>22679</v>
      </c>
    </row>
    <row r="16357" spans="1:6" x14ac:dyDescent="0.25">
      <c r="A16357" t="str">
        <f>"7455028676"</f>
        <v>7455028676</v>
      </c>
      <c r="B16357" t="s">
        <v>22680</v>
      </c>
      <c r="C16357" t="s">
        <v>7</v>
      </c>
      <c r="D16357" t="s">
        <v>33</v>
      </c>
      <c r="E16357" t="s">
        <v>22110</v>
      </c>
      <c r="F16357" t="s">
        <v>22681</v>
      </c>
    </row>
    <row r="16358" spans="1:6" x14ac:dyDescent="0.25">
      <c r="A16358" t="str">
        <f>"7460029139"</f>
        <v>7460029139</v>
      </c>
      <c r="B16358" t="s">
        <v>22682</v>
      </c>
      <c r="C16358" t="s">
        <v>7</v>
      </c>
      <c r="D16358" t="s">
        <v>14</v>
      </c>
      <c r="E16358" t="s">
        <v>22110</v>
      </c>
      <c r="F16358" t="s">
        <v>22683</v>
      </c>
    </row>
    <row r="16359" spans="1:6" x14ac:dyDescent="0.25">
      <c r="A16359" t="str">
        <f>"7460069438"</f>
        <v>7460069438</v>
      </c>
      <c r="B16359" t="s">
        <v>22684</v>
      </c>
      <c r="C16359" t="s">
        <v>7</v>
      </c>
      <c r="D16359" t="s">
        <v>33</v>
      </c>
      <c r="E16359" t="s">
        <v>22110</v>
      </c>
      <c r="F16359" t="s">
        <v>22685</v>
      </c>
    </row>
    <row r="16360" spans="1:6" x14ac:dyDescent="0.25">
      <c r="A16360" t="str">
        <f>"740401193259"</f>
        <v>740401193259</v>
      </c>
      <c r="B16360" t="s">
        <v>22686</v>
      </c>
      <c r="C16360" t="s">
        <v>7</v>
      </c>
      <c r="D16360" t="s">
        <v>14</v>
      </c>
      <c r="E16360" t="s">
        <v>22110</v>
      </c>
    </row>
    <row r="16361" spans="1:6" x14ac:dyDescent="0.25">
      <c r="A16361" t="str">
        <f>"7404066440"</f>
        <v>7404066440</v>
      </c>
      <c r="B16361" t="s">
        <v>22687</v>
      </c>
      <c r="C16361" t="s">
        <v>7</v>
      </c>
      <c r="D16361" t="s">
        <v>674</v>
      </c>
      <c r="E16361" t="s">
        <v>22110</v>
      </c>
      <c r="F16361" t="s">
        <v>22688</v>
      </c>
    </row>
    <row r="16362" spans="1:6" x14ac:dyDescent="0.25">
      <c r="A16362" t="str">
        <f>"740502864841"</f>
        <v>740502864841</v>
      </c>
      <c r="B16362" t="s">
        <v>22689</v>
      </c>
      <c r="C16362" t="s">
        <v>7</v>
      </c>
      <c r="D16362" t="s">
        <v>14</v>
      </c>
      <c r="E16362" t="s">
        <v>22110</v>
      </c>
    </row>
    <row r="16363" spans="1:6" x14ac:dyDescent="0.25">
      <c r="A16363" t="str">
        <f>"741000120199"</f>
        <v>741000120199</v>
      </c>
      <c r="B16363" t="s">
        <v>22690</v>
      </c>
      <c r="C16363" t="s">
        <v>7</v>
      </c>
      <c r="D16363" t="s">
        <v>14</v>
      </c>
      <c r="E16363" t="s">
        <v>22110</v>
      </c>
    </row>
    <row r="16364" spans="1:6" x14ac:dyDescent="0.25">
      <c r="A16364" t="str">
        <f>"741506660706"</f>
        <v>741506660706</v>
      </c>
      <c r="B16364" t="s">
        <v>22691</v>
      </c>
      <c r="C16364" t="s">
        <v>7</v>
      </c>
      <c r="D16364" t="s">
        <v>14</v>
      </c>
      <c r="E16364" t="s">
        <v>22110</v>
      </c>
    </row>
    <row r="16365" spans="1:6" x14ac:dyDescent="0.25">
      <c r="A16365" t="str">
        <f>"7415090861"</f>
        <v>7415090861</v>
      </c>
      <c r="B16365" t="s">
        <v>22692</v>
      </c>
      <c r="C16365" t="s">
        <v>7</v>
      </c>
      <c r="D16365" t="s">
        <v>98</v>
      </c>
      <c r="E16365" t="s">
        <v>22110</v>
      </c>
      <c r="F16365" t="s">
        <v>22693</v>
      </c>
    </row>
    <row r="16366" spans="1:6" x14ac:dyDescent="0.25">
      <c r="A16366" t="str">
        <f>"741600047423"</f>
        <v>741600047423</v>
      </c>
      <c r="B16366" t="s">
        <v>22694</v>
      </c>
      <c r="C16366" t="s">
        <v>7</v>
      </c>
      <c r="D16366" t="s">
        <v>14</v>
      </c>
      <c r="E16366" t="s">
        <v>22110</v>
      </c>
    </row>
    <row r="16367" spans="1:6" x14ac:dyDescent="0.25">
      <c r="A16367" t="str">
        <f>"741706714564"</f>
        <v>741706714564</v>
      </c>
      <c r="B16367" t="s">
        <v>22695</v>
      </c>
      <c r="C16367" t="s">
        <v>7</v>
      </c>
      <c r="D16367" t="s">
        <v>14</v>
      </c>
      <c r="E16367" t="s">
        <v>22110</v>
      </c>
    </row>
    <row r="16368" spans="1:6" x14ac:dyDescent="0.25">
      <c r="A16368" t="str">
        <f>"742304142238"</f>
        <v>742304142238</v>
      </c>
      <c r="B16368" t="s">
        <v>22696</v>
      </c>
      <c r="C16368" t="s">
        <v>7</v>
      </c>
      <c r="D16368" t="s">
        <v>14</v>
      </c>
      <c r="E16368" t="s">
        <v>22110</v>
      </c>
    </row>
    <row r="16369" spans="1:6" x14ac:dyDescent="0.25">
      <c r="A16369" t="str">
        <f>"743000065022"</f>
        <v>743000065022</v>
      </c>
      <c r="B16369" t="s">
        <v>22697</v>
      </c>
      <c r="C16369" t="s">
        <v>7</v>
      </c>
      <c r="D16369" t="s">
        <v>14</v>
      </c>
      <c r="E16369" t="s">
        <v>22110</v>
      </c>
    </row>
    <row r="16370" spans="1:6" x14ac:dyDescent="0.25">
      <c r="A16370" t="str">
        <f>"7440001262"</f>
        <v>7440001262</v>
      </c>
      <c r="B16370" t="s">
        <v>22698</v>
      </c>
      <c r="C16370" t="s">
        <v>7</v>
      </c>
      <c r="D16370" t="s">
        <v>14</v>
      </c>
      <c r="E16370" t="s">
        <v>22110</v>
      </c>
      <c r="F16370" t="s">
        <v>22699</v>
      </c>
    </row>
    <row r="16371" spans="1:6" x14ac:dyDescent="0.25">
      <c r="A16371" t="str">
        <f>"7444031469"</f>
        <v>7444031469</v>
      </c>
      <c r="B16371" t="s">
        <v>22700</v>
      </c>
      <c r="C16371" t="s">
        <v>7</v>
      </c>
      <c r="D16371" t="s">
        <v>14</v>
      </c>
      <c r="E16371" t="s">
        <v>22110</v>
      </c>
      <c r="F16371" t="s">
        <v>22701</v>
      </c>
    </row>
    <row r="16372" spans="1:6" x14ac:dyDescent="0.25">
      <c r="A16372" t="str">
        <f>"744500162280"</f>
        <v>744500162280</v>
      </c>
      <c r="B16372" t="s">
        <v>22702</v>
      </c>
      <c r="C16372" t="s">
        <v>7</v>
      </c>
      <c r="D16372" t="s">
        <v>14</v>
      </c>
      <c r="E16372" t="s">
        <v>22110</v>
      </c>
    </row>
    <row r="16373" spans="1:6" x14ac:dyDescent="0.25">
      <c r="A16373" t="str">
        <f>"744514209620"</f>
        <v>744514209620</v>
      </c>
      <c r="B16373" t="s">
        <v>22703</v>
      </c>
      <c r="C16373" t="s">
        <v>7</v>
      </c>
      <c r="D16373" t="s">
        <v>14</v>
      </c>
      <c r="E16373" t="s">
        <v>22110</v>
      </c>
    </row>
    <row r="16374" spans="1:6" x14ac:dyDescent="0.25">
      <c r="A16374" t="str">
        <f>"744604413980"</f>
        <v>744604413980</v>
      </c>
      <c r="B16374" t="s">
        <v>22704</v>
      </c>
      <c r="C16374" t="s">
        <v>7</v>
      </c>
      <c r="D16374" t="s">
        <v>14</v>
      </c>
      <c r="E16374" t="s">
        <v>22110</v>
      </c>
    </row>
    <row r="16375" spans="1:6" x14ac:dyDescent="0.25">
      <c r="A16375" t="str">
        <f>"744715923810"</f>
        <v>744715923810</v>
      </c>
      <c r="B16375" t="s">
        <v>22705</v>
      </c>
      <c r="C16375" t="s">
        <v>7</v>
      </c>
      <c r="D16375" t="s">
        <v>14</v>
      </c>
      <c r="E16375" t="s">
        <v>22110</v>
      </c>
    </row>
    <row r="16376" spans="1:6" x14ac:dyDescent="0.25">
      <c r="A16376" t="str">
        <f>"744717946523"</f>
        <v>744717946523</v>
      </c>
      <c r="B16376" t="s">
        <v>22706</v>
      </c>
      <c r="C16376" t="s">
        <v>7</v>
      </c>
      <c r="D16376" t="s">
        <v>14</v>
      </c>
      <c r="E16376" t="s">
        <v>22110</v>
      </c>
    </row>
    <row r="16377" spans="1:6" x14ac:dyDescent="0.25">
      <c r="A16377" t="str">
        <f>"744719987370"</f>
        <v>744719987370</v>
      </c>
      <c r="B16377" t="s">
        <v>22707</v>
      </c>
      <c r="C16377" t="s">
        <v>7</v>
      </c>
      <c r="D16377" t="s">
        <v>14</v>
      </c>
      <c r="E16377" t="s">
        <v>22110</v>
      </c>
    </row>
    <row r="16378" spans="1:6" x14ac:dyDescent="0.25">
      <c r="A16378" t="str">
        <f>"7447276481"</f>
        <v>7447276481</v>
      </c>
      <c r="B16378" t="s">
        <v>22708</v>
      </c>
      <c r="C16378" t="s">
        <v>7</v>
      </c>
      <c r="D16378" t="s">
        <v>33</v>
      </c>
      <c r="E16378" t="s">
        <v>22110</v>
      </c>
      <c r="F16378" t="s">
        <v>22709</v>
      </c>
    </row>
    <row r="16379" spans="1:6" x14ac:dyDescent="0.25">
      <c r="A16379" t="str">
        <f>"7448188245"</f>
        <v>7448188245</v>
      </c>
      <c r="B16379" t="s">
        <v>22710</v>
      </c>
      <c r="C16379" t="s">
        <v>7</v>
      </c>
      <c r="D16379" t="s">
        <v>12</v>
      </c>
      <c r="E16379" t="s">
        <v>22110</v>
      </c>
      <c r="F16379" t="s">
        <v>22711</v>
      </c>
    </row>
    <row r="16380" spans="1:6" x14ac:dyDescent="0.25">
      <c r="A16380" t="str">
        <f>"7449095201"</f>
        <v>7449095201</v>
      </c>
      <c r="B16380" t="s">
        <v>22712</v>
      </c>
      <c r="C16380" t="s">
        <v>7</v>
      </c>
      <c r="D16380" t="s">
        <v>14</v>
      </c>
      <c r="E16380" t="s">
        <v>22110</v>
      </c>
      <c r="F16380" t="s">
        <v>22713</v>
      </c>
    </row>
    <row r="16381" spans="1:6" x14ac:dyDescent="0.25">
      <c r="A16381" t="str">
        <f>"745006634007"</f>
        <v>745006634007</v>
      </c>
      <c r="B16381" t="s">
        <v>22714</v>
      </c>
      <c r="C16381" t="s">
        <v>7</v>
      </c>
      <c r="D16381" t="s">
        <v>12</v>
      </c>
      <c r="E16381" t="s">
        <v>22110</v>
      </c>
    </row>
    <row r="16382" spans="1:6" x14ac:dyDescent="0.25">
      <c r="A16382" t="str">
        <f>"745012736102"</f>
        <v>745012736102</v>
      </c>
      <c r="B16382" t="s">
        <v>22715</v>
      </c>
      <c r="C16382" t="s">
        <v>7</v>
      </c>
      <c r="D16382" t="s">
        <v>14</v>
      </c>
      <c r="E16382" t="s">
        <v>22110</v>
      </c>
    </row>
    <row r="16383" spans="1:6" x14ac:dyDescent="0.25">
      <c r="A16383" t="str">
        <f>"7451322229"</f>
        <v>7451322229</v>
      </c>
      <c r="B16383" t="s">
        <v>22716</v>
      </c>
      <c r="C16383" t="s">
        <v>7</v>
      </c>
      <c r="D16383" t="s">
        <v>12</v>
      </c>
      <c r="E16383" t="s">
        <v>22110</v>
      </c>
      <c r="F16383" t="s">
        <v>22717</v>
      </c>
    </row>
    <row r="16384" spans="1:6" x14ac:dyDescent="0.25">
      <c r="A16384" t="str">
        <f>"7451472457"</f>
        <v>7451472457</v>
      </c>
      <c r="B16384" t="s">
        <v>22718</v>
      </c>
      <c r="C16384" t="s">
        <v>7</v>
      </c>
      <c r="D16384" t="s">
        <v>146</v>
      </c>
      <c r="E16384" t="s">
        <v>22110</v>
      </c>
      <c r="F16384" t="s">
        <v>22719</v>
      </c>
    </row>
    <row r="16385" spans="1:6" x14ac:dyDescent="0.25">
      <c r="A16385" t="str">
        <f>"7452129637"</f>
        <v>7452129637</v>
      </c>
      <c r="B16385" t="s">
        <v>5589</v>
      </c>
      <c r="C16385" t="s">
        <v>7</v>
      </c>
      <c r="D16385" t="s">
        <v>674</v>
      </c>
      <c r="E16385" t="s">
        <v>22110</v>
      </c>
      <c r="F16385" t="s">
        <v>22720</v>
      </c>
    </row>
    <row r="16386" spans="1:6" x14ac:dyDescent="0.25">
      <c r="A16386" t="str">
        <f>"7452148333"</f>
        <v>7452148333</v>
      </c>
      <c r="B16386" t="s">
        <v>22721</v>
      </c>
      <c r="C16386" t="s">
        <v>7</v>
      </c>
      <c r="D16386" t="s">
        <v>12</v>
      </c>
      <c r="E16386" t="s">
        <v>22110</v>
      </c>
      <c r="F16386" t="s">
        <v>22722</v>
      </c>
    </row>
    <row r="16387" spans="1:6" x14ac:dyDescent="0.25">
      <c r="A16387" t="str">
        <f>"7452148654"</f>
        <v>7452148654</v>
      </c>
      <c r="B16387" t="s">
        <v>22723</v>
      </c>
      <c r="C16387" t="s">
        <v>7</v>
      </c>
      <c r="D16387" t="s">
        <v>33</v>
      </c>
      <c r="E16387" t="s">
        <v>22110</v>
      </c>
      <c r="F16387" t="s">
        <v>22724</v>
      </c>
    </row>
    <row r="16388" spans="1:6" x14ac:dyDescent="0.25">
      <c r="A16388" t="str">
        <f>"7452164790"</f>
        <v>7452164790</v>
      </c>
      <c r="B16388" t="s">
        <v>22725</v>
      </c>
      <c r="C16388" t="s">
        <v>7</v>
      </c>
      <c r="D16388" t="s">
        <v>1430</v>
      </c>
      <c r="E16388" t="s">
        <v>22110</v>
      </c>
      <c r="F16388" t="s">
        <v>22726</v>
      </c>
    </row>
    <row r="16389" spans="1:6" x14ac:dyDescent="0.25">
      <c r="A16389" t="str">
        <f>"7453158800"</f>
        <v>7453158800</v>
      </c>
      <c r="B16389" t="s">
        <v>22727</v>
      </c>
      <c r="C16389" t="s">
        <v>7</v>
      </c>
      <c r="D16389" t="s">
        <v>14</v>
      </c>
      <c r="E16389" t="s">
        <v>22110</v>
      </c>
      <c r="F16389" t="s">
        <v>22728</v>
      </c>
    </row>
    <row r="16390" spans="1:6" x14ac:dyDescent="0.25">
      <c r="A16390" t="str">
        <f>"7455007450"</f>
        <v>7455007450</v>
      </c>
      <c r="B16390" t="s">
        <v>22729</v>
      </c>
      <c r="C16390" t="s">
        <v>7</v>
      </c>
      <c r="D16390" t="s">
        <v>33</v>
      </c>
      <c r="E16390" t="s">
        <v>22110</v>
      </c>
      <c r="F16390" t="s">
        <v>22730</v>
      </c>
    </row>
    <row r="16391" spans="1:6" x14ac:dyDescent="0.25">
      <c r="A16391" t="str">
        <f>"7455015412"</f>
        <v>7455015412</v>
      </c>
      <c r="B16391" t="s">
        <v>22731</v>
      </c>
      <c r="C16391" t="s">
        <v>7</v>
      </c>
      <c r="D16391" t="s">
        <v>12</v>
      </c>
      <c r="E16391" t="s">
        <v>22110</v>
      </c>
      <c r="F16391" t="s">
        <v>22732</v>
      </c>
    </row>
    <row r="16392" spans="1:6" x14ac:dyDescent="0.25">
      <c r="A16392" t="str">
        <f>"861102398760"</f>
        <v>861102398760</v>
      </c>
      <c r="B16392" t="s">
        <v>22733</v>
      </c>
      <c r="C16392" t="s">
        <v>7</v>
      </c>
      <c r="D16392" t="s">
        <v>12</v>
      </c>
      <c r="E16392" t="s">
        <v>22110</v>
      </c>
    </row>
    <row r="16393" spans="1:6" x14ac:dyDescent="0.25">
      <c r="A16393" t="str">
        <f>"151007113313"</f>
        <v>151007113313</v>
      </c>
      <c r="B16393" t="s">
        <v>22734</v>
      </c>
      <c r="C16393" t="s">
        <v>7</v>
      </c>
      <c r="D16393" t="s">
        <v>14</v>
      </c>
      <c r="E16393" t="s">
        <v>22110</v>
      </c>
    </row>
    <row r="16394" spans="1:6" x14ac:dyDescent="0.25">
      <c r="A16394" t="str">
        <f>"8911022317"</f>
        <v>8911022317</v>
      </c>
      <c r="B16394" t="s">
        <v>22735</v>
      </c>
      <c r="C16394" t="s">
        <v>7</v>
      </c>
      <c r="D16394" t="s">
        <v>14</v>
      </c>
      <c r="E16394" t="s">
        <v>22110</v>
      </c>
      <c r="F16394" t="s">
        <v>22736</v>
      </c>
    </row>
    <row r="16395" spans="1:6" x14ac:dyDescent="0.25">
      <c r="A16395" t="str">
        <f>"890601709351"</f>
        <v>890601709351</v>
      </c>
      <c r="B16395" t="s">
        <v>22737</v>
      </c>
      <c r="C16395" t="s">
        <v>7</v>
      </c>
      <c r="D16395" t="s">
        <v>14</v>
      </c>
      <c r="E16395" t="s">
        <v>22110</v>
      </c>
    </row>
    <row r="16396" spans="1:6" x14ac:dyDescent="0.25">
      <c r="A16396" t="str">
        <f>"6685191107"</f>
        <v>6685191107</v>
      </c>
      <c r="B16396" t="s">
        <v>22738</v>
      </c>
      <c r="C16396" t="s">
        <v>7</v>
      </c>
      <c r="D16396" t="s">
        <v>674</v>
      </c>
      <c r="E16396" t="s">
        <v>22110</v>
      </c>
      <c r="F16396" t="s">
        <v>22739</v>
      </c>
    </row>
    <row r="16397" spans="1:6" x14ac:dyDescent="0.25">
      <c r="A16397" t="str">
        <f>"4205328713"</f>
        <v>4205328713</v>
      </c>
      <c r="B16397" t="s">
        <v>22740</v>
      </c>
      <c r="C16397" t="s">
        <v>7</v>
      </c>
      <c r="D16397" t="s">
        <v>14</v>
      </c>
      <c r="E16397" t="s">
        <v>22110</v>
      </c>
      <c r="F16397" t="s">
        <v>22741</v>
      </c>
    </row>
    <row r="16398" spans="1:6" x14ac:dyDescent="0.25">
      <c r="A16398" t="str">
        <f>"7724779257"</f>
        <v>7724779257</v>
      </c>
      <c r="B16398" t="s">
        <v>22742</v>
      </c>
      <c r="C16398" t="s">
        <v>7</v>
      </c>
      <c r="D16398" t="s">
        <v>33</v>
      </c>
      <c r="E16398" t="s">
        <v>22743</v>
      </c>
      <c r="F16398" t="s">
        <v>22744</v>
      </c>
    </row>
    <row r="16399" spans="1:6" x14ac:dyDescent="0.25">
      <c r="A16399" t="str">
        <f>"2702092824"</f>
        <v>2702092824</v>
      </c>
      <c r="B16399" t="s">
        <v>22745</v>
      </c>
      <c r="C16399" t="s">
        <v>7</v>
      </c>
      <c r="D16399" t="s">
        <v>14</v>
      </c>
      <c r="E16399" t="s">
        <v>22743</v>
      </c>
      <c r="F16399" t="s">
        <v>22746</v>
      </c>
    </row>
    <row r="16400" spans="1:6" x14ac:dyDescent="0.25">
      <c r="A16400" t="str">
        <f>"381258978236"</f>
        <v>381258978236</v>
      </c>
      <c r="B16400" t="s">
        <v>22747</v>
      </c>
      <c r="C16400" t="s">
        <v>7</v>
      </c>
      <c r="D16400" t="s">
        <v>14</v>
      </c>
      <c r="E16400" t="s">
        <v>22743</v>
      </c>
    </row>
    <row r="16401" spans="1:6" x14ac:dyDescent="0.25">
      <c r="A16401" t="str">
        <f>"7500001319"</f>
        <v>7500001319</v>
      </c>
      <c r="B16401" t="s">
        <v>22748</v>
      </c>
      <c r="C16401" t="s">
        <v>7</v>
      </c>
      <c r="D16401" t="s">
        <v>33</v>
      </c>
      <c r="E16401" t="s">
        <v>22743</v>
      </c>
      <c r="F16401" t="s">
        <v>22749</v>
      </c>
    </row>
    <row r="16402" spans="1:6" x14ac:dyDescent="0.25">
      <c r="A16402" t="str">
        <f>"7500027331"</f>
        <v>7500027331</v>
      </c>
      <c r="B16402" t="s">
        <v>22750</v>
      </c>
      <c r="C16402" t="s">
        <v>7</v>
      </c>
      <c r="D16402" t="s">
        <v>12</v>
      </c>
      <c r="E16402" t="s">
        <v>22743</v>
      </c>
      <c r="F16402" t="s">
        <v>22751</v>
      </c>
    </row>
    <row r="16403" spans="1:6" x14ac:dyDescent="0.25">
      <c r="A16403" t="str">
        <f>"750802445407"</f>
        <v>750802445407</v>
      </c>
      <c r="B16403" t="s">
        <v>22752</v>
      </c>
      <c r="C16403" t="s">
        <v>7</v>
      </c>
      <c r="D16403" t="s">
        <v>14</v>
      </c>
      <c r="E16403" t="s">
        <v>22743</v>
      </c>
    </row>
    <row r="16404" spans="1:6" x14ac:dyDescent="0.25">
      <c r="A16404" t="str">
        <f>"751202269737"</f>
        <v>751202269737</v>
      </c>
      <c r="B16404" t="s">
        <v>22753</v>
      </c>
      <c r="C16404" t="s">
        <v>7</v>
      </c>
      <c r="D16404" t="s">
        <v>14</v>
      </c>
      <c r="E16404" t="s">
        <v>22743</v>
      </c>
    </row>
    <row r="16405" spans="1:6" x14ac:dyDescent="0.25">
      <c r="A16405" t="str">
        <f>"751203218679"</f>
        <v>751203218679</v>
      </c>
      <c r="B16405" t="s">
        <v>22754</v>
      </c>
      <c r="C16405" t="s">
        <v>7</v>
      </c>
      <c r="D16405" t="s">
        <v>14</v>
      </c>
      <c r="E16405" t="s">
        <v>22743</v>
      </c>
    </row>
    <row r="16406" spans="1:6" x14ac:dyDescent="0.25">
      <c r="A16406" t="str">
        <f>"751300874475"</f>
        <v>751300874475</v>
      </c>
      <c r="B16406" t="s">
        <v>22755</v>
      </c>
      <c r="C16406" t="s">
        <v>7</v>
      </c>
      <c r="D16406" t="s">
        <v>14</v>
      </c>
      <c r="E16406" t="s">
        <v>22743</v>
      </c>
    </row>
    <row r="16407" spans="1:6" x14ac:dyDescent="0.25">
      <c r="A16407" t="str">
        <f>"751301811823"</f>
        <v>751301811823</v>
      </c>
      <c r="B16407" t="s">
        <v>22756</v>
      </c>
      <c r="C16407" t="s">
        <v>7</v>
      </c>
      <c r="D16407" t="s">
        <v>12</v>
      </c>
      <c r="E16407" t="s">
        <v>22743</v>
      </c>
    </row>
    <row r="16408" spans="1:6" x14ac:dyDescent="0.25">
      <c r="A16408" t="str">
        <f>"751600000598"</f>
        <v>751600000598</v>
      </c>
      <c r="B16408" t="s">
        <v>22757</v>
      </c>
      <c r="C16408" t="s">
        <v>7</v>
      </c>
      <c r="D16408" t="s">
        <v>14</v>
      </c>
      <c r="E16408" t="s">
        <v>22743</v>
      </c>
    </row>
    <row r="16409" spans="1:6" x14ac:dyDescent="0.25">
      <c r="A16409" t="str">
        <f>"751901537900"</f>
        <v>751901537900</v>
      </c>
      <c r="B16409" t="s">
        <v>22758</v>
      </c>
      <c r="C16409" t="s">
        <v>7</v>
      </c>
      <c r="D16409" t="s">
        <v>14</v>
      </c>
      <c r="E16409" t="s">
        <v>22743</v>
      </c>
    </row>
    <row r="16410" spans="1:6" x14ac:dyDescent="0.25">
      <c r="A16410" t="str">
        <f>"752402491794"</f>
        <v>752402491794</v>
      </c>
      <c r="B16410" t="s">
        <v>22759</v>
      </c>
      <c r="C16410" t="s">
        <v>7</v>
      </c>
      <c r="D16410" t="s">
        <v>14</v>
      </c>
      <c r="E16410" t="s">
        <v>22743</v>
      </c>
    </row>
    <row r="16411" spans="1:6" x14ac:dyDescent="0.25">
      <c r="A16411" t="str">
        <f>"752900064851"</f>
        <v>752900064851</v>
      </c>
      <c r="B16411" t="s">
        <v>22760</v>
      </c>
      <c r="C16411" t="s">
        <v>7</v>
      </c>
      <c r="D16411" t="s">
        <v>14</v>
      </c>
      <c r="E16411" t="s">
        <v>22743</v>
      </c>
    </row>
    <row r="16412" spans="1:6" x14ac:dyDescent="0.25">
      <c r="A16412" t="str">
        <f>"753000074591"</f>
        <v>753000074591</v>
      </c>
      <c r="B16412" t="s">
        <v>22761</v>
      </c>
      <c r="C16412" t="s">
        <v>7</v>
      </c>
      <c r="D16412" t="s">
        <v>14</v>
      </c>
      <c r="E16412" t="s">
        <v>22743</v>
      </c>
    </row>
    <row r="16413" spans="1:6" x14ac:dyDescent="0.25">
      <c r="A16413" t="str">
        <f>"753100977332"</f>
        <v>753100977332</v>
      </c>
      <c r="B16413" t="s">
        <v>22762</v>
      </c>
      <c r="C16413" t="s">
        <v>7</v>
      </c>
      <c r="D16413" t="s">
        <v>14</v>
      </c>
      <c r="E16413" t="s">
        <v>22743</v>
      </c>
    </row>
    <row r="16414" spans="1:6" x14ac:dyDescent="0.25">
      <c r="A16414" t="str">
        <f>"7500003267"</f>
        <v>7500003267</v>
      </c>
      <c r="B16414" t="s">
        <v>22763</v>
      </c>
      <c r="C16414" t="s">
        <v>7</v>
      </c>
      <c r="D16414" t="s">
        <v>12</v>
      </c>
      <c r="E16414" t="s">
        <v>22743</v>
      </c>
      <c r="F16414" t="s">
        <v>22764</v>
      </c>
    </row>
    <row r="16415" spans="1:6" x14ac:dyDescent="0.25">
      <c r="A16415" t="str">
        <f>"7500020128"</f>
        <v>7500020128</v>
      </c>
      <c r="B16415" t="s">
        <v>22765</v>
      </c>
      <c r="C16415" t="s">
        <v>7</v>
      </c>
      <c r="D16415" t="s">
        <v>674</v>
      </c>
      <c r="E16415" t="s">
        <v>22743</v>
      </c>
      <c r="F16415" t="s">
        <v>22766</v>
      </c>
    </row>
    <row r="16416" spans="1:6" x14ac:dyDescent="0.25">
      <c r="A16416" t="str">
        <f>"7500020664"</f>
        <v>7500020664</v>
      </c>
      <c r="B16416" t="s">
        <v>22767</v>
      </c>
      <c r="C16416" t="s">
        <v>7</v>
      </c>
      <c r="D16416" t="s">
        <v>8</v>
      </c>
      <c r="E16416" t="s">
        <v>22743</v>
      </c>
      <c r="F16416" t="s">
        <v>22768</v>
      </c>
    </row>
    <row r="16417" spans="1:6" x14ac:dyDescent="0.25">
      <c r="A16417" t="str">
        <f>"7500024517"</f>
        <v>7500024517</v>
      </c>
      <c r="B16417" t="s">
        <v>22769</v>
      </c>
      <c r="C16417" t="s">
        <v>7</v>
      </c>
      <c r="D16417" t="s">
        <v>14</v>
      </c>
      <c r="E16417" t="s">
        <v>22743</v>
      </c>
      <c r="F16417" t="s">
        <v>22770</v>
      </c>
    </row>
    <row r="16418" spans="1:6" x14ac:dyDescent="0.25">
      <c r="A16418" t="str">
        <f>"7500024820"</f>
        <v>7500024820</v>
      </c>
      <c r="B16418" t="s">
        <v>22771</v>
      </c>
      <c r="C16418" t="s">
        <v>7</v>
      </c>
      <c r="D16418" t="s">
        <v>1430</v>
      </c>
      <c r="E16418" t="s">
        <v>22743</v>
      </c>
      <c r="F16418" t="s">
        <v>22772</v>
      </c>
    </row>
    <row r="16419" spans="1:6" x14ac:dyDescent="0.25">
      <c r="A16419" t="str">
        <f>"750802490720"</f>
        <v>750802490720</v>
      </c>
      <c r="B16419" t="s">
        <v>22773</v>
      </c>
      <c r="C16419" t="s">
        <v>7</v>
      </c>
      <c r="D16419" t="s">
        <v>14</v>
      </c>
      <c r="E16419" t="s">
        <v>22743</v>
      </c>
    </row>
    <row r="16420" spans="1:6" x14ac:dyDescent="0.25">
      <c r="A16420" t="str">
        <f>"750900121217"</f>
        <v>750900121217</v>
      </c>
      <c r="B16420" t="s">
        <v>22774</v>
      </c>
      <c r="C16420" t="s">
        <v>7</v>
      </c>
      <c r="D16420" t="s">
        <v>14</v>
      </c>
      <c r="E16420" t="s">
        <v>22743</v>
      </c>
    </row>
    <row r="16421" spans="1:6" x14ac:dyDescent="0.25">
      <c r="A16421" t="str">
        <f>"751302233220"</f>
        <v>751302233220</v>
      </c>
      <c r="B16421" t="s">
        <v>22775</v>
      </c>
      <c r="C16421" t="s">
        <v>7</v>
      </c>
      <c r="D16421" t="s">
        <v>14</v>
      </c>
      <c r="E16421" t="s">
        <v>22743</v>
      </c>
    </row>
    <row r="16422" spans="1:6" x14ac:dyDescent="0.25">
      <c r="A16422" t="str">
        <f>"751600334632"</f>
        <v>751600334632</v>
      </c>
      <c r="B16422" t="s">
        <v>22776</v>
      </c>
      <c r="C16422" t="s">
        <v>7</v>
      </c>
      <c r="D16422" t="s">
        <v>14</v>
      </c>
      <c r="E16422" t="s">
        <v>22743</v>
      </c>
    </row>
    <row r="16423" spans="1:6" x14ac:dyDescent="0.25">
      <c r="A16423" t="str">
        <f>"7524187800"</f>
        <v>7524187800</v>
      </c>
      <c r="B16423" t="s">
        <v>22777</v>
      </c>
      <c r="C16423" t="s">
        <v>7</v>
      </c>
      <c r="D16423" t="s">
        <v>14</v>
      </c>
      <c r="E16423" t="s">
        <v>22743</v>
      </c>
      <c r="F16423" t="s">
        <v>22778</v>
      </c>
    </row>
    <row r="16424" spans="1:6" x14ac:dyDescent="0.25">
      <c r="A16424" t="str">
        <f>"752703045962"</f>
        <v>752703045962</v>
      </c>
      <c r="B16424" t="s">
        <v>22779</v>
      </c>
      <c r="C16424" t="s">
        <v>7</v>
      </c>
      <c r="D16424" t="s">
        <v>14</v>
      </c>
      <c r="E16424" t="s">
        <v>22743</v>
      </c>
    </row>
    <row r="16425" spans="1:6" x14ac:dyDescent="0.25">
      <c r="A16425" t="str">
        <f>"753400968321"</f>
        <v>753400968321</v>
      </c>
      <c r="B16425" t="s">
        <v>22780</v>
      </c>
      <c r="C16425" t="s">
        <v>7</v>
      </c>
      <c r="D16425" t="s">
        <v>14</v>
      </c>
      <c r="E16425" t="s">
        <v>22743</v>
      </c>
    </row>
    <row r="16426" spans="1:6" x14ac:dyDescent="0.25">
      <c r="A16426" t="str">
        <f>"753406731801"</f>
        <v>753406731801</v>
      </c>
      <c r="B16426" t="s">
        <v>22781</v>
      </c>
      <c r="C16426" t="s">
        <v>7</v>
      </c>
      <c r="D16426" t="s">
        <v>14</v>
      </c>
      <c r="E16426" t="s">
        <v>22743</v>
      </c>
    </row>
    <row r="16427" spans="1:6" x14ac:dyDescent="0.25">
      <c r="A16427" t="str">
        <f>"753500922271"</f>
        <v>753500922271</v>
      </c>
      <c r="B16427" t="s">
        <v>22782</v>
      </c>
      <c r="C16427" t="s">
        <v>7</v>
      </c>
      <c r="D16427" t="s">
        <v>14</v>
      </c>
      <c r="E16427" t="s">
        <v>22743</v>
      </c>
    </row>
    <row r="16428" spans="1:6" x14ac:dyDescent="0.25">
      <c r="A16428" t="str">
        <f>"7535011942"</f>
        <v>7535011942</v>
      </c>
      <c r="B16428" t="s">
        <v>22783</v>
      </c>
      <c r="C16428" t="s">
        <v>7</v>
      </c>
      <c r="D16428" t="s">
        <v>12</v>
      </c>
      <c r="E16428" t="s">
        <v>22743</v>
      </c>
      <c r="F16428" t="s">
        <v>22784</v>
      </c>
    </row>
    <row r="16429" spans="1:6" x14ac:dyDescent="0.25">
      <c r="A16429" t="str">
        <f>"753605663176"</f>
        <v>753605663176</v>
      </c>
      <c r="B16429" t="s">
        <v>22785</v>
      </c>
      <c r="C16429" t="s">
        <v>7</v>
      </c>
      <c r="D16429" t="s">
        <v>14</v>
      </c>
      <c r="E16429" t="s">
        <v>22743</v>
      </c>
    </row>
    <row r="16430" spans="1:6" x14ac:dyDescent="0.25">
      <c r="A16430" t="str">
        <f>"753608669063"</f>
        <v>753608669063</v>
      </c>
      <c r="B16430" t="s">
        <v>22786</v>
      </c>
      <c r="C16430" t="s">
        <v>7</v>
      </c>
      <c r="D16430" t="s">
        <v>14</v>
      </c>
      <c r="E16430" t="s">
        <v>22743</v>
      </c>
    </row>
    <row r="16431" spans="1:6" x14ac:dyDescent="0.25">
      <c r="A16431" t="str">
        <f>"753608974780"</f>
        <v>753608974780</v>
      </c>
      <c r="B16431" t="s">
        <v>22787</v>
      </c>
      <c r="C16431" t="s">
        <v>7</v>
      </c>
      <c r="D16431" t="s">
        <v>14</v>
      </c>
      <c r="E16431" t="s">
        <v>22743</v>
      </c>
    </row>
    <row r="16432" spans="1:6" x14ac:dyDescent="0.25">
      <c r="A16432" t="str">
        <f>"7536102582"</f>
        <v>7536102582</v>
      </c>
      <c r="B16432" t="s">
        <v>22788</v>
      </c>
      <c r="C16432" t="s">
        <v>7</v>
      </c>
      <c r="D16432" t="s">
        <v>14</v>
      </c>
      <c r="E16432" t="s">
        <v>22743</v>
      </c>
      <c r="F16432" t="s">
        <v>22789</v>
      </c>
    </row>
    <row r="16433" spans="1:6" x14ac:dyDescent="0.25">
      <c r="A16433" t="str">
        <f>"7536131262"</f>
        <v>7536131262</v>
      </c>
      <c r="B16433" t="s">
        <v>22790</v>
      </c>
      <c r="C16433" t="s">
        <v>7</v>
      </c>
      <c r="D16433" t="s">
        <v>674</v>
      </c>
      <c r="E16433" t="s">
        <v>22743</v>
      </c>
      <c r="F16433" t="s">
        <v>22791</v>
      </c>
    </row>
    <row r="16434" spans="1:6" x14ac:dyDescent="0.25">
      <c r="A16434" t="str">
        <f>"7536162743"</f>
        <v>7536162743</v>
      </c>
      <c r="B16434" t="s">
        <v>22792</v>
      </c>
      <c r="C16434" t="s">
        <v>7</v>
      </c>
      <c r="D16434" t="s">
        <v>33</v>
      </c>
      <c r="E16434" t="s">
        <v>22743</v>
      </c>
      <c r="F16434" t="s">
        <v>22793</v>
      </c>
    </row>
    <row r="16435" spans="1:6" x14ac:dyDescent="0.25">
      <c r="A16435" t="str">
        <f>"7536173569"</f>
        <v>7536173569</v>
      </c>
      <c r="B16435" t="s">
        <v>22794</v>
      </c>
      <c r="C16435" t="s">
        <v>7</v>
      </c>
      <c r="D16435" t="s">
        <v>33</v>
      </c>
      <c r="E16435" t="s">
        <v>22743</v>
      </c>
      <c r="F16435" t="s">
        <v>22795</v>
      </c>
    </row>
    <row r="16436" spans="1:6" x14ac:dyDescent="0.25">
      <c r="A16436" t="str">
        <f>"7536174474"</f>
        <v>7536174474</v>
      </c>
      <c r="B16436" t="s">
        <v>22796</v>
      </c>
      <c r="C16436" t="s">
        <v>7</v>
      </c>
      <c r="D16436" t="s">
        <v>12</v>
      </c>
      <c r="E16436" t="s">
        <v>22743</v>
      </c>
      <c r="F16436" t="s">
        <v>22797</v>
      </c>
    </row>
    <row r="16437" spans="1:6" x14ac:dyDescent="0.25">
      <c r="A16437" t="str">
        <f>"753618229978"</f>
        <v>753618229978</v>
      </c>
      <c r="B16437" t="s">
        <v>22798</v>
      </c>
      <c r="C16437" t="s">
        <v>7</v>
      </c>
      <c r="D16437" t="s">
        <v>14</v>
      </c>
      <c r="E16437" t="s">
        <v>22743</v>
      </c>
    </row>
    <row r="16438" spans="1:6" x14ac:dyDescent="0.25">
      <c r="A16438" t="str">
        <f>"753618589226"</f>
        <v>753618589226</v>
      </c>
      <c r="B16438" t="s">
        <v>22799</v>
      </c>
      <c r="C16438" t="s">
        <v>7</v>
      </c>
      <c r="D16438" t="s">
        <v>12</v>
      </c>
      <c r="E16438" t="s">
        <v>22743</v>
      </c>
    </row>
    <row r="16439" spans="1:6" x14ac:dyDescent="0.25">
      <c r="A16439" t="str">
        <f>"753703795639"</f>
        <v>753703795639</v>
      </c>
      <c r="B16439" t="s">
        <v>22800</v>
      </c>
      <c r="C16439" t="s">
        <v>7</v>
      </c>
      <c r="D16439" t="s">
        <v>14</v>
      </c>
      <c r="E16439" t="s">
        <v>22743</v>
      </c>
    </row>
    <row r="16440" spans="1:6" x14ac:dyDescent="0.25">
      <c r="A16440" t="str">
        <f>"753000004788"</f>
        <v>753000004788</v>
      </c>
      <c r="B16440" t="s">
        <v>22801</v>
      </c>
      <c r="C16440" t="s">
        <v>7</v>
      </c>
      <c r="D16440" t="s">
        <v>12</v>
      </c>
      <c r="E16440" t="s">
        <v>22743</v>
      </c>
    </row>
    <row r="16441" spans="1:6" x14ac:dyDescent="0.25">
      <c r="A16441" t="str">
        <f>"753000098190"</f>
        <v>753000098190</v>
      </c>
      <c r="B16441" t="s">
        <v>22802</v>
      </c>
      <c r="C16441" t="s">
        <v>7</v>
      </c>
      <c r="D16441" t="s">
        <v>12</v>
      </c>
      <c r="E16441" t="s">
        <v>22743</v>
      </c>
    </row>
    <row r="16442" spans="1:6" x14ac:dyDescent="0.25">
      <c r="A16442" t="str">
        <f>"753000223691"</f>
        <v>753000223691</v>
      </c>
      <c r="B16442" t="s">
        <v>22803</v>
      </c>
      <c r="C16442" t="s">
        <v>7</v>
      </c>
      <c r="D16442" t="s">
        <v>14</v>
      </c>
      <c r="E16442" t="s">
        <v>22743</v>
      </c>
    </row>
    <row r="16443" spans="1:6" x14ac:dyDescent="0.25">
      <c r="A16443" t="str">
        <f>"753001994792"</f>
        <v>753001994792</v>
      </c>
      <c r="B16443" t="s">
        <v>22804</v>
      </c>
      <c r="C16443" t="s">
        <v>7</v>
      </c>
      <c r="D16443" t="s">
        <v>14</v>
      </c>
      <c r="E16443" t="s">
        <v>22743</v>
      </c>
    </row>
    <row r="16444" spans="1:6" x14ac:dyDescent="0.25">
      <c r="A16444" t="str">
        <f>"753002582054"</f>
        <v>753002582054</v>
      </c>
      <c r="B16444" t="s">
        <v>22805</v>
      </c>
      <c r="C16444" t="s">
        <v>7</v>
      </c>
      <c r="D16444" t="s">
        <v>14</v>
      </c>
      <c r="E16444" t="s">
        <v>22743</v>
      </c>
    </row>
    <row r="16445" spans="1:6" x14ac:dyDescent="0.25">
      <c r="A16445" t="str">
        <f>"753007165505"</f>
        <v>753007165505</v>
      </c>
      <c r="B16445" t="s">
        <v>22806</v>
      </c>
      <c r="C16445" t="s">
        <v>7</v>
      </c>
      <c r="D16445" t="s">
        <v>12</v>
      </c>
      <c r="E16445" t="s">
        <v>22743</v>
      </c>
    </row>
    <row r="16446" spans="1:6" x14ac:dyDescent="0.25">
      <c r="A16446" t="str">
        <f>"7531001654"</f>
        <v>7531001654</v>
      </c>
      <c r="B16446" t="s">
        <v>22807</v>
      </c>
      <c r="C16446" t="s">
        <v>7</v>
      </c>
      <c r="D16446" t="s">
        <v>14</v>
      </c>
      <c r="E16446" t="s">
        <v>22743</v>
      </c>
      <c r="F16446" t="s">
        <v>22808</v>
      </c>
    </row>
    <row r="16447" spans="1:6" x14ac:dyDescent="0.25">
      <c r="A16447" t="str">
        <f>"753102608605"</f>
        <v>753102608605</v>
      </c>
      <c r="B16447" t="s">
        <v>22809</v>
      </c>
      <c r="C16447" t="s">
        <v>7</v>
      </c>
      <c r="D16447" t="s">
        <v>14</v>
      </c>
      <c r="E16447" t="s">
        <v>22743</v>
      </c>
    </row>
    <row r="16448" spans="1:6" x14ac:dyDescent="0.25">
      <c r="A16448" t="str">
        <f>"753401927695"</f>
        <v>753401927695</v>
      </c>
      <c r="B16448" t="s">
        <v>22810</v>
      </c>
      <c r="C16448" t="s">
        <v>7</v>
      </c>
      <c r="D16448" t="s">
        <v>14</v>
      </c>
      <c r="E16448" t="s">
        <v>22743</v>
      </c>
    </row>
    <row r="16449" spans="1:6" x14ac:dyDescent="0.25">
      <c r="A16449" t="str">
        <f>"753500084012"</f>
        <v>753500084012</v>
      </c>
      <c r="B16449" t="s">
        <v>22811</v>
      </c>
      <c r="C16449" t="s">
        <v>7</v>
      </c>
      <c r="D16449" t="s">
        <v>14</v>
      </c>
      <c r="E16449" t="s">
        <v>22743</v>
      </c>
    </row>
    <row r="16450" spans="1:6" x14ac:dyDescent="0.25">
      <c r="A16450" t="str">
        <f>"753500145000"</f>
        <v>753500145000</v>
      </c>
      <c r="B16450" t="s">
        <v>22812</v>
      </c>
      <c r="C16450" t="s">
        <v>7</v>
      </c>
      <c r="D16450" t="s">
        <v>14</v>
      </c>
      <c r="E16450" t="s">
        <v>22743</v>
      </c>
    </row>
    <row r="16451" spans="1:6" x14ac:dyDescent="0.25">
      <c r="A16451" t="str">
        <f>"7535002680"</f>
        <v>7535002680</v>
      </c>
      <c r="B16451" t="s">
        <v>22813</v>
      </c>
      <c r="C16451" t="s">
        <v>7</v>
      </c>
      <c r="D16451" t="s">
        <v>12</v>
      </c>
      <c r="E16451" t="s">
        <v>22743</v>
      </c>
      <c r="F16451" t="s">
        <v>22814</v>
      </c>
    </row>
    <row r="16452" spans="1:6" x14ac:dyDescent="0.25">
      <c r="A16452" t="str">
        <f>"753504688960"</f>
        <v>753504688960</v>
      </c>
      <c r="B16452" t="s">
        <v>22815</v>
      </c>
      <c r="C16452" t="s">
        <v>7</v>
      </c>
      <c r="D16452" t="s">
        <v>14</v>
      </c>
      <c r="E16452" t="s">
        <v>22743</v>
      </c>
    </row>
    <row r="16453" spans="1:6" x14ac:dyDescent="0.25">
      <c r="A16453" t="str">
        <f>"753600083767"</f>
        <v>753600083767</v>
      </c>
      <c r="B16453" t="s">
        <v>22816</v>
      </c>
      <c r="C16453" t="s">
        <v>7</v>
      </c>
      <c r="D16453" t="s">
        <v>12</v>
      </c>
      <c r="E16453" t="s">
        <v>22743</v>
      </c>
    </row>
    <row r="16454" spans="1:6" x14ac:dyDescent="0.25">
      <c r="A16454" t="str">
        <f>"753602856204"</f>
        <v>753602856204</v>
      </c>
      <c r="B16454" t="s">
        <v>22817</v>
      </c>
      <c r="C16454" t="s">
        <v>7</v>
      </c>
      <c r="D16454" t="s">
        <v>14</v>
      </c>
      <c r="E16454" t="s">
        <v>22743</v>
      </c>
    </row>
    <row r="16455" spans="1:6" x14ac:dyDescent="0.25">
      <c r="A16455" t="str">
        <f>"753606042735"</f>
        <v>753606042735</v>
      </c>
      <c r="B16455" t="s">
        <v>22818</v>
      </c>
      <c r="C16455" t="s">
        <v>7</v>
      </c>
      <c r="D16455" t="s">
        <v>14</v>
      </c>
      <c r="E16455" t="s">
        <v>22743</v>
      </c>
    </row>
    <row r="16456" spans="1:6" x14ac:dyDescent="0.25">
      <c r="A16456" t="str">
        <f>"7536081124"</f>
        <v>7536081124</v>
      </c>
      <c r="B16456" t="s">
        <v>22819</v>
      </c>
      <c r="C16456" t="s">
        <v>7</v>
      </c>
      <c r="D16456" t="s">
        <v>12</v>
      </c>
      <c r="E16456" t="s">
        <v>22743</v>
      </c>
      <c r="F16456" t="s">
        <v>22820</v>
      </c>
    </row>
    <row r="16457" spans="1:6" x14ac:dyDescent="0.25">
      <c r="A16457" t="str">
        <f>"7536096674"</f>
        <v>7536096674</v>
      </c>
      <c r="B16457" t="s">
        <v>22821</v>
      </c>
      <c r="C16457" t="s">
        <v>7</v>
      </c>
      <c r="D16457" t="s">
        <v>14</v>
      </c>
      <c r="E16457" t="s">
        <v>22743</v>
      </c>
      <c r="F16457" t="s">
        <v>22822</v>
      </c>
    </row>
    <row r="16458" spans="1:6" x14ac:dyDescent="0.25">
      <c r="A16458" t="str">
        <f>"753609959336"</f>
        <v>753609959336</v>
      </c>
      <c r="B16458" t="s">
        <v>22823</v>
      </c>
      <c r="C16458" t="s">
        <v>7</v>
      </c>
      <c r="D16458" t="s">
        <v>14</v>
      </c>
      <c r="E16458" t="s">
        <v>22743</v>
      </c>
    </row>
    <row r="16459" spans="1:6" x14ac:dyDescent="0.25">
      <c r="A16459" t="str">
        <f>"753612254150"</f>
        <v>753612254150</v>
      </c>
      <c r="B16459" t="s">
        <v>22824</v>
      </c>
      <c r="C16459" t="s">
        <v>7</v>
      </c>
      <c r="D16459" t="s">
        <v>14</v>
      </c>
      <c r="E16459" t="s">
        <v>22743</v>
      </c>
    </row>
    <row r="16460" spans="1:6" x14ac:dyDescent="0.25">
      <c r="A16460" t="str">
        <f>"753612697659"</f>
        <v>753612697659</v>
      </c>
      <c r="B16460" t="s">
        <v>22825</v>
      </c>
      <c r="C16460" t="s">
        <v>7</v>
      </c>
      <c r="D16460" t="s">
        <v>14</v>
      </c>
      <c r="E16460" t="s">
        <v>22743</v>
      </c>
    </row>
    <row r="16461" spans="1:6" x14ac:dyDescent="0.25">
      <c r="A16461" t="str">
        <f>"753614554261"</f>
        <v>753614554261</v>
      </c>
      <c r="B16461" t="s">
        <v>22826</v>
      </c>
      <c r="C16461" t="s">
        <v>7</v>
      </c>
      <c r="D16461" t="s">
        <v>14</v>
      </c>
      <c r="E16461" t="s">
        <v>22743</v>
      </c>
    </row>
    <row r="16462" spans="1:6" x14ac:dyDescent="0.25">
      <c r="A16462" t="str">
        <f>"7536157790"</f>
        <v>7536157790</v>
      </c>
      <c r="B16462" t="s">
        <v>10126</v>
      </c>
      <c r="C16462" t="s">
        <v>7</v>
      </c>
      <c r="D16462" t="s">
        <v>189</v>
      </c>
      <c r="E16462" t="s">
        <v>22743</v>
      </c>
      <c r="F16462" t="s">
        <v>22827</v>
      </c>
    </row>
    <row r="16463" spans="1:6" x14ac:dyDescent="0.25">
      <c r="A16463" t="str">
        <f>"7536165230"</f>
        <v>7536165230</v>
      </c>
      <c r="B16463" t="s">
        <v>22828</v>
      </c>
      <c r="C16463" t="s">
        <v>7</v>
      </c>
      <c r="D16463" t="s">
        <v>14</v>
      </c>
      <c r="E16463" t="s">
        <v>22743</v>
      </c>
      <c r="F16463" t="s">
        <v>22829</v>
      </c>
    </row>
    <row r="16464" spans="1:6" x14ac:dyDescent="0.25">
      <c r="A16464" t="str">
        <f>"7536169026"</f>
        <v>7536169026</v>
      </c>
      <c r="B16464" t="s">
        <v>22830</v>
      </c>
      <c r="C16464" t="s">
        <v>7</v>
      </c>
      <c r="D16464" t="s">
        <v>14</v>
      </c>
      <c r="E16464" t="s">
        <v>22743</v>
      </c>
      <c r="F16464" t="s">
        <v>22831</v>
      </c>
    </row>
    <row r="16465" spans="1:6" x14ac:dyDescent="0.25">
      <c r="A16465" t="str">
        <f>"7536172519"</f>
        <v>7536172519</v>
      </c>
      <c r="B16465" t="s">
        <v>22832</v>
      </c>
      <c r="C16465" t="s">
        <v>7</v>
      </c>
      <c r="D16465" t="s">
        <v>33</v>
      </c>
      <c r="E16465" t="s">
        <v>22743</v>
      </c>
      <c r="F16465" t="s">
        <v>22833</v>
      </c>
    </row>
    <row r="16466" spans="1:6" x14ac:dyDescent="0.25">
      <c r="A16466" t="str">
        <f>"753617425659"</f>
        <v>753617425659</v>
      </c>
      <c r="B16466" t="s">
        <v>22834</v>
      </c>
      <c r="C16466" t="s">
        <v>7</v>
      </c>
      <c r="D16466" t="s">
        <v>12</v>
      </c>
      <c r="E16466" t="s">
        <v>22743</v>
      </c>
    </row>
    <row r="16467" spans="1:6" x14ac:dyDescent="0.25">
      <c r="A16467" t="str">
        <f>"7536185797"</f>
        <v>7536185797</v>
      </c>
      <c r="B16467" t="s">
        <v>22835</v>
      </c>
      <c r="C16467" t="s">
        <v>7</v>
      </c>
      <c r="D16467" t="s">
        <v>12</v>
      </c>
      <c r="E16467" t="s">
        <v>22743</v>
      </c>
      <c r="F16467" t="s">
        <v>22836</v>
      </c>
    </row>
    <row r="16468" spans="1:6" x14ac:dyDescent="0.25">
      <c r="A16468" t="str">
        <f>"753700033382"</f>
        <v>753700033382</v>
      </c>
      <c r="B16468" t="s">
        <v>22837</v>
      </c>
      <c r="C16468" t="s">
        <v>7</v>
      </c>
      <c r="D16468" t="s">
        <v>33</v>
      </c>
      <c r="E16468" t="s">
        <v>22743</v>
      </c>
    </row>
    <row r="16469" spans="1:6" x14ac:dyDescent="0.25">
      <c r="A16469" t="str">
        <f>"753701758590"</f>
        <v>753701758590</v>
      </c>
      <c r="B16469" t="s">
        <v>22838</v>
      </c>
      <c r="C16469" t="s">
        <v>7</v>
      </c>
      <c r="D16469" t="s">
        <v>14</v>
      </c>
      <c r="E16469" t="s">
        <v>22743</v>
      </c>
    </row>
    <row r="16470" spans="1:6" x14ac:dyDescent="0.25">
      <c r="A16470" t="str">
        <f>"753701902476"</f>
        <v>753701902476</v>
      </c>
      <c r="B16470" t="s">
        <v>22839</v>
      </c>
      <c r="C16470" t="s">
        <v>7</v>
      </c>
      <c r="D16470" t="s">
        <v>14</v>
      </c>
      <c r="E16470" t="s">
        <v>22743</v>
      </c>
    </row>
    <row r="16471" spans="1:6" x14ac:dyDescent="0.25">
      <c r="A16471" t="str">
        <f>"753706126756"</f>
        <v>753706126756</v>
      </c>
      <c r="B16471" t="s">
        <v>22840</v>
      </c>
      <c r="C16471" t="s">
        <v>7</v>
      </c>
      <c r="D16471" t="s">
        <v>14</v>
      </c>
      <c r="E16471" t="s">
        <v>22743</v>
      </c>
    </row>
    <row r="16472" spans="1:6" x14ac:dyDescent="0.25">
      <c r="A16472" t="str">
        <f>"753800053985"</f>
        <v>753800053985</v>
      </c>
      <c r="B16472" t="s">
        <v>22841</v>
      </c>
      <c r="C16472" t="s">
        <v>7</v>
      </c>
      <c r="D16472" t="s">
        <v>14</v>
      </c>
      <c r="E16472" t="s">
        <v>22743</v>
      </c>
    </row>
    <row r="16473" spans="1:6" x14ac:dyDescent="0.25">
      <c r="A16473" t="str">
        <f>"753800289596"</f>
        <v>753800289596</v>
      </c>
      <c r="B16473" t="s">
        <v>22842</v>
      </c>
      <c r="C16473" t="s">
        <v>7</v>
      </c>
      <c r="D16473" t="s">
        <v>14</v>
      </c>
      <c r="E16473" t="s">
        <v>22743</v>
      </c>
    </row>
    <row r="16474" spans="1:6" x14ac:dyDescent="0.25">
      <c r="A16474" t="str">
        <f>"7500002418"</f>
        <v>7500002418</v>
      </c>
      <c r="B16474" t="s">
        <v>17530</v>
      </c>
      <c r="C16474" t="s">
        <v>7</v>
      </c>
      <c r="D16474" t="s">
        <v>674</v>
      </c>
      <c r="E16474" t="s">
        <v>22743</v>
      </c>
      <c r="F16474" t="s">
        <v>22843</v>
      </c>
    </row>
    <row r="16475" spans="1:6" x14ac:dyDescent="0.25">
      <c r="A16475" t="str">
        <f>"7500022742"</f>
        <v>7500022742</v>
      </c>
      <c r="B16475" t="s">
        <v>22844</v>
      </c>
      <c r="C16475" t="s">
        <v>7</v>
      </c>
      <c r="D16475" t="s">
        <v>14</v>
      </c>
      <c r="E16475" t="s">
        <v>22743</v>
      </c>
      <c r="F16475" t="s">
        <v>22845</v>
      </c>
    </row>
    <row r="16476" spans="1:6" x14ac:dyDescent="0.25">
      <c r="A16476" t="str">
        <f>"7500024429"</f>
        <v>7500024429</v>
      </c>
      <c r="B16476" t="s">
        <v>22846</v>
      </c>
      <c r="C16476" t="s">
        <v>7</v>
      </c>
      <c r="D16476" t="s">
        <v>14</v>
      </c>
      <c r="E16476" t="s">
        <v>22743</v>
      </c>
      <c r="F16476" t="s">
        <v>22770</v>
      </c>
    </row>
    <row r="16477" spans="1:6" x14ac:dyDescent="0.25">
      <c r="A16477" t="str">
        <f>"7500024620"</f>
        <v>7500024620</v>
      </c>
      <c r="B16477" t="s">
        <v>7949</v>
      </c>
      <c r="C16477" t="s">
        <v>7</v>
      </c>
      <c r="D16477" t="s">
        <v>12</v>
      </c>
      <c r="E16477" t="s">
        <v>22743</v>
      </c>
      <c r="F16477" t="s">
        <v>22847</v>
      </c>
    </row>
    <row r="16478" spans="1:6" x14ac:dyDescent="0.25">
      <c r="A16478" t="str">
        <f>"7500026345"</f>
        <v>7500026345</v>
      </c>
      <c r="B16478" t="s">
        <v>22848</v>
      </c>
      <c r="C16478" t="s">
        <v>7</v>
      </c>
      <c r="D16478" t="s">
        <v>33</v>
      </c>
      <c r="E16478" t="s">
        <v>22743</v>
      </c>
      <c r="F16478" t="s">
        <v>22849</v>
      </c>
    </row>
    <row r="16479" spans="1:6" x14ac:dyDescent="0.25">
      <c r="A16479" t="str">
        <f>"750100237942"</f>
        <v>750100237942</v>
      </c>
      <c r="B16479" t="s">
        <v>22850</v>
      </c>
      <c r="C16479" t="s">
        <v>7</v>
      </c>
      <c r="D16479" t="s">
        <v>14</v>
      </c>
      <c r="E16479" t="s">
        <v>22743</v>
      </c>
    </row>
    <row r="16480" spans="1:6" x14ac:dyDescent="0.25">
      <c r="A16480" t="str">
        <f>"750600510357"</f>
        <v>750600510357</v>
      </c>
      <c r="B16480" t="s">
        <v>22851</v>
      </c>
      <c r="C16480" t="s">
        <v>7</v>
      </c>
      <c r="D16480" t="s">
        <v>12</v>
      </c>
      <c r="E16480" t="s">
        <v>22743</v>
      </c>
    </row>
    <row r="16481" spans="1:6" x14ac:dyDescent="0.25">
      <c r="A16481" t="str">
        <f>"7506005670"</f>
        <v>7506005670</v>
      </c>
      <c r="B16481" t="s">
        <v>22852</v>
      </c>
      <c r="C16481" t="s">
        <v>7</v>
      </c>
      <c r="D16481" t="s">
        <v>463</v>
      </c>
      <c r="E16481" t="s">
        <v>22743</v>
      </c>
      <c r="F16481" t="s">
        <v>22853</v>
      </c>
    </row>
    <row r="16482" spans="1:6" x14ac:dyDescent="0.25">
      <c r="A16482" t="str">
        <f>"750802439097"</f>
        <v>750802439097</v>
      </c>
      <c r="B16482" t="s">
        <v>22854</v>
      </c>
      <c r="C16482" t="s">
        <v>7</v>
      </c>
      <c r="D16482" t="s">
        <v>14</v>
      </c>
      <c r="E16482" t="s">
        <v>22743</v>
      </c>
    </row>
    <row r="16483" spans="1:6" x14ac:dyDescent="0.25">
      <c r="A16483" t="str">
        <f>"750802822951"</f>
        <v>750802822951</v>
      </c>
      <c r="B16483" t="s">
        <v>22855</v>
      </c>
      <c r="C16483" t="s">
        <v>7</v>
      </c>
      <c r="D16483" t="s">
        <v>14</v>
      </c>
      <c r="E16483" t="s">
        <v>22743</v>
      </c>
    </row>
    <row r="16484" spans="1:6" x14ac:dyDescent="0.25">
      <c r="A16484" t="str">
        <f>"750900025898"</f>
        <v>750900025898</v>
      </c>
      <c r="B16484" t="s">
        <v>22856</v>
      </c>
      <c r="C16484" t="s">
        <v>7</v>
      </c>
      <c r="D16484" t="s">
        <v>14</v>
      </c>
      <c r="E16484" t="s">
        <v>22743</v>
      </c>
    </row>
    <row r="16485" spans="1:6" x14ac:dyDescent="0.25">
      <c r="A16485" t="str">
        <f>"750900050439"</f>
        <v>750900050439</v>
      </c>
      <c r="B16485" t="s">
        <v>22857</v>
      </c>
      <c r="C16485" t="s">
        <v>7</v>
      </c>
      <c r="D16485" t="s">
        <v>14</v>
      </c>
      <c r="E16485" t="s">
        <v>22743</v>
      </c>
    </row>
    <row r="16486" spans="1:6" x14ac:dyDescent="0.25">
      <c r="A16486" t="str">
        <f>"751201645724"</f>
        <v>751201645724</v>
      </c>
      <c r="B16486" t="s">
        <v>22858</v>
      </c>
      <c r="C16486" t="s">
        <v>7</v>
      </c>
      <c r="D16486" t="s">
        <v>14</v>
      </c>
      <c r="E16486" t="s">
        <v>22743</v>
      </c>
    </row>
    <row r="16487" spans="1:6" x14ac:dyDescent="0.25">
      <c r="A16487" t="str">
        <f>"751202767595"</f>
        <v>751202767595</v>
      </c>
      <c r="B16487" t="s">
        <v>22859</v>
      </c>
      <c r="C16487" t="s">
        <v>7</v>
      </c>
      <c r="D16487" t="s">
        <v>14</v>
      </c>
      <c r="E16487" t="s">
        <v>22743</v>
      </c>
    </row>
    <row r="16488" spans="1:6" x14ac:dyDescent="0.25">
      <c r="A16488" t="str">
        <f>"751300874309"</f>
        <v>751300874309</v>
      </c>
      <c r="B16488" t="s">
        <v>22860</v>
      </c>
      <c r="C16488" t="s">
        <v>7</v>
      </c>
      <c r="D16488" t="s">
        <v>14</v>
      </c>
      <c r="E16488" t="s">
        <v>22743</v>
      </c>
    </row>
    <row r="16489" spans="1:6" x14ac:dyDescent="0.25">
      <c r="A16489" t="str">
        <f>"751301169300"</f>
        <v>751301169300</v>
      </c>
      <c r="B16489" t="s">
        <v>22861</v>
      </c>
      <c r="C16489" t="s">
        <v>7</v>
      </c>
      <c r="D16489" t="s">
        <v>14</v>
      </c>
      <c r="E16489" t="s">
        <v>22743</v>
      </c>
    </row>
    <row r="16490" spans="1:6" x14ac:dyDescent="0.25">
      <c r="A16490" t="str">
        <f>"751301909410"</f>
        <v>751301909410</v>
      </c>
      <c r="B16490" t="s">
        <v>22737</v>
      </c>
      <c r="C16490" t="s">
        <v>7</v>
      </c>
      <c r="D16490" t="s">
        <v>12</v>
      </c>
      <c r="E16490" t="s">
        <v>22743</v>
      </c>
    </row>
    <row r="16491" spans="1:6" x14ac:dyDescent="0.25">
      <c r="A16491" t="str">
        <f>"752501513343"</f>
        <v>752501513343</v>
      </c>
      <c r="B16491" t="s">
        <v>22862</v>
      </c>
      <c r="C16491" t="s">
        <v>7</v>
      </c>
      <c r="D16491" t="s">
        <v>14</v>
      </c>
      <c r="E16491" t="s">
        <v>22743</v>
      </c>
    </row>
    <row r="16492" spans="1:6" x14ac:dyDescent="0.25">
      <c r="A16492" t="str">
        <f>"752501522323"</f>
        <v>752501522323</v>
      </c>
      <c r="B16492" t="s">
        <v>22863</v>
      </c>
      <c r="C16492" t="s">
        <v>7</v>
      </c>
      <c r="D16492" t="s">
        <v>14</v>
      </c>
      <c r="E16492" t="s">
        <v>22743</v>
      </c>
    </row>
    <row r="16493" spans="1:6" x14ac:dyDescent="0.25">
      <c r="A16493" t="str">
        <f>"752600012570"</f>
        <v>752600012570</v>
      </c>
      <c r="B16493" t="s">
        <v>22864</v>
      </c>
      <c r="C16493" t="s">
        <v>7</v>
      </c>
      <c r="D16493" t="s">
        <v>14</v>
      </c>
      <c r="E16493" t="s">
        <v>22743</v>
      </c>
    </row>
    <row r="16494" spans="1:6" x14ac:dyDescent="0.25">
      <c r="A16494" t="str">
        <f>"752801619647"</f>
        <v>752801619647</v>
      </c>
      <c r="B16494" t="s">
        <v>22865</v>
      </c>
      <c r="C16494" t="s">
        <v>7</v>
      </c>
      <c r="D16494" t="s">
        <v>12</v>
      </c>
      <c r="E16494" t="s">
        <v>22743</v>
      </c>
    </row>
    <row r="16495" spans="1:6" x14ac:dyDescent="0.25">
      <c r="A16495" t="str">
        <f>"7529009790"</f>
        <v>7529009790</v>
      </c>
      <c r="B16495" t="s">
        <v>906</v>
      </c>
      <c r="C16495" t="s">
        <v>7</v>
      </c>
      <c r="D16495" t="s">
        <v>14</v>
      </c>
      <c r="E16495" t="s">
        <v>22743</v>
      </c>
      <c r="F16495" t="s">
        <v>22866</v>
      </c>
    </row>
    <row r="16496" spans="1:6" x14ac:dyDescent="0.25">
      <c r="A16496" t="str">
        <f>"7530005159"</f>
        <v>7530005159</v>
      </c>
      <c r="B16496" t="s">
        <v>22867</v>
      </c>
      <c r="C16496" t="s">
        <v>7</v>
      </c>
      <c r="D16496" t="s">
        <v>14</v>
      </c>
      <c r="E16496" t="s">
        <v>22743</v>
      </c>
      <c r="F16496" t="s">
        <v>22868</v>
      </c>
    </row>
    <row r="16497" spans="1:6" x14ac:dyDescent="0.25">
      <c r="A16497" t="str">
        <f>"750803018158"</f>
        <v>750803018158</v>
      </c>
      <c r="B16497" t="s">
        <v>22869</v>
      </c>
      <c r="C16497" t="s">
        <v>7</v>
      </c>
      <c r="D16497" t="s">
        <v>14</v>
      </c>
      <c r="E16497" t="s">
        <v>22743</v>
      </c>
    </row>
    <row r="16498" spans="1:6" x14ac:dyDescent="0.25">
      <c r="A16498" t="str">
        <f>"751601326401"</f>
        <v>751601326401</v>
      </c>
      <c r="B16498" t="s">
        <v>22870</v>
      </c>
      <c r="C16498" t="s">
        <v>7</v>
      </c>
      <c r="D16498" t="s">
        <v>14</v>
      </c>
      <c r="E16498" t="s">
        <v>22743</v>
      </c>
    </row>
    <row r="16499" spans="1:6" x14ac:dyDescent="0.25">
      <c r="A16499" t="str">
        <f>"753005064406"</f>
        <v>753005064406</v>
      </c>
      <c r="B16499" t="s">
        <v>22871</v>
      </c>
      <c r="C16499" t="s">
        <v>7</v>
      </c>
      <c r="D16499" t="s">
        <v>14</v>
      </c>
      <c r="E16499" t="s">
        <v>22743</v>
      </c>
    </row>
    <row r="16500" spans="1:6" x14ac:dyDescent="0.25">
      <c r="A16500" t="str">
        <f>"753104127061"</f>
        <v>753104127061</v>
      </c>
      <c r="B16500" t="s">
        <v>22872</v>
      </c>
      <c r="C16500" t="s">
        <v>7</v>
      </c>
      <c r="D16500" t="s">
        <v>14</v>
      </c>
      <c r="E16500" t="s">
        <v>22743</v>
      </c>
    </row>
    <row r="16501" spans="1:6" x14ac:dyDescent="0.25">
      <c r="A16501" t="str">
        <f>"753300047447"</f>
        <v>753300047447</v>
      </c>
      <c r="B16501" t="s">
        <v>22873</v>
      </c>
      <c r="C16501" t="s">
        <v>7</v>
      </c>
      <c r="D16501" t="s">
        <v>14</v>
      </c>
      <c r="E16501" t="s">
        <v>22743</v>
      </c>
    </row>
    <row r="16502" spans="1:6" x14ac:dyDescent="0.25">
      <c r="A16502" t="str">
        <f>"753400140432"</f>
        <v>753400140432</v>
      </c>
      <c r="B16502" t="s">
        <v>22874</v>
      </c>
      <c r="C16502" t="s">
        <v>7</v>
      </c>
      <c r="D16502" t="s">
        <v>14</v>
      </c>
      <c r="E16502" t="s">
        <v>22743</v>
      </c>
    </row>
    <row r="16503" spans="1:6" x14ac:dyDescent="0.25">
      <c r="A16503" t="str">
        <f>"753500053511"</f>
        <v>753500053511</v>
      </c>
      <c r="B16503" t="s">
        <v>22875</v>
      </c>
      <c r="C16503" t="s">
        <v>7</v>
      </c>
      <c r="D16503" t="s">
        <v>14</v>
      </c>
      <c r="E16503" t="s">
        <v>22743</v>
      </c>
    </row>
    <row r="16504" spans="1:6" x14ac:dyDescent="0.25">
      <c r="A16504" t="str">
        <f>"7535001207"</f>
        <v>7535001207</v>
      </c>
      <c r="B16504" t="s">
        <v>22876</v>
      </c>
      <c r="C16504" t="s">
        <v>7</v>
      </c>
      <c r="D16504" t="s">
        <v>12</v>
      </c>
      <c r="E16504" t="s">
        <v>22743</v>
      </c>
      <c r="F16504" t="s">
        <v>22877</v>
      </c>
    </row>
    <row r="16505" spans="1:6" x14ac:dyDescent="0.25">
      <c r="A16505" t="str">
        <f>"753600294574"</f>
        <v>753600294574</v>
      </c>
      <c r="B16505" t="s">
        <v>22878</v>
      </c>
      <c r="C16505" t="s">
        <v>7</v>
      </c>
      <c r="D16505" t="s">
        <v>14</v>
      </c>
      <c r="E16505" t="s">
        <v>22743</v>
      </c>
    </row>
    <row r="16506" spans="1:6" x14ac:dyDescent="0.25">
      <c r="A16506" t="str">
        <f>"7536099499"</f>
        <v>7536099499</v>
      </c>
      <c r="B16506" t="s">
        <v>21432</v>
      </c>
      <c r="C16506" t="s">
        <v>7</v>
      </c>
      <c r="D16506" t="s">
        <v>33</v>
      </c>
      <c r="E16506" t="s">
        <v>22743</v>
      </c>
      <c r="F16506" t="s">
        <v>22879</v>
      </c>
    </row>
    <row r="16507" spans="1:6" x14ac:dyDescent="0.25">
      <c r="A16507" t="str">
        <f>"753610405981"</f>
        <v>753610405981</v>
      </c>
      <c r="B16507" t="s">
        <v>22880</v>
      </c>
      <c r="C16507" t="s">
        <v>7</v>
      </c>
      <c r="D16507" t="s">
        <v>14</v>
      </c>
      <c r="E16507" t="s">
        <v>22743</v>
      </c>
    </row>
    <row r="16508" spans="1:6" x14ac:dyDescent="0.25">
      <c r="A16508" t="str">
        <f>"7536121803"</f>
        <v>7536121803</v>
      </c>
      <c r="B16508" t="s">
        <v>22881</v>
      </c>
      <c r="C16508" t="s">
        <v>7</v>
      </c>
      <c r="D16508" t="s">
        <v>12</v>
      </c>
      <c r="E16508" t="s">
        <v>22743</v>
      </c>
      <c r="F16508" t="s">
        <v>22882</v>
      </c>
    </row>
    <row r="16509" spans="1:6" x14ac:dyDescent="0.25">
      <c r="A16509" t="str">
        <f>"7536165543"</f>
        <v>7536165543</v>
      </c>
      <c r="B16509" t="s">
        <v>1117</v>
      </c>
      <c r="C16509" t="s">
        <v>7</v>
      </c>
      <c r="D16509" t="s">
        <v>14</v>
      </c>
      <c r="E16509" t="s">
        <v>22743</v>
      </c>
      <c r="F16509" t="s">
        <v>22883</v>
      </c>
    </row>
    <row r="16510" spans="1:6" x14ac:dyDescent="0.25">
      <c r="A16510" t="str">
        <f>"7536171628"</f>
        <v>7536171628</v>
      </c>
      <c r="B16510" t="s">
        <v>22884</v>
      </c>
      <c r="C16510" t="s">
        <v>7</v>
      </c>
      <c r="D16510" t="s">
        <v>189</v>
      </c>
      <c r="E16510" t="s">
        <v>22743</v>
      </c>
      <c r="F16510" t="s">
        <v>22885</v>
      </c>
    </row>
    <row r="16511" spans="1:6" x14ac:dyDescent="0.25">
      <c r="A16511" t="str">
        <f>"753700108180"</f>
        <v>753700108180</v>
      </c>
      <c r="B16511" t="s">
        <v>22886</v>
      </c>
      <c r="C16511" t="s">
        <v>7</v>
      </c>
      <c r="D16511" t="s">
        <v>14</v>
      </c>
      <c r="E16511" t="s">
        <v>22743</v>
      </c>
    </row>
    <row r="16512" spans="1:6" x14ac:dyDescent="0.25">
      <c r="A16512" t="str">
        <f>"753701796387"</f>
        <v>753701796387</v>
      </c>
      <c r="B16512" t="s">
        <v>22887</v>
      </c>
      <c r="C16512" t="s">
        <v>7</v>
      </c>
      <c r="D16512" t="s">
        <v>14</v>
      </c>
      <c r="E16512" t="s">
        <v>22743</v>
      </c>
    </row>
    <row r="16513" spans="1:6" x14ac:dyDescent="0.25">
      <c r="A16513" t="str">
        <f>"752101508638"</f>
        <v>752101508638</v>
      </c>
      <c r="B16513" t="s">
        <v>22888</v>
      </c>
      <c r="C16513" t="s">
        <v>7</v>
      </c>
      <c r="D16513" t="s">
        <v>14</v>
      </c>
      <c r="E16513" t="s">
        <v>22743</v>
      </c>
    </row>
    <row r="16514" spans="1:6" x14ac:dyDescent="0.25">
      <c r="A16514" t="str">
        <f>"7536082199"</f>
        <v>7536082199</v>
      </c>
      <c r="B16514" t="s">
        <v>20588</v>
      </c>
      <c r="C16514" t="s">
        <v>7</v>
      </c>
      <c r="D16514" t="s">
        <v>14</v>
      </c>
      <c r="E16514" t="s">
        <v>22743</v>
      </c>
      <c r="F16514" t="s">
        <v>22889</v>
      </c>
    </row>
    <row r="16515" spans="1:6" x14ac:dyDescent="0.25">
      <c r="A16515" t="str">
        <f>"753608822956"</f>
        <v>753608822956</v>
      </c>
      <c r="B16515" t="s">
        <v>22890</v>
      </c>
      <c r="C16515" t="s">
        <v>7</v>
      </c>
      <c r="D16515" t="s">
        <v>14</v>
      </c>
      <c r="E16515" t="s">
        <v>22743</v>
      </c>
    </row>
    <row r="16516" spans="1:6" x14ac:dyDescent="0.25">
      <c r="A16516" t="str">
        <f>"753611255094"</f>
        <v>753611255094</v>
      </c>
      <c r="B16516" t="s">
        <v>22891</v>
      </c>
      <c r="C16516" t="s">
        <v>7</v>
      </c>
      <c r="D16516" t="s">
        <v>14</v>
      </c>
      <c r="E16516" t="s">
        <v>22743</v>
      </c>
    </row>
    <row r="16517" spans="1:6" x14ac:dyDescent="0.25">
      <c r="A16517" t="str">
        <f>"753613571610"</f>
        <v>753613571610</v>
      </c>
      <c r="B16517" t="s">
        <v>22892</v>
      </c>
      <c r="C16517" t="s">
        <v>7</v>
      </c>
      <c r="D16517" t="s">
        <v>12</v>
      </c>
      <c r="E16517" t="s">
        <v>22743</v>
      </c>
    </row>
    <row r="16518" spans="1:6" x14ac:dyDescent="0.25">
      <c r="A16518" t="str">
        <f>"7536165208"</f>
        <v>7536165208</v>
      </c>
      <c r="B16518" t="s">
        <v>22893</v>
      </c>
      <c r="C16518" t="s">
        <v>7</v>
      </c>
      <c r="D16518" t="s">
        <v>33</v>
      </c>
      <c r="E16518" t="s">
        <v>22743</v>
      </c>
      <c r="F16518" t="s">
        <v>22883</v>
      </c>
    </row>
    <row r="16519" spans="1:6" x14ac:dyDescent="0.25">
      <c r="A16519" t="str">
        <f>"7801714433"</f>
        <v>7801714433</v>
      </c>
      <c r="B16519" t="s">
        <v>22894</v>
      </c>
      <c r="C16519" t="s">
        <v>7</v>
      </c>
      <c r="D16519" t="s">
        <v>8</v>
      </c>
      <c r="E16519" t="s">
        <v>22743</v>
      </c>
      <c r="F16519" t="s">
        <v>22895</v>
      </c>
    </row>
    <row r="16520" spans="1:6" x14ac:dyDescent="0.25">
      <c r="A16520" t="str">
        <f>"245723321704"</f>
        <v>245723321704</v>
      </c>
      <c r="B16520" t="s">
        <v>22896</v>
      </c>
      <c r="C16520" t="s">
        <v>7</v>
      </c>
      <c r="D16520" t="s">
        <v>14</v>
      </c>
      <c r="E16520" t="s">
        <v>22897</v>
      </c>
    </row>
    <row r="16521" spans="1:6" x14ac:dyDescent="0.25">
      <c r="A16521" t="str">
        <f>"245727408138"</f>
        <v>245727408138</v>
      </c>
      <c r="B16521" t="s">
        <v>22898</v>
      </c>
      <c r="C16521" t="s">
        <v>7</v>
      </c>
      <c r="D16521" t="s">
        <v>14</v>
      </c>
      <c r="E16521" t="s">
        <v>22897</v>
      </c>
    </row>
    <row r="16522" spans="1:6" x14ac:dyDescent="0.25">
      <c r="A16522" t="str">
        <f>"695001902029"</f>
        <v>695001902029</v>
      </c>
      <c r="B16522" t="s">
        <v>22899</v>
      </c>
      <c r="C16522" t="s">
        <v>7</v>
      </c>
      <c r="D16522" t="s">
        <v>14</v>
      </c>
      <c r="E16522" t="s">
        <v>22897</v>
      </c>
    </row>
    <row r="16523" spans="1:6" x14ac:dyDescent="0.25">
      <c r="A16523" t="str">
        <f>"440401577874"</f>
        <v>440401577874</v>
      </c>
      <c r="B16523" t="s">
        <v>22900</v>
      </c>
      <c r="C16523" t="s">
        <v>7</v>
      </c>
      <c r="D16523" t="s">
        <v>14</v>
      </c>
      <c r="E16523" t="s">
        <v>22897</v>
      </c>
    </row>
    <row r="16524" spans="1:6" x14ac:dyDescent="0.25">
      <c r="A16524" t="str">
        <f>"110380881150"</f>
        <v>110380881150</v>
      </c>
      <c r="B16524" t="s">
        <v>22901</v>
      </c>
      <c r="C16524" t="s">
        <v>7</v>
      </c>
      <c r="D16524" t="s">
        <v>14</v>
      </c>
      <c r="E16524" t="s">
        <v>22897</v>
      </c>
    </row>
    <row r="16525" spans="1:6" x14ac:dyDescent="0.25">
      <c r="A16525" t="str">
        <f>"753500305279"</f>
        <v>753500305279</v>
      </c>
      <c r="B16525" t="s">
        <v>22902</v>
      </c>
      <c r="C16525" t="s">
        <v>7</v>
      </c>
      <c r="D16525" t="s">
        <v>14</v>
      </c>
      <c r="E16525" t="s">
        <v>22897</v>
      </c>
    </row>
    <row r="16526" spans="1:6" x14ac:dyDescent="0.25">
      <c r="A16526" t="str">
        <f>"760200745287"</f>
        <v>760200745287</v>
      </c>
      <c r="B16526" t="s">
        <v>22903</v>
      </c>
      <c r="C16526" t="s">
        <v>7</v>
      </c>
      <c r="D16526" t="s">
        <v>14</v>
      </c>
      <c r="E16526" t="s">
        <v>22897</v>
      </c>
    </row>
    <row r="16527" spans="1:6" x14ac:dyDescent="0.25">
      <c r="A16527" t="str">
        <f>"7602061902"</f>
        <v>7602061902</v>
      </c>
      <c r="B16527" t="s">
        <v>22904</v>
      </c>
      <c r="C16527" t="s">
        <v>7</v>
      </c>
      <c r="D16527" t="s">
        <v>14</v>
      </c>
      <c r="E16527" t="s">
        <v>22897</v>
      </c>
      <c r="F16527" t="s">
        <v>22905</v>
      </c>
    </row>
    <row r="16528" spans="1:6" x14ac:dyDescent="0.25">
      <c r="A16528" t="str">
        <f>"7602063794"</f>
        <v>7602063794</v>
      </c>
      <c r="B16528" t="s">
        <v>22906</v>
      </c>
      <c r="C16528" t="s">
        <v>7</v>
      </c>
      <c r="D16528" t="s">
        <v>12</v>
      </c>
      <c r="E16528" t="s">
        <v>22897</v>
      </c>
      <c r="F16528" t="s">
        <v>22907</v>
      </c>
    </row>
    <row r="16529" spans="1:6" x14ac:dyDescent="0.25">
      <c r="A16529" t="str">
        <f>"7602064212"</f>
        <v>7602064212</v>
      </c>
      <c r="B16529" t="s">
        <v>22908</v>
      </c>
      <c r="C16529" t="s">
        <v>7</v>
      </c>
      <c r="D16529" t="s">
        <v>12</v>
      </c>
      <c r="E16529" t="s">
        <v>22897</v>
      </c>
      <c r="F16529" t="s">
        <v>22909</v>
      </c>
    </row>
    <row r="16530" spans="1:6" x14ac:dyDescent="0.25">
      <c r="A16530" t="str">
        <f>"760206517752"</f>
        <v>760206517752</v>
      </c>
      <c r="B16530" t="s">
        <v>22910</v>
      </c>
      <c r="C16530" t="s">
        <v>7</v>
      </c>
      <c r="D16530" t="s">
        <v>14</v>
      </c>
      <c r="E16530" t="s">
        <v>22897</v>
      </c>
    </row>
    <row r="16531" spans="1:6" x14ac:dyDescent="0.25">
      <c r="A16531" t="str">
        <f>"760208467105"</f>
        <v>760208467105</v>
      </c>
      <c r="B16531" t="s">
        <v>22911</v>
      </c>
      <c r="C16531" t="s">
        <v>7</v>
      </c>
      <c r="D16531" t="s">
        <v>14</v>
      </c>
      <c r="E16531" t="s">
        <v>22897</v>
      </c>
    </row>
    <row r="16532" spans="1:6" x14ac:dyDescent="0.25">
      <c r="A16532" t="str">
        <f>"7602088206"</f>
        <v>7602088206</v>
      </c>
      <c r="B16532" t="s">
        <v>22912</v>
      </c>
      <c r="C16532" t="s">
        <v>7</v>
      </c>
      <c r="D16532" t="s">
        <v>8</v>
      </c>
      <c r="E16532" t="s">
        <v>22897</v>
      </c>
      <c r="F16532" t="s">
        <v>22913</v>
      </c>
    </row>
    <row r="16533" spans="1:6" x14ac:dyDescent="0.25">
      <c r="A16533" t="str">
        <f>"7602099470"</f>
        <v>7602099470</v>
      </c>
      <c r="B16533" t="s">
        <v>22914</v>
      </c>
      <c r="C16533" t="s">
        <v>7</v>
      </c>
      <c r="D16533" t="s">
        <v>28</v>
      </c>
      <c r="E16533" t="s">
        <v>22897</v>
      </c>
      <c r="F16533" t="s">
        <v>22915</v>
      </c>
    </row>
    <row r="16534" spans="1:6" x14ac:dyDescent="0.25">
      <c r="A16534" t="str">
        <f>"7602131081"</f>
        <v>7602131081</v>
      </c>
      <c r="B16534" t="s">
        <v>22916</v>
      </c>
      <c r="C16534" t="s">
        <v>7</v>
      </c>
      <c r="D16534" t="s">
        <v>33</v>
      </c>
      <c r="E16534" t="s">
        <v>22897</v>
      </c>
      <c r="F16534" t="s">
        <v>22917</v>
      </c>
    </row>
    <row r="16535" spans="1:6" x14ac:dyDescent="0.25">
      <c r="A16535" t="str">
        <f>"7602139725"</f>
        <v>7602139725</v>
      </c>
      <c r="B16535" t="s">
        <v>22918</v>
      </c>
      <c r="C16535" t="s">
        <v>7</v>
      </c>
      <c r="D16535" t="s">
        <v>33</v>
      </c>
      <c r="E16535" t="s">
        <v>22897</v>
      </c>
      <c r="F16535" t="s">
        <v>22919</v>
      </c>
    </row>
    <row r="16536" spans="1:6" x14ac:dyDescent="0.25">
      <c r="A16536" t="str">
        <f>"760214676989"</f>
        <v>760214676989</v>
      </c>
      <c r="B16536" t="s">
        <v>22920</v>
      </c>
      <c r="C16536" t="s">
        <v>7</v>
      </c>
      <c r="D16536" t="s">
        <v>14</v>
      </c>
      <c r="E16536" t="s">
        <v>22897</v>
      </c>
    </row>
    <row r="16537" spans="1:6" x14ac:dyDescent="0.25">
      <c r="A16537" t="str">
        <f>"760303820313"</f>
        <v>760303820313</v>
      </c>
      <c r="B16537" t="s">
        <v>22921</v>
      </c>
      <c r="C16537" t="s">
        <v>7</v>
      </c>
      <c r="D16537" t="s">
        <v>14</v>
      </c>
      <c r="E16537" t="s">
        <v>22897</v>
      </c>
    </row>
    <row r="16538" spans="1:6" x14ac:dyDescent="0.25">
      <c r="A16538" t="str">
        <f>"7603046657"</f>
        <v>7603046657</v>
      </c>
      <c r="B16538" t="s">
        <v>22922</v>
      </c>
      <c r="C16538" t="s">
        <v>7</v>
      </c>
      <c r="D16538" t="s">
        <v>33</v>
      </c>
      <c r="E16538" t="s">
        <v>22897</v>
      </c>
      <c r="F16538" t="s">
        <v>22923</v>
      </c>
    </row>
    <row r="16539" spans="1:6" x14ac:dyDescent="0.25">
      <c r="A16539" t="str">
        <f>"760307465395"</f>
        <v>760307465395</v>
      </c>
      <c r="B16539" t="s">
        <v>22924</v>
      </c>
      <c r="C16539" t="s">
        <v>7</v>
      </c>
      <c r="D16539" t="s">
        <v>12</v>
      </c>
      <c r="E16539" t="s">
        <v>22897</v>
      </c>
    </row>
    <row r="16540" spans="1:6" x14ac:dyDescent="0.25">
      <c r="A16540" t="str">
        <f>"760309040239"</f>
        <v>760309040239</v>
      </c>
      <c r="B16540" t="s">
        <v>22925</v>
      </c>
      <c r="C16540" t="s">
        <v>7</v>
      </c>
      <c r="D16540" t="s">
        <v>14</v>
      </c>
      <c r="E16540" t="s">
        <v>22897</v>
      </c>
    </row>
    <row r="16541" spans="1:6" x14ac:dyDescent="0.25">
      <c r="A16541" t="str">
        <f>"7604035552"</f>
        <v>7604035552</v>
      </c>
      <c r="B16541" t="s">
        <v>22926</v>
      </c>
      <c r="C16541" t="s">
        <v>7</v>
      </c>
      <c r="D16541" t="s">
        <v>33</v>
      </c>
      <c r="E16541" t="s">
        <v>22897</v>
      </c>
      <c r="F16541" t="s">
        <v>22927</v>
      </c>
    </row>
    <row r="16542" spans="1:6" x14ac:dyDescent="0.25">
      <c r="A16542" t="str">
        <f>"760404695490"</f>
        <v>760404695490</v>
      </c>
      <c r="B16542" t="s">
        <v>22928</v>
      </c>
      <c r="C16542" t="s">
        <v>7</v>
      </c>
      <c r="D16542" t="s">
        <v>12</v>
      </c>
      <c r="E16542" t="s">
        <v>22897</v>
      </c>
    </row>
    <row r="16543" spans="1:6" x14ac:dyDescent="0.25">
      <c r="A16543" t="str">
        <f>"7604088642"</f>
        <v>7604088642</v>
      </c>
      <c r="B16543" t="s">
        <v>22929</v>
      </c>
      <c r="C16543" t="s">
        <v>7</v>
      </c>
      <c r="D16543" t="s">
        <v>14</v>
      </c>
      <c r="E16543" t="s">
        <v>22897</v>
      </c>
      <c r="F16543" t="s">
        <v>22930</v>
      </c>
    </row>
    <row r="16544" spans="1:6" x14ac:dyDescent="0.25">
      <c r="A16544" t="str">
        <f>"7604097171"</f>
        <v>7604097171</v>
      </c>
      <c r="B16544" t="s">
        <v>22931</v>
      </c>
      <c r="C16544" t="s">
        <v>7</v>
      </c>
      <c r="D16544" t="s">
        <v>33</v>
      </c>
      <c r="E16544" t="s">
        <v>22897</v>
      </c>
      <c r="F16544" t="s">
        <v>22917</v>
      </c>
    </row>
    <row r="16545" spans="1:6" x14ac:dyDescent="0.25">
      <c r="A16545" t="str">
        <f>"7604107408"</f>
        <v>7604107408</v>
      </c>
      <c r="B16545" t="s">
        <v>22932</v>
      </c>
      <c r="C16545" t="s">
        <v>7</v>
      </c>
      <c r="D16545" t="s">
        <v>14</v>
      </c>
      <c r="E16545" t="s">
        <v>22897</v>
      </c>
      <c r="F16545" t="s">
        <v>22933</v>
      </c>
    </row>
    <row r="16546" spans="1:6" x14ac:dyDescent="0.25">
      <c r="A16546" t="str">
        <f>"7604179480"</f>
        <v>7604179480</v>
      </c>
      <c r="B16546" t="s">
        <v>22934</v>
      </c>
      <c r="C16546" t="s">
        <v>7</v>
      </c>
      <c r="D16546" t="s">
        <v>33</v>
      </c>
      <c r="E16546" t="s">
        <v>22897</v>
      </c>
      <c r="F16546" t="s">
        <v>22935</v>
      </c>
    </row>
    <row r="16547" spans="1:6" x14ac:dyDescent="0.25">
      <c r="A16547" t="str">
        <f>"7604245479"</f>
        <v>7604245479</v>
      </c>
      <c r="B16547" t="s">
        <v>22936</v>
      </c>
      <c r="C16547" t="s">
        <v>7</v>
      </c>
      <c r="D16547" t="s">
        <v>33</v>
      </c>
      <c r="E16547" t="s">
        <v>22897</v>
      </c>
      <c r="F16547" t="s">
        <v>22937</v>
      </c>
    </row>
    <row r="16548" spans="1:6" x14ac:dyDescent="0.25">
      <c r="A16548" t="str">
        <f>"7604270122"</f>
        <v>7604270122</v>
      </c>
      <c r="B16548" t="s">
        <v>22938</v>
      </c>
      <c r="C16548" t="s">
        <v>7</v>
      </c>
      <c r="D16548" t="s">
        <v>146</v>
      </c>
      <c r="E16548" t="s">
        <v>22897</v>
      </c>
      <c r="F16548" t="s">
        <v>22939</v>
      </c>
    </row>
    <row r="16549" spans="1:6" x14ac:dyDescent="0.25">
      <c r="A16549" t="str">
        <f>"7604281702"</f>
        <v>7604281702</v>
      </c>
      <c r="B16549" t="s">
        <v>22940</v>
      </c>
      <c r="C16549" t="s">
        <v>7</v>
      </c>
      <c r="D16549" t="s">
        <v>14</v>
      </c>
      <c r="E16549" t="s">
        <v>22897</v>
      </c>
      <c r="F16549" t="s">
        <v>22941</v>
      </c>
    </row>
    <row r="16550" spans="1:6" x14ac:dyDescent="0.25">
      <c r="A16550" t="str">
        <f>"7604353273"</f>
        <v>7604353273</v>
      </c>
      <c r="B16550" t="s">
        <v>22942</v>
      </c>
      <c r="C16550" t="s">
        <v>7</v>
      </c>
      <c r="D16550" t="s">
        <v>14</v>
      </c>
      <c r="E16550" t="s">
        <v>22897</v>
      </c>
      <c r="F16550" t="s">
        <v>22943</v>
      </c>
    </row>
    <row r="16551" spans="1:6" x14ac:dyDescent="0.25">
      <c r="A16551" t="str">
        <f>"7604354975"</f>
        <v>7604354975</v>
      </c>
      <c r="B16551" t="s">
        <v>17828</v>
      </c>
      <c r="C16551" t="s">
        <v>7</v>
      </c>
      <c r="D16551" t="s">
        <v>33</v>
      </c>
      <c r="E16551" t="s">
        <v>22897</v>
      </c>
      <c r="F16551" t="s">
        <v>22944</v>
      </c>
    </row>
    <row r="16552" spans="1:6" x14ac:dyDescent="0.25">
      <c r="A16552" t="str">
        <f>"7604361242"</f>
        <v>7604361242</v>
      </c>
      <c r="B16552" t="s">
        <v>22945</v>
      </c>
      <c r="C16552" t="s">
        <v>7</v>
      </c>
      <c r="D16552" t="s">
        <v>146</v>
      </c>
      <c r="E16552" t="s">
        <v>22897</v>
      </c>
      <c r="F16552" t="s">
        <v>22946</v>
      </c>
    </row>
    <row r="16553" spans="1:6" x14ac:dyDescent="0.25">
      <c r="A16553" t="str">
        <f>"7604377309"</f>
        <v>7604377309</v>
      </c>
      <c r="B16553" t="s">
        <v>22947</v>
      </c>
      <c r="C16553" t="s">
        <v>7</v>
      </c>
      <c r="D16553" t="s">
        <v>14</v>
      </c>
      <c r="E16553" t="s">
        <v>22897</v>
      </c>
      <c r="F16553" t="s">
        <v>22948</v>
      </c>
    </row>
    <row r="16554" spans="1:6" x14ac:dyDescent="0.25">
      <c r="A16554" t="str">
        <f>"7604395146"</f>
        <v>7604395146</v>
      </c>
      <c r="B16554" t="s">
        <v>22949</v>
      </c>
      <c r="C16554" t="s">
        <v>7</v>
      </c>
      <c r="D16554" t="s">
        <v>14</v>
      </c>
      <c r="E16554" t="s">
        <v>22897</v>
      </c>
      <c r="F16554" t="s">
        <v>22950</v>
      </c>
    </row>
    <row r="16555" spans="1:6" x14ac:dyDescent="0.25">
      <c r="A16555" t="str">
        <f>"7606048116"</f>
        <v>7606048116</v>
      </c>
      <c r="B16555" t="s">
        <v>22951</v>
      </c>
      <c r="C16555" t="s">
        <v>7</v>
      </c>
      <c r="D16555" t="s">
        <v>14</v>
      </c>
      <c r="E16555" t="s">
        <v>22897</v>
      </c>
      <c r="F16555" t="s">
        <v>22952</v>
      </c>
    </row>
    <row r="16556" spans="1:6" x14ac:dyDescent="0.25">
      <c r="A16556" t="str">
        <f>"760605325410"</f>
        <v>760605325410</v>
      </c>
      <c r="B16556" t="s">
        <v>22953</v>
      </c>
      <c r="C16556" t="s">
        <v>7</v>
      </c>
      <c r="D16556" t="s">
        <v>14</v>
      </c>
      <c r="E16556" t="s">
        <v>22897</v>
      </c>
    </row>
    <row r="16557" spans="1:6" x14ac:dyDescent="0.25">
      <c r="A16557" t="str">
        <f>"7606068521"</f>
        <v>7606068521</v>
      </c>
      <c r="B16557" t="s">
        <v>22954</v>
      </c>
      <c r="C16557" t="s">
        <v>7</v>
      </c>
      <c r="D16557" t="s">
        <v>12</v>
      </c>
      <c r="E16557" t="s">
        <v>22897</v>
      </c>
      <c r="F16557" t="s">
        <v>22955</v>
      </c>
    </row>
    <row r="16558" spans="1:6" x14ac:dyDescent="0.25">
      <c r="A16558" t="str">
        <f>"7606072253"</f>
        <v>7606072253</v>
      </c>
      <c r="B16558" t="s">
        <v>22956</v>
      </c>
      <c r="C16558" t="s">
        <v>7</v>
      </c>
      <c r="D16558" t="s">
        <v>14</v>
      </c>
      <c r="E16558" t="s">
        <v>22897</v>
      </c>
      <c r="F16558" t="s">
        <v>22957</v>
      </c>
    </row>
    <row r="16559" spans="1:6" x14ac:dyDescent="0.25">
      <c r="A16559" t="str">
        <f>"7606122391"</f>
        <v>7606122391</v>
      </c>
      <c r="B16559" t="s">
        <v>22958</v>
      </c>
      <c r="C16559" t="s">
        <v>7</v>
      </c>
      <c r="D16559" t="s">
        <v>463</v>
      </c>
      <c r="E16559" t="s">
        <v>22897</v>
      </c>
      <c r="F16559" t="s">
        <v>22959</v>
      </c>
    </row>
    <row r="16560" spans="1:6" x14ac:dyDescent="0.25">
      <c r="A16560" t="str">
        <f>"7606133883"</f>
        <v>7606133883</v>
      </c>
      <c r="B16560" t="s">
        <v>22960</v>
      </c>
      <c r="C16560" t="s">
        <v>7</v>
      </c>
      <c r="D16560" t="s">
        <v>12</v>
      </c>
      <c r="E16560" t="s">
        <v>22897</v>
      </c>
      <c r="F16560" t="s">
        <v>22961</v>
      </c>
    </row>
    <row r="16561" spans="1:6" x14ac:dyDescent="0.25">
      <c r="A16561" t="str">
        <f>"760708552609"</f>
        <v>760708552609</v>
      </c>
      <c r="B16561" t="s">
        <v>22962</v>
      </c>
      <c r="C16561" t="s">
        <v>7</v>
      </c>
      <c r="D16561" t="s">
        <v>14</v>
      </c>
      <c r="E16561" t="s">
        <v>22897</v>
      </c>
    </row>
    <row r="16562" spans="1:6" x14ac:dyDescent="0.25">
      <c r="A16562" t="str">
        <f>"760800214009"</f>
        <v>760800214009</v>
      </c>
      <c r="B16562" t="s">
        <v>22963</v>
      </c>
      <c r="C16562" t="s">
        <v>7</v>
      </c>
      <c r="D16562" t="s">
        <v>12</v>
      </c>
      <c r="E16562" t="s">
        <v>22897</v>
      </c>
    </row>
    <row r="16563" spans="1:6" x14ac:dyDescent="0.25">
      <c r="A16563" t="str">
        <f>"7608012563"</f>
        <v>7608012563</v>
      </c>
      <c r="B16563" t="s">
        <v>22964</v>
      </c>
      <c r="C16563" t="s">
        <v>7</v>
      </c>
      <c r="D16563" t="s">
        <v>98</v>
      </c>
      <c r="E16563" t="s">
        <v>22897</v>
      </c>
      <c r="F16563" t="s">
        <v>22965</v>
      </c>
    </row>
    <row r="16564" spans="1:6" x14ac:dyDescent="0.25">
      <c r="A16564" t="str">
        <f>"760802056485"</f>
        <v>760802056485</v>
      </c>
      <c r="B16564" t="s">
        <v>22966</v>
      </c>
      <c r="C16564" t="s">
        <v>7</v>
      </c>
      <c r="D16564" t="s">
        <v>14</v>
      </c>
      <c r="E16564" t="s">
        <v>22897</v>
      </c>
    </row>
    <row r="16565" spans="1:6" x14ac:dyDescent="0.25">
      <c r="A16565" t="str">
        <f>"760804015935"</f>
        <v>760804015935</v>
      </c>
      <c r="B16565" t="s">
        <v>22967</v>
      </c>
      <c r="C16565" t="s">
        <v>7</v>
      </c>
      <c r="D16565" t="s">
        <v>14</v>
      </c>
      <c r="E16565" t="s">
        <v>22897</v>
      </c>
    </row>
    <row r="16566" spans="1:6" x14ac:dyDescent="0.25">
      <c r="A16566" t="str">
        <f>"760904766935"</f>
        <v>760904766935</v>
      </c>
      <c r="B16566" t="s">
        <v>22968</v>
      </c>
      <c r="C16566" t="s">
        <v>7</v>
      </c>
      <c r="D16566" t="s">
        <v>14</v>
      </c>
      <c r="E16566" t="s">
        <v>22897</v>
      </c>
    </row>
    <row r="16567" spans="1:6" x14ac:dyDescent="0.25">
      <c r="A16567" t="str">
        <f>"761000524003"</f>
        <v>761000524003</v>
      </c>
      <c r="B16567" t="s">
        <v>22969</v>
      </c>
      <c r="C16567" t="s">
        <v>7</v>
      </c>
      <c r="D16567" t="s">
        <v>14</v>
      </c>
      <c r="E16567" t="s">
        <v>22897</v>
      </c>
    </row>
    <row r="16568" spans="1:6" x14ac:dyDescent="0.25">
      <c r="A16568" t="str">
        <f>"7610027711"</f>
        <v>7610027711</v>
      </c>
      <c r="B16568" t="s">
        <v>22970</v>
      </c>
      <c r="C16568" t="s">
        <v>7</v>
      </c>
      <c r="D16568" t="s">
        <v>14</v>
      </c>
      <c r="E16568" t="s">
        <v>22897</v>
      </c>
      <c r="F16568" t="s">
        <v>22971</v>
      </c>
    </row>
    <row r="16569" spans="1:6" x14ac:dyDescent="0.25">
      <c r="A16569" t="str">
        <f>"761003422112"</f>
        <v>761003422112</v>
      </c>
      <c r="B16569" t="s">
        <v>22972</v>
      </c>
      <c r="C16569" t="s">
        <v>7</v>
      </c>
      <c r="D16569" t="s">
        <v>12</v>
      </c>
      <c r="E16569" t="s">
        <v>22897</v>
      </c>
    </row>
    <row r="16570" spans="1:6" x14ac:dyDescent="0.25">
      <c r="A16570" t="str">
        <f>"7610078650"</f>
        <v>7610078650</v>
      </c>
      <c r="B16570" t="s">
        <v>22973</v>
      </c>
      <c r="C16570" t="s">
        <v>7</v>
      </c>
      <c r="D16570" t="s">
        <v>14</v>
      </c>
      <c r="E16570" t="s">
        <v>22897</v>
      </c>
      <c r="F16570" t="s">
        <v>22974</v>
      </c>
    </row>
    <row r="16571" spans="1:6" x14ac:dyDescent="0.25">
      <c r="A16571" t="str">
        <f>"7610085696"</f>
        <v>7610085696</v>
      </c>
      <c r="B16571" t="s">
        <v>6097</v>
      </c>
      <c r="C16571" t="s">
        <v>7</v>
      </c>
      <c r="D16571" t="s">
        <v>12</v>
      </c>
      <c r="E16571" t="s">
        <v>22897</v>
      </c>
      <c r="F16571" t="s">
        <v>22975</v>
      </c>
    </row>
    <row r="16572" spans="1:6" x14ac:dyDescent="0.25">
      <c r="A16572" t="str">
        <f>"761011706076"</f>
        <v>761011706076</v>
      </c>
      <c r="B16572" t="s">
        <v>22976</v>
      </c>
      <c r="C16572" t="s">
        <v>7</v>
      </c>
      <c r="D16572" t="s">
        <v>14</v>
      </c>
      <c r="E16572" t="s">
        <v>22897</v>
      </c>
    </row>
    <row r="16573" spans="1:6" x14ac:dyDescent="0.25">
      <c r="A16573" t="str">
        <f>"7610123863"</f>
        <v>7610123863</v>
      </c>
      <c r="B16573" t="s">
        <v>22977</v>
      </c>
      <c r="C16573" t="s">
        <v>7</v>
      </c>
      <c r="D16573" t="s">
        <v>8</v>
      </c>
      <c r="E16573" t="s">
        <v>22897</v>
      </c>
      <c r="F16573" t="s">
        <v>22978</v>
      </c>
    </row>
    <row r="16574" spans="1:6" x14ac:dyDescent="0.25">
      <c r="A16574" t="str">
        <f>"7610137792"</f>
        <v>7610137792</v>
      </c>
      <c r="B16574" t="s">
        <v>22979</v>
      </c>
      <c r="C16574" t="s">
        <v>7</v>
      </c>
      <c r="D16574" t="s">
        <v>14</v>
      </c>
      <c r="E16574" t="s">
        <v>22897</v>
      </c>
      <c r="F16574" t="s">
        <v>22980</v>
      </c>
    </row>
    <row r="16575" spans="1:6" x14ac:dyDescent="0.25">
      <c r="A16575" t="str">
        <f>"761016576092"</f>
        <v>761016576092</v>
      </c>
      <c r="B16575" t="s">
        <v>22981</v>
      </c>
      <c r="C16575" t="s">
        <v>7</v>
      </c>
      <c r="D16575" t="s">
        <v>14</v>
      </c>
      <c r="E16575" t="s">
        <v>22897</v>
      </c>
    </row>
    <row r="16576" spans="1:6" x14ac:dyDescent="0.25">
      <c r="A16576" t="str">
        <f>"761017856254"</f>
        <v>761017856254</v>
      </c>
      <c r="B16576" t="s">
        <v>22982</v>
      </c>
      <c r="C16576" t="s">
        <v>7</v>
      </c>
      <c r="D16576" t="s">
        <v>12</v>
      </c>
      <c r="E16576" t="s">
        <v>22897</v>
      </c>
    </row>
    <row r="16577" spans="1:6" x14ac:dyDescent="0.25">
      <c r="A16577" t="str">
        <f>"761018435001"</f>
        <v>761018435001</v>
      </c>
      <c r="B16577" t="s">
        <v>22983</v>
      </c>
      <c r="C16577" t="s">
        <v>7</v>
      </c>
      <c r="D16577" t="s">
        <v>14</v>
      </c>
      <c r="E16577" t="s">
        <v>22897</v>
      </c>
    </row>
    <row r="16578" spans="1:6" x14ac:dyDescent="0.25">
      <c r="A16578" t="str">
        <f>"761019081796"</f>
        <v>761019081796</v>
      </c>
      <c r="B16578" t="s">
        <v>22984</v>
      </c>
      <c r="C16578" t="s">
        <v>7</v>
      </c>
      <c r="D16578" t="s">
        <v>14</v>
      </c>
      <c r="E16578" t="s">
        <v>22897</v>
      </c>
    </row>
    <row r="16579" spans="1:6" x14ac:dyDescent="0.25">
      <c r="A16579" t="str">
        <f>"761024724178"</f>
        <v>761024724178</v>
      </c>
      <c r="B16579" t="s">
        <v>22985</v>
      </c>
      <c r="C16579" t="s">
        <v>7</v>
      </c>
      <c r="D16579" t="s">
        <v>12</v>
      </c>
      <c r="E16579" t="s">
        <v>22897</v>
      </c>
    </row>
    <row r="16580" spans="1:6" x14ac:dyDescent="0.25">
      <c r="A16580" t="str">
        <f>"760200282575"</f>
        <v>760200282575</v>
      </c>
      <c r="B16580" t="s">
        <v>22986</v>
      </c>
      <c r="C16580" t="s">
        <v>7</v>
      </c>
      <c r="D16580" t="s">
        <v>14</v>
      </c>
      <c r="E16580" t="s">
        <v>22897</v>
      </c>
    </row>
    <row r="16581" spans="1:6" x14ac:dyDescent="0.25">
      <c r="A16581" t="str">
        <f>"760200295253"</f>
        <v>760200295253</v>
      </c>
      <c r="B16581" t="s">
        <v>22987</v>
      </c>
      <c r="C16581" t="s">
        <v>7</v>
      </c>
      <c r="D16581" t="s">
        <v>33</v>
      </c>
      <c r="E16581" t="s">
        <v>22897</v>
      </c>
    </row>
    <row r="16582" spans="1:6" x14ac:dyDescent="0.25">
      <c r="A16582" t="str">
        <f>"760200354090"</f>
        <v>760200354090</v>
      </c>
      <c r="B16582" t="s">
        <v>22988</v>
      </c>
      <c r="C16582" t="s">
        <v>7</v>
      </c>
      <c r="D16582" t="s">
        <v>12</v>
      </c>
      <c r="E16582" t="s">
        <v>22897</v>
      </c>
    </row>
    <row r="16583" spans="1:6" x14ac:dyDescent="0.25">
      <c r="A16583" t="str">
        <f>"7602076698"</f>
        <v>7602076698</v>
      </c>
      <c r="B16583" t="s">
        <v>22989</v>
      </c>
      <c r="C16583" t="s">
        <v>7</v>
      </c>
      <c r="D16583" t="s">
        <v>12</v>
      </c>
      <c r="E16583" t="s">
        <v>22897</v>
      </c>
      <c r="F16583" t="s">
        <v>22990</v>
      </c>
    </row>
    <row r="16584" spans="1:6" x14ac:dyDescent="0.25">
      <c r="A16584" t="str">
        <f>"7602089591"</f>
        <v>7602089591</v>
      </c>
      <c r="B16584" t="s">
        <v>22991</v>
      </c>
      <c r="C16584" t="s">
        <v>7</v>
      </c>
      <c r="D16584" t="s">
        <v>12</v>
      </c>
      <c r="E16584" t="s">
        <v>22897</v>
      </c>
      <c r="F16584" t="s">
        <v>22992</v>
      </c>
    </row>
    <row r="16585" spans="1:6" x14ac:dyDescent="0.25">
      <c r="A16585" t="str">
        <f>"7602094538"</f>
        <v>7602094538</v>
      </c>
      <c r="B16585" t="s">
        <v>200</v>
      </c>
      <c r="C16585" t="s">
        <v>7</v>
      </c>
      <c r="D16585" t="s">
        <v>146</v>
      </c>
      <c r="E16585" t="s">
        <v>22897</v>
      </c>
      <c r="F16585" t="s">
        <v>22993</v>
      </c>
    </row>
    <row r="16586" spans="1:6" x14ac:dyDescent="0.25">
      <c r="A16586" t="str">
        <f>"760210398931"</f>
        <v>760210398931</v>
      </c>
      <c r="B16586" t="s">
        <v>22994</v>
      </c>
      <c r="C16586" t="s">
        <v>7</v>
      </c>
      <c r="D16586" t="s">
        <v>14</v>
      </c>
      <c r="E16586" t="s">
        <v>22897</v>
      </c>
    </row>
    <row r="16587" spans="1:6" x14ac:dyDescent="0.25">
      <c r="A16587" t="str">
        <f>"7602107152"</f>
        <v>7602107152</v>
      </c>
      <c r="B16587" t="s">
        <v>22995</v>
      </c>
      <c r="C16587" t="s">
        <v>7</v>
      </c>
      <c r="D16587" t="s">
        <v>12</v>
      </c>
      <c r="E16587" t="s">
        <v>22897</v>
      </c>
      <c r="F16587" t="s">
        <v>22996</v>
      </c>
    </row>
    <row r="16588" spans="1:6" x14ac:dyDescent="0.25">
      <c r="A16588" t="str">
        <f>"7602109713"</f>
        <v>7602109713</v>
      </c>
      <c r="B16588" t="s">
        <v>22997</v>
      </c>
      <c r="C16588" t="s">
        <v>7</v>
      </c>
      <c r="D16588" t="s">
        <v>146</v>
      </c>
      <c r="E16588" t="s">
        <v>22897</v>
      </c>
      <c r="F16588" t="s">
        <v>22998</v>
      </c>
    </row>
    <row r="16589" spans="1:6" x14ac:dyDescent="0.25">
      <c r="A16589" t="str">
        <f>"7602119750"</f>
        <v>7602119750</v>
      </c>
      <c r="B16589" t="s">
        <v>22999</v>
      </c>
      <c r="C16589" t="s">
        <v>7</v>
      </c>
      <c r="D16589" t="s">
        <v>12</v>
      </c>
      <c r="E16589" t="s">
        <v>22897</v>
      </c>
      <c r="F16589" t="s">
        <v>23000</v>
      </c>
    </row>
    <row r="16590" spans="1:6" x14ac:dyDescent="0.25">
      <c r="A16590" t="str">
        <f>"7602140738"</f>
        <v>7602140738</v>
      </c>
      <c r="B16590" t="s">
        <v>23001</v>
      </c>
      <c r="C16590" t="s">
        <v>7</v>
      </c>
      <c r="D16590" t="s">
        <v>12</v>
      </c>
      <c r="E16590" t="s">
        <v>22897</v>
      </c>
      <c r="F16590" t="s">
        <v>23002</v>
      </c>
    </row>
    <row r="16591" spans="1:6" x14ac:dyDescent="0.25">
      <c r="A16591" t="str">
        <f>"7602146306"</f>
        <v>7602146306</v>
      </c>
      <c r="B16591" t="s">
        <v>23003</v>
      </c>
      <c r="C16591" t="s">
        <v>7</v>
      </c>
      <c r="D16591" t="s">
        <v>12</v>
      </c>
      <c r="E16591" t="s">
        <v>22897</v>
      </c>
      <c r="F16591" t="s">
        <v>23004</v>
      </c>
    </row>
    <row r="16592" spans="1:6" x14ac:dyDescent="0.25">
      <c r="A16592" t="str">
        <f>"760401870545"</f>
        <v>760401870545</v>
      </c>
      <c r="B16592" t="s">
        <v>23005</v>
      </c>
      <c r="C16592" t="s">
        <v>7</v>
      </c>
      <c r="D16592" t="s">
        <v>14</v>
      </c>
      <c r="E16592" t="s">
        <v>22897</v>
      </c>
    </row>
    <row r="16593" spans="1:6" x14ac:dyDescent="0.25">
      <c r="A16593" t="str">
        <f>"760406181027"</f>
        <v>760406181027</v>
      </c>
      <c r="B16593" t="s">
        <v>23006</v>
      </c>
      <c r="C16593" t="s">
        <v>7</v>
      </c>
      <c r="D16593" t="s">
        <v>14</v>
      </c>
      <c r="E16593" t="s">
        <v>22897</v>
      </c>
    </row>
    <row r="16594" spans="1:6" x14ac:dyDescent="0.25">
      <c r="A16594" t="str">
        <f>"7604125005"</f>
        <v>7604125005</v>
      </c>
      <c r="B16594" t="s">
        <v>23007</v>
      </c>
      <c r="C16594" t="s">
        <v>7</v>
      </c>
      <c r="D16594" t="s">
        <v>33</v>
      </c>
      <c r="E16594" t="s">
        <v>22897</v>
      </c>
      <c r="F16594" t="s">
        <v>23008</v>
      </c>
    </row>
    <row r="16595" spans="1:6" x14ac:dyDescent="0.25">
      <c r="A16595" t="str">
        <f>"7604191287"</f>
        <v>7604191287</v>
      </c>
      <c r="B16595" t="s">
        <v>23009</v>
      </c>
      <c r="C16595" t="s">
        <v>7</v>
      </c>
      <c r="D16595" t="s">
        <v>12</v>
      </c>
      <c r="E16595" t="s">
        <v>22897</v>
      </c>
      <c r="F16595" t="s">
        <v>23010</v>
      </c>
    </row>
    <row r="16596" spans="1:6" x14ac:dyDescent="0.25">
      <c r="A16596" t="str">
        <f>"7604281318"</f>
        <v>7604281318</v>
      </c>
      <c r="B16596" t="s">
        <v>23011</v>
      </c>
      <c r="C16596" t="s">
        <v>7</v>
      </c>
      <c r="D16596" t="s">
        <v>12</v>
      </c>
      <c r="E16596" t="s">
        <v>22897</v>
      </c>
      <c r="F16596" t="s">
        <v>23012</v>
      </c>
    </row>
    <row r="16597" spans="1:6" x14ac:dyDescent="0.25">
      <c r="A16597" t="str">
        <f>"7604336782"</f>
        <v>7604336782</v>
      </c>
      <c r="B16597" t="s">
        <v>23013</v>
      </c>
      <c r="C16597" t="s">
        <v>7</v>
      </c>
      <c r="D16597" t="s">
        <v>14</v>
      </c>
      <c r="E16597" t="s">
        <v>22897</v>
      </c>
      <c r="F16597" t="s">
        <v>23014</v>
      </c>
    </row>
    <row r="16598" spans="1:6" x14ac:dyDescent="0.25">
      <c r="A16598" t="str">
        <f>"7604386350"</f>
        <v>7604386350</v>
      </c>
      <c r="B16598" t="s">
        <v>23015</v>
      </c>
      <c r="C16598" t="s">
        <v>7</v>
      </c>
      <c r="D16598" t="s">
        <v>33</v>
      </c>
      <c r="E16598" t="s">
        <v>22897</v>
      </c>
      <c r="F16598" t="s">
        <v>23016</v>
      </c>
    </row>
    <row r="16599" spans="1:6" x14ac:dyDescent="0.25">
      <c r="A16599" t="str">
        <f>"7604399380"</f>
        <v>7604399380</v>
      </c>
      <c r="B16599" t="s">
        <v>23017</v>
      </c>
      <c r="C16599" t="s">
        <v>7</v>
      </c>
      <c r="D16599" t="s">
        <v>14</v>
      </c>
      <c r="E16599" t="s">
        <v>22897</v>
      </c>
      <c r="F16599" t="s">
        <v>23018</v>
      </c>
    </row>
    <row r="16600" spans="1:6" x14ac:dyDescent="0.25">
      <c r="A16600" t="str">
        <f>"760501567535"</f>
        <v>760501567535</v>
      </c>
      <c r="B16600" t="s">
        <v>23019</v>
      </c>
      <c r="C16600" t="s">
        <v>7</v>
      </c>
      <c r="D16600" t="s">
        <v>12</v>
      </c>
      <c r="E16600" t="s">
        <v>22897</v>
      </c>
    </row>
    <row r="16601" spans="1:6" x14ac:dyDescent="0.25">
      <c r="A16601" t="str">
        <f>"7606048525"</f>
        <v>7606048525</v>
      </c>
      <c r="B16601" t="s">
        <v>23020</v>
      </c>
      <c r="C16601" t="s">
        <v>7</v>
      </c>
      <c r="D16601" t="s">
        <v>12</v>
      </c>
      <c r="E16601" t="s">
        <v>22897</v>
      </c>
      <c r="F16601" t="s">
        <v>23021</v>
      </c>
    </row>
    <row r="16602" spans="1:6" x14ac:dyDescent="0.25">
      <c r="A16602" t="str">
        <f>"760605283376"</f>
        <v>760605283376</v>
      </c>
      <c r="B16602" t="s">
        <v>23022</v>
      </c>
      <c r="C16602" t="s">
        <v>7</v>
      </c>
      <c r="D16602" t="s">
        <v>12</v>
      </c>
      <c r="E16602" t="s">
        <v>22897</v>
      </c>
    </row>
    <row r="16603" spans="1:6" x14ac:dyDescent="0.25">
      <c r="A16603" t="str">
        <f>"7606053003"</f>
        <v>7606053003</v>
      </c>
      <c r="B16603" t="s">
        <v>23023</v>
      </c>
      <c r="C16603" t="s">
        <v>7</v>
      </c>
      <c r="D16603" t="s">
        <v>12</v>
      </c>
      <c r="E16603" t="s">
        <v>22897</v>
      </c>
      <c r="F16603" t="s">
        <v>23024</v>
      </c>
    </row>
    <row r="16604" spans="1:6" x14ac:dyDescent="0.25">
      <c r="A16604" t="str">
        <f>"760605815951"</f>
        <v>760605815951</v>
      </c>
      <c r="B16604" t="s">
        <v>23025</v>
      </c>
      <c r="C16604" t="s">
        <v>7</v>
      </c>
      <c r="D16604" t="s">
        <v>14</v>
      </c>
      <c r="E16604" t="s">
        <v>22897</v>
      </c>
    </row>
    <row r="16605" spans="1:6" x14ac:dyDescent="0.25">
      <c r="A16605" t="str">
        <f>"7606072260"</f>
        <v>7606072260</v>
      </c>
      <c r="B16605" t="s">
        <v>23026</v>
      </c>
      <c r="C16605" t="s">
        <v>7</v>
      </c>
      <c r="D16605" t="s">
        <v>14</v>
      </c>
      <c r="E16605" t="s">
        <v>22897</v>
      </c>
      <c r="F16605" t="s">
        <v>23027</v>
      </c>
    </row>
    <row r="16606" spans="1:6" x14ac:dyDescent="0.25">
      <c r="A16606" t="str">
        <f>"7606078600"</f>
        <v>7606078600</v>
      </c>
      <c r="B16606" t="s">
        <v>23028</v>
      </c>
      <c r="C16606" t="s">
        <v>7</v>
      </c>
      <c r="D16606" t="s">
        <v>14</v>
      </c>
      <c r="E16606" t="s">
        <v>22897</v>
      </c>
      <c r="F16606" t="s">
        <v>23029</v>
      </c>
    </row>
    <row r="16607" spans="1:6" x14ac:dyDescent="0.25">
      <c r="A16607" t="str">
        <f>"7606110276"</f>
        <v>7606110276</v>
      </c>
      <c r="B16607" t="s">
        <v>2280</v>
      </c>
      <c r="C16607" t="s">
        <v>7</v>
      </c>
      <c r="D16607" t="s">
        <v>33</v>
      </c>
      <c r="E16607" t="s">
        <v>22897</v>
      </c>
      <c r="F16607" t="s">
        <v>23030</v>
      </c>
    </row>
    <row r="16608" spans="1:6" x14ac:dyDescent="0.25">
      <c r="A16608" t="str">
        <f>"7606136228"</f>
        <v>7606136228</v>
      </c>
      <c r="B16608" t="s">
        <v>23031</v>
      </c>
      <c r="C16608" t="s">
        <v>7</v>
      </c>
      <c r="D16608" t="s">
        <v>33</v>
      </c>
      <c r="E16608" t="s">
        <v>22897</v>
      </c>
      <c r="F16608" t="s">
        <v>23032</v>
      </c>
    </row>
    <row r="16609" spans="1:6" x14ac:dyDescent="0.25">
      <c r="A16609" t="str">
        <f>"7606140873"</f>
        <v>7606140873</v>
      </c>
      <c r="B16609" t="s">
        <v>23033</v>
      </c>
      <c r="C16609" t="s">
        <v>7</v>
      </c>
      <c r="D16609" t="s">
        <v>12</v>
      </c>
      <c r="E16609" t="s">
        <v>22897</v>
      </c>
      <c r="F16609" t="s">
        <v>23034</v>
      </c>
    </row>
    <row r="16610" spans="1:6" x14ac:dyDescent="0.25">
      <c r="A16610" t="str">
        <f>"760700788634"</f>
        <v>760700788634</v>
      </c>
      <c r="B16610" t="s">
        <v>23035</v>
      </c>
      <c r="C16610" t="s">
        <v>7</v>
      </c>
      <c r="D16610" t="s">
        <v>463</v>
      </c>
      <c r="E16610" t="s">
        <v>22897</v>
      </c>
    </row>
    <row r="16611" spans="1:6" x14ac:dyDescent="0.25">
      <c r="A16611" t="str">
        <f>"760703750237"</f>
        <v>760703750237</v>
      </c>
      <c r="B16611" t="s">
        <v>23036</v>
      </c>
      <c r="C16611" t="s">
        <v>7</v>
      </c>
      <c r="D16611" t="s">
        <v>33</v>
      </c>
      <c r="E16611" t="s">
        <v>22897</v>
      </c>
    </row>
    <row r="16612" spans="1:6" x14ac:dyDescent="0.25">
      <c r="A16612" t="str">
        <f>"760805635628"</f>
        <v>760805635628</v>
      </c>
      <c r="B16612" t="s">
        <v>23037</v>
      </c>
      <c r="C16612" t="s">
        <v>7</v>
      </c>
      <c r="D16612" t="s">
        <v>14</v>
      </c>
      <c r="E16612" t="s">
        <v>22897</v>
      </c>
    </row>
    <row r="16613" spans="1:6" x14ac:dyDescent="0.25">
      <c r="A16613" t="str">
        <f>"7609001758"</f>
        <v>7609001758</v>
      </c>
      <c r="B16613" t="s">
        <v>23038</v>
      </c>
      <c r="C16613" t="s">
        <v>7</v>
      </c>
      <c r="D16613" t="s">
        <v>12</v>
      </c>
      <c r="E16613" t="s">
        <v>22897</v>
      </c>
      <c r="F16613" t="s">
        <v>23039</v>
      </c>
    </row>
    <row r="16614" spans="1:6" x14ac:dyDescent="0.25">
      <c r="A16614" t="str">
        <f>"760900845512"</f>
        <v>760900845512</v>
      </c>
      <c r="B16614" t="s">
        <v>23040</v>
      </c>
      <c r="C16614" t="s">
        <v>7</v>
      </c>
      <c r="D16614" t="s">
        <v>14</v>
      </c>
      <c r="E16614" t="s">
        <v>22897</v>
      </c>
    </row>
    <row r="16615" spans="1:6" x14ac:dyDescent="0.25">
      <c r="A16615" t="str">
        <f>"760904879520"</f>
        <v>760904879520</v>
      </c>
      <c r="B16615" t="s">
        <v>23041</v>
      </c>
      <c r="C16615" t="s">
        <v>7</v>
      </c>
      <c r="D16615" t="s">
        <v>14</v>
      </c>
      <c r="E16615" t="s">
        <v>22897</v>
      </c>
    </row>
    <row r="16616" spans="1:6" x14ac:dyDescent="0.25">
      <c r="A16616" t="str">
        <f>"760907569808"</f>
        <v>760907569808</v>
      </c>
      <c r="B16616" t="s">
        <v>23042</v>
      </c>
      <c r="C16616" t="s">
        <v>7</v>
      </c>
      <c r="D16616" t="s">
        <v>14</v>
      </c>
      <c r="E16616" t="s">
        <v>22897</v>
      </c>
    </row>
    <row r="16617" spans="1:6" x14ac:dyDescent="0.25">
      <c r="A16617" t="str">
        <f>"761000130231"</f>
        <v>761000130231</v>
      </c>
      <c r="B16617" t="s">
        <v>23043</v>
      </c>
      <c r="C16617" t="s">
        <v>7</v>
      </c>
      <c r="D16617" t="s">
        <v>14</v>
      </c>
      <c r="E16617" t="s">
        <v>22897</v>
      </c>
    </row>
    <row r="16618" spans="1:6" x14ac:dyDescent="0.25">
      <c r="A16618" t="str">
        <f>"761200839106"</f>
        <v>761200839106</v>
      </c>
      <c r="B16618" t="s">
        <v>23044</v>
      </c>
      <c r="C16618" t="s">
        <v>7</v>
      </c>
      <c r="D16618" t="s">
        <v>12</v>
      </c>
      <c r="E16618" t="s">
        <v>22897</v>
      </c>
    </row>
    <row r="16619" spans="1:6" x14ac:dyDescent="0.25">
      <c r="A16619" t="str">
        <f>"761201081922"</f>
        <v>761201081922</v>
      </c>
      <c r="B16619" t="s">
        <v>23045</v>
      </c>
      <c r="C16619" t="s">
        <v>7</v>
      </c>
      <c r="D16619" t="s">
        <v>14</v>
      </c>
      <c r="E16619" t="s">
        <v>22897</v>
      </c>
    </row>
    <row r="16620" spans="1:6" x14ac:dyDescent="0.25">
      <c r="A16620" t="str">
        <f>"761202359874"</f>
        <v>761202359874</v>
      </c>
      <c r="B16620" t="s">
        <v>23046</v>
      </c>
      <c r="C16620" t="s">
        <v>7</v>
      </c>
      <c r="D16620" t="s">
        <v>14</v>
      </c>
      <c r="E16620" t="s">
        <v>22897</v>
      </c>
    </row>
    <row r="16621" spans="1:6" x14ac:dyDescent="0.25">
      <c r="A16621" t="str">
        <f>"761202490597"</f>
        <v>761202490597</v>
      </c>
      <c r="B16621" t="s">
        <v>23047</v>
      </c>
      <c r="C16621" t="s">
        <v>7</v>
      </c>
      <c r="D16621" t="s">
        <v>14</v>
      </c>
      <c r="E16621" t="s">
        <v>22897</v>
      </c>
    </row>
    <row r="16622" spans="1:6" x14ac:dyDescent="0.25">
      <c r="A16622" t="str">
        <f>"761203242501"</f>
        <v>761203242501</v>
      </c>
      <c r="B16622" t="s">
        <v>23048</v>
      </c>
      <c r="C16622" t="s">
        <v>7</v>
      </c>
      <c r="D16622" t="s">
        <v>14</v>
      </c>
      <c r="E16622" t="s">
        <v>22897</v>
      </c>
    </row>
    <row r="16623" spans="1:6" x14ac:dyDescent="0.25">
      <c r="A16623" t="str">
        <f>"7617009790"</f>
        <v>7617009790</v>
      </c>
      <c r="B16623" t="s">
        <v>2853</v>
      </c>
      <c r="C16623" t="s">
        <v>7</v>
      </c>
      <c r="D16623" t="s">
        <v>14</v>
      </c>
      <c r="E16623" t="s">
        <v>22897</v>
      </c>
      <c r="F16623" t="s">
        <v>23049</v>
      </c>
    </row>
    <row r="16624" spans="1:6" x14ac:dyDescent="0.25">
      <c r="A16624" t="str">
        <f>"761702488613"</f>
        <v>761702488613</v>
      </c>
      <c r="B16624" t="s">
        <v>23050</v>
      </c>
      <c r="C16624" t="s">
        <v>7</v>
      </c>
      <c r="D16624" t="s">
        <v>14</v>
      </c>
      <c r="E16624" t="s">
        <v>22897</v>
      </c>
    </row>
    <row r="16625" spans="1:6" x14ac:dyDescent="0.25">
      <c r="A16625" t="str">
        <f>"7627007689"</f>
        <v>7627007689</v>
      </c>
      <c r="B16625" t="s">
        <v>23051</v>
      </c>
      <c r="C16625" t="s">
        <v>7</v>
      </c>
      <c r="D16625" t="s">
        <v>14</v>
      </c>
      <c r="E16625" t="s">
        <v>22897</v>
      </c>
      <c r="F16625" t="s">
        <v>23052</v>
      </c>
    </row>
    <row r="16626" spans="1:6" x14ac:dyDescent="0.25">
      <c r="A16626" t="str">
        <f>"761003317566"</f>
        <v>761003317566</v>
      </c>
      <c r="B16626" t="s">
        <v>23053</v>
      </c>
      <c r="C16626" t="s">
        <v>7</v>
      </c>
      <c r="D16626" t="s">
        <v>14</v>
      </c>
      <c r="E16626" t="s">
        <v>22897</v>
      </c>
    </row>
    <row r="16627" spans="1:6" x14ac:dyDescent="0.25">
      <c r="A16627" t="str">
        <f>"7610126751"</f>
        <v>7610126751</v>
      </c>
      <c r="B16627" t="s">
        <v>23054</v>
      </c>
      <c r="C16627" t="s">
        <v>7</v>
      </c>
      <c r="D16627" t="s">
        <v>33</v>
      </c>
      <c r="E16627" t="s">
        <v>22897</v>
      </c>
      <c r="F16627" t="s">
        <v>23055</v>
      </c>
    </row>
    <row r="16628" spans="1:6" x14ac:dyDescent="0.25">
      <c r="A16628" t="str">
        <f>"761101995859"</f>
        <v>761101995859</v>
      </c>
      <c r="B16628" t="s">
        <v>23056</v>
      </c>
      <c r="C16628" t="s">
        <v>7</v>
      </c>
      <c r="D16628" t="s">
        <v>14</v>
      </c>
      <c r="E16628" t="s">
        <v>22897</v>
      </c>
    </row>
    <row r="16629" spans="1:6" x14ac:dyDescent="0.25">
      <c r="A16629" t="str">
        <f>"7611028877"</f>
        <v>7611028877</v>
      </c>
      <c r="B16629" t="s">
        <v>8449</v>
      </c>
      <c r="C16629" t="s">
        <v>7</v>
      </c>
      <c r="D16629" t="s">
        <v>98</v>
      </c>
      <c r="E16629" t="s">
        <v>22897</v>
      </c>
      <c r="F16629" t="s">
        <v>23057</v>
      </c>
    </row>
    <row r="16630" spans="1:6" x14ac:dyDescent="0.25">
      <c r="A16630" t="str">
        <f>"7611997529"</f>
        <v>7611997529</v>
      </c>
      <c r="B16630" t="s">
        <v>23058</v>
      </c>
      <c r="C16630" t="s">
        <v>7</v>
      </c>
      <c r="D16630" t="s">
        <v>12</v>
      </c>
      <c r="E16630" t="s">
        <v>22897</v>
      </c>
      <c r="F16630" t="s">
        <v>23059</v>
      </c>
    </row>
    <row r="16631" spans="1:6" x14ac:dyDescent="0.25">
      <c r="A16631" t="str">
        <f>"7612049950"</f>
        <v>7612049950</v>
      </c>
      <c r="B16631" t="s">
        <v>23060</v>
      </c>
      <c r="C16631" t="s">
        <v>7</v>
      </c>
      <c r="D16631" t="s">
        <v>33</v>
      </c>
      <c r="E16631" t="s">
        <v>22897</v>
      </c>
      <c r="F16631" t="s">
        <v>23061</v>
      </c>
    </row>
    <row r="16632" spans="1:6" x14ac:dyDescent="0.25">
      <c r="A16632" t="str">
        <f>"761702233206"</f>
        <v>761702233206</v>
      </c>
      <c r="B16632" t="s">
        <v>23062</v>
      </c>
      <c r="C16632" t="s">
        <v>7</v>
      </c>
      <c r="D16632" t="s">
        <v>12</v>
      </c>
      <c r="E16632" t="s">
        <v>22897</v>
      </c>
    </row>
    <row r="16633" spans="1:6" x14ac:dyDescent="0.25">
      <c r="A16633" t="str">
        <f>"762100014544"</f>
        <v>762100014544</v>
      </c>
      <c r="B16633" t="s">
        <v>23063</v>
      </c>
      <c r="C16633" t="s">
        <v>7</v>
      </c>
      <c r="D16633" t="s">
        <v>14</v>
      </c>
      <c r="E16633" t="s">
        <v>22897</v>
      </c>
    </row>
    <row r="16634" spans="1:6" x14ac:dyDescent="0.25">
      <c r="A16634" t="str">
        <f>"762101634090"</f>
        <v>762101634090</v>
      </c>
      <c r="B16634" t="s">
        <v>23064</v>
      </c>
      <c r="C16634" t="s">
        <v>7</v>
      </c>
      <c r="D16634" t="s">
        <v>14</v>
      </c>
      <c r="E16634" t="s">
        <v>22897</v>
      </c>
    </row>
    <row r="16635" spans="1:6" x14ac:dyDescent="0.25">
      <c r="A16635" t="str">
        <f>"7626002127"</f>
        <v>7626002127</v>
      </c>
      <c r="B16635" t="s">
        <v>23065</v>
      </c>
      <c r="C16635" t="s">
        <v>7</v>
      </c>
      <c r="D16635" t="s">
        <v>14</v>
      </c>
      <c r="E16635" t="s">
        <v>22897</v>
      </c>
      <c r="F16635" t="s">
        <v>23066</v>
      </c>
    </row>
    <row r="16636" spans="1:6" x14ac:dyDescent="0.25">
      <c r="A16636" t="str">
        <f>"7627036954"</f>
        <v>7627036954</v>
      </c>
      <c r="B16636" t="s">
        <v>23067</v>
      </c>
      <c r="C16636" t="s">
        <v>7</v>
      </c>
      <c r="D16636" t="s">
        <v>14</v>
      </c>
      <c r="E16636" t="s">
        <v>22897</v>
      </c>
      <c r="F16636" t="s">
        <v>23068</v>
      </c>
    </row>
    <row r="16637" spans="1:6" x14ac:dyDescent="0.25">
      <c r="A16637" t="str">
        <f>"7627048928"</f>
        <v>7627048928</v>
      </c>
      <c r="B16637" t="s">
        <v>23069</v>
      </c>
      <c r="C16637" t="s">
        <v>7</v>
      </c>
      <c r="D16637" t="s">
        <v>33</v>
      </c>
      <c r="E16637" t="s">
        <v>22897</v>
      </c>
      <c r="F16637" t="s">
        <v>23070</v>
      </c>
    </row>
    <row r="16638" spans="1:6" x14ac:dyDescent="0.25">
      <c r="A16638" t="str">
        <f>"7601001724"</f>
        <v>7601001724</v>
      </c>
      <c r="B16638" t="s">
        <v>23071</v>
      </c>
      <c r="C16638" t="s">
        <v>7</v>
      </c>
      <c r="D16638" t="s">
        <v>189</v>
      </c>
      <c r="E16638" t="s">
        <v>22897</v>
      </c>
      <c r="F16638" t="s">
        <v>23072</v>
      </c>
    </row>
    <row r="16639" spans="1:6" x14ac:dyDescent="0.25">
      <c r="A16639" t="str">
        <f>"760200230721"</f>
        <v>760200230721</v>
      </c>
      <c r="B16639" t="s">
        <v>23073</v>
      </c>
      <c r="C16639" t="s">
        <v>7</v>
      </c>
      <c r="D16639" t="s">
        <v>12</v>
      </c>
      <c r="E16639" t="s">
        <v>22897</v>
      </c>
    </row>
    <row r="16640" spans="1:6" x14ac:dyDescent="0.25">
      <c r="A16640" t="str">
        <f>"7602101344"</f>
        <v>7602101344</v>
      </c>
      <c r="B16640" t="s">
        <v>9605</v>
      </c>
      <c r="C16640" t="s">
        <v>7</v>
      </c>
      <c r="D16640" t="s">
        <v>12</v>
      </c>
      <c r="E16640" t="s">
        <v>22897</v>
      </c>
      <c r="F16640" t="s">
        <v>23074</v>
      </c>
    </row>
    <row r="16641" spans="1:6" x14ac:dyDescent="0.25">
      <c r="A16641" t="str">
        <f>"760210946472"</f>
        <v>760210946472</v>
      </c>
      <c r="B16641" t="s">
        <v>23075</v>
      </c>
      <c r="C16641" t="s">
        <v>7</v>
      </c>
      <c r="D16641" t="s">
        <v>14</v>
      </c>
      <c r="E16641" t="s">
        <v>22897</v>
      </c>
    </row>
    <row r="16642" spans="1:6" x14ac:dyDescent="0.25">
      <c r="A16642" t="str">
        <f>"7602133586"</f>
        <v>7602133586</v>
      </c>
      <c r="B16642" t="s">
        <v>23076</v>
      </c>
      <c r="C16642" t="s">
        <v>7</v>
      </c>
      <c r="D16642" t="s">
        <v>33</v>
      </c>
      <c r="E16642" t="s">
        <v>22897</v>
      </c>
      <c r="F16642" t="s">
        <v>23077</v>
      </c>
    </row>
    <row r="16643" spans="1:6" x14ac:dyDescent="0.25">
      <c r="A16643" t="str">
        <f>"7602150479"</f>
        <v>7602150479</v>
      </c>
      <c r="B16643" t="s">
        <v>23078</v>
      </c>
      <c r="C16643" t="s">
        <v>7</v>
      </c>
      <c r="D16643" t="s">
        <v>33</v>
      </c>
      <c r="E16643" t="s">
        <v>22897</v>
      </c>
      <c r="F16643" t="s">
        <v>22909</v>
      </c>
    </row>
    <row r="16644" spans="1:6" x14ac:dyDescent="0.25">
      <c r="A16644" t="str">
        <f>"760219440440"</f>
        <v>760219440440</v>
      </c>
      <c r="B16644" t="s">
        <v>23079</v>
      </c>
      <c r="C16644" t="s">
        <v>7</v>
      </c>
      <c r="D16644" t="s">
        <v>12</v>
      </c>
      <c r="E16644" t="s">
        <v>22897</v>
      </c>
    </row>
    <row r="16645" spans="1:6" x14ac:dyDescent="0.25">
      <c r="A16645" t="str">
        <f>"760303517885"</f>
        <v>760303517885</v>
      </c>
      <c r="B16645" t="s">
        <v>23080</v>
      </c>
      <c r="C16645" t="s">
        <v>7</v>
      </c>
      <c r="D16645" t="s">
        <v>14</v>
      </c>
      <c r="E16645" t="s">
        <v>22897</v>
      </c>
    </row>
    <row r="16646" spans="1:6" x14ac:dyDescent="0.25">
      <c r="A16646" t="str">
        <f>"760307471945"</f>
        <v>760307471945</v>
      </c>
      <c r="B16646" t="s">
        <v>23081</v>
      </c>
      <c r="C16646" t="s">
        <v>7</v>
      </c>
      <c r="D16646" t="s">
        <v>14</v>
      </c>
      <c r="E16646" t="s">
        <v>22897</v>
      </c>
    </row>
    <row r="16647" spans="1:6" x14ac:dyDescent="0.25">
      <c r="A16647" t="str">
        <f>"760308599024"</f>
        <v>760308599024</v>
      </c>
      <c r="B16647" t="s">
        <v>23082</v>
      </c>
      <c r="C16647" t="s">
        <v>7</v>
      </c>
      <c r="D16647" t="s">
        <v>12</v>
      </c>
      <c r="E16647" t="s">
        <v>22897</v>
      </c>
    </row>
    <row r="16648" spans="1:6" x14ac:dyDescent="0.25">
      <c r="A16648" t="str">
        <f>"760308721563"</f>
        <v>760308721563</v>
      </c>
      <c r="B16648" t="s">
        <v>23083</v>
      </c>
      <c r="C16648" t="s">
        <v>7</v>
      </c>
      <c r="D16648" t="s">
        <v>14</v>
      </c>
      <c r="E16648" t="s">
        <v>22897</v>
      </c>
    </row>
    <row r="16649" spans="1:6" x14ac:dyDescent="0.25">
      <c r="A16649" t="str">
        <f>"760400327664"</f>
        <v>760400327664</v>
      </c>
      <c r="B16649" t="s">
        <v>23084</v>
      </c>
      <c r="C16649" t="s">
        <v>7</v>
      </c>
      <c r="D16649" t="s">
        <v>14</v>
      </c>
      <c r="E16649" t="s">
        <v>22897</v>
      </c>
    </row>
    <row r="16650" spans="1:6" x14ac:dyDescent="0.25">
      <c r="A16650" t="str">
        <f>"7604030868"</f>
        <v>7604030868</v>
      </c>
      <c r="B16650" t="s">
        <v>9977</v>
      </c>
      <c r="C16650" t="s">
        <v>7</v>
      </c>
      <c r="D16650" t="s">
        <v>33</v>
      </c>
      <c r="E16650" t="s">
        <v>22897</v>
      </c>
      <c r="F16650" t="s">
        <v>23085</v>
      </c>
    </row>
    <row r="16651" spans="1:6" x14ac:dyDescent="0.25">
      <c r="A16651" t="str">
        <f>"7604069216"</f>
        <v>7604069216</v>
      </c>
      <c r="B16651" t="s">
        <v>23086</v>
      </c>
      <c r="C16651" t="s">
        <v>7</v>
      </c>
      <c r="D16651" t="s">
        <v>12</v>
      </c>
      <c r="E16651" t="s">
        <v>22897</v>
      </c>
      <c r="F16651" t="s">
        <v>23087</v>
      </c>
    </row>
    <row r="16652" spans="1:6" x14ac:dyDescent="0.25">
      <c r="A16652" t="str">
        <f>"7604090338"</f>
        <v>7604090338</v>
      </c>
      <c r="B16652" t="s">
        <v>23088</v>
      </c>
      <c r="C16652" t="s">
        <v>7</v>
      </c>
      <c r="D16652" t="s">
        <v>12</v>
      </c>
      <c r="E16652" t="s">
        <v>22897</v>
      </c>
      <c r="F16652" t="s">
        <v>23089</v>
      </c>
    </row>
    <row r="16653" spans="1:6" x14ac:dyDescent="0.25">
      <c r="A16653" t="str">
        <f>"7604100949"</f>
        <v>7604100949</v>
      </c>
      <c r="B16653" t="s">
        <v>111</v>
      </c>
      <c r="C16653" t="s">
        <v>7</v>
      </c>
      <c r="D16653" t="s">
        <v>33</v>
      </c>
      <c r="E16653" t="s">
        <v>22897</v>
      </c>
      <c r="F16653" t="s">
        <v>23090</v>
      </c>
    </row>
    <row r="16654" spans="1:6" x14ac:dyDescent="0.25">
      <c r="A16654" t="str">
        <f>"7604138678"</f>
        <v>7604138678</v>
      </c>
      <c r="B16654" t="s">
        <v>23091</v>
      </c>
      <c r="C16654" t="s">
        <v>7</v>
      </c>
      <c r="D16654" t="s">
        <v>14</v>
      </c>
      <c r="E16654" t="s">
        <v>22897</v>
      </c>
      <c r="F16654" t="s">
        <v>23092</v>
      </c>
    </row>
    <row r="16655" spans="1:6" x14ac:dyDescent="0.25">
      <c r="A16655" t="str">
        <f>"7604240209"</f>
        <v>7604240209</v>
      </c>
      <c r="B16655" t="s">
        <v>9909</v>
      </c>
      <c r="C16655" t="s">
        <v>7</v>
      </c>
      <c r="D16655" t="s">
        <v>14</v>
      </c>
      <c r="E16655" t="s">
        <v>22897</v>
      </c>
      <c r="F16655" t="s">
        <v>23093</v>
      </c>
    </row>
    <row r="16656" spans="1:6" x14ac:dyDescent="0.25">
      <c r="A16656" t="str">
        <f>"7604267200"</f>
        <v>7604267200</v>
      </c>
      <c r="B16656" t="s">
        <v>23094</v>
      </c>
      <c r="C16656" t="s">
        <v>7</v>
      </c>
      <c r="D16656" t="s">
        <v>14</v>
      </c>
      <c r="E16656" t="s">
        <v>22897</v>
      </c>
      <c r="F16656" t="s">
        <v>23095</v>
      </c>
    </row>
    <row r="16657" spans="1:6" x14ac:dyDescent="0.25">
      <c r="A16657" t="str">
        <f>"7604367251"</f>
        <v>7604367251</v>
      </c>
      <c r="B16657" t="s">
        <v>23096</v>
      </c>
      <c r="C16657" t="s">
        <v>7</v>
      </c>
      <c r="D16657" t="s">
        <v>14</v>
      </c>
      <c r="E16657" t="s">
        <v>22897</v>
      </c>
      <c r="F16657" t="s">
        <v>23097</v>
      </c>
    </row>
    <row r="16658" spans="1:6" x14ac:dyDescent="0.25">
      <c r="A16658" t="str">
        <f>"7604381545"</f>
        <v>7604381545</v>
      </c>
      <c r="B16658" t="s">
        <v>17087</v>
      </c>
      <c r="C16658" t="s">
        <v>7</v>
      </c>
      <c r="D16658" t="s">
        <v>33</v>
      </c>
      <c r="E16658" t="s">
        <v>22897</v>
      </c>
      <c r="F16658" t="s">
        <v>23098</v>
      </c>
    </row>
    <row r="16659" spans="1:6" x14ac:dyDescent="0.25">
      <c r="A16659" t="str">
        <f>"7604392339"</f>
        <v>7604392339</v>
      </c>
      <c r="B16659" t="s">
        <v>23099</v>
      </c>
      <c r="C16659" t="s">
        <v>7</v>
      </c>
      <c r="D16659" t="s">
        <v>28</v>
      </c>
      <c r="E16659" t="s">
        <v>22897</v>
      </c>
      <c r="F16659" t="s">
        <v>23100</v>
      </c>
    </row>
    <row r="16660" spans="1:6" x14ac:dyDescent="0.25">
      <c r="A16660" t="str">
        <f>"7604398147"</f>
        <v>7604398147</v>
      </c>
      <c r="B16660" t="s">
        <v>23101</v>
      </c>
      <c r="C16660" t="s">
        <v>7</v>
      </c>
      <c r="D16660" t="s">
        <v>146</v>
      </c>
      <c r="E16660" t="s">
        <v>22897</v>
      </c>
      <c r="F16660" t="s">
        <v>23102</v>
      </c>
    </row>
    <row r="16661" spans="1:6" x14ac:dyDescent="0.25">
      <c r="A16661" t="str">
        <f>"760500146855"</f>
        <v>760500146855</v>
      </c>
      <c r="B16661" t="s">
        <v>23103</v>
      </c>
      <c r="C16661" t="s">
        <v>7</v>
      </c>
      <c r="D16661" t="s">
        <v>463</v>
      </c>
      <c r="E16661" t="s">
        <v>22897</v>
      </c>
    </row>
    <row r="16662" spans="1:6" x14ac:dyDescent="0.25">
      <c r="A16662" t="str">
        <f>"760600013961"</f>
        <v>760600013961</v>
      </c>
      <c r="B16662" t="s">
        <v>23104</v>
      </c>
      <c r="C16662" t="s">
        <v>7</v>
      </c>
      <c r="D16662" t="s">
        <v>14</v>
      </c>
      <c r="E16662" t="s">
        <v>22897</v>
      </c>
    </row>
    <row r="16663" spans="1:6" x14ac:dyDescent="0.25">
      <c r="A16663" t="str">
        <f>"760602796348"</f>
        <v>760602796348</v>
      </c>
      <c r="B16663" t="s">
        <v>23105</v>
      </c>
      <c r="C16663" t="s">
        <v>7</v>
      </c>
      <c r="D16663" t="s">
        <v>33</v>
      </c>
      <c r="E16663" t="s">
        <v>22897</v>
      </c>
    </row>
    <row r="16664" spans="1:6" x14ac:dyDescent="0.25">
      <c r="A16664" t="str">
        <f>"7606087362"</f>
        <v>7606087362</v>
      </c>
      <c r="B16664" t="s">
        <v>23106</v>
      </c>
      <c r="C16664" t="s">
        <v>7</v>
      </c>
      <c r="D16664" t="s">
        <v>14</v>
      </c>
      <c r="E16664" t="s">
        <v>22897</v>
      </c>
      <c r="F16664" t="s">
        <v>23107</v>
      </c>
    </row>
    <row r="16665" spans="1:6" x14ac:dyDescent="0.25">
      <c r="A16665" t="str">
        <f>"7606108929"</f>
        <v>7606108929</v>
      </c>
      <c r="B16665" t="s">
        <v>23108</v>
      </c>
      <c r="C16665" t="s">
        <v>7</v>
      </c>
      <c r="D16665" t="s">
        <v>14</v>
      </c>
      <c r="E16665" t="s">
        <v>22897</v>
      </c>
      <c r="F16665" t="s">
        <v>23109</v>
      </c>
    </row>
    <row r="16666" spans="1:6" x14ac:dyDescent="0.25">
      <c r="A16666" t="str">
        <f>"7606127209"</f>
        <v>7606127209</v>
      </c>
      <c r="B16666" t="s">
        <v>23110</v>
      </c>
      <c r="C16666" t="s">
        <v>7</v>
      </c>
      <c r="D16666" t="s">
        <v>33</v>
      </c>
      <c r="E16666" t="s">
        <v>22897</v>
      </c>
      <c r="F16666" t="s">
        <v>23111</v>
      </c>
    </row>
    <row r="16667" spans="1:6" x14ac:dyDescent="0.25">
      <c r="A16667" t="str">
        <f>"7606134870"</f>
        <v>7606134870</v>
      </c>
      <c r="B16667" t="s">
        <v>1731</v>
      </c>
      <c r="C16667" t="s">
        <v>7</v>
      </c>
      <c r="D16667" t="s">
        <v>33</v>
      </c>
      <c r="E16667" t="s">
        <v>22897</v>
      </c>
      <c r="F16667" t="s">
        <v>23112</v>
      </c>
    </row>
    <row r="16668" spans="1:6" x14ac:dyDescent="0.25">
      <c r="A16668" t="str">
        <f>"760700381091"</f>
        <v>760700381091</v>
      </c>
      <c r="B16668" t="s">
        <v>23113</v>
      </c>
      <c r="C16668" t="s">
        <v>7</v>
      </c>
      <c r="D16668" t="s">
        <v>12</v>
      </c>
      <c r="E16668" t="s">
        <v>22897</v>
      </c>
    </row>
    <row r="16669" spans="1:6" x14ac:dyDescent="0.25">
      <c r="A16669" t="str">
        <f>"760705362007"</f>
        <v>760705362007</v>
      </c>
      <c r="B16669" t="s">
        <v>23114</v>
      </c>
      <c r="C16669" t="s">
        <v>7</v>
      </c>
      <c r="D16669" t="s">
        <v>12</v>
      </c>
      <c r="E16669" t="s">
        <v>22897</v>
      </c>
    </row>
    <row r="16670" spans="1:6" x14ac:dyDescent="0.25">
      <c r="A16670" t="str">
        <f>"760706719147"</f>
        <v>760706719147</v>
      </c>
      <c r="B16670" t="s">
        <v>23115</v>
      </c>
      <c r="C16670" t="s">
        <v>7</v>
      </c>
      <c r="D16670" t="s">
        <v>14</v>
      </c>
      <c r="E16670" t="s">
        <v>22897</v>
      </c>
    </row>
    <row r="16671" spans="1:6" x14ac:dyDescent="0.25">
      <c r="A16671" t="str">
        <f>"760707839077"</f>
        <v>760707839077</v>
      </c>
      <c r="B16671" t="s">
        <v>23116</v>
      </c>
      <c r="C16671" t="s">
        <v>7</v>
      </c>
      <c r="D16671" t="s">
        <v>14</v>
      </c>
      <c r="E16671" t="s">
        <v>22897</v>
      </c>
    </row>
    <row r="16672" spans="1:6" x14ac:dyDescent="0.25">
      <c r="A16672" t="str">
        <f>"760800064106"</f>
        <v>760800064106</v>
      </c>
      <c r="B16672" t="s">
        <v>23117</v>
      </c>
      <c r="C16672" t="s">
        <v>7</v>
      </c>
      <c r="D16672" t="s">
        <v>14</v>
      </c>
      <c r="E16672" t="s">
        <v>22897</v>
      </c>
    </row>
    <row r="16673" spans="1:6" x14ac:dyDescent="0.25">
      <c r="A16673" t="str">
        <f>"7608025731"</f>
        <v>7608025731</v>
      </c>
      <c r="B16673" t="s">
        <v>23118</v>
      </c>
      <c r="C16673" t="s">
        <v>7</v>
      </c>
      <c r="D16673" t="s">
        <v>33</v>
      </c>
      <c r="E16673" t="s">
        <v>22897</v>
      </c>
      <c r="F16673" t="s">
        <v>23119</v>
      </c>
    </row>
    <row r="16674" spans="1:6" x14ac:dyDescent="0.25">
      <c r="A16674" t="str">
        <f>"760804167832"</f>
        <v>760804167832</v>
      </c>
      <c r="B16674" t="s">
        <v>23120</v>
      </c>
      <c r="C16674" t="s">
        <v>7</v>
      </c>
      <c r="D16674" t="s">
        <v>14</v>
      </c>
      <c r="E16674" t="s">
        <v>22897</v>
      </c>
    </row>
    <row r="16675" spans="1:6" x14ac:dyDescent="0.25">
      <c r="A16675" t="str">
        <f>"7609014404"</f>
        <v>7609014404</v>
      </c>
      <c r="B16675" t="s">
        <v>23121</v>
      </c>
      <c r="C16675" t="s">
        <v>7</v>
      </c>
      <c r="D16675" t="s">
        <v>14</v>
      </c>
      <c r="E16675" t="s">
        <v>22897</v>
      </c>
      <c r="F16675" t="s">
        <v>23122</v>
      </c>
    </row>
    <row r="16676" spans="1:6" x14ac:dyDescent="0.25">
      <c r="A16676" t="str">
        <f>"760902546444"</f>
        <v>760902546444</v>
      </c>
      <c r="B16676" t="s">
        <v>23123</v>
      </c>
      <c r="C16676" t="s">
        <v>7</v>
      </c>
      <c r="D16676" t="s">
        <v>14</v>
      </c>
      <c r="E16676" t="s">
        <v>22897</v>
      </c>
    </row>
    <row r="16677" spans="1:6" x14ac:dyDescent="0.25">
      <c r="A16677" t="str">
        <f>"7610073108"</f>
        <v>7610073108</v>
      </c>
      <c r="B16677" t="s">
        <v>23124</v>
      </c>
      <c r="C16677" t="s">
        <v>7</v>
      </c>
      <c r="D16677" t="s">
        <v>14</v>
      </c>
      <c r="E16677" t="s">
        <v>22897</v>
      </c>
      <c r="F16677" t="s">
        <v>23068</v>
      </c>
    </row>
    <row r="16678" spans="1:6" x14ac:dyDescent="0.25">
      <c r="A16678" t="str">
        <f>"7602006764"</f>
        <v>7602006764</v>
      </c>
      <c r="B16678" t="s">
        <v>23125</v>
      </c>
      <c r="C16678" t="s">
        <v>7</v>
      </c>
      <c r="D16678" t="s">
        <v>12</v>
      </c>
      <c r="E16678" t="s">
        <v>22897</v>
      </c>
      <c r="F16678" t="s">
        <v>23126</v>
      </c>
    </row>
    <row r="16679" spans="1:6" x14ac:dyDescent="0.25">
      <c r="A16679" t="str">
        <f>"7602081190"</f>
        <v>7602081190</v>
      </c>
      <c r="B16679" t="s">
        <v>23127</v>
      </c>
      <c r="C16679" t="s">
        <v>7</v>
      </c>
      <c r="D16679" t="s">
        <v>12</v>
      </c>
      <c r="E16679" t="s">
        <v>22897</v>
      </c>
      <c r="F16679" t="s">
        <v>23128</v>
      </c>
    </row>
    <row r="16680" spans="1:6" x14ac:dyDescent="0.25">
      <c r="A16680" t="str">
        <f>"760412563426"</f>
        <v>760412563426</v>
      </c>
      <c r="B16680" t="s">
        <v>23129</v>
      </c>
      <c r="C16680" t="s">
        <v>7</v>
      </c>
      <c r="D16680" t="s">
        <v>12</v>
      </c>
      <c r="E16680" t="s">
        <v>22897</v>
      </c>
    </row>
    <row r="16681" spans="1:6" x14ac:dyDescent="0.25">
      <c r="A16681" t="str">
        <f>"7604392882"</f>
        <v>7604392882</v>
      </c>
      <c r="B16681" t="s">
        <v>23130</v>
      </c>
      <c r="C16681" t="s">
        <v>7</v>
      </c>
      <c r="D16681" t="s">
        <v>189</v>
      </c>
      <c r="E16681" t="s">
        <v>22897</v>
      </c>
      <c r="F16681" t="s">
        <v>23131</v>
      </c>
    </row>
    <row r="16682" spans="1:6" x14ac:dyDescent="0.25">
      <c r="A16682" t="str">
        <f>"7606070295"</f>
        <v>7606070295</v>
      </c>
      <c r="B16682" t="s">
        <v>23132</v>
      </c>
      <c r="C16682" t="s">
        <v>7</v>
      </c>
      <c r="D16682" t="s">
        <v>12</v>
      </c>
      <c r="E16682" t="s">
        <v>22897</v>
      </c>
      <c r="F16682" t="s">
        <v>23133</v>
      </c>
    </row>
    <row r="16683" spans="1:6" x14ac:dyDescent="0.25">
      <c r="A16683" t="str">
        <f>"7606134051"</f>
        <v>7606134051</v>
      </c>
      <c r="B16683" t="s">
        <v>23134</v>
      </c>
      <c r="C16683" t="s">
        <v>7</v>
      </c>
      <c r="D16683" t="s">
        <v>14</v>
      </c>
      <c r="E16683" t="s">
        <v>22897</v>
      </c>
      <c r="F16683" t="s">
        <v>23135</v>
      </c>
    </row>
    <row r="16684" spans="1:6" x14ac:dyDescent="0.25">
      <c r="A16684" t="str">
        <f>"760702073007"</f>
        <v>760702073007</v>
      </c>
      <c r="B16684" t="s">
        <v>23136</v>
      </c>
      <c r="C16684" t="s">
        <v>7</v>
      </c>
      <c r="D16684" t="s">
        <v>12</v>
      </c>
      <c r="E16684" t="s">
        <v>22897</v>
      </c>
    </row>
    <row r="16685" spans="1:6" x14ac:dyDescent="0.25">
      <c r="A16685" t="str">
        <f>"760805766282"</f>
        <v>760805766282</v>
      </c>
      <c r="B16685" t="s">
        <v>23137</v>
      </c>
      <c r="C16685" t="s">
        <v>7</v>
      </c>
      <c r="D16685" t="s">
        <v>14</v>
      </c>
      <c r="E16685" t="s">
        <v>22897</v>
      </c>
    </row>
    <row r="16686" spans="1:6" x14ac:dyDescent="0.25">
      <c r="A16686" t="str">
        <f>"760900307641"</f>
        <v>760900307641</v>
      </c>
      <c r="B16686" t="s">
        <v>23138</v>
      </c>
      <c r="C16686" t="s">
        <v>7</v>
      </c>
      <c r="D16686" t="s">
        <v>14</v>
      </c>
      <c r="E16686" t="s">
        <v>22897</v>
      </c>
    </row>
    <row r="16687" spans="1:6" x14ac:dyDescent="0.25">
      <c r="A16687" t="str">
        <f>"760905128565"</f>
        <v>760905128565</v>
      </c>
      <c r="B16687" t="s">
        <v>23139</v>
      </c>
      <c r="C16687" t="s">
        <v>7</v>
      </c>
      <c r="D16687" t="s">
        <v>14</v>
      </c>
      <c r="E16687" t="s">
        <v>22897</v>
      </c>
    </row>
    <row r="16688" spans="1:6" x14ac:dyDescent="0.25">
      <c r="A16688" t="str">
        <f>"760906626500"</f>
        <v>760906626500</v>
      </c>
      <c r="B16688" t="s">
        <v>23140</v>
      </c>
      <c r="C16688" t="s">
        <v>7</v>
      </c>
      <c r="D16688" t="s">
        <v>14</v>
      </c>
      <c r="E16688" t="s">
        <v>22897</v>
      </c>
    </row>
    <row r="16689" spans="1:6" x14ac:dyDescent="0.25">
      <c r="A16689" t="str">
        <f>"150700750839"</f>
        <v>150700750839</v>
      </c>
      <c r="B16689" t="s">
        <v>23141</v>
      </c>
      <c r="C16689" t="s">
        <v>7</v>
      </c>
      <c r="D16689" t="s">
        <v>14</v>
      </c>
      <c r="E16689" t="s">
        <v>22897</v>
      </c>
    </row>
    <row r="16690" spans="1:6" x14ac:dyDescent="0.25">
      <c r="A16690" t="str">
        <f>"235208562764"</f>
        <v>235208562764</v>
      </c>
      <c r="B16690" t="s">
        <v>23142</v>
      </c>
      <c r="C16690" t="s">
        <v>7</v>
      </c>
      <c r="D16690" t="s">
        <v>14</v>
      </c>
      <c r="E16690" t="s">
        <v>22897</v>
      </c>
    </row>
    <row r="16691" spans="1:6" x14ac:dyDescent="0.25">
      <c r="A16691" t="str">
        <f>"7610138860"</f>
        <v>7610138860</v>
      </c>
      <c r="B16691" t="s">
        <v>23143</v>
      </c>
      <c r="C16691" t="s">
        <v>7</v>
      </c>
      <c r="D16691" t="s">
        <v>14</v>
      </c>
      <c r="E16691" t="s">
        <v>22897</v>
      </c>
      <c r="F16691" t="s">
        <v>23144</v>
      </c>
    </row>
    <row r="16692" spans="1:6" x14ac:dyDescent="0.25">
      <c r="A16692" t="str">
        <f>"761017919578"</f>
        <v>761017919578</v>
      </c>
      <c r="B16692" t="s">
        <v>23145</v>
      </c>
      <c r="C16692" t="s">
        <v>7</v>
      </c>
      <c r="D16692" t="s">
        <v>14</v>
      </c>
      <c r="E16692" t="s">
        <v>22897</v>
      </c>
    </row>
    <row r="16693" spans="1:6" x14ac:dyDescent="0.25">
      <c r="A16693" t="str">
        <f>"761018020381"</f>
        <v>761018020381</v>
      </c>
      <c r="B16693" t="s">
        <v>23146</v>
      </c>
      <c r="C16693" t="s">
        <v>7</v>
      </c>
      <c r="D16693" t="s">
        <v>14</v>
      </c>
      <c r="E16693" t="s">
        <v>22897</v>
      </c>
    </row>
    <row r="16694" spans="1:6" x14ac:dyDescent="0.25">
      <c r="A16694" t="str">
        <f>"761022933440"</f>
        <v>761022933440</v>
      </c>
      <c r="B16694" t="s">
        <v>23147</v>
      </c>
      <c r="C16694" t="s">
        <v>7</v>
      </c>
      <c r="D16694" t="s">
        <v>12</v>
      </c>
      <c r="E16694" t="s">
        <v>22897</v>
      </c>
    </row>
    <row r="16695" spans="1:6" x14ac:dyDescent="0.25">
      <c r="A16695" t="str">
        <f>"7611014810"</f>
        <v>7611014810</v>
      </c>
      <c r="B16695" t="s">
        <v>5848</v>
      </c>
      <c r="C16695" t="s">
        <v>7</v>
      </c>
      <c r="D16695" t="s">
        <v>1430</v>
      </c>
      <c r="E16695" t="s">
        <v>22897</v>
      </c>
      <c r="F16695" t="s">
        <v>23148</v>
      </c>
    </row>
    <row r="16696" spans="1:6" x14ac:dyDescent="0.25">
      <c r="A16696" t="str">
        <f>"761101582682"</f>
        <v>761101582682</v>
      </c>
      <c r="B16696" t="s">
        <v>23149</v>
      </c>
      <c r="C16696" t="s">
        <v>7</v>
      </c>
      <c r="D16696" t="s">
        <v>12</v>
      </c>
      <c r="E16696" t="s">
        <v>22897</v>
      </c>
    </row>
    <row r="16697" spans="1:6" x14ac:dyDescent="0.25">
      <c r="A16697" t="str">
        <f>"761103508469"</f>
        <v>761103508469</v>
      </c>
      <c r="B16697" t="s">
        <v>23150</v>
      </c>
      <c r="C16697" t="s">
        <v>7</v>
      </c>
      <c r="D16697" t="s">
        <v>14</v>
      </c>
      <c r="E16697" t="s">
        <v>22897</v>
      </c>
    </row>
    <row r="16698" spans="1:6" x14ac:dyDescent="0.25">
      <c r="A16698" t="str">
        <f>"761200787345"</f>
        <v>761200787345</v>
      </c>
      <c r="B16698" t="s">
        <v>23151</v>
      </c>
      <c r="C16698" t="s">
        <v>7</v>
      </c>
      <c r="D16698" t="s">
        <v>14</v>
      </c>
      <c r="E16698" t="s">
        <v>22897</v>
      </c>
    </row>
    <row r="16699" spans="1:6" x14ac:dyDescent="0.25">
      <c r="A16699" t="str">
        <f>"7612044367"</f>
        <v>7612044367</v>
      </c>
      <c r="B16699" t="s">
        <v>23152</v>
      </c>
      <c r="C16699" t="s">
        <v>7</v>
      </c>
      <c r="D16699" t="s">
        <v>14</v>
      </c>
      <c r="E16699" t="s">
        <v>22897</v>
      </c>
      <c r="F16699" t="s">
        <v>23153</v>
      </c>
    </row>
    <row r="16700" spans="1:6" x14ac:dyDescent="0.25">
      <c r="A16700" t="str">
        <f>"7612045427"</f>
        <v>7612045427</v>
      </c>
      <c r="B16700" t="s">
        <v>111</v>
      </c>
      <c r="C16700" t="s">
        <v>7</v>
      </c>
      <c r="D16700" t="s">
        <v>14</v>
      </c>
      <c r="E16700" t="s">
        <v>22897</v>
      </c>
      <c r="F16700" t="s">
        <v>23154</v>
      </c>
    </row>
    <row r="16701" spans="1:6" x14ac:dyDescent="0.25">
      <c r="A16701" t="str">
        <f>"761400290448"</f>
        <v>761400290448</v>
      </c>
      <c r="B16701" t="s">
        <v>23155</v>
      </c>
      <c r="C16701" t="s">
        <v>7</v>
      </c>
      <c r="D16701" t="s">
        <v>14</v>
      </c>
      <c r="E16701" t="s">
        <v>22897</v>
      </c>
    </row>
    <row r="16702" spans="1:6" x14ac:dyDescent="0.25">
      <c r="A16702" t="str">
        <f>"761400834754"</f>
        <v>761400834754</v>
      </c>
      <c r="B16702" t="s">
        <v>23156</v>
      </c>
      <c r="C16702" t="s">
        <v>7</v>
      </c>
      <c r="D16702" t="s">
        <v>14</v>
      </c>
      <c r="E16702" t="s">
        <v>22897</v>
      </c>
    </row>
    <row r="16703" spans="1:6" x14ac:dyDescent="0.25">
      <c r="A16703" t="str">
        <f>"761700249747"</f>
        <v>761700249747</v>
      </c>
      <c r="B16703" t="s">
        <v>23157</v>
      </c>
      <c r="C16703" t="s">
        <v>7</v>
      </c>
      <c r="D16703" t="s">
        <v>14</v>
      </c>
      <c r="E16703" t="s">
        <v>22897</v>
      </c>
    </row>
    <row r="16704" spans="1:6" x14ac:dyDescent="0.25">
      <c r="A16704" t="str">
        <f>"7627041778"</f>
        <v>7627041778</v>
      </c>
      <c r="B16704" t="s">
        <v>23158</v>
      </c>
      <c r="C16704" t="s">
        <v>7</v>
      </c>
      <c r="D16704" t="s">
        <v>98</v>
      </c>
      <c r="E16704" t="s">
        <v>22897</v>
      </c>
      <c r="F16704" t="s">
        <v>22917</v>
      </c>
    </row>
    <row r="16705" spans="1:6" x14ac:dyDescent="0.25">
      <c r="A16705" t="str">
        <f>"7627059542"</f>
        <v>7627059542</v>
      </c>
      <c r="B16705" t="s">
        <v>1081</v>
      </c>
      <c r="C16705" t="s">
        <v>7</v>
      </c>
      <c r="D16705" t="s">
        <v>12</v>
      </c>
      <c r="E16705" t="s">
        <v>22897</v>
      </c>
      <c r="F16705" t="s">
        <v>23159</v>
      </c>
    </row>
    <row r="16706" spans="1:6" x14ac:dyDescent="0.25">
      <c r="A16706" t="str">
        <f>"023302000580"</f>
        <v>023302000580</v>
      </c>
      <c r="B16706" t="s">
        <v>23160</v>
      </c>
      <c r="C16706" t="s">
        <v>7</v>
      </c>
      <c r="D16706" t="s">
        <v>14</v>
      </c>
      <c r="E16706" t="s">
        <v>23161</v>
      </c>
    </row>
    <row r="16707" spans="1:6" x14ac:dyDescent="0.25">
      <c r="A16707" t="str">
        <f>"522900043913"</f>
        <v>522900043913</v>
      </c>
      <c r="B16707" t="s">
        <v>23162</v>
      </c>
      <c r="C16707" t="s">
        <v>7</v>
      </c>
      <c r="D16707" t="s">
        <v>14</v>
      </c>
      <c r="E16707" t="s">
        <v>23161</v>
      </c>
    </row>
    <row r="16708" spans="1:6" x14ac:dyDescent="0.25">
      <c r="A16708" t="str">
        <f>"330409372100"</f>
        <v>330409372100</v>
      </c>
      <c r="B16708" t="s">
        <v>23163</v>
      </c>
      <c r="C16708" t="s">
        <v>7</v>
      </c>
      <c r="D16708" t="s">
        <v>14</v>
      </c>
      <c r="E16708" t="s">
        <v>23161</v>
      </c>
    </row>
    <row r="16709" spans="1:6" x14ac:dyDescent="0.25">
      <c r="A16709" t="str">
        <f>"331600014163"</f>
        <v>331600014163</v>
      </c>
      <c r="B16709" t="s">
        <v>23164</v>
      </c>
      <c r="C16709" t="s">
        <v>7</v>
      </c>
      <c r="D16709" t="s">
        <v>14</v>
      </c>
      <c r="E16709" t="s">
        <v>23161</v>
      </c>
    </row>
    <row r="16710" spans="1:6" x14ac:dyDescent="0.25">
      <c r="A16710" t="str">
        <f>"245209018909"</f>
        <v>245209018909</v>
      </c>
      <c r="B16710" t="s">
        <v>23165</v>
      </c>
      <c r="C16710" t="s">
        <v>7</v>
      </c>
      <c r="D16710" t="s">
        <v>14</v>
      </c>
      <c r="E16710" t="s">
        <v>23161</v>
      </c>
    </row>
    <row r="16711" spans="1:6" x14ac:dyDescent="0.25">
      <c r="A16711" t="str">
        <f>"522000076970"</f>
        <v>522000076970</v>
      </c>
      <c r="B16711" t="s">
        <v>23166</v>
      </c>
      <c r="C16711" t="s">
        <v>7</v>
      </c>
      <c r="D16711" t="s">
        <v>14</v>
      </c>
      <c r="E16711" t="s">
        <v>23161</v>
      </c>
    </row>
    <row r="16712" spans="1:6" x14ac:dyDescent="0.25">
      <c r="A16712" t="str">
        <f>"5250063764"</f>
        <v>5250063764</v>
      </c>
      <c r="B16712" t="s">
        <v>23167</v>
      </c>
      <c r="C16712" t="s">
        <v>7</v>
      </c>
      <c r="D16712" t="s">
        <v>33</v>
      </c>
      <c r="E16712" t="s">
        <v>23161</v>
      </c>
      <c r="F16712" t="s">
        <v>23168</v>
      </c>
    </row>
    <row r="16713" spans="1:6" x14ac:dyDescent="0.25">
      <c r="A16713" t="str">
        <f>"6903038574"</f>
        <v>6903038574</v>
      </c>
      <c r="B16713" t="s">
        <v>23169</v>
      </c>
      <c r="C16713" t="s">
        <v>7</v>
      </c>
      <c r="D16713" t="s">
        <v>12</v>
      </c>
      <c r="E16713" t="s">
        <v>23161</v>
      </c>
      <c r="F16713" t="s">
        <v>23170</v>
      </c>
    </row>
    <row r="16714" spans="1:6" x14ac:dyDescent="0.25">
      <c r="A16714" t="str">
        <f>"6907009863"</f>
        <v>6907009863</v>
      </c>
      <c r="B16714" t="s">
        <v>23171</v>
      </c>
      <c r="C16714" t="s">
        <v>7</v>
      </c>
      <c r="D16714" t="s">
        <v>33</v>
      </c>
      <c r="E16714" t="s">
        <v>23161</v>
      </c>
      <c r="F16714" t="s">
        <v>23172</v>
      </c>
    </row>
    <row r="16715" spans="1:6" x14ac:dyDescent="0.25">
      <c r="A16715" t="str">
        <f>"7720939301"</f>
        <v>7720939301</v>
      </c>
      <c r="B16715" t="s">
        <v>23173</v>
      </c>
      <c r="C16715" t="s">
        <v>7</v>
      </c>
      <c r="D16715" t="s">
        <v>674</v>
      </c>
      <c r="E16715" t="s">
        <v>23161</v>
      </c>
      <c r="F16715" t="s">
        <v>23174</v>
      </c>
    </row>
    <row r="16716" spans="1:6" x14ac:dyDescent="0.25">
      <c r="A16716" t="str">
        <f>"7720939990"</f>
        <v>7720939990</v>
      </c>
      <c r="B16716" t="s">
        <v>23175</v>
      </c>
      <c r="C16716" t="s">
        <v>7</v>
      </c>
      <c r="D16716" t="s">
        <v>8</v>
      </c>
      <c r="E16716" t="s">
        <v>23161</v>
      </c>
      <c r="F16716" t="s">
        <v>23176</v>
      </c>
    </row>
    <row r="16717" spans="1:6" x14ac:dyDescent="0.25">
      <c r="A16717" t="str">
        <f>"7720945665"</f>
        <v>7720945665</v>
      </c>
      <c r="B16717" t="s">
        <v>1580</v>
      </c>
      <c r="C16717" t="s">
        <v>7</v>
      </c>
      <c r="D16717" t="s">
        <v>33</v>
      </c>
      <c r="E16717" t="s">
        <v>23161</v>
      </c>
      <c r="F16717" t="s">
        <v>23177</v>
      </c>
    </row>
    <row r="16718" spans="1:6" x14ac:dyDescent="0.25">
      <c r="A16718" t="str">
        <f>"772118220784"</f>
        <v>772118220784</v>
      </c>
      <c r="B16718" t="s">
        <v>23178</v>
      </c>
      <c r="C16718" t="s">
        <v>7</v>
      </c>
      <c r="D16718" t="s">
        <v>14</v>
      </c>
      <c r="E16718" t="s">
        <v>23161</v>
      </c>
    </row>
    <row r="16719" spans="1:6" x14ac:dyDescent="0.25">
      <c r="A16719" t="str">
        <f>"772123957502"</f>
        <v>772123957502</v>
      </c>
      <c r="B16719" t="s">
        <v>23179</v>
      </c>
      <c r="C16719" t="s">
        <v>7</v>
      </c>
      <c r="D16719" t="s">
        <v>14</v>
      </c>
      <c r="E16719" t="s">
        <v>23161</v>
      </c>
    </row>
    <row r="16720" spans="1:6" x14ac:dyDescent="0.25">
      <c r="A16720" t="str">
        <f>"7721305869"</f>
        <v>7721305869</v>
      </c>
      <c r="B16720" t="s">
        <v>23180</v>
      </c>
      <c r="C16720" t="s">
        <v>7</v>
      </c>
      <c r="D16720" t="s">
        <v>8</v>
      </c>
      <c r="E16720" t="s">
        <v>23161</v>
      </c>
      <c r="F16720" t="s">
        <v>23181</v>
      </c>
    </row>
    <row r="16721" spans="1:6" x14ac:dyDescent="0.25">
      <c r="A16721" t="str">
        <f>"772136433633"</f>
        <v>772136433633</v>
      </c>
      <c r="B16721" t="s">
        <v>23182</v>
      </c>
      <c r="C16721" t="s">
        <v>7</v>
      </c>
      <c r="D16721" t="s">
        <v>33</v>
      </c>
      <c r="E16721" t="s">
        <v>23161</v>
      </c>
    </row>
    <row r="16722" spans="1:6" x14ac:dyDescent="0.25">
      <c r="A16722" t="str">
        <f>"772137462179"</f>
        <v>772137462179</v>
      </c>
      <c r="B16722" t="s">
        <v>23183</v>
      </c>
      <c r="C16722" t="s">
        <v>7</v>
      </c>
      <c r="D16722" t="s">
        <v>33</v>
      </c>
      <c r="E16722" t="s">
        <v>23161</v>
      </c>
    </row>
    <row r="16723" spans="1:6" x14ac:dyDescent="0.25">
      <c r="A16723" t="str">
        <f>"7721477843"</f>
        <v>7721477843</v>
      </c>
      <c r="B16723" t="s">
        <v>23184</v>
      </c>
      <c r="C16723" t="s">
        <v>7</v>
      </c>
      <c r="D16723" t="s">
        <v>12</v>
      </c>
      <c r="E16723" t="s">
        <v>23161</v>
      </c>
      <c r="F16723" t="s">
        <v>23185</v>
      </c>
    </row>
    <row r="16724" spans="1:6" x14ac:dyDescent="0.25">
      <c r="A16724" t="str">
        <f>"7721568730"</f>
        <v>7721568730</v>
      </c>
      <c r="B16724" t="s">
        <v>23186</v>
      </c>
      <c r="C16724" t="s">
        <v>7</v>
      </c>
      <c r="D16724" t="s">
        <v>12</v>
      </c>
      <c r="E16724" t="s">
        <v>23161</v>
      </c>
      <c r="F16724" t="s">
        <v>23187</v>
      </c>
    </row>
    <row r="16725" spans="1:6" x14ac:dyDescent="0.25">
      <c r="A16725" t="str">
        <f>"772158246796"</f>
        <v>772158246796</v>
      </c>
      <c r="B16725" t="s">
        <v>23188</v>
      </c>
      <c r="C16725" t="s">
        <v>7</v>
      </c>
      <c r="D16725" t="s">
        <v>12</v>
      </c>
      <c r="E16725" t="s">
        <v>23161</v>
      </c>
    </row>
    <row r="16726" spans="1:6" x14ac:dyDescent="0.25">
      <c r="A16726" t="str">
        <f>"772158616567"</f>
        <v>772158616567</v>
      </c>
      <c r="B16726" t="s">
        <v>23189</v>
      </c>
      <c r="C16726" t="s">
        <v>7</v>
      </c>
      <c r="D16726" t="s">
        <v>14</v>
      </c>
      <c r="E16726" t="s">
        <v>23161</v>
      </c>
    </row>
    <row r="16727" spans="1:6" x14ac:dyDescent="0.25">
      <c r="A16727" t="str">
        <f>"7721656610"</f>
        <v>7721656610</v>
      </c>
      <c r="B16727" t="s">
        <v>23190</v>
      </c>
      <c r="C16727" t="s">
        <v>7</v>
      </c>
      <c r="D16727" t="s">
        <v>98</v>
      </c>
      <c r="E16727" t="s">
        <v>23161</v>
      </c>
      <c r="F16727" t="s">
        <v>23191</v>
      </c>
    </row>
    <row r="16728" spans="1:6" x14ac:dyDescent="0.25">
      <c r="A16728" t="str">
        <f>"772171184852"</f>
        <v>772171184852</v>
      </c>
      <c r="B16728" t="s">
        <v>23192</v>
      </c>
      <c r="C16728" t="s">
        <v>7</v>
      </c>
      <c r="D16728" t="s">
        <v>14</v>
      </c>
      <c r="E16728" t="s">
        <v>23161</v>
      </c>
    </row>
    <row r="16729" spans="1:6" x14ac:dyDescent="0.25">
      <c r="A16729" t="str">
        <f>"772174827276"</f>
        <v>772174827276</v>
      </c>
      <c r="B16729" t="s">
        <v>23193</v>
      </c>
      <c r="C16729" t="s">
        <v>7</v>
      </c>
      <c r="D16729" t="s">
        <v>14</v>
      </c>
      <c r="E16729" t="s">
        <v>23161</v>
      </c>
    </row>
    <row r="16730" spans="1:6" x14ac:dyDescent="0.25">
      <c r="A16730" t="str">
        <f>"7721844194"</f>
        <v>7721844194</v>
      </c>
      <c r="B16730" t="s">
        <v>23194</v>
      </c>
      <c r="C16730" t="s">
        <v>7</v>
      </c>
      <c r="D16730" t="s">
        <v>14</v>
      </c>
      <c r="E16730" t="s">
        <v>23161</v>
      </c>
      <c r="F16730" t="s">
        <v>23195</v>
      </c>
    </row>
    <row r="16731" spans="1:6" x14ac:dyDescent="0.25">
      <c r="A16731" t="str">
        <f>"7722262110"</f>
        <v>7722262110</v>
      </c>
      <c r="B16731" t="s">
        <v>23196</v>
      </c>
      <c r="C16731" t="s">
        <v>7</v>
      </c>
      <c r="D16731" t="s">
        <v>98</v>
      </c>
      <c r="E16731" t="s">
        <v>23161</v>
      </c>
      <c r="F16731" t="s">
        <v>23197</v>
      </c>
    </row>
    <row r="16732" spans="1:6" x14ac:dyDescent="0.25">
      <c r="A16732" t="str">
        <f>"7722468506"</f>
        <v>7722468506</v>
      </c>
      <c r="B16732" t="s">
        <v>23198</v>
      </c>
      <c r="C16732" t="s">
        <v>7</v>
      </c>
      <c r="D16732" t="s">
        <v>146</v>
      </c>
      <c r="E16732" t="s">
        <v>23161</v>
      </c>
      <c r="F16732" t="s">
        <v>23199</v>
      </c>
    </row>
    <row r="16733" spans="1:6" x14ac:dyDescent="0.25">
      <c r="A16733" t="str">
        <f>"7722487971"</f>
        <v>7722487971</v>
      </c>
      <c r="B16733" t="s">
        <v>23200</v>
      </c>
      <c r="C16733" t="s">
        <v>7</v>
      </c>
      <c r="D16733" t="s">
        <v>98</v>
      </c>
      <c r="E16733" t="s">
        <v>23161</v>
      </c>
      <c r="F16733" t="s">
        <v>23201</v>
      </c>
    </row>
    <row r="16734" spans="1:6" x14ac:dyDescent="0.25">
      <c r="A16734" t="str">
        <f>"7722498557"</f>
        <v>7722498557</v>
      </c>
      <c r="B16734" t="s">
        <v>23202</v>
      </c>
      <c r="C16734" t="s">
        <v>7</v>
      </c>
      <c r="D16734" t="s">
        <v>98</v>
      </c>
      <c r="E16734" t="s">
        <v>23161</v>
      </c>
      <c r="F16734" t="s">
        <v>23203</v>
      </c>
    </row>
    <row r="16735" spans="1:6" x14ac:dyDescent="0.25">
      <c r="A16735" t="str">
        <f>"772271202368"</f>
        <v>772271202368</v>
      </c>
      <c r="B16735" t="s">
        <v>23204</v>
      </c>
      <c r="C16735" t="s">
        <v>7</v>
      </c>
      <c r="D16735" t="s">
        <v>14</v>
      </c>
      <c r="E16735" t="s">
        <v>23161</v>
      </c>
    </row>
    <row r="16736" spans="1:6" x14ac:dyDescent="0.25">
      <c r="A16736" t="str">
        <f>"7723158659"</f>
        <v>7723158659</v>
      </c>
      <c r="B16736" t="s">
        <v>23205</v>
      </c>
      <c r="C16736" t="s">
        <v>7</v>
      </c>
      <c r="D16736" t="s">
        <v>12</v>
      </c>
      <c r="E16736" t="s">
        <v>23161</v>
      </c>
      <c r="F16736" t="s">
        <v>23206</v>
      </c>
    </row>
    <row r="16737" spans="1:6" x14ac:dyDescent="0.25">
      <c r="A16737" t="str">
        <f>"772320014810"</f>
        <v>772320014810</v>
      </c>
      <c r="B16737" t="s">
        <v>23207</v>
      </c>
      <c r="C16737" t="s">
        <v>7</v>
      </c>
      <c r="D16737" t="s">
        <v>14</v>
      </c>
      <c r="E16737" t="s">
        <v>23161</v>
      </c>
    </row>
    <row r="16738" spans="1:6" x14ac:dyDescent="0.25">
      <c r="A16738" t="str">
        <f>"772329543713"</f>
        <v>772329543713</v>
      </c>
      <c r="B16738" t="s">
        <v>23208</v>
      </c>
      <c r="C16738" t="s">
        <v>7</v>
      </c>
      <c r="D16738" t="s">
        <v>14</v>
      </c>
      <c r="E16738" t="s">
        <v>23161</v>
      </c>
    </row>
    <row r="16739" spans="1:6" x14ac:dyDescent="0.25">
      <c r="A16739" t="str">
        <f>"7723431675"</f>
        <v>7723431675</v>
      </c>
      <c r="B16739" t="s">
        <v>23209</v>
      </c>
      <c r="C16739" t="s">
        <v>7</v>
      </c>
      <c r="D16739" t="s">
        <v>12</v>
      </c>
      <c r="E16739" t="s">
        <v>23161</v>
      </c>
      <c r="F16739" t="s">
        <v>23210</v>
      </c>
    </row>
    <row r="16740" spans="1:6" x14ac:dyDescent="0.25">
      <c r="A16740" t="str">
        <f>"7723436017"</f>
        <v>7723436017</v>
      </c>
      <c r="B16740" t="s">
        <v>23211</v>
      </c>
      <c r="C16740" t="s">
        <v>7</v>
      </c>
      <c r="D16740" t="s">
        <v>12</v>
      </c>
      <c r="E16740" t="s">
        <v>23161</v>
      </c>
      <c r="F16740" t="s">
        <v>23212</v>
      </c>
    </row>
    <row r="16741" spans="1:6" x14ac:dyDescent="0.25">
      <c r="A16741" t="str">
        <f>"7723643077"</f>
        <v>7723643077</v>
      </c>
      <c r="B16741" t="s">
        <v>23213</v>
      </c>
      <c r="C16741" t="s">
        <v>7</v>
      </c>
      <c r="D16741" t="s">
        <v>12</v>
      </c>
      <c r="E16741" t="s">
        <v>23161</v>
      </c>
      <c r="F16741" t="s">
        <v>23214</v>
      </c>
    </row>
    <row r="16742" spans="1:6" x14ac:dyDescent="0.25">
      <c r="A16742" t="str">
        <f>"7723672656"</f>
        <v>7723672656</v>
      </c>
      <c r="B16742" t="s">
        <v>23215</v>
      </c>
      <c r="C16742" t="s">
        <v>7</v>
      </c>
      <c r="D16742" t="s">
        <v>33</v>
      </c>
      <c r="E16742" t="s">
        <v>23161</v>
      </c>
      <c r="F16742" t="s">
        <v>23216</v>
      </c>
    </row>
    <row r="16743" spans="1:6" x14ac:dyDescent="0.25">
      <c r="A16743" t="str">
        <f>"7723678400"</f>
        <v>7723678400</v>
      </c>
      <c r="B16743" t="s">
        <v>23217</v>
      </c>
      <c r="C16743" t="s">
        <v>7</v>
      </c>
      <c r="D16743" t="s">
        <v>189</v>
      </c>
      <c r="E16743" t="s">
        <v>23161</v>
      </c>
      <c r="F16743" t="s">
        <v>23218</v>
      </c>
    </row>
    <row r="16744" spans="1:6" x14ac:dyDescent="0.25">
      <c r="A16744" t="str">
        <f>"772371756360"</f>
        <v>772371756360</v>
      </c>
      <c r="B16744" t="s">
        <v>23219</v>
      </c>
      <c r="C16744" t="s">
        <v>7</v>
      </c>
      <c r="D16744" t="s">
        <v>12</v>
      </c>
      <c r="E16744" t="s">
        <v>23161</v>
      </c>
    </row>
    <row r="16745" spans="1:6" x14ac:dyDescent="0.25">
      <c r="A16745" t="str">
        <f>"772377266298"</f>
        <v>772377266298</v>
      </c>
      <c r="B16745" t="s">
        <v>23220</v>
      </c>
      <c r="C16745" t="s">
        <v>7</v>
      </c>
      <c r="D16745" t="s">
        <v>12</v>
      </c>
      <c r="E16745" t="s">
        <v>23161</v>
      </c>
    </row>
    <row r="16746" spans="1:6" x14ac:dyDescent="0.25">
      <c r="A16746" t="str">
        <f>"772378073490"</f>
        <v>772378073490</v>
      </c>
      <c r="B16746" t="s">
        <v>23221</v>
      </c>
      <c r="C16746" t="s">
        <v>7</v>
      </c>
      <c r="D16746" t="s">
        <v>12</v>
      </c>
      <c r="E16746" t="s">
        <v>23161</v>
      </c>
    </row>
    <row r="16747" spans="1:6" x14ac:dyDescent="0.25">
      <c r="A16747" t="str">
        <f>"772379231050"</f>
        <v>772379231050</v>
      </c>
      <c r="B16747" t="s">
        <v>23222</v>
      </c>
      <c r="C16747" t="s">
        <v>7</v>
      </c>
      <c r="D16747" t="s">
        <v>14</v>
      </c>
      <c r="E16747" t="s">
        <v>23161</v>
      </c>
    </row>
    <row r="16748" spans="1:6" x14ac:dyDescent="0.25">
      <c r="A16748" t="str">
        <f>"7723795873"</f>
        <v>7723795873</v>
      </c>
      <c r="B16748" t="s">
        <v>8538</v>
      </c>
      <c r="C16748" t="s">
        <v>7</v>
      </c>
      <c r="D16748" t="s">
        <v>33</v>
      </c>
      <c r="E16748" t="s">
        <v>23161</v>
      </c>
      <c r="F16748" t="s">
        <v>23223</v>
      </c>
    </row>
    <row r="16749" spans="1:6" x14ac:dyDescent="0.25">
      <c r="A16749" t="str">
        <f>"7723815417"</f>
        <v>7723815417</v>
      </c>
      <c r="B16749" t="s">
        <v>23224</v>
      </c>
      <c r="C16749" t="s">
        <v>7</v>
      </c>
      <c r="D16749" t="s">
        <v>28</v>
      </c>
      <c r="E16749" t="s">
        <v>23161</v>
      </c>
      <c r="F16749" t="s">
        <v>23225</v>
      </c>
    </row>
    <row r="16750" spans="1:6" x14ac:dyDescent="0.25">
      <c r="A16750" t="str">
        <f>"7723852458"</f>
        <v>7723852458</v>
      </c>
      <c r="B16750" t="s">
        <v>23226</v>
      </c>
      <c r="C16750" t="s">
        <v>7</v>
      </c>
      <c r="D16750" t="s">
        <v>33</v>
      </c>
      <c r="E16750" t="s">
        <v>23161</v>
      </c>
      <c r="F16750" t="s">
        <v>23227</v>
      </c>
    </row>
    <row r="16751" spans="1:6" x14ac:dyDescent="0.25">
      <c r="A16751" t="str">
        <f>"7723865792"</f>
        <v>7723865792</v>
      </c>
      <c r="B16751" t="s">
        <v>23228</v>
      </c>
      <c r="C16751" t="s">
        <v>7</v>
      </c>
      <c r="D16751" t="s">
        <v>146</v>
      </c>
      <c r="E16751" t="s">
        <v>23161</v>
      </c>
      <c r="F16751" t="s">
        <v>23229</v>
      </c>
    </row>
    <row r="16752" spans="1:6" x14ac:dyDescent="0.25">
      <c r="A16752" t="str">
        <f>"7723898283"</f>
        <v>7723898283</v>
      </c>
      <c r="B16752" t="s">
        <v>23230</v>
      </c>
      <c r="C16752" t="s">
        <v>7</v>
      </c>
      <c r="D16752" t="s">
        <v>33</v>
      </c>
      <c r="E16752" t="s">
        <v>23161</v>
      </c>
      <c r="F16752" t="s">
        <v>23231</v>
      </c>
    </row>
    <row r="16753" spans="1:6" x14ac:dyDescent="0.25">
      <c r="A16753" t="str">
        <f>"772406787033"</f>
        <v>772406787033</v>
      </c>
      <c r="B16753" t="s">
        <v>23232</v>
      </c>
      <c r="C16753" t="s">
        <v>7</v>
      </c>
      <c r="D16753" t="s">
        <v>12</v>
      </c>
      <c r="E16753" t="s">
        <v>23161</v>
      </c>
    </row>
    <row r="16754" spans="1:6" x14ac:dyDescent="0.25">
      <c r="A16754" t="str">
        <f>"7724075162"</f>
        <v>7724075162</v>
      </c>
      <c r="B16754" t="s">
        <v>23233</v>
      </c>
      <c r="C16754" t="s">
        <v>7</v>
      </c>
      <c r="D16754" t="s">
        <v>14</v>
      </c>
      <c r="E16754" t="s">
        <v>23161</v>
      </c>
      <c r="F16754" t="s">
        <v>23234</v>
      </c>
    </row>
    <row r="16755" spans="1:6" x14ac:dyDescent="0.25">
      <c r="A16755" t="str">
        <f>"7724329522"</f>
        <v>7724329522</v>
      </c>
      <c r="B16755" t="s">
        <v>23235</v>
      </c>
      <c r="C16755" t="s">
        <v>7</v>
      </c>
      <c r="D16755" t="s">
        <v>33</v>
      </c>
      <c r="E16755" t="s">
        <v>23161</v>
      </c>
      <c r="F16755" t="s">
        <v>23236</v>
      </c>
    </row>
    <row r="16756" spans="1:6" x14ac:dyDescent="0.25">
      <c r="A16756" t="str">
        <f>"7724363330"</f>
        <v>7724363330</v>
      </c>
      <c r="B16756" t="s">
        <v>23237</v>
      </c>
      <c r="C16756" t="s">
        <v>7</v>
      </c>
      <c r="D16756" t="s">
        <v>33</v>
      </c>
      <c r="E16756" t="s">
        <v>23161</v>
      </c>
      <c r="F16756" t="s">
        <v>23238</v>
      </c>
    </row>
    <row r="16757" spans="1:6" x14ac:dyDescent="0.25">
      <c r="A16757" t="str">
        <f>"7724382004"</f>
        <v>7724382004</v>
      </c>
      <c r="B16757" t="s">
        <v>23239</v>
      </c>
      <c r="C16757" t="s">
        <v>7</v>
      </c>
      <c r="D16757" t="s">
        <v>12</v>
      </c>
      <c r="E16757" t="s">
        <v>23161</v>
      </c>
      <c r="F16757" t="s">
        <v>23240</v>
      </c>
    </row>
    <row r="16758" spans="1:6" x14ac:dyDescent="0.25">
      <c r="A16758" t="str">
        <f>"7724385774"</f>
        <v>7724385774</v>
      </c>
      <c r="B16758" t="s">
        <v>23241</v>
      </c>
      <c r="C16758" t="s">
        <v>7</v>
      </c>
      <c r="D16758" t="s">
        <v>98</v>
      </c>
      <c r="E16758" t="s">
        <v>23161</v>
      </c>
      <c r="F16758" t="s">
        <v>23242</v>
      </c>
    </row>
    <row r="16759" spans="1:6" x14ac:dyDescent="0.25">
      <c r="A16759" t="str">
        <f>"7724388133"</f>
        <v>7724388133</v>
      </c>
      <c r="B16759" t="s">
        <v>23243</v>
      </c>
      <c r="C16759" t="s">
        <v>7</v>
      </c>
      <c r="D16759" t="s">
        <v>189</v>
      </c>
      <c r="E16759" t="s">
        <v>23161</v>
      </c>
      <c r="F16759" t="s">
        <v>23244</v>
      </c>
    </row>
    <row r="16760" spans="1:6" x14ac:dyDescent="0.25">
      <c r="A16760" t="str">
        <f>"7724417909"</f>
        <v>7724417909</v>
      </c>
      <c r="B16760" t="s">
        <v>7699</v>
      </c>
      <c r="C16760" t="s">
        <v>7</v>
      </c>
      <c r="D16760" t="s">
        <v>1430</v>
      </c>
      <c r="E16760" t="s">
        <v>23161</v>
      </c>
      <c r="F16760" t="s">
        <v>23245</v>
      </c>
    </row>
    <row r="16761" spans="1:6" x14ac:dyDescent="0.25">
      <c r="A16761" t="str">
        <f>"7724424423"</f>
        <v>7724424423</v>
      </c>
      <c r="B16761" t="s">
        <v>23246</v>
      </c>
      <c r="C16761" t="s">
        <v>7</v>
      </c>
      <c r="D16761" t="s">
        <v>8</v>
      </c>
      <c r="E16761" t="s">
        <v>23161</v>
      </c>
      <c r="F16761" t="s">
        <v>23247</v>
      </c>
    </row>
    <row r="16762" spans="1:6" x14ac:dyDescent="0.25">
      <c r="A16762" t="str">
        <f>"7724436901"</f>
        <v>7724436901</v>
      </c>
      <c r="B16762" t="s">
        <v>23248</v>
      </c>
      <c r="C16762" t="s">
        <v>7</v>
      </c>
      <c r="D16762" t="s">
        <v>33</v>
      </c>
      <c r="E16762" t="s">
        <v>23161</v>
      </c>
      <c r="F16762" t="s">
        <v>23249</v>
      </c>
    </row>
    <row r="16763" spans="1:6" x14ac:dyDescent="0.25">
      <c r="A16763" t="str">
        <f>"7724488152"</f>
        <v>7724488152</v>
      </c>
      <c r="B16763" t="s">
        <v>23250</v>
      </c>
      <c r="C16763" t="s">
        <v>7</v>
      </c>
      <c r="D16763" t="s">
        <v>33</v>
      </c>
      <c r="E16763" t="s">
        <v>23161</v>
      </c>
      <c r="F16763" t="s">
        <v>23251</v>
      </c>
    </row>
    <row r="16764" spans="1:6" x14ac:dyDescent="0.25">
      <c r="A16764" t="str">
        <f>"772452402619"</f>
        <v>772452402619</v>
      </c>
      <c r="B16764" t="s">
        <v>23252</v>
      </c>
      <c r="C16764" t="s">
        <v>7</v>
      </c>
      <c r="D16764" t="s">
        <v>14</v>
      </c>
      <c r="E16764" t="s">
        <v>23161</v>
      </c>
    </row>
    <row r="16765" spans="1:6" x14ac:dyDescent="0.25">
      <c r="A16765" t="str">
        <f>"7724646659"</f>
        <v>7724646659</v>
      </c>
      <c r="B16765" t="s">
        <v>23253</v>
      </c>
      <c r="C16765" t="s">
        <v>7</v>
      </c>
      <c r="D16765" t="s">
        <v>33</v>
      </c>
      <c r="E16765" t="s">
        <v>23161</v>
      </c>
      <c r="F16765" t="s">
        <v>23254</v>
      </c>
    </row>
    <row r="16766" spans="1:6" x14ac:dyDescent="0.25">
      <c r="A16766" t="str">
        <f>"7724666077"</f>
        <v>7724666077</v>
      </c>
      <c r="B16766" t="s">
        <v>23255</v>
      </c>
      <c r="C16766" t="s">
        <v>7</v>
      </c>
      <c r="D16766" t="s">
        <v>14</v>
      </c>
      <c r="E16766" t="s">
        <v>23161</v>
      </c>
      <c r="F16766" t="s">
        <v>23256</v>
      </c>
    </row>
    <row r="16767" spans="1:6" x14ac:dyDescent="0.25">
      <c r="A16767" t="str">
        <f>"7724709468"</f>
        <v>7724709468</v>
      </c>
      <c r="B16767" t="s">
        <v>23257</v>
      </c>
      <c r="C16767" t="s">
        <v>7</v>
      </c>
      <c r="D16767" t="s">
        <v>674</v>
      </c>
      <c r="E16767" t="s">
        <v>23161</v>
      </c>
      <c r="F16767" t="s">
        <v>23258</v>
      </c>
    </row>
    <row r="16768" spans="1:6" x14ac:dyDescent="0.25">
      <c r="A16768" t="str">
        <f>"7724814198"</f>
        <v>7724814198</v>
      </c>
      <c r="B16768" t="s">
        <v>23259</v>
      </c>
      <c r="C16768" t="s">
        <v>7</v>
      </c>
      <c r="D16768" t="s">
        <v>146</v>
      </c>
      <c r="E16768" t="s">
        <v>23161</v>
      </c>
      <c r="F16768" t="s">
        <v>23260</v>
      </c>
    </row>
    <row r="16769" spans="1:6" x14ac:dyDescent="0.25">
      <c r="A16769" t="str">
        <f>"7724913431"</f>
        <v>7724913431</v>
      </c>
      <c r="B16769" t="s">
        <v>23261</v>
      </c>
      <c r="C16769" t="s">
        <v>7</v>
      </c>
      <c r="D16769" t="s">
        <v>12</v>
      </c>
      <c r="E16769" t="s">
        <v>23161</v>
      </c>
      <c r="F16769" t="s">
        <v>23262</v>
      </c>
    </row>
    <row r="16770" spans="1:6" x14ac:dyDescent="0.25">
      <c r="A16770" t="str">
        <f>"772156540400"</f>
        <v>772156540400</v>
      </c>
      <c r="B16770" t="s">
        <v>23263</v>
      </c>
      <c r="C16770" t="s">
        <v>7</v>
      </c>
      <c r="D16770" t="s">
        <v>98</v>
      </c>
      <c r="E16770" t="s">
        <v>23161</v>
      </c>
    </row>
    <row r="16771" spans="1:6" x14ac:dyDescent="0.25">
      <c r="A16771" t="str">
        <f>"772170838742"</f>
        <v>772170838742</v>
      </c>
      <c r="B16771" t="s">
        <v>23264</v>
      </c>
      <c r="C16771" t="s">
        <v>7</v>
      </c>
      <c r="D16771" t="s">
        <v>14</v>
      </c>
      <c r="E16771" t="s">
        <v>23161</v>
      </c>
    </row>
    <row r="16772" spans="1:6" x14ac:dyDescent="0.25">
      <c r="A16772" t="str">
        <f>"7721749247"</f>
        <v>7721749247</v>
      </c>
      <c r="B16772" t="s">
        <v>23265</v>
      </c>
      <c r="C16772" t="s">
        <v>7</v>
      </c>
      <c r="D16772" t="s">
        <v>14</v>
      </c>
      <c r="E16772" t="s">
        <v>23161</v>
      </c>
      <c r="F16772" t="s">
        <v>23266</v>
      </c>
    </row>
    <row r="16773" spans="1:6" x14ac:dyDescent="0.25">
      <c r="A16773" t="str">
        <f>"7722346427"</f>
        <v>7722346427</v>
      </c>
      <c r="B16773" t="s">
        <v>23267</v>
      </c>
      <c r="C16773" t="s">
        <v>7</v>
      </c>
      <c r="D16773" t="s">
        <v>12</v>
      </c>
      <c r="E16773" t="s">
        <v>23161</v>
      </c>
      <c r="F16773" t="s">
        <v>23268</v>
      </c>
    </row>
    <row r="16774" spans="1:6" x14ac:dyDescent="0.25">
      <c r="A16774" t="str">
        <f>"7722379119"</f>
        <v>7722379119</v>
      </c>
      <c r="B16774" t="s">
        <v>23269</v>
      </c>
      <c r="C16774" t="s">
        <v>7</v>
      </c>
      <c r="D16774" t="s">
        <v>12</v>
      </c>
      <c r="E16774" t="s">
        <v>23161</v>
      </c>
      <c r="F16774" t="s">
        <v>23270</v>
      </c>
    </row>
    <row r="16775" spans="1:6" x14ac:dyDescent="0.25">
      <c r="A16775" t="str">
        <f>"7722382369"</f>
        <v>7722382369</v>
      </c>
      <c r="B16775" t="s">
        <v>23271</v>
      </c>
      <c r="C16775" t="s">
        <v>7</v>
      </c>
      <c r="D16775" t="s">
        <v>14</v>
      </c>
      <c r="E16775" t="s">
        <v>23161</v>
      </c>
      <c r="F16775" t="s">
        <v>23272</v>
      </c>
    </row>
    <row r="16776" spans="1:6" x14ac:dyDescent="0.25">
      <c r="A16776" t="str">
        <f>"7722422798"</f>
        <v>7722422798</v>
      </c>
      <c r="B16776" t="s">
        <v>23273</v>
      </c>
      <c r="C16776" t="s">
        <v>7</v>
      </c>
      <c r="D16776" t="s">
        <v>28</v>
      </c>
      <c r="E16776" t="s">
        <v>23161</v>
      </c>
      <c r="F16776" t="s">
        <v>23274</v>
      </c>
    </row>
    <row r="16777" spans="1:6" x14ac:dyDescent="0.25">
      <c r="A16777" t="str">
        <f>"7722466280"</f>
        <v>7722466280</v>
      </c>
      <c r="B16777" t="s">
        <v>23275</v>
      </c>
      <c r="C16777" t="s">
        <v>7</v>
      </c>
      <c r="D16777" t="s">
        <v>33</v>
      </c>
      <c r="E16777" t="s">
        <v>23161</v>
      </c>
      <c r="F16777" t="s">
        <v>23276</v>
      </c>
    </row>
    <row r="16778" spans="1:6" x14ac:dyDescent="0.25">
      <c r="A16778" t="str">
        <f>"7722471001"</f>
        <v>7722471001</v>
      </c>
      <c r="B16778" t="s">
        <v>23277</v>
      </c>
      <c r="C16778" t="s">
        <v>7</v>
      </c>
      <c r="D16778" t="s">
        <v>14</v>
      </c>
      <c r="E16778" t="s">
        <v>23161</v>
      </c>
      <c r="F16778" t="s">
        <v>23278</v>
      </c>
    </row>
    <row r="16779" spans="1:6" x14ac:dyDescent="0.25">
      <c r="A16779" t="str">
        <f>"7722604981"</f>
        <v>7722604981</v>
      </c>
      <c r="B16779" t="s">
        <v>23279</v>
      </c>
      <c r="C16779" t="s">
        <v>7</v>
      </c>
      <c r="D16779" t="s">
        <v>14</v>
      </c>
      <c r="E16779" t="s">
        <v>23161</v>
      </c>
      <c r="F16779" t="s">
        <v>23280</v>
      </c>
    </row>
    <row r="16780" spans="1:6" x14ac:dyDescent="0.25">
      <c r="A16780" t="str">
        <f>"7722747203"</f>
        <v>7722747203</v>
      </c>
      <c r="B16780" t="s">
        <v>23281</v>
      </c>
      <c r="C16780" t="s">
        <v>7</v>
      </c>
      <c r="D16780" t="s">
        <v>12</v>
      </c>
      <c r="E16780" t="s">
        <v>23161</v>
      </c>
      <c r="F16780" t="s">
        <v>23282</v>
      </c>
    </row>
    <row r="16781" spans="1:6" x14ac:dyDescent="0.25">
      <c r="A16781" t="str">
        <f>"7722784565"</f>
        <v>7722784565</v>
      </c>
      <c r="B16781" t="s">
        <v>23283</v>
      </c>
      <c r="C16781" t="s">
        <v>7</v>
      </c>
      <c r="D16781" t="s">
        <v>33</v>
      </c>
      <c r="E16781" t="s">
        <v>23161</v>
      </c>
      <c r="F16781" t="s">
        <v>23284</v>
      </c>
    </row>
    <row r="16782" spans="1:6" x14ac:dyDescent="0.25">
      <c r="A16782" t="str">
        <f>"7723162359"</f>
        <v>7723162359</v>
      </c>
      <c r="B16782" t="s">
        <v>23285</v>
      </c>
      <c r="C16782" t="s">
        <v>7</v>
      </c>
      <c r="D16782" t="s">
        <v>98</v>
      </c>
      <c r="E16782" t="s">
        <v>23161</v>
      </c>
      <c r="F16782" t="s">
        <v>23286</v>
      </c>
    </row>
    <row r="16783" spans="1:6" x14ac:dyDescent="0.25">
      <c r="A16783" t="str">
        <f>"772318785051"</f>
        <v>772318785051</v>
      </c>
      <c r="B16783" t="s">
        <v>23287</v>
      </c>
      <c r="C16783" t="s">
        <v>7</v>
      </c>
      <c r="D16783" t="s">
        <v>12</v>
      </c>
      <c r="E16783" t="s">
        <v>23161</v>
      </c>
    </row>
    <row r="16784" spans="1:6" x14ac:dyDescent="0.25">
      <c r="A16784" t="str">
        <f>"7723374931"</f>
        <v>7723374931</v>
      </c>
      <c r="B16784" t="s">
        <v>10676</v>
      </c>
      <c r="C16784" t="s">
        <v>7</v>
      </c>
      <c r="D16784" t="s">
        <v>8</v>
      </c>
      <c r="E16784" t="s">
        <v>23161</v>
      </c>
      <c r="F16784" t="s">
        <v>23288</v>
      </c>
    </row>
    <row r="16785" spans="1:6" x14ac:dyDescent="0.25">
      <c r="A16785" t="str">
        <f>"7723396822"</f>
        <v>7723396822</v>
      </c>
      <c r="B16785" t="s">
        <v>23289</v>
      </c>
      <c r="C16785" t="s">
        <v>7</v>
      </c>
      <c r="D16785" t="s">
        <v>14</v>
      </c>
      <c r="E16785" t="s">
        <v>23161</v>
      </c>
      <c r="F16785" t="s">
        <v>23290</v>
      </c>
    </row>
    <row r="16786" spans="1:6" x14ac:dyDescent="0.25">
      <c r="A16786" t="str">
        <f>"7723419607"</f>
        <v>7723419607</v>
      </c>
      <c r="B16786" t="s">
        <v>23291</v>
      </c>
      <c r="C16786" t="s">
        <v>7</v>
      </c>
      <c r="D16786" t="s">
        <v>189</v>
      </c>
      <c r="E16786" t="s">
        <v>23161</v>
      </c>
      <c r="F16786" t="s">
        <v>23292</v>
      </c>
    </row>
    <row r="16787" spans="1:6" x14ac:dyDescent="0.25">
      <c r="A16787" t="str">
        <f>"772348940610"</f>
        <v>772348940610</v>
      </c>
      <c r="B16787" t="s">
        <v>23293</v>
      </c>
      <c r="C16787" t="s">
        <v>7</v>
      </c>
      <c r="D16787" t="s">
        <v>14</v>
      </c>
      <c r="E16787" t="s">
        <v>23161</v>
      </c>
    </row>
    <row r="16788" spans="1:6" x14ac:dyDescent="0.25">
      <c r="A16788" t="str">
        <f>"772349709406"</f>
        <v>772349709406</v>
      </c>
      <c r="B16788" t="s">
        <v>23294</v>
      </c>
      <c r="C16788" t="s">
        <v>7</v>
      </c>
      <c r="D16788" t="s">
        <v>14</v>
      </c>
      <c r="E16788" t="s">
        <v>23161</v>
      </c>
    </row>
    <row r="16789" spans="1:6" x14ac:dyDescent="0.25">
      <c r="A16789" t="str">
        <f>"772370506695"</f>
        <v>772370506695</v>
      </c>
      <c r="B16789" t="s">
        <v>23295</v>
      </c>
      <c r="C16789" t="s">
        <v>7</v>
      </c>
      <c r="D16789" t="s">
        <v>12</v>
      </c>
      <c r="E16789" t="s">
        <v>23161</v>
      </c>
    </row>
    <row r="16790" spans="1:6" x14ac:dyDescent="0.25">
      <c r="A16790" t="str">
        <f>"7723711619"</f>
        <v>7723711619</v>
      </c>
      <c r="B16790" t="s">
        <v>23296</v>
      </c>
      <c r="C16790" t="s">
        <v>7</v>
      </c>
      <c r="D16790" t="s">
        <v>33</v>
      </c>
      <c r="E16790" t="s">
        <v>23161</v>
      </c>
      <c r="F16790" t="s">
        <v>23297</v>
      </c>
    </row>
    <row r="16791" spans="1:6" x14ac:dyDescent="0.25">
      <c r="A16791" t="str">
        <f>"772372730621"</f>
        <v>772372730621</v>
      </c>
      <c r="B16791" t="s">
        <v>23298</v>
      </c>
      <c r="C16791" t="s">
        <v>7</v>
      </c>
      <c r="D16791" t="s">
        <v>14</v>
      </c>
      <c r="E16791" t="s">
        <v>23161</v>
      </c>
    </row>
    <row r="16792" spans="1:6" x14ac:dyDescent="0.25">
      <c r="A16792" t="str">
        <f>"772373867185"</f>
        <v>772373867185</v>
      </c>
      <c r="B16792" t="s">
        <v>23299</v>
      </c>
      <c r="C16792" t="s">
        <v>7</v>
      </c>
      <c r="D16792" t="s">
        <v>14</v>
      </c>
      <c r="E16792" t="s">
        <v>23161</v>
      </c>
    </row>
    <row r="16793" spans="1:6" x14ac:dyDescent="0.25">
      <c r="A16793" t="str">
        <f>"7723761786"</f>
        <v>7723761786</v>
      </c>
      <c r="B16793" t="s">
        <v>23300</v>
      </c>
      <c r="C16793" t="s">
        <v>7</v>
      </c>
      <c r="D16793" t="s">
        <v>33</v>
      </c>
      <c r="E16793" t="s">
        <v>23161</v>
      </c>
      <c r="F16793" t="s">
        <v>23301</v>
      </c>
    </row>
    <row r="16794" spans="1:6" x14ac:dyDescent="0.25">
      <c r="A16794" t="str">
        <f>"772378684308"</f>
        <v>772378684308</v>
      </c>
      <c r="B16794" t="s">
        <v>23302</v>
      </c>
      <c r="C16794" t="s">
        <v>7</v>
      </c>
      <c r="D16794" t="s">
        <v>12</v>
      </c>
      <c r="E16794" t="s">
        <v>23161</v>
      </c>
    </row>
    <row r="16795" spans="1:6" x14ac:dyDescent="0.25">
      <c r="A16795" t="str">
        <f>"772378905941"</f>
        <v>772378905941</v>
      </c>
      <c r="B16795" t="s">
        <v>23303</v>
      </c>
      <c r="C16795" t="s">
        <v>7</v>
      </c>
      <c r="D16795" t="s">
        <v>14</v>
      </c>
      <c r="E16795" t="s">
        <v>23161</v>
      </c>
    </row>
    <row r="16796" spans="1:6" x14ac:dyDescent="0.25">
      <c r="A16796" t="str">
        <f>"7724013046"</f>
        <v>7724013046</v>
      </c>
      <c r="B16796" t="s">
        <v>23304</v>
      </c>
      <c r="C16796" t="s">
        <v>7</v>
      </c>
      <c r="D16796" t="s">
        <v>33</v>
      </c>
      <c r="E16796" t="s">
        <v>23161</v>
      </c>
      <c r="F16796" t="s">
        <v>23305</v>
      </c>
    </row>
    <row r="16797" spans="1:6" x14ac:dyDescent="0.25">
      <c r="A16797" t="str">
        <f>"772405516263"</f>
        <v>772405516263</v>
      </c>
      <c r="B16797" t="s">
        <v>23306</v>
      </c>
      <c r="C16797" t="s">
        <v>7</v>
      </c>
      <c r="D16797" t="s">
        <v>14</v>
      </c>
      <c r="E16797" t="s">
        <v>23161</v>
      </c>
    </row>
    <row r="16798" spans="1:6" x14ac:dyDescent="0.25">
      <c r="A16798" t="str">
        <f>"7724336400"</f>
        <v>7724336400</v>
      </c>
      <c r="B16798" t="s">
        <v>23307</v>
      </c>
      <c r="C16798" t="s">
        <v>7</v>
      </c>
      <c r="D16798" t="s">
        <v>14</v>
      </c>
      <c r="E16798" t="s">
        <v>23161</v>
      </c>
      <c r="F16798" t="s">
        <v>23308</v>
      </c>
    </row>
    <row r="16799" spans="1:6" x14ac:dyDescent="0.25">
      <c r="A16799" t="str">
        <f>"772434885000"</f>
        <v>772434885000</v>
      </c>
      <c r="B16799" t="s">
        <v>23309</v>
      </c>
      <c r="C16799" t="s">
        <v>7</v>
      </c>
      <c r="D16799" t="s">
        <v>14</v>
      </c>
      <c r="E16799" t="s">
        <v>23161</v>
      </c>
    </row>
    <row r="16800" spans="1:6" x14ac:dyDescent="0.25">
      <c r="A16800" t="str">
        <f>"7724350281"</f>
        <v>7724350281</v>
      </c>
      <c r="B16800" t="s">
        <v>23310</v>
      </c>
      <c r="C16800" t="s">
        <v>7</v>
      </c>
      <c r="D16800" t="s">
        <v>8</v>
      </c>
      <c r="E16800" t="s">
        <v>23161</v>
      </c>
      <c r="F16800" t="s">
        <v>23311</v>
      </c>
    </row>
    <row r="16801" spans="1:6" x14ac:dyDescent="0.25">
      <c r="A16801" t="str">
        <f>"7724357569"</f>
        <v>7724357569</v>
      </c>
      <c r="B16801" t="s">
        <v>23312</v>
      </c>
      <c r="C16801" t="s">
        <v>7</v>
      </c>
      <c r="D16801" t="s">
        <v>12</v>
      </c>
      <c r="E16801" t="s">
        <v>23161</v>
      </c>
      <c r="F16801" t="s">
        <v>23313</v>
      </c>
    </row>
    <row r="16802" spans="1:6" x14ac:dyDescent="0.25">
      <c r="A16802" t="str">
        <f>"7724364164"</f>
        <v>7724364164</v>
      </c>
      <c r="B16802" t="s">
        <v>23314</v>
      </c>
      <c r="C16802" t="s">
        <v>7</v>
      </c>
      <c r="D16802" t="s">
        <v>33</v>
      </c>
      <c r="E16802" t="s">
        <v>23161</v>
      </c>
      <c r="F16802" t="s">
        <v>23315</v>
      </c>
    </row>
    <row r="16803" spans="1:6" x14ac:dyDescent="0.25">
      <c r="A16803" t="str">
        <f>"7724364968"</f>
        <v>7724364968</v>
      </c>
      <c r="B16803" t="s">
        <v>23316</v>
      </c>
      <c r="C16803" t="s">
        <v>7</v>
      </c>
      <c r="D16803" t="s">
        <v>8</v>
      </c>
      <c r="E16803" t="s">
        <v>23161</v>
      </c>
      <c r="F16803" t="s">
        <v>23317</v>
      </c>
    </row>
    <row r="16804" spans="1:6" x14ac:dyDescent="0.25">
      <c r="A16804" t="str">
        <f>"7724421510"</f>
        <v>7724421510</v>
      </c>
      <c r="B16804" t="s">
        <v>23318</v>
      </c>
      <c r="C16804" t="s">
        <v>7</v>
      </c>
      <c r="D16804" t="s">
        <v>146</v>
      </c>
      <c r="E16804" t="s">
        <v>23161</v>
      </c>
      <c r="F16804" t="s">
        <v>23319</v>
      </c>
    </row>
    <row r="16805" spans="1:6" x14ac:dyDescent="0.25">
      <c r="A16805" t="str">
        <f>"7724423589"</f>
        <v>7724423589</v>
      </c>
      <c r="B16805" t="s">
        <v>23320</v>
      </c>
      <c r="C16805" t="s">
        <v>7</v>
      </c>
      <c r="D16805" t="s">
        <v>14</v>
      </c>
      <c r="E16805" t="s">
        <v>23161</v>
      </c>
      <c r="F16805" t="s">
        <v>23321</v>
      </c>
    </row>
    <row r="16806" spans="1:6" x14ac:dyDescent="0.25">
      <c r="A16806" t="str">
        <f>"7724429862"</f>
        <v>7724429862</v>
      </c>
      <c r="B16806" t="s">
        <v>23322</v>
      </c>
      <c r="C16806" t="s">
        <v>7</v>
      </c>
      <c r="D16806" t="s">
        <v>33</v>
      </c>
      <c r="E16806" t="s">
        <v>23161</v>
      </c>
      <c r="F16806" t="s">
        <v>23323</v>
      </c>
    </row>
    <row r="16807" spans="1:6" x14ac:dyDescent="0.25">
      <c r="A16807" t="str">
        <f>"7724431325"</f>
        <v>7724431325</v>
      </c>
      <c r="B16807" t="s">
        <v>9040</v>
      </c>
      <c r="C16807" t="s">
        <v>7</v>
      </c>
      <c r="D16807" t="s">
        <v>14</v>
      </c>
      <c r="E16807" t="s">
        <v>23161</v>
      </c>
      <c r="F16807" t="s">
        <v>23324</v>
      </c>
    </row>
    <row r="16808" spans="1:6" x14ac:dyDescent="0.25">
      <c r="A16808" t="str">
        <f>"772444132408"</f>
        <v>772444132408</v>
      </c>
      <c r="B16808" t="s">
        <v>23325</v>
      </c>
      <c r="C16808" t="s">
        <v>7</v>
      </c>
      <c r="D16808" t="s">
        <v>12</v>
      </c>
      <c r="E16808" t="s">
        <v>23161</v>
      </c>
    </row>
    <row r="16809" spans="1:6" x14ac:dyDescent="0.25">
      <c r="A16809" t="str">
        <f>"7724454040"</f>
        <v>7724454040</v>
      </c>
      <c r="B16809" t="s">
        <v>23326</v>
      </c>
      <c r="C16809" t="s">
        <v>7</v>
      </c>
      <c r="D16809" t="s">
        <v>33</v>
      </c>
      <c r="E16809" t="s">
        <v>23161</v>
      </c>
      <c r="F16809" t="s">
        <v>23327</v>
      </c>
    </row>
    <row r="16810" spans="1:6" x14ac:dyDescent="0.25">
      <c r="A16810" t="str">
        <f>"7724684189"</f>
        <v>7724684189</v>
      </c>
      <c r="B16810" t="s">
        <v>23328</v>
      </c>
      <c r="C16810" t="s">
        <v>7</v>
      </c>
      <c r="D16810" t="s">
        <v>14</v>
      </c>
      <c r="E16810" t="s">
        <v>23161</v>
      </c>
      <c r="F16810" t="s">
        <v>23329</v>
      </c>
    </row>
    <row r="16811" spans="1:6" x14ac:dyDescent="0.25">
      <c r="A16811" t="str">
        <f>"7724756041"</f>
        <v>7724756041</v>
      </c>
      <c r="B16811" t="s">
        <v>23330</v>
      </c>
      <c r="C16811" t="s">
        <v>7</v>
      </c>
      <c r="D16811" t="s">
        <v>146</v>
      </c>
      <c r="E16811" t="s">
        <v>23161</v>
      </c>
      <c r="F16811" t="s">
        <v>23331</v>
      </c>
    </row>
    <row r="16812" spans="1:6" x14ac:dyDescent="0.25">
      <c r="A16812" t="str">
        <f>"772481202445"</f>
        <v>772481202445</v>
      </c>
      <c r="B16812" t="s">
        <v>23332</v>
      </c>
      <c r="C16812" t="s">
        <v>7</v>
      </c>
      <c r="D16812" t="s">
        <v>14</v>
      </c>
      <c r="E16812" t="s">
        <v>23161</v>
      </c>
    </row>
    <row r="16813" spans="1:6" x14ac:dyDescent="0.25">
      <c r="A16813" t="str">
        <f>"772483857239"</f>
        <v>772483857239</v>
      </c>
      <c r="B16813" t="s">
        <v>23333</v>
      </c>
      <c r="C16813" t="s">
        <v>7</v>
      </c>
      <c r="D16813" t="s">
        <v>14</v>
      </c>
      <c r="E16813" t="s">
        <v>23161</v>
      </c>
    </row>
    <row r="16814" spans="1:6" x14ac:dyDescent="0.25">
      <c r="A16814" t="str">
        <f>"772484703376"</f>
        <v>772484703376</v>
      </c>
      <c r="B16814" t="s">
        <v>23334</v>
      </c>
      <c r="C16814" t="s">
        <v>7</v>
      </c>
      <c r="D16814" t="s">
        <v>12</v>
      </c>
      <c r="E16814" t="s">
        <v>23161</v>
      </c>
    </row>
    <row r="16815" spans="1:6" x14ac:dyDescent="0.25">
      <c r="A16815" t="str">
        <f>"772495783197"</f>
        <v>772495783197</v>
      </c>
      <c r="B16815" t="s">
        <v>23335</v>
      </c>
      <c r="C16815" t="s">
        <v>7</v>
      </c>
      <c r="D16815" t="s">
        <v>14</v>
      </c>
      <c r="E16815" t="s">
        <v>23161</v>
      </c>
    </row>
    <row r="16816" spans="1:6" x14ac:dyDescent="0.25">
      <c r="A16816" t="str">
        <f>"772498371794"</f>
        <v>772498371794</v>
      </c>
      <c r="B16816" t="s">
        <v>23336</v>
      </c>
      <c r="C16816" t="s">
        <v>7</v>
      </c>
      <c r="D16816" t="s">
        <v>14</v>
      </c>
      <c r="E16816" t="s">
        <v>23161</v>
      </c>
    </row>
    <row r="16817" spans="1:6" x14ac:dyDescent="0.25">
      <c r="A16817" t="str">
        <f>"772500360601"</f>
        <v>772500360601</v>
      </c>
      <c r="B16817" t="s">
        <v>23337</v>
      </c>
      <c r="C16817" t="s">
        <v>7</v>
      </c>
      <c r="D16817" t="s">
        <v>14</v>
      </c>
      <c r="E16817" t="s">
        <v>23161</v>
      </c>
    </row>
    <row r="16818" spans="1:6" x14ac:dyDescent="0.25">
      <c r="A16818" t="str">
        <f>"7725080060"</f>
        <v>7725080060</v>
      </c>
      <c r="B16818" t="s">
        <v>23338</v>
      </c>
      <c r="C16818" t="s">
        <v>7</v>
      </c>
      <c r="D16818" t="s">
        <v>14</v>
      </c>
      <c r="E16818" t="s">
        <v>23161</v>
      </c>
      <c r="F16818" t="s">
        <v>23339</v>
      </c>
    </row>
    <row r="16819" spans="1:6" x14ac:dyDescent="0.25">
      <c r="A16819" t="str">
        <f>"772508841593"</f>
        <v>772508841593</v>
      </c>
      <c r="B16819" t="s">
        <v>23340</v>
      </c>
      <c r="C16819" t="s">
        <v>7</v>
      </c>
      <c r="D16819" t="s">
        <v>14</v>
      </c>
      <c r="E16819" t="s">
        <v>23161</v>
      </c>
    </row>
    <row r="16820" spans="1:6" x14ac:dyDescent="0.25">
      <c r="A16820" t="str">
        <f>"7725267815"</f>
        <v>7725267815</v>
      </c>
      <c r="B16820" t="s">
        <v>23341</v>
      </c>
      <c r="C16820" t="s">
        <v>7</v>
      </c>
      <c r="D16820" t="s">
        <v>33</v>
      </c>
      <c r="E16820" t="s">
        <v>23161</v>
      </c>
      <c r="F16820" t="s">
        <v>23342</v>
      </c>
    </row>
    <row r="16821" spans="1:6" x14ac:dyDescent="0.25">
      <c r="A16821" t="str">
        <f>"7725364463"</f>
        <v>7725364463</v>
      </c>
      <c r="B16821" t="s">
        <v>23343</v>
      </c>
      <c r="C16821" t="s">
        <v>7</v>
      </c>
      <c r="D16821" t="s">
        <v>33</v>
      </c>
      <c r="E16821" t="s">
        <v>23161</v>
      </c>
      <c r="F16821" t="s">
        <v>23344</v>
      </c>
    </row>
    <row r="16822" spans="1:6" x14ac:dyDescent="0.25">
      <c r="A16822" t="str">
        <f>"7725369310"</f>
        <v>7725369310</v>
      </c>
      <c r="B16822" t="s">
        <v>23345</v>
      </c>
      <c r="C16822" t="s">
        <v>7</v>
      </c>
      <c r="D16822" t="s">
        <v>33</v>
      </c>
      <c r="E16822" t="s">
        <v>23161</v>
      </c>
      <c r="F16822" t="s">
        <v>23346</v>
      </c>
    </row>
    <row r="16823" spans="1:6" x14ac:dyDescent="0.25">
      <c r="A16823" t="str">
        <f>"4223120468"</f>
        <v>4223120468</v>
      </c>
      <c r="B16823" t="s">
        <v>23347</v>
      </c>
      <c r="C16823" t="s">
        <v>7</v>
      </c>
      <c r="D16823" t="s">
        <v>14</v>
      </c>
      <c r="E16823" t="s">
        <v>23161</v>
      </c>
      <c r="F16823" t="s">
        <v>23348</v>
      </c>
    </row>
    <row r="16824" spans="1:6" x14ac:dyDescent="0.25">
      <c r="A16824" t="str">
        <f>"4252000951"</f>
        <v>4252000951</v>
      </c>
      <c r="B16824" t="s">
        <v>2296</v>
      </c>
      <c r="C16824" t="s">
        <v>7</v>
      </c>
      <c r="D16824" t="s">
        <v>98</v>
      </c>
      <c r="E16824" t="s">
        <v>23161</v>
      </c>
      <c r="F16824" t="s">
        <v>23349</v>
      </c>
    </row>
    <row r="16825" spans="1:6" x14ac:dyDescent="0.25">
      <c r="A16825" t="str">
        <f>"690900039212"</f>
        <v>690900039212</v>
      </c>
      <c r="B16825" t="s">
        <v>23350</v>
      </c>
      <c r="C16825" t="s">
        <v>7</v>
      </c>
      <c r="D16825" t="s">
        <v>14</v>
      </c>
      <c r="E16825" t="s">
        <v>23161</v>
      </c>
    </row>
    <row r="16826" spans="1:6" x14ac:dyDescent="0.25">
      <c r="A16826" t="str">
        <f>"246107746227"</f>
        <v>246107746227</v>
      </c>
      <c r="B16826" t="s">
        <v>23351</v>
      </c>
      <c r="C16826" t="s">
        <v>7</v>
      </c>
      <c r="D16826" t="s">
        <v>14</v>
      </c>
      <c r="E16826" t="s">
        <v>23161</v>
      </c>
    </row>
    <row r="16827" spans="1:6" x14ac:dyDescent="0.25">
      <c r="A16827" t="str">
        <f>"246213658082"</f>
        <v>246213658082</v>
      </c>
      <c r="B16827" t="s">
        <v>23352</v>
      </c>
      <c r="C16827" t="s">
        <v>7</v>
      </c>
      <c r="D16827" t="s">
        <v>14</v>
      </c>
      <c r="E16827" t="s">
        <v>23161</v>
      </c>
    </row>
    <row r="16828" spans="1:6" x14ac:dyDescent="0.25">
      <c r="A16828" t="str">
        <f>"7720909709"</f>
        <v>7720909709</v>
      </c>
      <c r="B16828" t="s">
        <v>23353</v>
      </c>
      <c r="C16828" t="s">
        <v>7</v>
      </c>
      <c r="D16828" t="s">
        <v>33</v>
      </c>
      <c r="E16828" t="s">
        <v>23161</v>
      </c>
      <c r="F16828" t="s">
        <v>23354</v>
      </c>
    </row>
    <row r="16829" spans="1:6" x14ac:dyDescent="0.25">
      <c r="A16829" t="str">
        <f>"7720924129"</f>
        <v>7720924129</v>
      </c>
      <c r="B16829" t="s">
        <v>23355</v>
      </c>
      <c r="C16829" t="s">
        <v>7</v>
      </c>
      <c r="D16829" t="s">
        <v>12</v>
      </c>
      <c r="E16829" t="s">
        <v>23161</v>
      </c>
      <c r="F16829" t="s">
        <v>23356</v>
      </c>
    </row>
    <row r="16830" spans="1:6" x14ac:dyDescent="0.25">
      <c r="A16830" t="str">
        <f>"7720935554"</f>
        <v>7720935554</v>
      </c>
      <c r="B16830" t="s">
        <v>23357</v>
      </c>
      <c r="C16830" t="s">
        <v>7</v>
      </c>
      <c r="D16830" t="s">
        <v>33</v>
      </c>
      <c r="E16830" t="s">
        <v>23161</v>
      </c>
      <c r="F16830" t="s">
        <v>23358</v>
      </c>
    </row>
    <row r="16831" spans="1:6" x14ac:dyDescent="0.25">
      <c r="A16831" t="str">
        <f>"7720942223"</f>
        <v>7720942223</v>
      </c>
      <c r="B16831" t="s">
        <v>23359</v>
      </c>
      <c r="C16831" t="s">
        <v>7</v>
      </c>
      <c r="D16831" t="s">
        <v>14</v>
      </c>
      <c r="E16831" t="s">
        <v>23161</v>
      </c>
      <c r="F16831" t="s">
        <v>23360</v>
      </c>
    </row>
    <row r="16832" spans="1:6" x14ac:dyDescent="0.25">
      <c r="A16832" t="str">
        <f>"7720947373"</f>
        <v>7720947373</v>
      </c>
      <c r="B16832" t="s">
        <v>23361</v>
      </c>
      <c r="C16832" t="s">
        <v>7</v>
      </c>
      <c r="D16832" t="s">
        <v>14</v>
      </c>
      <c r="E16832" t="s">
        <v>23161</v>
      </c>
      <c r="F16832" t="s">
        <v>23362</v>
      </c>
    </row>
    <row r="16833" spans="1:6" x14ac:dyDescent="0.25">
      <c r="A16833" t="str">
        <f>"772104388882"</f>
        <v>772104388882</v>
      </c>
      <c r="B16833" t="s">
        <v>23363</v>
      </c>
      <c r="C16833" t="s">
        <v>7</v>
      </c>
      <c r="D16833" t="s">
        <v>14</v>
      </c>
      <c r="E16833" t="s">
        <v>23161</v>
      </c>
    </row>
    <row r="16834" spans="1:6" x14ac:dyDescent="0.25">
      <c r="A16834" t="str">
        <f>"772137228588"</f>
        <v>772137228588</v>
      </c>
      <c r="B16834" t="s">
        <v>23364</v>
      </c>
      <c r="C16834" t="s">
        <v>7</v>
      </c>
      <c r="D16834" t="s">
        <v>14</v>
      </c>
      <c r="E16834" t="s">
        <v>23161</v>
      </c>
    </row>
    <row r="16835" spans="1:6" x14ac:dyDescent="0.25">
      <c r="A16835" t="str">
        <f>"772140295584"</f>
        <v>772140295584</v>
      </c>
      <c r="B16835" t="s">
        <v>23365</v>
      </c>
      <c r="C16835" t="s">
        <v>7</v>
      </c>
      <c r="D16835" t="s">
        <v>12</v>
      </c>
      <c r="E16835" t="s">
        <v>23161</v>
      </c>
    </row>
    <row r="16836" spans="1:6" x14ac:dyDescent="0.25">
      <c r="A16836" t="str">
        <f>"772144363066"</f>
        <v>772144363066</v>
      </c>
      <c r="B16836" t="s">
        <v>23366</v>
      </c>
      <c r="C16836" t="s">
        <v>7</v>
      </c>
      <c r="D16836" t="s">
        <v>14</v>
      </c>
      <c r="E16836" t="s">
        <v>23161</v>
      </c>
    </row>
    <row r="16837" spans="1:6" x14ac:dyDescent="0.25">
      <c r="A16837" t="str">
        <f>"772160946587"</f>
        <v>772160946587</v>
      </c>
      <c r="B16837" t="s">
        <v>23367</v>
      </c>
      <c r="C16837" t="s">
        <v>7</v>
      </c>
      <c r="D16837" t="s">
        <v>12</v>
      </c>
      <c r="E16837" t="s">
        <v>23161</v>
      </c>
    </row>
    <row r="16838" spans="1:6" x14ac:dyDescent="0.25">
      <c r="A16838" t="str">
        <f>"772164088266"</f>
        <v>772164088266</v>
      </c>
      <c r="B16838" t="s">
        <v>23368</v>
      </c>
      <c r="C16838" t="s">
        <v>7</v>
      </c>
      <c r="D16838" t="s">
        <v>586</v>
      </c>
      <c r="E16838" t="s">
        <v>23161</v>
      </c>
    </row>
    <row r="16839" spans="1:6" x14ac:dyDescent="0.25">
      <c r="A16839" t="str">
        <f>"772169117658"</f>
        <v>772169117658</v>
      </c>
      <c r="B16839" t="s">
        <v>23369</v>
      </c>
      <c r="C16839" t="s">
        <v>7</v>
      </c>
      <c r="D16839" t="s">
        <v>14</v>
      </c>
      <c r="E16839" t="s">
        <v>23161</v>
      </c>
    </row>
    <row r="16840" spans="1:6" x14ac:dyDescent="0.25">
      <c r="A16840" t="str">
        <f>"7721808982"</f>
        <v>7721808982</v>
      </c>
      <c r="B16840" t="s">
        <v>23370</v>
      </c>
      <c r="C16840" t="s">
        <v>7</v>
      </c>
      <c r="D16840" t="s">
        <v>33</v>
      </c>
      <c r="E16840" t="s">
        <v>23161</v>
      </c>
      <c r="F16840" t="s">
        <v>23371</v>
      </c>
    </row>
    <row r="16841" spans="1:6" x14ac:dyDescent="0.25">
      <c r="A16841" t="str">
        <f>"7721810117"</f>
        <v>7721810117</v>
      </c>
      <c r="B16841" t="s">
        <v>23372</v>
      </c>
      <c r="C16841" t="s">
        <v>7</v>
      </c>
      <c r="D16841" t="s">
        <v>189</v>
      </c>
      <c r="E16841" t="s">
        <v>23161</v>
      </c>
      <c r="F16841" t="s">
        <v>23373</v>
      </c>
    </row>
    <row r="16842" spans="1:6" x14ac:dyDescent="0.25">
      <c r="A16842" t="str">
        <f>"7721842856"</f>
        <v>7721842856</v>
      </c>
      <c r="B16842" t="s">
        <v>23374</v>
      </c>
      <c r="C16842" t="s">
        <v>7</v>
      </c>
      <c r="D16842" t="s">
        <v>12</v>
      </c>
      <c r="E16842" t="s">
        <v>23161</v>
      </c>
      <c r="F16842" t="s">
        <v>23375</v>
      </c>
    </row>
    <row r="16843" spans="1:6" x14ac:dyDescent="0.25">
      <c r="A16843" t="str">
        <f>"7721850381"</f>
        <v>7721850381</v>
      </c>
      <c r="B16843" t="s">
        <v>23376</v>
      </c>
      <c r="C16843" t="s">
        <v>7</v>
      </c>
      <c r="D16843" t="s">
        <v>14</v>
      </c>
      <c r="E16843" t="s">
        <v>23161</v>
      </c>
      <c r="F16843" t="s">
        <v>23377</v>
      </c>
    </row>
    <row r="16844" spans="1:6" x14ac:dyDescent="0.25">
      <c r="A16844" t="str">
        <f>"7722332512"</f>
        <v>7722332512</v>
      </c>
      <c r="B16844" t="s">
        <v>23378</v>
      </c>
      <c r="C16844" t="s">
        <v>7</v>
      </c>
      <c r="D16844" t="s">
        <v>8</v>
      </c>
      <c r="E16844" t="s">
        <v>23161</v>
      </c>
      <c r="F16844" t="s">
        <v>23379</v>
      </c>
    </row>
    <row r="16845" spans="1:6" x14ac:dyDescent="0.25">
      <c r="A16845" t="str">
        <f>"7722395181"</f>
        <v>7722395181</v>
      </c>
      <c r="B16845" t="s">
        <v>23380</v>
      </c>
      <c r="C16845" t="s">
        <v>7</v>
      </c>
      <c r="D16845" t="s">
        <v>33</v>
      </c>
      <c r="E16845" t="s">
        <v>23161</v>
      </c>
      <c r="F16845" t="s">
        <v>23381</v>
      </c>
    </row>
    <row r="16846" spans="1:6" x14ac:dyDescent="0.25">
      <c r="A16846" t="str">
        <f>"7722404887"</f>
        <v>7722404887</v>
      </c>
      <c r="B16846" t="s">
        <v>23382</v>
      </c>
      <c r="C16846" t="s">
        <v>7</v>
      </c>
      <c r="D16846" t="s">
        <v>8</v>
      </c>
      <c r="E16846" t="s">
        <v>23161</v>
      </c>
      <c r="F16846" t="s">
        <v>23383</v>
      </c>
    </row>
    <row r="16847" spans="1:6" x14ac:dyDescent="0.25">
      <c r="A16847" t="str">
        <f>"7722405672"</f>
        <v>7722405672</v>
      </c>
      <c r="B16847" t="s">
        <v>3120</v>
      </c>
      <c r="C16847" t="s">
        <v>7</v>
      </c>
      <c r="D16847" t="s">
        <v>12</v>
      </c>
      <c r="E16847" t="s">
        <v>23161</v>
      </c>
      <c r="F16847" t="s">
        <v>23384</v>
      </c>
    </row>
    <row r="16848" spans="1:6" x14ac:dyDescent="0.25">
      <c r="A16848" t="str">
        <f>"7722472968"</f>
        <v>7722472968</v>
      </c>
      <c r="B16848" t="s">
        <v>23385</v>
      </c>
      <c r="C16848" t="s">
        <v>7</v>
      </c>
      <c r="D16848" t="s">
        <v>189</v>
      </c>
      <c r="E16848" t="s">
        <v>23161</v>
      </c>
      <c r="F16848" t="s">
        <v>23386</v>
      </c>
    </row>
    <row r="16849" spans="1:6" x14ac:dyDescent="0.25">
      <c r="A16849" t="str">
        <f>"7722474796"</f>
        <v>7722474796</v>
      </c>
      <c r="B16849" t="s">
        <v>23387</v>
      </c>
      <c r="C16849" t="s">
        <v>7</v>
      </c>
      <c r="D16849" t="s">
        <v>674</v>
      </c>
      <c r="E16849" t="s">
        <v>23161</v>
      </c>
      <c r="F16849" t="s">
        <v>23388</v>
      </c>
    </row>
    <row r="16850" spans="1:6" x14ac:dyDescent="0.25">
      <c r="A16850" t="str">
        <f>"7722479096"</f>
        <v>7722479096</v>
      </c>
      <c r="B16850" t="s">
        <v>23389</v>
      </c>
      <c r="C16850" t="s">
        <v>7</v>
      </c>
      <c r="D16850" t="s">
        <v>8</v>
      </c>
      <c r="E16850" t="s">
        <v>23161</v>
      </c>
      <c r="F16850" t="s">
        <v>23390</v>
      </c>
    </row>
    <row r="16851" spans="1:6" x14ac:dyDescent="0.25">
      <c r="A16851" t="str">
        <f>"7722582752"</f>
        <v>7722582752</v>
      </c>
      <c r="B16851" t="s">
        <v>23391</v>
      </c>
      <c r="C16851" t="s">
        <v>7</v>
      </c>
      <c r="D16851" t="s">
        <v>14</v>
      </c>
      <c r="E16851" t="s">
        <v>23161</v>
      </c>
      <c r="F16851" t="s">
        <v>23392</v>
      </c>
    </row>
    <row r="16852" spans="1:6" x14ac:dyDescent="0.25">
      <c r="A16852" t="str">
        <f>"7722723548"</f>
        <v>7722723548</v>
      </c>
      <c r="B16852" t="s">
        <v>23393</v>
      </c>
      <c r="C16852" t="s">
        <v>7</v>
      </c>
      <c r="D16852" t="s">
        <v>12</v>
      </c>
      <c r="E16852" t="s">
        <v>23161</v>
      </c>
      <c r="F16852" t="s">
        <v>23394</v>
      </c>
    </row>
    <row r="16853" spans="1:6" x14ac:dyDescent="0.25">
      <c r="A16853" t="str">
        <f>"7723009689"</f>
        <v>7723009689</v>
      </c>
      <c r="B16853" t="s">
        <v>23395</v>
      </c>
      <c r="C16853" t="s">
        <v>7</v>
      </c>
      <c r="D16853" t="s">
        <v>14</v>
      </c>
      <c r="E16853" t="s">
        <v>23161</v>
      </c>
      <c r="F16853" t="s">
        <v>23396</v>
      </c>
    </row>
    <row r="16854" spans="1:6" x14ac:dyDescent="0.25">
      <c r="A16854" t="str">
        <f>"7723018161"</f>
        <v>7723018161</v>
      </c>
      <c r="B16854" t="s">
        <v>23397</v>
      </c>
      <c r="C16854" t="s">
        <v>7</v>
      </c>
      <c r="D16854" t="s">
        <v>14</v>
      </c>
      <c r="E16854" t="s">
        <v>23161</v>
      </c>
      <c r="F16854" t="s">
        <v>23398</v>
      </c>
    </row>
    <row r="16855" spans="1:6" x14ac:dyDescent="0.25">
      <c r="A16855" t="str">
        <f>"772316279356"</f>
        <v>772316279356</v>
      </c>
      <c r="B16855" t="s">
        <v>23399</v>
      </c>
      <c r="C16855" t="s">
        <v>7</v>
      </c>
      <c r="D16855" t="s">
        <v>14</v>
      </c>
      <c r="E16855" t="s">
        <v>23161</v>
      </c>
    </row>
    <row r="16856" spans="1:6" x14ac:dyDescent="0.25">
      <c r="A16856" t="str">
        <f>"772326086924"</f>
        <v>772326086924</v>
      </c>
      <c r="B16856" t="s">
        <v>23400</v>
      </c>
      <c r="C16856" t="s">
        <v>7</v>
      </c>
      <c r="D16856" t="s">
        <v>12</v>
      </c>
      <c r="E16856" t="s">
        <v>23161</v>
      </c>
    </row>
    <row r="16857" spans="1:6" x14ac:dyDescent="0.25">
      <c r="A16857" t="str">
        <f>"772331099140"</f>
        <v>772331099140</v>
      </c>
      <c r="B16857" t="s">
        <v>23401</v>
      </c>
      <c r="C16857" t="s">
        <v>7</v>
      </c>
      <c r="D16857" t="s">
        <v>14</v>
      </c>
      <c r="E16857" t="s">
        <v>23161</v>
      </c>
    </row>
    <row r="16858" spans="1:6" x14ac:dyDescent="0.25">
      <c r="A16858" t="str">
        <f>"7723388204"</f>
        <v>7723388204</v>
      </c>
      <c r="B16858" t="s">
        <v>23402</v>
      </c>
      <c r="C16858" t="s">
        <v>7</v>
      </c>
      <c r="D16858" t="s">
        <v>674</v>
      </c>
      <c r="E16858" t="s">
        <v>23161</v>
      </c>
      <c r="F16858" t="s">
        <v>23403</v>
      </c>
    </row>
    <row r="16859" spans="1:6" x14ac:dyDescent="0.25">
      <c r="A16859" t="str">
        <f>"7723393317"</f>
        <v>7723393317</v>
      </c>
      <c r="B16859" t="s">
        <v>23404</v>
      </c>
      <c r="C16859" t="s">
        <v>7</v>
      </c>
      <c r="D16859" t="s">
        <v>189</v>
      </c>
      <c r="E16859" t="s">
        <v>23161</v>
      </c>
      <c r="F16859" t="s">
        <v>23405</v>
      </c>
    </row>
    <row r="16860" spans="1:6" x14ac:dyDescent="0.25">
      <c r="A16860" t="str">
        <f>"7723409609"</f>
        <v>7723409609</v>
      </c>
      <c r="B16860" t="s">
        <v>23406</v>
      </c>
      <c r="C16860" t="s">
        <v>7</v>
      </c>
      <c r="D16860" t="s">
        <v>12</v>
      </c>
      <c r="E16860" t="s">
        <v>23161</v>
      </c>
      <c r="F16860" t="s">
        <v>23407</v>
      </c>
    </row>
    <row r="16861" spans="1:6" x14ac:dyDescent="0.25">
      <c r="A16861" t="str">
        <f>"7723422381"</f>
        <v>7723422381</v>
      </c>
      <c r="B16861" t="s">
        <v>23408</v>
      </c>
      <c r="C16861" t="s">
        <v>7</v>
      </c>
      <c r="D16861" t="s">
        <v>12</v>
      </c>
      <c r="E16861" t="s">
        <v>23161</v>
      </c>
      <c r="F16861" t="s">
        <v>23409</v>
      </c>
    </row>
    <row r="16862" spans="1:6" x14ac:dyDescent="0.25">
      <c r="A16862" t="str">
        <f>"7723574835"</f>
        <v>7723574835</v>
      </c>
      <c r="B16862" t="s">
        <v>5805</v>
      </c>
      <c r="C16862" t="s">
        <v>7</v>
      </c>
      <c r="D16862" t="s">
        <v>1430</v>
      </c>
      <c r="E16862" t="s">
        <v>23161</v>
      </c>
      <c r="F16862" t="s">
        <v>23410</v>
      </c>
    </row>
    <row r="16863" spans="1:6" x14ac:dyDescent="0.25">
      <c r="A16863" t="str">
        <f>"7723706908"</f>
        <v>7723706908</v>
      </c>
      <c r="B16863" t="s">
        <v>23411</v>
      </c>
      <c r="C16863" t="s">
        <v>7</v>
      </c>
      <c r="D16863" t="s">
        <v>33</v>
      </c>
      <c r="E16863" t="s">
        <v>23161</v>
      </c>
      <c r="F16863" t="s">
        <v>23412</v>
      </c>
    </row>
    <row r="16864" spans="1:6" x14ac:dyDescent="0.25">
      <c r="A16864" t="str">
        <f>"7723717120"</f>
        <v>7723717120</v>
      </c>
      <c r="B16864" t="s">
        <v>23413</v>
      </c>
      <c r="C16864" t="s">
        <v>7</v>
      </c>
      <c r="D16864" t="s">
        <v>33</v>
      </c>
      <c r="E16864" t="s">
        <v>23161</v>
      </c>
      <c r="F16864" t="s">
        <v>23414</v>
      </c>
    </row>
    <row r="16865" spans="1:6" x14ac:dyDescent="0.25">
      <c r="A16865" t="str">
        <f>"7723739205"</f>
        <v>7723739205</v>
      </c>
      <c r="B16865" t="s">
        <v>12886</v>
      </c>
      <c r="C16865" t="s">
        <v>7</v>
      </c>
      <c r="D16865" t="s">
        <v>12</v>
      </c>
      <c r="E16865" t="s">
        <v>23161</v>
      </c>
      <c r="F16865" t="s">
        <v>23409</v>
      </c>
    </row>
    <row r="16866" spans="1:6" x14ac:dyDescent="0.25">
      <c r="A16866" t="str">
        <f>"772377368814"</f>
        <v>772377368814</v>
      </c>
      <c r="B16866" t="s">
        <v>23415</v>
      </c>
      <c r="C16866" t="s">
        <v>7</v>
      </c>
      <c r="D16866" t="s">
        <v>12</v>
      </c>
      <c r="E16866" t="s">
        <v>23161</v>
      </c>
    </row>
    <row r="16867" spans="1:6" x14ac:dyDescent="0.25">
      <c r="A16867" t="str">
        <f>"7723903423"</f>
        <v>7723903423</v>
      </c>
      <c r="B16867" t="s">
        <v>23416</v>
      </c>
      <c r="C16867" t="s">
        <v>7</v>
      </c>
      <c r="D16867" t="s">
        <v>33</v>
      </c>
      <c r="E16867" t="s">
        <v>23161</v>
      </c>
      <c r="F16867" t="s">
        <v>23417</v>
      </c>
    </row>
    <row r="16868" spans="1:6" x14ac:dyDescent="0.25">
      <c r="A16868" t="str">
        <f>"772415025970"</f>
        <v>772415025970</v>
      </c>
      <c r="B16868" t="s">
        <v>23418</v>
      </c>
      <c r="C16868" t="s">
        <v>7</v>
      </c>
      <c r="D16868" t="s">
        <v>14</v>
      </c>
      <c r="E16868" t="s">
        <v>23161</v>
      </c>
    </row>
    <row r="16869" spans="1:6" x14ac:dyDescent="0.25">
      <c r="A16869" t="str">
        <f>"772422208526"</f>
        <v>772422208526</v>
      </c>
      <c r="B16869" t="s">
        <v>23419</v>
      </c>
      <c r="C16869" t="s">
        <v>7</v>
      </c>
      <c r="D16869" t="s">
        <v>14</v>
      </c>
      <c r="E16869" t="s">
        <v>23161</v>
      </c>
    </row>
    <row r="16870" spans="1:6" x14ac:dyDescent="0.25">
      <c r="A16870" t="str">
        <f>"7724308868"</f>
        <v>7724308868</v>
      </c>
      <c r="B16870" t="s">
        <v>23420</v>
      </c>
      <c r="C16870" t="s">
        <v>7</v>
      </c>
      <c r="D16870" t="s">
        <v>33</v>
      </c>
      <c r="E16870" t="s">
        <v>23161</v>
      </c>
      <c r="F16870" t="s">
        <v>23421</v>
      </c>
    </row>
    <row r="16871" spans="1:6" x14ac:dyDescent="0.25">
      <c r="A16871" t="str">
        <f>"772444060270"</f>
        <v>772444060270</v>
      </c>
      <c r="B16871" t="s">
        <v>23422</v>
      </c>
      <c r="C16871" t="s">
        <v>7</v>
      </c>
      <c r="D16871" t="s">
        <v>14</v>
      </c>
      <c r="E16871" t="s">
        <v>23161</v>
      </c>
    </row>
    <row r="16872" spans="1:6" x14ac:dyDescent="0.25">
      <c r="A16872" t="str">
        <f>"7724445007"</f>
        <v>7724445007</v>
      </c>
      <c r="B16872" t="s">
        <v>23423</v>
      </c>
      <c r="C16872" t="s">
        <v>7</v>
      </c>
      <c r="D16872" t="s">
        <v>12</v>
      </c>
      <c r="E16872" t="s">
        <v>23161</v>
      </c>
      <c r="F16872" t="s">
        <v>23424</v>
      </c>
    </row>
    <row r="16873" spans="1:6" x14ac:dyDescent="0.25">
      <c r="A16873" t="str">
        <f>"772445668248"</f>
        <v>772445668248</v>
      </c>
      <c r="B16873" t="s">
        <v>23425</v>
      </c>
      <c r="C16873" t="s">
        <v>7</v>
      </c>
      <c r="D16873" t="s">
        <v>14</v>
      </c>
      <c r="E16873" t="s">
        <v>23161</v>
      </c>
    </row>
    <row r="16874" spans="1:6" x14ac:dyDescent="0.25">
      <c r="A16874" t="str">
        <f>"772445815580"</f>
        <v>772445815580</v>
      </c>
      <c r="B16874" t="s">
        <v>23426</v>
      </c>
      <c r="C16874" t="s">
        <v>7</v>
      </c>
      <c r="D16874" t="s">
        <v>14</v>
      </c>
      <c r="E16874" t="s">
        <v>23161</v>
      </c>
    </row>
    <row r="16875" spans="1:6" x14ac:dyDescent="0.25">
      <c r="A16875" t="str">
        <f>"772446450004"</f>
        <v>772446450004</v>
      </c>
      <c r="B16875" t="s">
        <v>23427</v>
      </c>
      <c r="C16875" t="s">
        <v>7</v>
      </c>
      <c r="D16875" t="s">
        <v>14</v>
      </c>
      <c r="E16875" t="s">
        <v>23161</v>
      </c>
    </row>
    <row r="16876" spans="1:6" x14ac:dyDescent="0.25">
      <c r="A16876" t="str">
        <f>"7724482030"</f>
        <v>7724482030</v>
      </c>
      <c r="B16876" t="s">
        <v>23428</v>
      </c>
      <c r="C16876" t="s">
        <v>7</v>
      </c>
      <c r="D16876" t="s">
        <v>189</v>
      </c>
      <c r="E16876" t="s">
        <v>23161</v>
      </c>
      <c r="F16876" t="s">
        <v>23429</v>
      </c>
    </row>
    <row r="16877" spans="1:6" x14ac:dyDescent="0.25">
      <c r="A16877" t="str">
        <f>"772451003065"</f>
        <v>772451003065</v>
      </c>
      <c r="B16877" t="s">
        <v>23430</v>
      </c>
      <c r="C16877" t="s">
        <v>7</v>
      </c>
      <c r="D16877" t="s">
        <v>14</v>
      </c>
      <c r="E16877" t="s">
        <v>23161</v>
      </c>
    </row>
    <row r="16878" spans="1:6" x14ac:dyDescent="0.25">
      <c r="A16878" t="str">
        <f>"772452643685"</f>
        <v>772452643685</v>
      </c>
      <c r="B16878" t="s">
        <v>23431</v>
      </c>
      <c r="C16878" t="s">
        <v>7</v>
      </c>
      <c r="D16878" t="s">
        <v>14</v>
      </c>
      <c r="E16878" t="s">
        <v>23161</v>
      </c>
    </row>
    <row r="16879" spans="1:6" x14ac:dyDescent="0.25">
      <c r="A16879" t="str">
        <f>"772465007870"</f>
        <v>772465007870</v>
      </c>
      <c r="B16879" t="s">
        <v>23432</v>
      </c>
      <c r="C16879" t="s">
        <v>7</v>
      </c>
      <c r="D16879" t="s">
        <v>33</v>
      </c>
      <c r="E16879" t="s">
        <v>23161</v>
      </c>
    </row>
    <row r="16880" spans="1:6" x14ac:dyDescent="0.25">
      <c r="A16880" t="str">
        <f>"772470275498"</f>
        <v>772470275498</v>
      </c>
      <c r="B16880" t="s">
        <v>23433</v>
      </c>
      <c r="C16880" t="s">
        <v>7</v>
      </c>
      <c r="D16880" t="s">
        <v>12</v>
      </c>
      <c r="E16880" t="s">
        <v>23161</v>
      </c>
    </row>
    <row r="16881" spans="1:6" x14ac:dyDescent="0.25">
      <c r="A16881" t="str">
        <f>"772478243360"</f>
        <v>772478243360</v>
      </c>
      <c r="B16881" t="s">
        <v>17712</v>
      </c>
      <c r="C16881" t="s">
        <v>7</v>
      </c>
      <c r="D16881" t="s">
        <v>14</v>
      </c>
      <c r="E16881" t="s">
        <v>23161</v>
      </c>
    </row>
    <row r="16882" spans="1:6" x14ac:dyDescent="0.25">
      <c r="A16882" t="str">
        <f>"7724787138"</f>
        <v>7724787138</v>
      </c>
      <c r="B16882" t="s">
        <v>9980</v>
      </c>
      <c r="C16882" t="s">
        <v>7</v>
      </c>
      <c r="D16882" t="s">
        <v>8</v>
      </c>
      <c r="E16882" t="s">
        <v>23161</v>
      </c>
      <c r="F16882" t="s">
        <v>23434</v>
      </c>
    </row>
    <row r="16883" spans="1:6" x14ac:dyDescent="0.25">
      <c r="A16883" t="str">
        <f>"7724803936"</f>
        <v>7724803936</v>
      </c>
      <c r="B16883" t="s">
        <v>23435</v>
      </c>
      <c r="C16883" t="s">
        <v>7</v>
      </c>
      <c r="D16883" t="s">
        <v>98</v>
      </c>
      <c r="E16883" t="s">
        <v>23161</v>
      </c>
      <c r="F16883" t="s">
        <v>23436</v>
      </c>
    </row>
    <row r="16884" spans="1:6" x14ac:dyDescent="0.25">
      <c r="A16884" t="str">
        <f>"7724916249"</f>
        <v>7724916249</v>
      </c>
      <c r="B16884" t="s">
        <v>7045</v>
      </c>
      <c r="C16884" t="s">
        <v>7</v>
      </c>
      <c r="D16884" t="s">
        <v>33</v>
      </c>
      <c r="E16884" t="s">
        <v>23161</v>
      </c>
      <c r="F16884" t="s">
        <v>23437</v>
      </c>
    </row>
    <row r="16885" spans="1:6" x14ac:dyDescent="0.25">
      <c r="A16885" t="str">
        <f>"323305713651"</f>
        <v>323305713651</v>
      </c>
      <c r="B16885" t="s">
        <v>23438</v>
      </c>
      <c r="C16885" t="s">
        <v>7</v>
      </c>
      <c r="D16885" t="s">
        <v>14</v>
      </c>
      <c r="E16885" t="s">
        <v>23161</v>
      </c>
    </row>
    <row r="16886" spans="1:6" x14ac:dyDescent="0.25">
      <c r="A16886" t="str">
        <f>"324900682308"</f>
        <v>324900682308</v>
      </c>
      <c r="B16886" t="s">
        <v>23439</v>
      </c>
      <c r="C16886" t="s">
        <v>7</v>
      </c>
      <c r="D16886" t="s">
        <v>14</v>
      </c>
      <c r="E16886" t="s">
        <v>23161</v>
      </c>
    </row>
    <row r="16887" spans="1:6" x14ac:dyDescent="0.25">
      <c r="A16887" t="str">
        <f>"325503738027"</f>
        <v>325503738027</v>
      </c>
      <c r="B16887" t="s">
        <v>23440</v>
      </c>
      <c r="C16887" t="s">
        <v>7</v>
      </c>
      <c r="D16887" t="s">
        <v>14</v>
      </c>
      <c r="E16887" t="s">
        <v>23161</v>
      </c>
    </row>
    <row r="16888" spans="1:6" x14ac:dyDescent="0.25">
      <c r="A16888" t="str">
        <f>"5003015244"</f>
        <v>5003015244</v>
      </c>
      <c r="B16888" t="s">
        <v>23441</v>
      </c>
      <c r="C16888" t="s">
        <v>7</v>
      </c>
      <c r="D16888" t="s">
        <v>12</v>
      </c>
      <c r="E16888" t="s">
        <v>23161</v>
      </c>
      <c r="F16888" t="s">
        <v>23442</v>
      </c>
    </row>
    <row r="16889" spans="1:6" x14ac:dyDescent="0.25">
      <c r="A16889" t="str">
        <f>"501004662385"</f>
        <v>501004662385</v>
      </c>
      <c r="B16889" t="s">
        <v>23443</v>
      </c>
      <c r="C16889" t="s">
        <v>7</v>
      </c>
      <c r="D16889" t="s">
        <v>14</v>
      </c>
      <c r="E16889" t="s">
        <v>23161</v>
      </c>
    </row>
    <row r="16890" spans="1:6" x14ac:dyDescent="0.25">
      <c r="A16890" t="str">
        <f>"5032341161"</f>
        <v>5032341161</v>
      </c>
      <c r="B16890" t="s">
        <v>23444</v>
      </c>
      <c r="C16890" t="s">
        <v>7</v>
      </c>
      <c r="D16890" t="s">
        <v>33</v>
      </c>
      <c r="E16890" t="s">
        <v>23161</v>
      </c>
      <c r="F16890" t="s">
        <v>23445</v>
      </c>
    </row>
    <row r="16891" spans="1:6" x14ac:dyDescent="0.25">
      <c r="A16891" t="str">
        <f>"5040132161"</f>
        <v>5040132161</v>
      </c>
      <c r="B16891" t="s">
        <v>23446</v>
      </c>
      <c r="C16891" t="s">
        <v>7</v>
      </c>
      <c r="D16891" t="s">
        <v>674</v>
      </c>
      <c r="E16891" t="s">
        <v>23161</v>
      </c>
      <c r="F16891" t="s">
        <v>23447</v>
      </c>
    </row>
    <row r="16892" spans="1:6" x14ac:dyDescent="0.25">
      <c r="A16892" t="str">
        <f>"614304830148"</f>
        <v>614304830148</v>
      </c>
      <c r="B16892" t="s">
        <v>23448</v>
      </c>
      <c r="C16892" t="s">
        <v>7</v>
      </c>
      <c r="D16892" t="s">
        <v>14</v>
      </c>
      <c r="E16892" t="s">
        <v>23161</v>
      </c>
    </row>
    <row r="16893" spans="1:6" x14ac:dyDescent="0.25">
      <c r="A16893" t="str">
        <f>"0242013464"</f>
        <v>0242013464</v>
      </c>
      <c r="B16893" t="s">
        <v>23449</v>
      </c>
      <c r="C16893" t="s">
        <v>7</v>
      </c>
      <c r="D16893" t="s">
        <v>189</v>
      </c>
      <c r="E16893" t="s">
        <v>23161</v>
      </c>
      <c r="F16893" t="s">
        <v>23450</v>
      </c>
    </row>
    <row r="16894" spans="1:6" x14ac:dyDescent="0.25">
      <c r="A16894" t="str">
        <f>"5259088065"</f>
        <v>5259088065</v>
      </c>
      <c r="B16894" t="s">
        <v>7305</v>
      </c>
      <c r="C16894" t="s">
        <v>7</v>
      </c>
      <c r="D16894" t="s">
        <v>33</v>
      </c>
      <c r="E16894" t="s">
        <v>23161</v>
      </c>
      <c r="F16894" t="s">
        <v>23451</v>
      </c>
    </row>
    <row r="16895" spans="1:6" x14ac:dyDescent="0.25">
      <c r="A16895" t="str">
        <f>"526112491001"</f>
        <v>526112491001</v>
      </c>
      <c r="B16895" t="s">
        <v>23452</v>
      </c>
      <c r="C16895" t="s">
        <v>7</v>
      </c>
      <c r="D16895" t="s">
        <v>674</v>
      </c>
      <c r="E16895" t="s">
        <v>23161</v>
      </c>
    </row>
    <row r="16896" spans="1:6" x14ac:dyDescent="0.25">
      <c r="A16896" t="str">
        <f>"332600110239"</f>
        <v>332600110239</v>
      </c>
      <c r="B16896" t="s">
        <v>23453</v>
      </c>
      <c r="C16896" t="s">
        <v>7</v>
      </c>
      <c r="D16896" t="s">
        <v>14</v>
      </c>
      <c r="E16896" t="s">
        <v>23161</v>
      </c>
    </row>
    <row r="16897" spans="1:6" x14ac:dyDescent="0.25">
      <c r="A16897" t="str">
        <f>"3328021430"</f>
        <v>3328021430</v>
      </c>
      <c r="B16897" t="s">
        <v>23454</v>
      </c>
      <c r="C16897" t="s">
        <v>7</v>
      </c>
      <c r="D16897" t="s">
        <v>674</v>
      </c>
      <c r="E16897" t="s">
        <v>23161</v>
      </c>
      <c r="F16897" t="s">
        <v>23455</v>
      </c>
    </row>
    <row r="16898" spans="1:6" x14ac:dyDescent="0.25">
      <c r="A16898" t="str">
        <f>"183400527908"</f>
        <v>183400527908</v>
      </c>
      <c r="B16898" t="s">
        <v>23456</v>
      </c>
      <c r="C16898" t="s">
        <v>7</v>
      </c>
      <c r="D16898" t="s">
        <v>8</v>
      </c>
      <c r="E16898" t="s">
        <v>23161</v>
      </c>
    </row>
    <row r="16899" spans="1:6" x14ac:dyDescent="0.25">
      <c r="A16899" t="str">
        <f>"5256079802"</f>
        <v>5256079802</v>
      </c>
      <c r="B16899" t="s">
        <v>23457</v>
      </c>
      <c r="C16899" t="s">
        <v>7</v>
      </c>
      <c r="D16899" t="s">
        <v>12</v>
      </c>
      <c r="E16899" t="s">
        <v>23161</v>
      </c>
      <c r="F16899" t="s">
        <v>23174</v>
      </c>
    </row>
    <row r="16900" spans="1:6" x14ac:dyDescent="0.25">
      <c r="A16900" t="str">
        <f>"250105176256"</f>
        <v>250105176256</v>
      </c>
      <c r="B16900" t="s">
        <v>23458</v>
      </c>
      <c r="C16900" t="s">
        <v>7</v>
      </c>
      <c r="D16900" t="s">
        <v>14</v>
      </c>
      <c r="E16900" t="s">
        <v>23161</v>
      </c>
    </row>
    <row r="16901" spans="1:6" x14ac:dyDescent="0.25">
      <c r="A16901" t="str">
        <f>"431208455150"</f>
        <v>431208455150</v>
      </c>
      <c r="B16901" t="s">
        <v>23459</v>
      </c>
      <c r="C16901" t="s">
        <v>7</v>
      </c>
      <c r="D16901" t="s">
        <v>33</v>
      </c>
      <c r="E16901" t="s">
        <v>23161</v>
      </c>
    </row>
    <row r="16902" spans="1:6" x14ac:dyDescent="0.25">
      <c r="A16902" t="str">
        <f>"434523347300"</f>
        <v>434523347300</v>
      </c>
      <c r="B16902" t="s">
        <v>23460</v>
      </c>
      <c r="C16902" t="s">
        <v>7</v>
      </c>
      <c r="D16902" t="s">
        <v>12</v>
      </c>
      <c r="E16902" t="s">
        <v>23161</v>
      </c>
    </row>
    <row r="16903" spans="1:6" x14ac:dyDescent="0.25">
      <c r="A16903" t="str">
        <f>"7724925250"</f>
        <v>7724925250</v>
      </c>
      <c r="B16903" t="s">
        <v>23461</v>
      </c>
      <c r="C16903" t="s">
        <v>7</v>
      </c>
      <c r="D16903" t="s">
        <v>674</v>
      </c>
      <c r="E16903" t="s">
        <v>23161</v>
      </c>
      <c r="F16903" t="s">
        <v>23462</v>
      </c>
    </row>
    <row r="16904" spans="1:6" x14ac:dyDescent="0.25">
      <c r="A16904" t="str">
        <f>"7724932875"</f>
        <v>7724932875</v>
      </c>
      <c r="B16904" t="s">
        <v>23463</v>
      </c>
      <c r="C16904" t="s">
        <v>7</v>
      </c>
      <c r="D16904" t="s">
        <v>33</v>
      </c>
      <c r="E16904" t="s">
        <v>23161</v>
      </c>
      <c r="F16904" t="s">
        <v>23464</v>
      </c>
    </row>
    <row r="16905" spans="1:6" x14ac:dyDescent="0.25">
      <c r="A16905" t="str">
        <f>"7725026136"</f>
        <v>7725026136</v>
      </c>
      <c r="B16905" t="s">
        <v>23465</v>
      </c>
      <c r="C16905" t="s">
        <v>7</v>
      </c>
      <c r="D16905" t="s">
        <v>8</v>
      </c>
      <c r="E16905" t="s">
        <v>23161</v>
      </c>
      <c r="F16905" t="s">
        <v>23466</v>
      </c>
    </row>
    <row r="16906" spans="1:6" x14ac:dyDescent="0.25">
      <c r="A16906" t="str">
        <f>"7725287963"</f>
        <v>7725287963</v>
      </c>
      <c r="B16906" t="s">
        <v>23467</v>
      </c>
      <c r="C16906" t="s">
        <v>7</v>
      </c>
      <c r="D16906" t="s">
        <v>14</v>
      </c>
      <c r="E16906" t="s">
        <v>23161</v>
      </c>
      <c r="F16906" t="s">
        <v>23468</v>
      </c>
    </row>
    <row r="16907" spans="1:6" x14ac:dyDescent="0.25">
      <c r="A16907" t="str">
        <f>"7725372104"</f>
        <v>7725372104</v>
      </c>
      <c r="B16907" t="s">
        <v>23469</v>
      </c>
      <c r="C16907" t="s">
        <v>7</v>
      </c>
      <c r="D16907" t="s">
        <v>460</v>
      </c>
      <c r="E16907" t="s">
        <v>23161</v>
      </c>
      <c r="F16907" t="s">
        <v>23470</v>
      </c>
    </row>
    <row r="16908" spans="1:6" x14ac:dyDescent="0.25">
      <c r="A16908" t="str">
        <f>"7725372376"</f>
        <v>7725372376</v>
      </c>
      <c r="B16908" t="s">
        <v>6706</v>
      </c>
      <c r="C16908" t="s">
        <v>7</v>
      </c>
      <c r="D16908" t="s">
        <v>12</v>
      </c>
      <c r="E16908" t="s">
        <v>23161</v>
      </c>
      <c r="F16908" t="s">
        <v>23471</v>
      </c>
    </row>
    <row r="16909" spans="1:6" x14ac:dyDescent="0.25">
      <c r="A16909" t="str">
        <f>"7725381892"</f>
        <v>7725381892</v>
      </c>
      <c r="B16909" t="s">
        <v>23472</v>
      </c>
      <c r="C16909" t="s">
        <v>7</v>
      </c>
      <c r="D16909" t="s">
        <v>28</v>
      </c>
      <c r="E16909" t="s">
        <v>23161</v>
      </c>
      <c r="F16909" t="s">
        <v>23473</v>
      </c>
    </row>
    <row r="16910" spans="1:6" x14ac:dyDescent="0.25">
      <c r="A16910" t="str">
        <f>"7725408569"</f>
        <v>7725408569</v>
      </c>
      <c r="B16910" t="s">
        <v>23474</v>
      </c>
      <c r="C16910" t="s">
        <v>7</v>
      </c>
      <c r="D16910" t="s">
        <v>14</v>
      </c>
      <c r="E16910" t="s">
        <v>23161</v>
      </c>
      <c r="F16910" t="s">
        <v>23475</v>
      </c>
    </row>
    <row r="16911" spans="1:6" x14ac:dyDescent="0.25">
      <c r="A16911" t="str">
        <f>"7725492592"</f>
        <v>7725492592</v>
      </c>
      <c r="B16911" t="s">
        <v>23476</v>
      </c>
      <c r="C16911" t="s">
        <v>7</v>
      </c>
      <c r="D16911" t="s">
        <v>14</v>
      </c>
      <c r="E16911" t="s">
        <v>23161</v>
      </c>
      <c r="F16911" t="s">
        <v>23398</v>
      </c>
    </row>
    <row r="16912" spans="1:6" x14ac:dyDescent="0.25">
      <c r="A16912" t="str">
        <f>"7725499051"</f>
        <v>7725499051</v>
      </c>
      <c r="B16912" t="s">
        <v>23477</v>
      </c>
      <c r="C16912" t="s">
        <v>7</v>
      </c>
      <c r="D16912" t="s">
        <v>189</v>
      </c>
      <c r="E16912" t="s">
        <v>23161</v>
      </c>
      <c r="F16912" t="s">
        <v>23478</v>
      </c>
    </row>
    <row r="16913" spans="1:6" x14ac:dyDescent="0.25">
      <c r="A16913" t="str">
        <f>"7725514454"</f>
        <v>7725514454</v>
      </c>
      <c r="B16913" t="s">
        <v>23479</v>
      </c>
      <c r="C16913" t="s">
        <v>7</v>
      </c>
      <c r="D16913" t="s">
        <v>12</v>
      </c>
      <c r="E16913" t="s">
        <v>23161</v>
      </c>
      <c r="F16913" t="s">
        <v>23480</v>
      </c>
    </row>
    <row r="16914" spans="1:6" x14ac:dyDescent="0.25">
      <c r="A16914" t="str">
        <f>"7725594604"</f>
        <v>7725594604</v>
      </c>
      <c r="B16914" t="s">
        <v>23481</v>
      </c>
      <c r="C16914" t="s">
        <v>7</v>
      </c>
      <c r="D16914" t="s">
        <v>1430</v>
      </c>
      <c r="E16914" t="s">
        <v>23161</v>
      </c>
      <c r="F16914" t="s">
        <v>23482</v>
      </c>
    </row>
    <row r="16915" spans="1:6" x14ac:dyDescent="0.25">
      <c r="A16915" t="str">
        <f>"7725643273"</f>
        <v>7725643273</v>
      </c>
      <c r="B16915" t="s">
        <v>23483</v>
      </c>
      <c r="C16915" t="s">
        <v>7</v>
      </c>
      <c r="D16915" t="s">
        <v>33</v>
      </c>
      <c r="E16915" t="s">
        <v>23161</v>
      </c>
      <c r="F16915" t="s">
        <v>23484</v>
      </c>
    </row>
    <row r="16916" spans="1:6" x14ac:dyDescent="0.25">
      <c r="A16916" t="str">
        <f>"772565097250"</f>
        <v>772565097250</v>
      </c>
      <c r="B16916" t="s">
        <v>23485</v>
      </c>
      <c r="C16916" t="s">
        <v>7</v>
      </c>
      <c r="D16916" t="s">
        <v>14</v>
      </c>
      <c r="E16916" t="s">
        <v>23161</v>
      </c>
    </row>
    <row r="16917" spans="1:6" x14ac:dyDescent="0.25">
      <c r="A16917" t="str">
        <f>"7725668479"</f>
        <v>7725668479</v>
      </c>
      <c r="B16917" t="s">
        <v>23486</v>
      </c>
      <c r="C16917" t="s">
        <v>7</v>
      </c>
      <c r="D16917" t="s">
        <v>33</v>
      </c>
      <c r="E16917" t="s">
        <v>23161</v>
      </c>
      <c r="F16917" t="s">
        <v>23487</v>
      </c>
    </row>
    <row r="16918" spans="1:6" x14ac:dyDescent="0.25">
      <c r="A16918" t="str">
        <f>"7725761238"</f>
        <v>7725761238</v>
      </c>
      <c r="B16918" t="s">
        <v>23488</v>
      </c>
      <c r="C16918" t="s">
        <v>7</v>
      </c>
      <c r="D16918" t="s">
        <v>14</v>
      </c>
      <c r="E16918" t="s">
        <v>23161</v>
      </c>
      <c r="F16918" t="s">
        <v>23489</v>
      </c>
    </row>
    <row r="16919" spans="1:6" x14ac:dyDescent="0.25">
      <c r="A16919" t="str">
        <f>"7726058998"</f>
        <v>7726058998</v>
      </c>
      <c r="B16919" t="s">
        <v>23490</v>
      </c>
      <c r="C16919" t="s">
        <v>7</v>
      </c>
      <c r="D16919" t="s">
        <v>14</v>
      </c>
      <c r="E16919" t="s">
        <v>23161</v>
      </c>
      <c r="F16919" t="s">
        <v>23491</v>
      </c>
    </row>
    <row r="16920" spans="1:6" x14ac:dyDescent="0.25">
      <c r="A16920" t="str">
        <f>"7726362050"</f>
        <v>7726362050</v>
      </c>
      <c r="B16920" t="s">
        <v>23492</v>
      </c>
      <c r="C16920" t="s">
        <v>7</v>
      </c>
      <c r="D16920" t="s">
        <v>12</v>
      </c>
      <c r="E16920" t="s">
        <v>23161</v>
      </c>
      <c r="F16920" t="s">
        <v>23493</v>
      </c>
    </row>
    <row r="16921" spans="1:6" x14ac:dyDescent="0.25">
      <c r="A16921" t="str">
        <f>"7726368044"</f>
        <v>7726368044</v>
      </c>
      <c r="B16921" t="s">
        <v>23494</v>
      </c>
      <c r="C16921" t="s">
        <v>7</v>
      </c>
      <c r="D16921" t="s">
        <v>33</v>
      </c>
      <c r="E16921" t="s">
        <v>23161</v>
      </c>
      <c r="F16921" t="s">
        <v>23495</v>
      </c>
    </row>
    <row r="16922" spans="1:6" x14ac:dyDescent="0.25">
      <c r="A16922" t="str">
        <f>"772637174838"</f>
        <v>772637174838</v>
      </c>
      <c r="B16922" t="s">
        <v>23496</v>
      </c>
      <c r="C16922" t="s">
        <v>7</v>
      </c>
      <c r="D16922" t="s">
        <v>14</v>
      </c>
      <c r="E16922" t="s">
        <v>23161</v>
      </c>
    </row>
    <row r="16923" spans="1:6" x14ac:dyDescent="0.25">
      <c r="A16923" t="str">
        <f>"7726431352"</f>
        <v>7726431352</v>
      </c>
      <c r="B16923" t="s">
        <v>23497</v>
      </c>
      <c r="C16923" t="s">
        <v>7</v>
      </c>
      <c r="D16923" t="s">
        <v>33</v>
      </c>
      <c r="E16923" t="s">
        <v>23161</v>
      </c>
      <c r="F16923" t="s">
        <v>23498</v>
      </c>
    </row>
    <row r="16924" spans="1:6" x14ac:dyDescent="0.25">
      <c r="A16924" t="str">
        <f>"7726433536"</f>
        <v>7726433536</v>
      </c>
      <c r="B16924" t="s">
        <v>23499</v>
      </c>
      <c r="C16924" t="s">
        <v>7</v>
      </c>
      <c r="D16924" t="s">
        <v>28</v>
      </c>
      <c r="E16924" t="s">
        <v>23161</v>
      </c>
      <c r="F16924" t="s">
        <v>23500</v>
      </c>
    </row>
    <row r="16925" spans="1:6" x14ac:dyDescent="0.25">
      <c r="A16925" t="str">
        <f>"7726451422"</f>
        <v>7726451422</v>
      </c>
      <c r="B16925" t="s">
        <v>23501</v>
      </c>
      <c r="C16925" t="s">
        <v>7</v>
      </c>
      <c r="D16925" t="s">
        <v>674</v>
      </c>
      <c r="E16925" t="s">
        <v>23161</v>
      </c>
      <c r="F16925" t="s">
        <v>23502</v>
      </c>
    </row>
    <row r="16926" spans="1:6" x14ac:dyDescent="0.25">
      <c r="A16926" t="str">
        <f>"7726466429"</f>
        <v>7726466429</v>
      </c>
      <c r="B16926" t="s">
        <v>23503</v>
      </c>
      <c r="C16926" t="s">
        <v>7</v>
      </c>
      <c r="D16926" t="s">
        <v>12</v>
      </c>
      <c r="E16926" t="s">
        <v>23161</v>
      </c>
      <c r="F16926" t="s">
        <v>23504</v>
      </c>
    </row>
    <row r="16927" spans="1:6" x14ac:dyDescent="0.25">
      <c r="A16927" t="str">
        <f>"7726477766"</f>
        <v>7726477766</v>
      </c>
      <c r="B16927" t="s">
        <v>23505</v>
      </c>
      <c r="C16927" t="s">
        <v>7</v>
      </c>
      <c r="D16927" t="s">
        <v>12</v>
      </c>
      <c r="E16927" t="s">
        <v>23161</v>
      </c>
      <c r="F16927" t="s">
        <v>23506</v>
      </c>
    </row>
    <row r="16928" spans="1:6" x14ac:dyDescent="0.25">
      <c r="A16928" t="str">
        <f>"7726479403"</f>
        <v>7726479403</v>
      </c>
      <c r="B16928" t="s">
        <v>7991</v>
      </c>
      <c r="C16928" t="s">
        <v>7</v>
      </c>
      <c r="D16928" t="s">
        <v>12</v>
      </c>
      <c r="E16928" t="s">
        <v>23161</v>
      </c>
      <c r="F16928" t="s">
        <v>23507</v>
      </c>
    </row>
    <row r="16929" spans="1:6" x14ac:dyDescent="0.25">
      <c r="A16929" t="str">
        <f>"7726557997"</f>
        <v>7726557997</v>
      </c>
      <c r="B16929" t="s">
        <v>23508</v>
      </c>
      <c r="C16929" t="s">
        <v>7</v>
      </c>
      <c r="D16929" t="s">
        <v>14</v>
      </c>
      <c r="E16929" t="s">
        <v>23161</v>
      </c>
      <c r="F16929" t="s">
        <v>23509</v>
      </c>
    </row>
    <row r="16930" spans="1:6" x14ac:dyDescent="0.25">
      <c r="A16930" t="str">
        <f>"7726690910"</f>
        <v>7726690910</v>
      </c>
      <c r="B16930" t="s">
        <v>23510</v>
      </c>
      <c r="C16930" t="s">
        <v>7</v>
      </c>
      <c r="D16930" t="s">
        <v>14</v>
      </c>
      <c r="E16930" t="s">
        <v>23161</v>
      </c>
      <c r="F16930" t="s">
        <v>23511</v>
      </c>
    </row>
    <row r="16931" spans="1:6" x14ac:dyDescent="0.25">
      <c r="A16931" t="str">
        <f>"772700459238"</f>
        <v>772700459238</v>
      </c>
      <c r="B16931" t="s">
        <v>23512</v>
      </c>
      <c r="C16931" t="s">
        <v>7</v>
      </c>
      <c r="D16931" t="s">
        <v>14</v>
      </c>
      <c r="E16931" t="s">
        <v>23161</v>
      </c>
    </row>
    <row r="16932" spans="1:6" x14ac:dyDescent="0.25">
      <c r="A16932" t="str">
        <f>"772703192688"</f>
        <v>772703192688</v>
      </c>
      <c r="B16932" t="s">
        <v>23513</v>
      </c>
      <c r="C16932" t="s">
        <v>7</v>
      </c>
      <c r="D16932" t="s">
        <v>12</v>
      </c>
      <c r="E16932" t="s">
        <v>23161</v>
      </c>
    </row>
    <row r="16933" spans="1:6" x14ac:dyDescent="0.25">
      <c r="A16933" t="str">
        <f>"772707352117"</f>
        <v>772707352117</v>
      </c>
      <c r="B16933" t="s">
        <v>23514</v>
      </c>
      <c r="C16933" t="s">
        <v>7</v>
      </c>
      <c r="D16933" t="s">
        <v>14</v>
      </c>
      <c r="E16933" t="s">
        <v>23161</v>
      </c>
    </row>
    <row r="16934" spans="1:6" x14ac:dyDescent="0.25">
      <c r="A16934" t="str">
        <f>"7727180038"</f>
        <v>7727180038</v>
      </c>
      <c r="B16934" t="s">
        <v>23515</v>
      </c>
      <c r="C16934" t="s">
        <v>7</v>
      </c>
      <c r="D16934" t="s">
        <v>14</v>
      </c>
      <c r="E16934" t="s">
        <v>23161</v>
      </c>
      <c r="F16934" t="s">
        <v>23516</v>
      </c>
    </row>
    <row r="16935" spans="1:6" x14ac:dyDescent="0.25">
      <c r="A16935" t="str">
        <f>"7727196648"</f>
        <v>7727196648</v>
      </c>
      <c r="B16935" t="s">
        <v>23517</v>
      </c>
      <c r="C16935" t="s">
        <v>7</v>
      </c>
      <c r="D16935" t="s">
        <v>14</v>
      </c>
      <c r="E16935" t="s">
        <v>23161</v>
      </c>
      <c r="F16935" t="s">
        <v>23518</v>
      </c>
    </row>
    <row r="16936" spans="1:6" x14ac:dyDescent="0.25">
      <c r="A16936" t="str">
        <f>"7727278675"</f>
        <v>7727278675</v>
      </c>
      <c r="B16936" t="s">
        <v>23519</v>
      </c>
      <c r="C16936" t="s">
        <v>7</v>
      </c>
      <c r="D16936" t="s">
        <v>14</v>
      </c>
      <c r="E16936" t="s">
        <v>23161</v>
      </c>
      <c r="F16936" t="s">
        <v>23520</v>
      </c>
    </row>
    <row r="16937" spans="1:6" x14ac:dyDescent="0.25">
      <c r="A16937" t="str">
        <f>"7727391550"</f>
        <v>7727391550</v>
      </c>
      <c r="B16937" t="s">
        <v>23521</v>
      </c>
      <c r="C16937" t="s">
        <v>7</v>
      </c>
      <c r="D16937" t="s">
        <v>12</v>
      </c>
      <c r="E16937" t="s">
        <v>23161</v>
      </c>
      <c r="F16937" t="s">
        <v>23522</v>
      </c>
    </row>
    <row r="16938" spans="1:6" x14ac:dyDescent="0.25">
      <c r="A16938" t="str">
        <f>"7727412747"</f>
        <v>7727412747</v>
      </c>
      <c r="B16938" t="s">
        <v>23523</v>
      </c>
      <c r="C16938" t="s">
        <v>7</v>
      </c>
      <c r="D16938" t="s">
        <v>12</v>
      </c>
      <c r="E16938" t="s">
        <v>23161</v>
      </c>
      <c r="F16938" t="s">
        <v>23524</v>
      </c>
    </row>
    <row r="16939" spans="1:6" x14ac:dyDescent="0.25">
      <c r="A16939" t="str">
        <f>"7727446672"</f>
        <v>7727446672</v>
      </c>
      <c r="B16939" t="s">
        <v>23525</v>
      </c>
      <c r="C16939" t="s">
        <v>7</v>
      </c>
      <c r="D16939" t="s">
        <v>33</v>
      </c>
      <c r="E16939" t="s">
        <v>23161</v>
      </c>
      <c r="F16939" t="s">
        <v>23526</v>
      </c>
    </row>
    <row r="16940" spans="1:6" x14ac:dyDescent="0.25">
      <c r="A16940" t="str">
        <f>"7727472513"</f>
        <v>7727472513</v>
      </c>
      <c r="B16940" t="s">
        <v>23527</v>
      </c>
      <c r="C16940" t="s">
        <v>7</v>
      </c>
      <c r="D16940" t="s">
        <v>460</v>
      </c>
      <c r="E16940" t="s">
        <v>23161</v>
      </c>
      <c r="F16940" t="s">
        <v>23528</v>
      </c>
    </row>
    <row r="16941" spans="1:6" x14ac:dyDescent="0.25">
      <c r="A16941" t="str">
        <f>"772749782471"</f>
        <v>772749782471</v>
      </c>
      <c r="B16941" t="s">
        <v>23529</v>
      </c>
      <c r="C16941" t="s">
        <v>7</v>
      </c>
      <c r="D16941" t="s">
        <v>14</v>
      </c>
      <c r="E16941" t="s">
        <v>23161</v>
      </c>
    </row>
    <row r="16942" spans="1:6" x14ac:dyDescent="0.25">
      <c r="A16942" t="str">
        <f>"772776697514"</f>
        <v>772776697514</v>
      </c>
      <c r="B16942" t="s">
        <v>23530</v>
      </c>
      <c r="C16942" t="s">
        <v>7</v>
      </c>
      <c r="D16942" t="s">
        <v>14</v>
      </c>
      <c r="E16942" t="s">
        <v>23161</v>
      </c>
    </row>
    <row r="16943" spans="1:6" x14ac:dyDescent="0.25">
      <c r="A16943" t="str">
        <f>"7727779181"</f>
        <v>7727779181</v>
      </c>
      <c r="B16943" t="s">
        <v>23531</v>
      </c>
      <c r="C16943" t="s">
        <v>7</v>
      </c>
      <c r="D16943" t="s">
        <v>1430</v>
      </c>
      <c r="E16943" t="s">
        <v>23161</v>
      </c>
      <c r="F16943" t="s">
        <v>23532</v>
      </c>
    </row>
    <row r="16944" spans="1:6" x14ac:dyDescent="0.25">
      <c r="A16944" t="str">
        <f>"7727783935"</f>
        <v>7727783935</v>
      </c>
      <c r="B16944" t="s">
        <v>23533</v>
      </c>
      <c r="C16944" t="s">
        <v>7</v>
      </c>
      <c r="D16944" t="s">
        <v>14</v>
      </c>
      <c r="E16944" t="s">
        <v>23161</v>
      </c>
      <c r="F16944" t="s">
        <v>23534</v>
      </c>
    </row>
    <row r="16945" spans="1:6" x14ac:dyDescent="0.25">
      <c r="A16945" t="str">
        <f>"7727833706"</f>
        <v>7727833706</v>
      </c>
      <c r="B16945" t="s">
        <v>23535</v>
      </c>
      <c r="C16945" t="s">
        <v>7</v>
      </c>
      <c r="D16945" t="s">
        <v>33</v>
      </c>
      <c r="E16945" t="s">
        <v>23161</v>
      </c>
      <c r="F16945" t="s">
        <v>23536</v>
      </c>
    </row>
    <row r="16946" spans="1:6" x14ac:dyDescent="0.25">
      <c r="A16946" t="str">
        <f>"7727835943"</f>
        <v>7727835943</v>
      </c>
      <c r="B16946" t="s">
        <v>8979</v>
      </c>
      <c r="C16946" t="s">
        <v>7</v>
      </c>
      <c r="D16946" t="s">
        <v>12</v>
      </c>
      <c r="E16946" t="s">
        <v>23161</v>
      </c>
      <c r="F16946" t="s">
        <v>23537</v>
      </c>
    </row>
    <row r="16947" spans="1:6" x14ac:dyDescent="0.25">
      <c r="A16947" t="str">
        <f>"7728048770"</f>
        <v>7728048770</v>
      </c>
      <c r="B16947" t="s">
        <v>23538</v>
      </c>
      <c r="C16947" t="s">
        <v>7</v>
      </c>
      <c r="D16947" t="s">
        <v>189</v>
      </c>
      <c r="E16947" t="s">
        <v>23161</v>
      </c>
      <c r="F16947" t="s">
        <v>23539</v>
      </c>
    </row>
    <row r="16948" spans="1:6" x14ac:dyDescent="0.25">
      <c r="A16948" t="str">
        <f>"772817202315"</f>
        <v>772817202315</v>
      </c>
      <c r="B16948" t="s">
        <v>23540</v>
      </c>
      <c r="C16948" t="s">
        <v>7</v>
      </c>
      <c r="D16948" t="s">
        <v>14</v>
      </c>
      <c r="E16948" t="s">
        <v>23161</v>
      </c>
    </row>
    <row r="16949" spans="1:6" x14ac:dyDescent="0.25">
      <c r="A16949" t="str">
        <f>"7728187283"</f>
        <v>7728187283</v>
      </c>
      <c r="B16949" t="s">
        <v>23541</v>
      </c>
      <c r="C16949" t="s">
        <v>7</v>
      </c>
      <c r="D16949" t="s">
        <v>12</v>
      </c>
      <c r="E16949" t="s">
        <v>23161</v>
      </c>
      <c r="F16949" t="s">
        <v>23542</v>
      </c>
    </row>
    <row r="16950" spans="1:6" x14ac:dyDescent="0.25">
      <c r="A16950" t="str">
        <f>"7728333914"</f>
        <v>7728333914</v>
      </c>
      <c r="B16950" t="s">
        <v>23543</v>
      </c>
      <c r="C16950" t="s">
        <v>7</v>
      </c>
      <c r="D16950" t="s">
        <v>33</v>
      </c>
      <c r="E16950" t="s">
        <v>23161</v>
      </c>
      <c r="F16950" t="s">
        <v>23544</v>
      </c>
    </row>
    <row r="16951" spans="1:6" x14ac:dyDescent="0.25">
      <c r="A16951" t="str">
        <f>"7728341640"</f>
        <v>7728341640</v>
      </c>
      <c r="B16951" t="s">
        <v>23545</v>
      </c>
      <c r="C16951" t="s">
        <v>7</v>
      </c>
      <c r="D16951" t="s">
        <v>12</v>
      </c>
      <c r="E16951" t="s">
        <v>23161</v>
      </c>
      <c r="F16951" t="s">
        <v>23546</v>
      </c>
    </row>
    <row r="16952" spans="1:6" x14ac:dyDescent="0.25">
      <c r="A16952" t="str">
        <f>"7728349199"</f>
        <v>7728349199</v>
      </c>
      <c r="B16952" t="s">
        <v>23547</v>
      </c>
      <c r="C16952" t="s">
        <v>7</v>
      </c>
      <c r="D16952" t="s">
        <v>8</v>
      </c>
      <c r="E16952" t="s">
        <v>23161</v>
      </c>
      <c r="F16952" t="s">
        <v>23548</v>
      </c>
    </row>
    <row r="16953" spans="1:6" x14ac:dyDescent="0.25">
      <c r="A16953" t="str">
        <f>"7728463536"</f>
        <v>7728463536</v>
      </c>
      <c r="B16953" t="s">
        <v>13201</v>
      </c>
      <c r="C16953" t="s">
        <v>7</v>
      </c>
      <c r="D16953" t="s">
        <v>674</v>
      </c>
      <c r="E16953" t="s">
        <v>23161</v>
      </c>
      <c r="F16953" t="s">
        <v>23549</v>
      </c>
    </row>
    <row r="16954" spans="1:6" x14ac:dyDescent="0.25">
      <c r="A16954" t="str">
        <f>"7728468206"</f>
        <v>7728468206</v>
      </c>
      <c r="B16954" t="s">
        <v>23550</v>
      </c>
      <c r="C16954" t="s">
        <v>7</v>
      </c>
      <c r="D16954" t="s">
        <v>460</v>
      </c>
      <c r="E16954" t="s">
        <v>23161</v>
      </c>
      <c r="F16954" t="s">
        <v>23551</v>
      </c>
    </row>
    <row r="16955" spans="1:6" x14ac:dyDescent="0.25">
      <c r="A16955" t="str">
        <f>"7728494407"</f>
        <v>7728494407</v>
      </c>
      <c r="B16955" t="s">
        <v>23552</v>
      </c>
      <c r="C16955" t="s">
        <v>7</v>
      </c>
      <c r="D16955" t="s">
        <v>8</v>
      </c>
      <c r="E16955" t="s">
        <v>23161</v>
      </c>
      <c r="F16955" t="s">
        <v>23553</v>
      </c>
    </row>
    <row r="16956" spans="1:6" x14ac:dyDescent="0.25">
      <c r="A16956" t="str">
        <f>"772858405089"</f>
        <v>772858405089</v>
      </c>
      <c r="B16956" t="s">
        <v>23554</v>
      </c>
      <c r="C16956" t="s">
        <v>7</v>
      </c>
      <c r="D16956" t="s">
        <v>14</v>
      </c>
      <c r="E16956" t="s">
        <v>23161</v>
      </c>
    </row>
    <row r="16957" spans="1:6" x14ac:dyDescent="0.25">
      <c r="A16957" t="str">
        <f>"7728640182"</f>
        <v>7728640182</v>
      </c>
      <c r="B16957" t="s">
        <v>23555</v>
      </c>
      <c r="C16957" t="s">
        <v>7</v>
      </c>
      <c r="D16957" t="s">
        <v>98</v>
      </c>
      <c r="E16957" t="s">
        <v>23161</v>
      </c>
      <c r="F16957" t="s">
        <v>23556</v>
      </c>
    </row>
    <row r="16958" spans="1:6" x14ac:dyDescent="0.25">
      <c r="A16958" t="str">
        <f>"7728652371"</f>
        <v>7728652371</v>
      </c>
      <c r="B16958" t="s">
        <v>23557</v>
      </c>
      <c r="C16958" t="s">
        <v>7</v>
      </c>
      <c r="D16958" t="s">
        <v>33</v>
      </c>
      <c r="E16958" t="s">
        <v>23161</v>
      </c>
      <c r="F16958" t="s">
        <v>23558</v>
      </c>
    </row>
    <row r="16959" spans="1:6" x14ac:dyDescent="0.25">
      <c r="A16959" t="str">
        <f>"772871087090"</f>
        <v>772871087090</v>
      </c>
      <c r="B16959" t="s">
        <v>23559</v>
      </c>
      <c r="C16959" t="s">
        <v>7</v>
      </c>
      <c r="D16959" t="s">
        <v>33</v>
      </c>
      <c r="E16959" t="s">
        <v>23161</v>
      </c>
    </row>
    <row r="16960" spans="1:6" x14ac:dyDescent="0.25">
      <c r="A16960" t="str">
        <f>"772873215935"</f>
        <v>772873215935</v>
      </c>
      <c r="B16960" t="s">
        <v>23560</v>
      </c>
      <c r="C16960" t="s">
        <v>7</v>
      </c>
      <c r="D16960" t="s">
        <v>8</v>
      </c>
      <c r="E16960" t="s">
        <v>23161</v>
      </c>
    </row>
    <row r="16961" spans="1:6" x14ac:dyDescent="0.25">
      <c r="A16961" t="str">
        <f>"7728816020"</f>
        <v>7728816020</v>
      </c>
      <c r="B16961" t="s">
        <v>23561</v>
      </c>
      <c r="C16961" t="s">
        <v>7</v>
      </c>
      <c r="D16961" t="s">
        <v>14</v>
      </c>
      <c r="E16961" t="s">
        <v>23161</v>
      </c>
      <c r="F16961" t="s">
        <v>23562</v>
      </c>
    </row>
    <row r="16962" spans="1:6" x14ac:dyDescent="0.25">
      <c r="A16962" t="str">
        <f>"772882645638"</f>
        <v>772882645638</v>
      </c>
      <c r="B16962" t="s">
        <v>23563</v>
      </c>
      <c r="C16962" t="s">
        <v>7</v>
      </c>
      <c r="D16962" t="s">
        <v>12</v>
      </c>
      <c r="E16962" t="s">
        <v>23161</v>
      </c>
    </row>
    <row r="16963" spans="1:6" x14ac:dyDescent="0.25">
      <c r="A16963" t="str">
        <f>"772882695861"</f>
        <v>772882695861</v>
      </c>
      <c r="B16963" t="s">
        <v>23564</v>
      </c>
      <c r="C16963" t="s">
        <v>7</v>
      </c>
      <c r="D16963" t="s">
        <v>14</v>
      </c>
      <c r="E16963" t="s">
        <v>23161</v>
      </c>
    </row>
    <row r="16964" spans="1:6" x14ac:dyDescent="0.25">
      <c r="A16964" t="str">
        <f>"7728868532"</f>
        <v>7728868532</v>
      </c>
      <c r="B16964" t="s">
        <v>23565</v>
      </c>
      <c r="C16964" t="s">
        <v>7</v>
      </c>
      <c r="D16964" t="s">
        <v>33</v>
      </c>
      <c r="E16964" t="s">
        <v>23161</v>
      </c>
      <c r="F16964" t="s">
        <v>23566</v>
      </c>
    </row>
    <row r="16965" spans="1:6" x14ac:dyDescent="0.25">
      <c r="A16965" t="str">
        <f>"7728894317"</f>
        <v>7728894317</v>
      </c>
      <c r="B16965" t="s">
        <v>23567</v>
      </c>
      <c r="C16965" t="s">
        <v>7</v>
      </c>
      <c r="D16965" t="s">
        <v>189</v>
      </c>
      <c r="E16965" t="s">
        <v>23161</v>
      </c>
      <c r="F16965" t="s">
        <v>23568</v>
      </c>
    </row>
    <row r="16966" spans="1:6" x14ac:dyDescent="0.25">
      <c r="A16966" t="str">
        <f>"7728898978"</f>
        <v>7728898978</v>
      </c>
      <c r="B16966" t="s">
        <v>23569</v>
      </c>
      <c r="C16966" t="s">
        <v>7</v>
      </c>
      <c r="D16966" t="s">
        <v>12</v>
      </c>
      <c r="E16966" t="s">
        <v>23161</v>
      </c>
      <c r="F16966" t="s">
        <v>23570</v>
      </c>
    </row>
    <row r="16967" spans="1:6" x14ac:dyDescent="0.25">
      <c r="A16967" t="str">
        <f>"434560492909"</f>
        <v>434560492909</v>
      </c>
      <c r="B16967" t="s">
        <v>23571</v>
      </c>
      <c r="C16967" t="s">
        <v>7</v>
      </c>
      <c r="D16967" t="s">
        <v>14</v>
      </c>
      <c r="E16967" t="s">
        <v>23161</v>
      </c>
    </row>
    <row r="16968" spans="1:6" x14ac:dyDescent="0.25">
      <c r="A16968" t="str">
        <f>"7725844727"</f>
        <v>7725844727</v>
      </c>
      <c r="B16968" t="s">
        <v>23572</v>
      </c>
      <c r="C16968" t="s">
        <v>7</v>
      </c>
      <c r="D16968" t="s">
        <v>189</v>
      </c>
      <c r="E16968" t="s">
        <v>23161</v>
      </c>
      <c r="F16968" t="s">
        <v>23573</v>
      </c>
    </row>
    <row r="16969" spans="1:6" x14ac:dyDescent="0.25">
      <c r="A16969" t="str">
        <f>"7726189888"</f>
        <v>7726189888</v>
      </c>
      <c r="B16969" t="s">
        <v>23574</v>
      </c>
      <c r="C16969" t="s">
        <v>7</v>
      </c>
      <c r="D16969" t="s">
        <v>33</v>
      </c>
      <c r="E16969" t="s">
        <v>23161</v>
      </c>
      <c r="F16969" t="s">
        <v>23575</v>
      </c>
    </row>
    <row r="16970" spans="1:6" x14ac:dyDescent="0.25">
      <c r="A16970" t="str">
        <f>"772620766787"</f>
        <v>772620766787</v>
      </c>
      <c r="B16970" t="s">
        <v>23576</v>
      </c>
      <c r="C16970" t="s">
        <v>7</v>
      </c>
      <c r="D16970" t="s">
        <v>14</v>
      </c>
      <c r="E16970" t="s">
        <v>23161</v>
      </c>
    </row>
    <row r="16971" spans="1:6" x14ac:dyDescent="0.25">
      <c r="A16971" t="str">
        <f>"7726305397"</f>
        <v>7726305397</v>
      </c>
      <c r="B16971" t="s">
        <v>23577</v>
      </c>
      <c r="C16971" t="s">
        <v>7</v>
      </c>
      <c r="D16971" t="s">
        <v>12</v>
      </c>
      <c r="E16971" t="s">
        <v>23161</v>
      </c>
      <c r="F16971" t="s">
        <v>23578</v>
      </c>
    </row>
    <row r="16972" spans="1:6" x14ac:dyDescent="0.25">
      <c r="A16972" t="str">
        <f>"772631385744"</f>
        <v>772631385744</v>
      </c>
      <c r="B16972" t="s">
        <v>23579</v>
      </c>
      <c r="C16972" t="s">
        <v>7</v>
      </c>
      <c r="D16972" t="s">
        <v>14</v>
      </c>
      <c r="E16972" t="s">
        <v>23161</v>
      </c>
    </row>
    <row r="16973" spans="1:6" x14ac:dyDescent="0.25">
      <c r="A16973" t="str">
        <f>"7726353979"</f>
        <v>7726353979</v>
      </c>
      <c r="B16973" t="s">
        <v>23580</v>
      </c>
      <c r="C16973" t="s">
        <v>7</v>
      </c>
      <c r="D16973" t="s">
        <v>98</v>
      </c>
      <c r="E16973" t="s">
        <v>23161</v>
      </c>
      <c r="F16973" t="s">
        <v>23581</v>
      </c>
    </row>
    <row r="16974" spans="1:6" x14ac:dyDescent="0.25">
      <c r="A16974" t="str">
        <f>"7726361338"</f>
        <v>7726361338</v>
      </c>
      <c r="B16974" t="s">
        <v>23582</v>
      </c>
      <c r="C16974" t="s">
        <v>7</v>
      </c>
      <c r="D16974" t="s">
        <v>12</v>
      </c>
      <c r="E16974" t="s">
        <v>23161</v>
      </c>
      <c r="F16974" t="s">
        <v>23583</v>
      </c>
    </row>
    <row r="16975" spans="1:6" x14ac:dyDescent="0.25">
      <c r="A16975" t="str">
        <f>"7726386808"</f>
        <v>7726386808</v>
      </c>
      <c r="B16975" t="s">
        <v>23584</v>
      </c>
      <c r="C16975" t="s">
        <v>7</v>
      </c>
      <c r="D16975" t="s">
        <v>33</v>
      </c>
      <c r="E16975" t="s">
        <v>23161</v>
      </c>
      <c r="F16975" t="s">
        <v>23585</v>
      </c>
    </row>
    <row r="16976" spans="1:6" x14ac:dyDescent="0.25">
      <c r="A16976" t="str">
        <f>"7726427532"</f>
        <v>7726427532</v>
      </c>
      <c r="B16976" t="s">
        <v>23586</v>
      </c>
      <c r="C16976" t="s">
        <v>7</v>
      </c>
      <c r="D16976" t="s">
        <v>14</v>
      </c>
      <c r="E16976" t="s">
        <v>23161</v>
      </c>
      <c r="F16976" t="s">
        <v>23587</v>
      </c>
    </row>
    <row r="16977" spans="1:6" x14ac:dyDescent="0.25">
      <c r="A16977" t="str">
        <f>"7726461389"</f>
        <v>7726461389</v>
      </c>
      <c r="B16977" t="s">
        <v>23588</v>
      </c>
      <c r="C16977" t="s">
        <v>7</v>
      </c>
      <c r="D16977" t="s">
        <v>12</v>
      </c>
      <c r="E16977" t="s">
        <v>23161</v>
      </c>
      <c r="F16977" t="s">
        <v>23589</v>
      </c>
    </row>
    <row r="16978" spans="1:6" x14ac:dyDescent="0.25">
      <c r="A16978" t="str">
        <f>"772646943102"</f>
        <v>772646943102</v>
      </c>
      <c r="B16978" t="s">
        <v>23590</v>
      </c>
      <c r="C16978" t="s">
        <v>7</v>
      </c>
      <c r="D16978" t="s">
        <v>14</v>
      </c>
      <c r="E16978" t="s">
        <v>23161</v>
      </c>
    </row>
    <row r="16979" spans="1:6" x14ac:dyDescent="0.25">
      <c r="A16979" t="str">
        <f>"7726470070"</f>
        <v>7726470070</v>
      </c>
      <c r="B16979" t="s">
        <v>23591</v>
      </c>
      <c r="C16979" t="s">
        <v>7</v>
      </c>
      <c r="D16979" t="s">
        <v>14</v>
      </c>
      <c r="E16979" t="s">
        <v>23161</v>
      </c>
      <c r="F16979" t="s">
        <v>23592</v>
      </c>
    </row>
    <row r="16980" spans="1:6" x14ac:dyDescent="0.25">
      <c r="A16980" t="str">
        <f>"7726571783"</f>
        <v>7726571783</v>
      </c>
      <c r="B16980" t="s">
        <v>23593</v>
      </c>
      <c r="C16980" t="s">
        <v>7</v>
      </c>
      <c r="D16980" t="s">
        <v>674</v>
      </c>
      <c r="E16980" t="s">
        <v>23161</v>
      </c>
      <c r="F16980" t="s">
        <v>23594</v>
      </c>
    </row>
    <row r="16981" spans="1:6" x14ac:dyDescent="0.25">
      <c r="A16981" t="str">
        <f>"7726585183"</f>
        <v>7726585183</v>
      </c>
      <c r="B16981" t="s">
        <v>23595</v>
      </c>
      <c r="C16981" t="s">
        <v>7</v>
      </c>
      <c r="D16981" t="s">
        <v>189</v>
      </c>
      <c r="E16981" t="s">
        <v>23161</v>
      </c>
      <c r="F16981" t="s">
        <v>23596</v>
      </c>
    </row>
    <row r="16982" spans="1:6" x14ac:dyDescent="0.25">
      <c r="A16982" t="str">
        <f>"7726659847"</f>
        <v>7726659847</v>
      </c>
      <c r="B16982" t="s">
        <v>23597</v>
      </c>
      <c r="C16982" t="s">
        <v>7</v>
      </c>
      <c r="D16982" t="s">
        <v>33</v>
      </c>
      <c r="E16982" t="s">
        <v>23161</v>
      </c>
      <c r="F16982" t="s">
        <v>23598</v>
      </c>
    </row>
    <row r="16983" spans="1:6" x14ac:dyDescent="0.25">
      <c r="A16983" t="str">
        <f>"7726722288"</f>
        <v>7726722288</v>
      </c>
      <c r="B16983" t="s">
        <v>23599</v>
      </c>
      <c r="C16983" t="s">
        <v>7</v>
      </c>
      <c r="D16983" t="s">
        <v>189</v>
      </c>
      <c r="E16983" t="s">
        <v>23161</v>
      </c>
      <c r="F16983" t="s">
        <v>23600</v>
      </c>
    </row>
    <row r="16984" spans="1:6" x14ac:dyDescent="0.25">
      <c r="A16984" t="str">
        <f>"7726741121"</f>
        <v>7726741121</v>
      </c>
      <c r="B16984" t="s">
        <v>23601</v>
      </c>
      <c r="C16984" t="s">
        <v>7</v>
      </c>
      <c r="D16984" t="s">
        <v>12</v>
      </c>
      <c r="E16984" t="s">
        <v>23161</v>
      </c>
      <c r="F16984" t="s">
        <v>23602</v>
      </c>
    </row>
    <row r="16985" spans="1:6" x14ac:dyDescent="0.25">
      <c r="A16985" t="str">
        <f>"7727046868"</f>
        <v>7727046868</v>
      </c>
      <c r="B16985" t="s">
        <v>22213</v>
      </c>
      <c r="C16985" t="s">
        <v>7</v>
      </c>
      <c r="D16985" t="s">
        <v>189</v>
      </c>
      <c r="E16985" t="s">
        <v>23161</v>
      </c>
      <c r="F16985" t="s">
        <v>23603</v>
      </c>
    </row>
    <row r="16986" spans="1:6" x14ac:dyDescent="0.25">
      <c r="A16986" t="str">
        <f>"7727321345"</f>
        <v>7727321345</v>
      </c>
      <c r="B16986" t="s">
        <v>23604</v>
      </c>
      <c r="C16986" t="s">
        <v>7</v>
      </c>
      <c r="D16986" t="s">
        <v>33</v>
      </c>
      <c r="E16986" t="s">
        <v>23161</v>
      </c>
      <c r="F16986" t="s">
        <v>23605</v>
      </c>
    </row>
    <row r="16987" spans="1:6" x14ac:dyDescent="0.25">
      <c r="A16987" t="str">
        <f>"7727463220"</f>
        <v>7727463220</v>
      </c>
      <c r="B16987" t="s">
        <v>16438</v>
      </c>
      <c r="C16987" t="s">
        <v>7</v>
      </c>
      <c r="D16987" t="s">
        <v>28</v>
      </c>
      <c r="E16987" t="s">
        <v>23161</v>
      </c>
      <c r="F16987" t="s">
        <v>23606</v>
      </c>
    </row>
    <row r="16988" spans="1:6" x14ac:dyDescent="0.25">
      <c r="A16988" t="str">
        <f>"7727468404"</f>
        <v>7727468404</v>
      </c>
      <c r="B16988" t="s">
        <v>9143</v>
      </c>
      <c r="C16988" t="s">
        <v>7</v>
      </c>
      <c r="D16988" t="s">
        <v>14</v>
      </c>
      <c r="E16988" t="s">
        <v>23161</v>
      </c>
      <c r="F16988" t="s">
        <v>23607</v>
      </c>
    </row>
    <row r="16989" spans="1:6" x14ac:dyDescent="0.25">
      <c r="A16989" t="str">
        <f>"7727491650"</f>
        <v>7727491650</v>
      </c>
      <c r="B16989" t="s">
        <v>23608</v>
      </c>
      <c r="C16989" t="s">
        <v>7</v>
      </c>
      <c r="D16989" t="s">
        <v>674</v>
      </c>
      <c r="E16989" t="s">
        <v>23161</v>
      </c>
      <c r="F16989" t="s">
        <v>23609</v>
      </c>
    </row>
    <row r="16990" spans="1:6" x14ac:dyDescent="0.25">
      <c r="A16990" t="str">
        <f>"7727658638"</f>
        <v>7727658638</v>
      </c>
      <c r="B16990" t="s">
        <v>1291</v>
      </c>
      <c r="C16990" t="s">
        <v>7</v>
      </c>
      <c r="D16990" t="s">
        <v>12</v>
      </c>
      <c r="E16990" t="s">
        <v>23161</v>
      </c>
      <c r="F16990" t="s">
        <v>23610</v>
      </c>
    </row>
    <row r="16991" spans="1:6" x14ac:dyDescent="0.25">
      <c r="A16991" t="str">
        <f>"772771036528"</f>
        <v>772771036528</v>
      </c>
      <c r="B16991" t="s">
        <v>23611</v>
      </c>
      <c r="C16991" t="s">
        <v>7</v>
      </c>
      <c r="D16991" t="s">
        <v>14</v>
      </c>
      <c r="E16991" t="s">
        <v>23161</v>
      </c>
    </row>
    <row r="16992" spans="1:6" x14ac:dyDescent="0.25">
      <c r="A16992" t="str">
        <f>"7727779223"</f>
        <v>7727779223</v>
      </c>
      <c r="B16992" t="s">
        <v>23612</v>
      </c>
      <c r="C16992" t="s">
        <v>7</v>
      </c>
      <c r="D16992" t="s">
        <v>98</v>
      </c>
      <c r="E16992" t="s">
        <v>23161</v>
      </c>
      <c r="F16992" t="s">
        <v>23613</v>
      </c>
    </row>
    <row r="16993" spans="1:6" x14ac:dyDescent="0.25">
      <c r="A16993" t="str">
        <f>"7727804832"</f>
        <v>7727804832</v>
      </c>
      <c r="B16993" t="s">
        <v>23614</v>
      </c>
      <c r="C16993" t="s">
        <v>7</v>
      </c>
      <c r="D16993" t="s">
        <v>98</v>
      </c>
      <c r="E16993" t="s">
        <v>23161</v>
      </c>
      <c r="F16993" t="s">
        <v>23615</v>
      </c>
    </row>
    <row r="16994" spans="1:6" x14ac:dyDescent="0.25">
      <c r="A16994" t="str">
        <f>"7727818761"</f>
        <v>7727818761</v>
      </c>
      <c r="B16994" t="s">
        <v>23616</v>
      </c>
      <c r="C16994" t="s">
        <v>7</v>
      </c>
      <c r="D16994" t="s">
        <v>14</v>
      </c>
      <c r="E16994" t="s">
        <v>23161</v>
      </c>
      <c r="F16994" t="s">
        <v>23617</v>
      </c>
    </row>
    <row r="16995" spans="1:6" x14ac:dyDescent="0.25">
      <c r="A16995" t="str">
        <f>"772794530500"</f>
        <v>772794530500</v>
      </c>
      <c r="B16995" t="s">
        <v>23618</v>
      </c>
      <c r="C16995" t="s">
        <v>7</v>
      </c>
      <c r="D16995" t="s">
        <v>12</v>
      </c>
      <c r="E16995" t="s">
        <v>23161</v>
      </c>
    </row>
    <row r="16996" spans="1:6" x14ac:dyDescent="0.25">
      <c r="A16996" t="str">
        <f>"772804301380"</f>
        <v>772804301380</v>
      </c>
      <c r="B16996" t="s">
        <v>23619</v>
      </c>
      <c r="C16996" t="s">
        <v>7</v>
      </c>
      <c r="D16996" t="s">
        <v>14</v>
      </c>
      <c r="E16996" t="s">
        <v>23161</v>
      </c>
    </row>
    <row r="16997" spans="1:6" x14ac:dyDescent="0.25">
      <c r="A16997" t="str">
        <f>"7728193128"</f>
        <v>7728193128</v>
      </c>
      <c r="B16997" t="s">
        <v>23620</v>
      </c>
      <c r="C16997" t="s">
        <v>7</v>
      </c>
      <c r="D16997" t="s">
        <v>12</v>
      </c>
      <c r="E16997" t="s">
        <v>23161</v>
      </c>
      <c r="F16997" t="s">
        <v>23621</v>
      </c>
    </row>
    <row r="16998" spans="1:6" x14ac:dyDescent="0.25">
      <c r="A16998" t="str">
        <f>"7728238298"</f>
        <v>7728238298</v>
      </c>
      <c r="B16998" t="s">
        <v>23622</v>
      </c>
      <c r="C16998" t="s">
        <v>7</v>
      </c>
      <c r="D16998" t="s">
        <v>189</v>
      </c>
      <c r="E16998" t="s">
        <v>23161</v>
      </c>
      <c r="F16998" t="s">
        <v>23623</v>
      </c>
    </row>
    <row r="16999" spans="1:6" x14ac:dyDescent="0.25">
      <c r="A16999" t="str">
        <f>"7728309728"</f>
        <v>7728309728</v>
      </c>
      <c r="B16999" t="s">
        <v>23624</v>
      </c>
      <c r="C16999" t="s">
        <v>7</v>
      </c>
      <c r="D16999" t="s">
        <v>12</v>
      </c>
      <c r="E16999" t="s">
        <v>23161</v>
      </c>
      <c r="F16999" t="s">
        <v>23625</v>
      </c>
    </row>
    <row r="17000" spans="1:6" x14ac:dyDescent="0.25">
      <c r="A17000" t="str">
        <f>"7728311244"</f>
        <v>7728311244</v>
      </c>
      <c r="B17000" t="s">
        <v>23626</v>
      </c>
      <c r="C17000" t="s">
        <v>7</v>
      </c>
      <c r="D17000" t="s">
        <v>33</v>
      </c>
      <c r="E17000" t="s">
        <v>23161</v>
      </c>
      <c r="F17000" t="s">
        <v>23627</v>
      </c>
    </row>
    <row r="17001" spans="1:6" x14ac:dyDescent="0.25">
      <c r="A17001" t="str">
        <f>"7728331730"</f>
        <v>7728331730</v>
      </c>
      <c r="B17001" t="s">
        <v>23628</v>
      </c>
      <c r="C17001" t="s">
        <v>7</v>
      </c>
      <c r="D17001" t="s">
        <v>8</v>
      </c>
      <c r="E17001" t="s">
        <v>23161</v>
      </c>
      <c r="F17001" t="s">
        <v>23629</v>
      </c>
    </row>
    <row r="17002" spans="1:6" x14ac:dyDescent="0.25">
      <c r="A17002" t="str">
        <f>"7728364687"</f>
        <v>7728364687</v>
      </c>
      <c r="B17002" t="s">
        <v>20561</v>
      </c>
      <c r="C17002" t="s">
        <v>7</v>
      </c>
      <c r="D17002" t="s">
        <v>33</v>
      </c>
      <c r="E17002" t="s">
        <v>23161</v>
      </c>
      <c r="F17002" t="s">
        <v>23630</v>
      </c>
    </row>
    <row r="17003" spans="1:6" x14ac:dyDescent="0.25">
      <c r="A17003" t="str">
        <f>"7728381322"</f>
        <v>7728381322</v>
      </c>
      <c r="B17003" t="s">
        <v>23631</v>
      </c>
      <c r="C17003" t="s">
        <v>7</v>
      </c>
      <c r="D17003" t="s">
        <v>28</v>
      </c>
      <c r="E17003" t="s">
        <v>23161</v>
      </c>
      <c r="F17003" t="s">
        <v>23632</v>
      </c>
    </row>
    <row r="17004" spans="1:6" x14ac:dyDescent="0.25">
      <c r="A17004" t="str">
        <f>"7728381668"</f>
        <v>7728381668</v>
      </c>
      <c r="B17004" t="s">
        <v>23633</v>
      </c>
      <c r="C17004" t="s">
        <v>7</v>
      </c>
      <c r="D17004" t="s">
        <v>12</v>
      </c>
      <c r="E17004" t="s">
        <v>23161</v>
      </c>
      <c r="F17004" t="s">
        <v>23634</v>
      </c>
    </row>
    <row r="17005" spans="1:6" x14ac:dyDescent="0.25">
      <c r="A17005" t="str">
        <f>"7728429454"</f>
        <v>7728429454</v>
      </c>
      <c r="B17005" t="s">
        <v>23635</v>
      </c>
      <c r="C17005" t="s">
        <v>7</v>
      </c>
      <c r="D17005" t="s">
        <v>1430</v>
      </c>
      <c r="E17005" t="s">
        <v>23161</v>
      </c>
      <c r="F17005" t="s">
        <v>23636</v>
      </c>
    </row>
    <row r="17006" spans="1:6" x14ac:dyDescent="0.25">
      <c r="A17006" t="str">
        <f>"7728447213"</f>
        <v>7728447213</v>
      </c>
      <c r="B17006" t="s">
        <v>23637</v>
      </c>
      <c r="C17006" t="s">
        <v>7</v>
      </c>
      <c r="D17006" t="s">
        <v>12</v>
      </c>
      <c r="E17006" t="s">
        <v>23161</v>
      </c>
      <c r="F17006" t="s">
        <v>23638</v>
      </c>
    </row>
    <row r="17007" spans="1:6" x14ac:dyDescent="0.25">
      <c r="A17007" t="str">
        <f>"7728482842"</f>
        <v>7728482842</v>
      </c>
      <c r="B17007" t="s">
        <v>23639</v>
      </c>
      <c r="C17007" t="s">
        <v>7</v>
      </c>
      <c r="D17007" t="s">
        <v>33</v>
      </c>
      <c r="E17007" t="s">
        <v>23161</v>
      </c>
      <c r="F17007" t="s">
        <v>23640</v>
      </c>
    </row>
    <row r="17008" spans="1:6" x14ac:dyDescent="0.25">
      <c r="A17008" t="str">
        <f>"7728548660"</f>
        <v>7728548660</v>
      </c>
      <c r="B17008" t="s">
        <v>23641</v>
      </c>
      <c r="C17008" t="s">
        <v>7</v>
      </c>
      <c r="D17008" t="s">
        <v>12</v>
      </c>
      <c r="E17008" t="s">
        <v>23161</v>
      </c>
      <c r="F17008" t="s">
        <v>23642</v>
      </c>
    </row>
    <row r="17009" spans="1:6" x14ac:dyDescent="0.25">
      <c r="A17009" t="str">
        <f>"7728674939"</f>
        <v>7728674939</v>
      </c>
      <c r="B17009" t="s">
        <v>23643</v>
      </c>
      <c r="C17009" t="s">
        <v>7</v>
      </c>
      <c r="D17009" t="s">
        <v>189</v>
      </c>
      <c r="E17009" t="s">
        <v>23161</v>
      </c>
      <c r="F17009" t="s">
        <v>23644</v>
      </c>
    </row>
    <row r="17010" spans="1:6" x14ac:dyDescent="0.25">
      <c r="A17010" t="str">
        <f>"7728733327"</f>
        <v>7728733327</v>
      </c>
      <c r="B17010" t="s">
        <v>23645</v>
      </c>
      <c r="C17010" t="s">
        <v>7</v>
      </c>
      <c r="D17010" t="s">
        <v>674</v>
      </c>
      <c r="E17010" t="s">
        <v>23161</v>
      </c>
      <c r="F17010" t="s">
        <v>23646</v>
      </c>
    </row>
    <row r="17011" spans="1:6" x14ac:dyDescent="0.25">
      <c r="A17011" t="str">
        <f>"7728755120"</f>
        <v>7728755120</v>
      </c>
      <c r="B17011" t="s">
        <v>23647</v>
      </c>
      <c r="C17011" t="s">
        <v>7</v>
      </c>
      <c r="D17011" t="s">
        <v>33</v>
      </c>
      <c r="E17011" t="s">
        <v>23161</v>
      </c>
      <c r="F17011" t="s">
        <v>23648</v>
      </c>
    </row>
    <row r="17012" spans="1:6" x14ac:dyDescent="0.25">
      <c r="A17012" t="str">
        <f>"7728756469"</f>
        <v>7728756469</v>
      </c>
      <c r="B17012" t="s">
        <v>23649</v>
      </c>
      <c r="C17012" t="s">
        <v>7</v>
      </c>
      <c r="D17012" t="s">
        <v>33</v>
      </c>
      <c r="E17012" t="s">
        <v>23161</v>
      </c>
      <c r="F17012" t="s">
        <v>23650</v>
      </c>
    </row>
    <row r="17013" spans="1:6" x14ac:dyDescent="0.25">
      <c r="A17013" t="str">
        <f>"7728814008"</f>
        <v>7728814008</v>
      </c>
      <c r="B17013" t="s">
        <v>23651</v>
      </c>
      <c r="C17013" t="s">
        <v>7</v>
      </c>
      <c r="D17013" t="s">
        <v>12</v>
      </c>
      <c r="E17013" t="s">
        <v>23161</v>
      </c>
      <c r="F17013" t="s">
        <v>23652</v>
      </c>
    </row>
    <row r="17014" spans="1:6" x14ac:dyDescent="0.25">
      <c r="A17014" t="str">
        <f>"7728830176"</f>
        <v>7728830176</v>
      </c>
      <c r="B17014" t="s">
        <v>7996</v>
      </c>
      <c r="C17014" t="s">
        <v>7</v>
      </c>
      <c r="D17014" t="s">
        <v>14</v>
      </c>
      <c r="E17014" t="s">
        <v>23161</v>
      </c>
      <c r="F17014" t="s">
        <v>23653</v>
      </c>
    </row>
    <row r="17015" spans="1:6" x14ac:dyDescent="0.25">
      <c r="A17015" t="str">
        <f>"772910445827"</f>
        <v>772910445827</v>
      </c>
      <c r="B17015" t="s">
        <v>23654</v>
      </c>
      <c r="C17015" t="s">
        <v>7</v>
      </c>
      <c r="D17015" t="s">
        <v>33</v>
      </c>
      <c r="E17015" t="s">
        <v>23161</v>
      </c>
    </row>
    <row r="17016" spans="1:6" x14ac:dyDescent="0.25">
      <c r="A17016" t="str">
        <f>"772918386806"</f>
        <v>772918386806</v>
      </c>
      <c r="B17016" t="s">
        <v>23655</v>
      </c>
      <c r="C17016" t="s">
        <v>7</v>
      </c>
      <c r="D17016" t="s">
        <v>12</v>
      </c>
      <c r="E17016" t="s">
        <v>23161</v>
      </c>
    </row>
    <row r="17017" spans="1:6" x14ac:dyDescent="0.25">
      <c r="A17017" t="str">
        <f>"772919585610"</f>
        <v>772919585610</v>
      </c>
      <c r="B17017" t="s">
        <v>23656</v>
      </c>
      <c r="C17017" t="s">
        <v>7</v>
      </c>
      <c r="D17017" t="s">
        <v>14</v>
      </c>
      <c r="E17017" t="s">
        <v>23161</v>
      </c>
    </row>
    <row r="17018" spans="1:6" x14ac:dyDescent="0.25">
      <c r="A17018" t="str">
        <f>"7729461443"</f>
        <v>7729461443</v>
      </c>
      <c r="B17018" t="s">
        <v>23657</v>
      </c>
      <c r="C17018" t="s">
        <v>7</v>
      </c>
      <c r="D17018" t="s">
        <v>189</v>
      </c>
      <c r="E17018" t="s">
        <v>23161</v>
      </c>
      <c r="F17018" t="s">
        <v>23658</v>
      </c>
    </row>
    <row r="17019" spans="1:6" x14ac:dyDescent="0.25">
      <c r="A17019" t="str">
        <f>"7729468738"</f>
        <v>7729468738</v>
      </c>
      <c r="B17019" t="s">
        <v>23659</v>
      </c>
      <c r="C17019" t="s">
        <v>7</v>
      </c>
      <c r="D17019" t="s">
        <v>8</v>
      </c>
      <c r="E17019" t="s">
        <v>23161</v>
      </c>
      <c r="F17019" t="s">
        <v>23660</v>
      </c>
    </row>
    <row r="17020" spans="1:6" x14ac:dyDescent="0.25">
      <c r="A17020" t="str">
        <f>"7729498669"</f>
        <v>7729498669</v>
      </c>
      <c r="B17020" t="s">
        <v>23661</v>
      </c>
      <c r="C17020" t="s">
        <v>7</v>
      </c>
      <c r="D17020" t="s">
        <v>98</v>
      </c>
      <c r="E17020" t="s">
        <v>23161</v>
      </c>
      <c r="F17020" t="s">
        <v>23662</v>
      </c>
    </row>
    <row r="17021" spans="1:6" x14ac:dyDescent="0.25">
      <c r="A17021" t="str">
        <f>"7729668494"</f>
        <v>7729668494</v>
      </c>
      <c r="B17021" t="s">
        <v>23663</v>
      </c>
      <c r="C17021" t="s">
        <v>7</v>
      </c>
      <c r="D17021" t="s">
        <v>33</v>
      </c>
      <c r="E17021" t="s">
        <v>23161</v>
      </c>
      <c r="F17021" t="s">
        <v>23664</v>
      </c>
    </row>
    <row r="17022" spans="1:6" x14ac:dyDescent="0.25">
      <c r="A17022" t="str">
        <f>"7729712672"</f>
        <v>7729712672</v>
      </c>
      <c r="B17022" t="s">
        <v>23665</v>
      </c>
      <c r="C17022" t="s">
        <v>7</v>
      </c>
      <c r="D17022" t="s">
        <v>14</v>
      </c>
      <c r="E17022" t="s">
        <v>23161</v>
      </c>
      <c r="F17022" t="s">
        <v>23666</v>
      </c>
    </row>
    <row r="17023" spans="1:6" x14ac:dyDescent="0.25">
      <c r="A17023" t="str">
        <f>"772974920838"</f>
        <v>772974920838</v>
      </c>
      <c r="B17023" t="s">
        <v>23667</v>
      </c>
      <c r="C17023" t="s">
        <v>7</v>
      </c>
      <c r="D17023" t="s">
        <v>14</v>
      </c>
      <c r="E17023" t="s">
        <v>23161</v>
      </c>
    </row>
    <row r="17024" spans="1:6" x14ac:dyDescent="0.25">
      <c r="A17024" t="str">
        <f>"431206898735"</f>
        <v>431206898735</v>
      </c>
      <c r="B17024" t="s">
        <v>23668</v>
      </c>
      <c r="C17024" t="s">
        <v>7</v>
      </c>
      <c r="D17024" t="s">
        <v>8</v>
      </c>
      <c r="E17024" t="s">
        <v>23161</v>
      </c>
    </row>
    <row r="17025" spans="1:6" x14ac:dyDescent="0.25">
      <c r="A17025" t="str">
        <f>"6950202285"</f>
        <v>6950202285</v>
      </c>
      <c r="B17025" t="s">
        <v>10899</v>
      </c>
      <c r="C17025" t="s">
        <v>7</v>
      </c>
      <c r="D17025" t="s">
        <v>674</v>
      </c>
      <c r="E17025" t="s">
        <v>23161</v>
      </c>
      <c r="F17025" t="s">
        <v>23669</v>
      </c>
    </row>
    <row r="17026" spans="1:6" x14ac:dyDescent="0.25">
      <c r="A17026" t="str">
        <f>"7725172747"</f>
        <v>7725172747</v>
      </c>
      <c r="B17026" t="s">
        <v>23670</v>
      </c>
      <c r="C17026" t="s">
        <v>7</v>
      </c>
      <c r="D17026" t="s">
        <v>98</v>
      </c>
      <c r="E17026" t="s">
        <v>23161</v>
      </c>
      <c r="F17026" t="s">
        <v>23671</v>
      </c>
    </row>
    <row r="17027" spans="1:6" x14ac:dyDescent="0.25">
      <c r="A17027" t="str">
        <f>"7725275051"</f>
        <v>7725275051</v>
      </c>
      <c r="B17027" t="s">
        <v>23672</v>
      </c>
      <c r="C17027" t="s">
        <v>7</v>
      </c>
      <c r="D17027" t="s">
        <v>8</v>
      </c>
      <c r="E17027" t="s">
        <v>23161</v>
      </c>
      <c r="F17027" t="s">
        <v>23673</v>
      </c>
    </row>
    <row r="17028" spans="1:6" x14ac:dyDescent="0.25">
      <c r="A17028" t="str">
        <f>"7725278750"</f>
        <v>7725278750</v>
      </c>
      <c r="B17028" t="s">
        <v>23674</v>
      </c>
      <c r="C17028" t="s">
        <v>7</v>
      </c>
      <c r="D17028" t="s">
        <v>33</v>
      </c>
      <c r="E17028" t="s">
        <v>23161</v>
      </c>
      <c r="F17028" t="s">
        <v>23675</v>
      </c>
    </row>
    <row r="17029" spans="1:6" x14ac:dyDescent="0.25">
      <c r="A17029" t="str">
        <f>"7725499750"</f>
        <v>7725499750</v>
      </c>
      <c r="B17029" t="s">
        <v>23676</v>
      </c>
      <c r="C17029" t="s">
        <v>7</v>
      </c>
      <c r="D17029" t="s">
        <v>8</v>
      </c>
      <c r="E17029" t="s">
        <v>23161</v>
      </c>
      <c r="F17029" t="s">
        <v>23677</v>
      </c>
    </row>
    <row r="17030" spans="1:6" x14ac:dyDescent="0.25">
      <c r="A17030" t="str">
        <f>"7725709252"</f>
        <v>7725709252</v>
      </c>
      <c r="B17030" t="s">
        <v>23678</v>
      </c>
      <c r="C17030" t="s">
        <v>7</v>
      </c>
      <c r="D17030" t="s">
        <v>14</v>
      </c>
      <c r="E17030" t="s">
        <v>23161</v>
      </c>
      <c r="F17030" t="s">
        <v>23679</v>
      </c>
    </row>
    <row r="17031" spans="1:6" x14ac:dyDescent="0.25">
      <c r="A17031" t="str">
        <f>"7725767550"</f>
        <v>7725767550</v>
      </c>
      <c r="B17031" t="s">
        <v>23680</v>
      </c>
      <c r="C17031" t="s">
        <v>7</v>
      </c>
      <c r="D17031" t="s">
        <v>674</v>
      </c>
      <c r="E17031" t="s">
        <v>23161</v>
      </c>
      <c r="F17031" t="s">
        <v>23681</v>
      </c>
    </row>
    <row r="17032" spans="1:6" x14ac:dyDescent="0.25">
      <c r="A17032" t="str">
        <f>"772577559630"</f>
        <v>772577559630</v>
      </c>
      <c r="B17032" t="s">
        <v>23682</v>
      </c>
      <c r="C17032" t="s">
        <v>7</v>
      </c>
      <c r="D17032" t="s">
        <v>12</v>
      </c>
      <c r="E17032" t="s">
        <v>23161</v>
      </c>
    </row>
    <row r="17033" spans="1:6" x14ac:dyDescent="0.25">
      <c r="A17033" t="str">
        <f>"772578247376"</f>
        <v>772578247376</v>
      </c>
      <c r="B17033" t="s">
        <v>23683</v>
      </c>
      <c r="C17033" t="s">
        <v>7</v>
      </c>
      <c r="D17033" t="s">
        <v>14</v>
      </c>
      <c r="E17033" t="s">
        <v>23161</v>
      </c>
    </row>
    <row r="17034" spans="1:6" x14ac:dyDescent="0.25">
      <c r="A17034" t="str">
        <f>"7725797548"</f>
        <v>7725797548</v>
      </c>
      <c r="B17034" t="s">
        <v>23684</v>
      </c>
      <c r="C17034" t="s">
        <v>7</v>
      </c>
      <c r="D17034" t="s">
        <v>33</v>
      </c>
      <c r="E17034" t="s">
        <v>23161</v>
      </c>
      <c r="F17034" t="s">
        <v>23685</v>
      </c>
    </row>
    <row r="17035" spans="1:6" x14ac:dyDescent="0.25">
      <c r="A17035" t="str">
        <f>"7725815525"</f>
        <v>7725815525</v>
      </c>
      <c r="B17035" t="s">
        <v>23686</v>
      </c>
      <c r="C17035" t="s">
        <v>7</v>
      </c>
      <c r="D17035" t="s">
        <v>8</v>
      </c>
      <c r="E17035" t="s">
        <v>23161</v>
      </c>
      <c r="F17035" t="s">
        <v>23687</v>
      </c>
    </row>
    <row r="17036" spans="1:6" x14ac:dyDescent="0.25">
      <c r="A17036" t="str">
        <f>"7725831580"</f>
        <v>7725831580</v>
      </c>
      <c r="B17036" t="s">
        <v>23688</v>
      </c>
      <c r="C17036" t="s">
        <v>7</v>
      </c>
      <c r="D17036" t="s">
        <v>98</v>
      </c>
      <c r="E17036" t="s">
        <v>23161</v>
      </c>
      <c r="F17036" t="s">
        <v>23689</v>
      </c>
    </row>
    <row r="17037" spans="1:6" x14ac:dyDescent="0.25">
      <c r="A17037" t="str">
        <f>"7725840850"</f>
        <v>7725840850</v>
      </c>
      <c r="B17037" t="s">
        <v>23690</v>
      </c>
      <c r="C17037" t="s">
        <v>7</v>
      </c>
      <c r="D17037" t="s">
        <v>33</v>
      </c>
      <c r="E17037" t="s">
        <v>23161</v>
      </c>
      <c r="F17037" t="s">
        <v>23691</v>
      </c>
    </row>
    <row r="17038" spans="1:6" x14ac:dyDescent="0.25">
      <c r="A17038" t="str">
        <f>"772600015408"</f>
        <v>772600015408</v>
      </c>
      <c r="B17038" t="s">
        <v>23692</v>
      </c>
      <c r="C17038" t="s">
        <v>7</v>
      </c>
      <c r="D17038" t="s">
        <v>14</v>
      </c>
      <c r="E17038" t="s">
        <v>23161</v>
      </c>
    </row>
    <row r="17039" spans="1:6" x14ac:dyDescent="0.25">
      <c r="A17039" t="str">
        <f>"7726047146"</f>
        <v>7726047146</v>
      </c>
      <c r="B17039" t="s">
        <v>23693</v>
      </c>
      <c r="C17039" t="s">
        <v>7</v>
      </c>
      <c r="D17039" t="s">
        <v>460</v>
      </c>
      <c r="E17039" t="s">
        <v>23161</v>
      </c>
      <c r="F17039" t="s">
        <v>23694</v>
      </c>
    </row>
    <row r="17040" spans="1:6" x14ac:dyDescent="0.25">
      <c r="A17040" t="str">
        <f>"7726311070"</f>
        <v>7726311070</v>
      </c>
      <c r="B17040" t="s">
        <v>23695</v>
      </c>
      <c r="C17040" t="s">
        <v>7</v>
      </c>
      <c r="D17040" t="s">
        <v>33</v>
      </c>
      <c r="E17040" t="s">
        <v>23161</v>
      </c>
      <c r="F17040" t="s">
        <v>23696</v>
      </c>
    </row>
    <row r="17041" spans="1:6" x14ac:dyDescent="0.25">
      <c r="A17041" t="str">
        <f>"7726477117"</f>
        <v>7726477117</v>
      </c>
      <c r="B17041" t="s">
        <v>6983</v>
      </c>
      <c r="C17041" t="s">
        <v>7</v>
      </c>
      <c r="D17041" t="s">
        <v>1430</v>
      </c>
      <c r="E17041" t="s">
        <v>23161</v>
      </c>
      <c r="F17041" t="s">
        <v>23697</v>
      </c>
    </row>
    <row r="17042" spans="1:6" x14ac:dyDescent="0.25">
      <c r="A17042" t="str">
        <f>"772647793940"</f>
        <v>772647793940</v>
      </c>
      <c r="B17042" t="s">
        <v>23698</v>
      </c>
      <c r="C17042" t="s">
        <v>7</v>
      </c>
      <c r="D17042" t="s">
        <v>14</v>
      </c>
      <c r="E17042" t="s">
        <v>23161</v>
      </c>
    </row>
    <row r="17043" spans="1:6" x14ac:dyDescent="0.25">
      <c r="A17043" t="str">
        <f>"7726690090"</f>
        <v>7726690090</v>
      </c>
      <c r="B17043" t="s">
        <v>23699</v>
      </c>
      <c r="C17043" t="s">
        <v>7</v>
      </c>
      <c r="D17043" t="s">
        <v>33</v>
      </c>
      <c r="E17043" t="s">
        <v>23161</v>
      </c>
      <c r="F17043" t="s">
        <v>23700</v>
      </c>
    </row>
    <row r="17044" spans="1:6" x14ac:dyDescent="0.25">
      <c r="A17044" t="str">
        <f>"7726729879"</f>
        <v>7726729879</v>
      </c>
      <c r="B17044" t="s">
        <v>23701</v>
      </c>
      <c r="C17044" t="s">
        <v>7</v>
      </c>
      <c r="D17044" t="s">
        <v>33</v>
      </c>
      <c r="E17044" t="s">
        <v>23161</v>
      </c>
      <c r="F17044" t="s">
        <v>23702</v>
      </c>
    </row>
    <row r="17045" spans="1:6" x14ac:dyDescent="0.25">
      <c r="A17045" t="str">
        <f>"7727033837"</f>
        <v>7727033837</v>
      </c>
      <c r="B17045" t="s">
        <v>23703</v>
      </c>
      <c r="C17045" t="s">
        <v>7</v>
      </c>
      <c r="D17045" t="s">
        <v>8</v>
      </c>
      <c r="E17045" t="s">
        <v>23161</v>
      </c>
      <c r="F17045" t="s">
        <v>23704</v>
      </c>
    </row>
    <row r="17046" spans="1:6" x14ac:dyDescent="0.25">
      <c r="A17046" t="str">
        <f>"772708297733"</f>
        <v>772708297733</v>
      </c>
      <c r="B17046" t="s">
        <v>23705</v>
      </c>
      <c r="C17046" t="s">
        <v>7</v>
      </c>
      <c r="D17046" t="s">
        <v>12</v>
      </c>
      <c r="E17046" t="s">
        <v>23161</v>
      </c>
    </row>
    <row r="17047" spans="1:6" x14ac:dyDescent="0.25">
      <c r="A17047" t="str">
        <f>"7727168520"</f>
        <v>7727168520</v>
      </c>
      <c r="B17047" t="s">
        <v>23706</v>
      </c>
      <c r="C17047" t="s">
        <v>7</v>
      </c>
      <c r="D17047" t="s">
        <v>12</v>
      </c>
      <c r="E17047" t="s">
        <v>23161</v>
      </c>
      <c r="F17047" t="s">
        <v>23707</v>
      </c>
    </row>
    <row r="17048" spans="1:6" x14ac:dyDescent="0.25">
      <c r="A17048" t="str">
        <f>"7727189256"</f>
        <v>7727189256</v>
      </c>
      <c r="B17048" t="s">
        <v>23708</v>
      </c>
      <c r="C17048" t="s">
        <v>7</v>
      </c>
      <c r="D17048" t="s">
        <v>463</v>
      </c>
      <c r="E17048" t="s">
        <v>23161</v>
      </c>
      <c r="F17048" t="s">
        <v>23709</v>
      </c>
    </row>
    <row r="17049" spans="1:6" x14ac:dyDescent="0.25">
      <c r="A17049" t="str">
        <f>"7727332107"</f>
        <v>7727332107</v>
      </c>
      <c r="B17049" t="s">
        <v>23710</v>
      </c>
      <c r="C17049" t="s">
        <v>7</v>
      </c>
      <c r="D17049" t="s">
        <v>33</v>
      </c>
      <c r="E17049" t="s">
        <v>23161</v>
      </c>
      <c r="F17049" t="s">
        <v>23711</v>
      </c>
    </row>
    <row r="17050" spans="1:6" x14ac:dyDescent="0.25">
      <c r="A17050" t="str">
        <f>"772735112981"</f>
        <v>772735112981</v>
      </c>
      <c r="B17050" t="s">
        <v>23712</v>
      </c>
      <c r="C17050" t="s">
        <v>7</v>
      </c>
      <c r="D17050" t="s">
        <v>14</v>
      </c>
      <c r="E17050" t="s">
        <v>23161</v>
      </c>
    </row>
    <row r="17051" spans="1:6" x14ac:dyDescent="0.25">
      <c r="A17051" t="str">
        <f>"772737807668"</f>
        <v>772737807668</v>
      </c>
      <c r="B17051" t="s">
        <v>23713</v>
      </c>
      <c r="C17051" t="s">
        <v>7</v>
      </c>
      <c r="D17051" t="s">
        <v>12</v>
      </c>
      <c r="E17051" t="s">
        <v>23161</v>
      </c>
    </row>
    <row r="17052" spans="1:6" x14ac:dyDescent="0.25">
      <c r="A17052" t="str">
        <f>"7727431531"</f>
        <v>7727431531</v>
      </c>
      <c r="B17052" t="s">
        <v>23714</v>
      </c>
      <c r="C17052" t="s">
        <v>7</v>
      </c>
      <c r="D17052" t="s">
        <v>14</v>
      </c>
      <c r="E17052" t="s">
        <v>23161</v>
      </c>
      <c r="F17052" t="s">
        <v>23715</v>
      </c>
    </row>
    <row r="17053" spans="1:6" x14ac:dyDescent="0.25">
      <c r="A17053" t="str">
        <f>"7727444805"</f>
        <v>7727444805</v>
      </c>
      <c r="B17053" t="s">
        <v>23716</v>
      </c>
      <c r="C17053" t="s">
        <v>7</v>
      </c>
      <c r="D17053" t="s">
        <v>12</v>
      </c>
      <c r="E17053" t="s">
        <v>23161</v>
      </c>
      <c r="F17053" t="s">
        <v>23717</v>
      </c>
    </row>
    <row r="17054" spans="1:6" x14ac:dyDescent="0.25">
      <c r="A17054" t="str">
        <f>"7727473147"</f>
        <v>7727473147</v>
      </c>
      <c r="B17054" t="s">
        <v>23718</v>
      </c>
      <c r="C17054" t="s">
        <v>7</v>
      </c>
      <c r="D17054" t="s">
        <v>14</v>
      </c>
      <c r="E17054" t="s">
        <v>23161</v>
      </c>
      <c r="F17054" t="s">
        <v>23719</v>
      </c>
    </row>
    <row r="17055" spans="1:6" x14ac:dyDescent="0.25">
      <c r="A17055" t="str">
        <f>"7727493418"</f>
        <v>7727493418</v>
      </c>
      <c r="B17055" t="s">
        <v>14790</v>
      </c>
      <c r="C17055" t="s">
        <v>7</v>
      </c>
      <c r="D17055" t="s">
        <v>33</v>
      </c>
      <c r="E17055" t="s">
        <v>23161</v>
      </c>
      <c r="F17055" t="s">
        <v>23720</v>
      </c>
    </row>
    <row r="17056" spans="1:6" x14ac:dyDescent="0.25">
      <c r="A17056" t="str">
        <f>"7727699641"</f>
        <v>7727699641</v>
      </c>
      <c r="B17056" t="s">
        <v>23721</v>
      </c>
      <c r="C17056" t="s">
        <v>7</v>
      </c>
      <c r="D17056" t="s">
        <v>1430</v>
      </c>
      <c r="E17056" t="s">
        <v>23161</v>
      </c>
      <c r="F17056" t="s">
        <v>23722</v>
      </c>
    </row>
    <row r="17057" spans="1:6" x14ac:dyDescent="0.25">
      <c r="A17057" t="str">
        <f>"772772944530"</f>
        <v>772772944530</v>
      </c>
      <c r="B17057" t="s">
        <v>23723</v>
      </c>
      <c r="C17057" t="s">
        <v>7</v>
      </c>
      <c r="D17057" t="s">
        <v>12</v>
      </c>
      <c r="E17057" t="s">
        <v>23161</v>
      </c>
    </row>
    <row r="17058" spans="1:6" x14ac:dyDescent="0.25">
      <c r="A17058" t="str">
        <f>"7727790989"</f>
        <v>7727790989</v>
      </c>
      <c r="B17058" t="s">
        <v>23724</v>
      </c>
      <c r="C17058" t="s">
        <v>7</v>
      </c>
      <c r="D17058" t="s">
        <v>33</v>
      </c>
      <c r="E17058" t="s">
        <v>23161</v>
      </c>
      <c r="F17058" t="s">
        <v>23725</v>
      </c>
    </row>
    <row r="17059" spans="1:6" x14ac:dyDescent="0.25">
      <c r="A17059" t="str">
        <f>"7727836954"</f>
        <v>7727836954</v>
      </c>
      <c r="B17059" t="s">
        <v>23726</v>
      </c>
      <c r="C17059" t="s">
        <v>7</v>
      </c>
      <c r="D17059" t="s">
        <v>28</v>
      </c>
      <c r="E17059" t="s">
        <v>23161</v>
      </c>
      <c r="F17059" t="s">
        <v>23727</v>
      </c>
    </row>
    <row r="17060" spans="1:6" x14ac:dyDescent="0.25">
      <c r="A17060" t="str">
        <f>"772784289678"</f>
        <v>772784289678</v>
      </c>
      <c r="B17060" t="s">
        <v>23728</v>
      </c>
      <c r="C17060" t="s">
        <v>7</v>
      </c>
      <c r="D17060" t="s">
        <v>12</v>
      </c>
      <c r="E17060" t="s">
        <v>23161</v>
      </c>
    </row>
    <row r="17061" spans="1:6" x14ac:dyDescent="0.25">
      <c r="A17061" t="str">
        <f>"7727847402"</f>
        <v>7727847402</v>
      </c>
      <c r="B17061" t="s">
        <v>23729</v>
      </c>
      <c r="C17061" t="s">
        <v>7</v>
      </c>
      <c r="D17061" t="s">
        <v>12</v>
      </c>
      <c r="E17061" t="s">
        <v>23161</v>
      </c>
      <c r="F17061" t="s">
        <v>23730</v>
      </c>
    </row>
    <row r="17062" spans="1:6" x14ac:dyDescent="0.25">
      <c r="A17062" t="str">
        <f>"772790621901"</f>
        <v>772790621901</v>
      </c>
      <c r="B17062" t="s">
        <v>23731</v>
      </c>
      <c r="C17062" t="s">
        <v>7</v>
      </c>
      <c r="D17062" t="s">
        <v>14</v>
      </c>
      <c r="E17062" t="s">
        <v>23161</v>
      </c>
    </row>
    <row r="17063" spans="1:6" x14ac:dyDescent="0.25">
      <c r="A17063" t="str">
        <f>"7728043965"</f>
        <v>7728043965</v>
      </c>
      <c r="B17063" t="s">
        <v>23732</v>
      </c>
      <c r="C17063" t="s">
        <v>7</v>
      </c>
      <c r="D17063" t="s">
        <v>98</v>
      </c>
      <c r="E17063" t="s">
        <v>23161</v>
      </c>
      <c r="F17063" t="s">
        <v>23733</v>
      </c>
    </row>
    <row r="17064" spans="1:6" x14ac:dyDescent="0.25">
      <c r="A17064" t="str">
        <f>"772807274991"</f>
        <v>772807274991</v>
      </c>
      <c r="B17064" t="s">
        <v>23734</v>
      </c>
      <c r="C17064" t="s">
        <v>7</v>
      </c>
      <c r="D17064" t="s">
        <v>14</v>
      </c>
      <c r="E17064" t="s">
        <v>23161</v>
      </c>
    </row>
    <row r="17065" spans="1:6" x14ac:dyDescent="0.25">
      <c r="A17065" t="str">
        <f>"7728266538"</f>
        <v>7728266538</v>
      </c>
      <c r="B17065" t="s">
        <v>23735</v>
      </c>
      <c r="C17065" t="s">
        <v>7</v>
      </c>
      <c r="D17065" t="s">
        <v>14</v>
      </c>
      <c r="E17065" t="s">
        <v>23161</v>
      </c>
      <c r="F17065" t="s">
        <v>23736</v>
      </c>
    </row>
    <row r="17066" spans="1:6" x14ac:dyDescent="0.25">
      <c r="A17066" t="str">
        <f>"772829530381"</f>
        <v>772829530381</v>
      </c>
      <c r="B17066" t="s">
        <v>23737</v>
      </c>
      <c r="C17066" t="s">
        <v>7</v>
      </c>
      <c r="D17066" t="s">
        <v>14</v>
      </c>
      <c r="E17066" t="s">
        <v>23161</v>
      </c>
    </row>
    <row r="17067" spans="1:6" x14ac:dyDescent="0.25">
      <c r="A17067" t="str">
        <f>"7728447728"</f>
        <v>7728447728</v>
      </c>
      <c r="B17067" t="s">
        <v>23738</v>
      </c>
      <c r="C17067" t="s">
        <v>7</v>
      </c>
      <c r="D17067" t="s">
        <v>33</v>
      </c>
      <c r="E17067" t="s">
        <v>23161</v>
      </c>
      <c r="F17067" t="s">
        <v>23739</v>
      </c>
    </row>
    <row r="17068" spans="1:6" x14ac:dyDescent="0.25">
      <c r="A17068" t="str">
        <f>"7728451033"</f>
        <v>7728451033</v>
      </c>
      <c r="B17068" t="s">
        <v>23740</v>
      </c>
      <c r="C17068" t="s">
        <v>7</v>
      </c>
      <c r="D17068" t="s">
        <v>33</v>
      </c>
      <c r="E17068" t="s">
        <v>23161</v>
      </c>
      <c r="F17068" t="s">
        <v>23741</v>
      </c>
    </row>
    <row r="17069" spans="1:6" x14ac:dyDescent="0.25">
      <c r="A17069" t="str">
        <f>"7728481221"</f>
        <v>7728481221</v>
      </c>
      <c r="B17069" t="s">
        <v>23742</v>
      </c>
      <c r="C17069" t="s">
        <v>7</v>
      </c>
      <c r="D17069" t="s">
        <v>14</v>
      </c>
      <c r="E17069" t="s">
        <v>23161</v>
      </c>
      <c r="F17069" t="s">
        <v>23743</v>
      </c>
    </row>
    <row r="17070" spans="1:6" x14ac:dyDescent="0.25">
      <c r="A17070" t="str">
        <f>"7728588775"</f>
        <v>7728588775</v>
      </c>
      <c r="B17070" t="s">
        <v>23744</v>
      </c>
      <c r="C17070" t="s">
        <v>7</v>
      </c>
      <c r="D17070" t="s">
        <v>14</v>
      </c>
      <c r="E17070" t="s">
        <v>23161</v>
      </c>
      <c r="F17070" t="s">
        <v>23745</v>
      </c>
    </row>
    <row r="17071" spans="1:6" x14ac:dyDescent="0.25">
      <c r="A17071" t="str">
        <f>"7728642366"</f>
        <v>7728642366</v>
      </c>
      <c r="B17071" t="s">
        <v>23746</v>
      </c>
      <c r="C17071" t="s">
        <v>7</v>
      </c>
      <c r="D17071" t="s">
        <v>33</v>
      </c>
      <c r="E17071" t="s">
        <v>23161</v>
      </c>
      <c r="F17071" t="s">
        <v>23747</v>
      </c>
    </row>
    <row r="17072" spans="1:6" x14ac:dyDescent="0.25">
      <c r="A17072" t="str">
        <f>"772878611266"</f>
        <v>772878611266</v>
      </c>
      <c r="B17072" t="s">
        <v>23748</v>
      </c>
      <c r="C17072" t="s">
        <v>7</v>
      </c>
      <c r="D17072" t="s">
        <v>14</v>
      </c>
      <c r="E17072" t="s">
        <v>23161</v>
      </c>
    </row>
    <row r="17073" spans="1:6" x14ac:dyDescent="0.25">
      <c r="A17073" t="str">
        <f>"772883177206"</f>
        <v>772883177206</v>
      </c>
      <c r="B17073" t="s">
        <v>23749</v>
      </c>
      <c r="C17073" t="s">
        <v>7</v>
      </c>
      <c r="D17073" t="s">
        <v>14</v>
      </c>
      <c r="E17073" t="s">
        <v>23161</v>
      </c>
    </row>
    <row r="17074" spans="1:6" x14ac:dyDescent="0.25">
      <c r="A17074" t="str">
        <f>"7728898110"</f>
        <v>7728898110</v>
      </c>
      <c r="B17074" t="s">
        <v>23750</v>
      </c>
      <c r="C17074" t="s">
        <v>7</v>
      </c>
      <c r="D17074" t="s">
        <v>33</v>
      </c>
      <c r="E17074" t="s">
        <v>23161</v>
      </c>
      <c r="F17074" t="s">
        <v>23751</v>
      </c>
    </row>
    <row r="17075" spans="1:6" x14ac:dyDescent="0.25">
      <c r="A17075" t="str">
        <f>"7729108750"</f>
        <v>7729108750</v>
      </c>
      <c r="B17075" t="s">
        <v>23752</v>
      </c>
      <c r="C17075" t="s">
        <v>7</v>
      </c>
      <c r="D17075" t="s">
        <v>12</v>
      </c>
      <c r="E17075" t="s">
        <v>23161</v>
      </c>
      <c r="F17075" t="s">
        <v>23753</v>
      </c>
    </row>
    <row r="17076" spans="1:6" x14ac:dyDescent="0.25">
      <c r="A17076" t="str">
        <f>"5261072129"</f>
        <v>5261072129</v>
      </c>
      <c r="B17076" t="s">
        <v>23754</v>
      </c>
      <c r="C17076" t="s">
        <v>7</v>
      </c>
      <c r="D17076" t="s">
        <v>674</v>
      </c>
      <c r="E17076" t="s">
        <v>23161</v>
      </c>
      <c r="F17076" t="s">
        <v>23755</v>
      </c>
    </row>
    <row r="17077" spans="1:6" x14ac:dyDescent="0.25">
      <c r="A17077" t="str">
        <f>"505100017018"</f>
        <v>505100017018</v>
      </c>
      <c r="B17077" t="s">
        <v>23756</v>
      </c>
      <c r="C17077" t="s">
        <v>7</v>
      </c>
      <c r="D17077" t="s">
        <v>14</v>
      </c>
      <c r="E17077" t="s">
        <v>23161</v>
      </c>
    </row>
    <row r="17078" spans="1:6" x14ac:dyDescent="0.25">
      <c r="A17078" t="str">
        <f>"505101521549"</f>
        <v>505101521549</v>
      </c>
      <c r="B17078" t="s">
        <v>23757</v>
      </c>
      <c r="C17078" t="s">
        <v>7</v>
      </c>
      <c r="D17078" t="s">
        <v>14</v>
      </c>
      <c r="E17078" t="s">
        <v>23161</v>
      </c>
    </row>
    <row r="17079" spans="1:6" x14ac:dyDescent="0.25">
      <c r="A17079" t="str">
        <f>"5074029451"</f>
        <v>5074029451</v>
      </c>
      <c r="B17079" t="s">
        <v>23758</v>
      </c>
      <c r="C17079" t="s">
        <v>7</v>
      </c>
      <c r="D17079" t="s">
        <v>14</v>
      </c>
      <c r="E17079" t="s">
        <v>23161</v>
      </c>
      <c r="F17079" t="s">
        <v>23759</v>
      </c>
    </row>
    <row r="17080" spans="1:6" x14ac:dyDescent="0.25">
      <c r="A17080" t="str">
        <f>"165048755458"</f>
        <v>165048755458</v>
      </c>
      <c r="B17080" t="s">
        <v>23760</v>
      </c>
      <c r="C17080" t="s">
        <v>7</v>
      </c>
      <c r="D17080" t="s">
        <v>14</v>
      </c>
      <c r="E17080" t="s">
        <v>23161</v>
      </c>
    </row>
    <row r="17081" spans="1:6" x14ac:dyDescent="0.25">
      <c r="A17081" t="str">
        <f>"166023371116"</f>
        <v>166023371116</v>
      </c>
      <c r="B17081" t="s">
        <v>23761</v>
      </c>
      <c r="C17081" t="s">
        <v>7</v>
      </c>
      <c r="D17081" t="s">
        <v>14</v>
      </c>
      <c r="E17081" t="s">
        <v>23161</v>
      </c>
    </row>
    <row r="17082" spans="1:6" x14ac:dyDescent="0.25">
      <c r="A17082" t="str">
        <f>"6165115558"</f>
        <v>6165115558</v>
      </c>
      <c r="B17082" t="s">
        <v>23762</v>
      </c>
      <c r="C17082" t="s">
        <v>7</v>
      </c>
      <c r="D17082" t="s">
        <v>33</v>
      </c>
      <c r="E17082" t="s">
        <v>23161</v>
      </c>
      <c r="F17082" t="s">
        <v>23763</v>
      </c>
    </row>
    <row r="17083" spans="1:6" x14ac:dyDescent="0.25">
      <c r="A17083" t="str">
        <f>"6166150650"</f>
        <v>6166150650</v>
      </c>
      <c r="B17083" t="s">
        <v>23764</v>
      </c>
      <c r="C17083" t="s">
        <v>7</v>
      </c>
      <c r="D17083" t="s">
        <v>14</v>
      </c>
      <c r="E17083" t="s">
        <v>23161</v>
      </c>
      <c r="F17083" t="s">
        <v>23765</v>
      </c>
    </row>
    <row r="17084" spans="1:6" x14ac:dyDescent="0.25">
      <c r="A17084" t="str">
        <f>"621200596180"</f>
        <v>621200596180</v>
      </c>
      <c r="B17084" t="s">
        <v>23766</v>
      </c>
      <c r="C17084" t="s">
        <v>7</v>
      </c>
      <c r="D17084" t="s">
        <v>12</v>
      </c>
      <c r="E17084" t="s">
        <v>23161</v>
      </c>
    </row>
    <row r="17085" spans="1:6" x14ac:dyDescent="0.25">
      <c r="A17085" t="str">
        <f>"026901072879"</f>
        <v>026901072879</v>
      </c>
      <c r="B17085" t="s">
        <v>23767</v>
      </c>
      <c r="C17085" t="s">
        <v>7</v>
      </c>
      <c r="D17085" t="s">
        <v>586</v>
      </c>
      <c r="E17085" t="s">
        <v>23161</v>
      </c>
    </row>
    <row r="17086" spans="1:6" x14ac:dyDescent="0.25">
      <c r="A17086" t="str">
        <f>"616618238070"</f>
        <v>616618238070</v>
      </c>
      <c r="B17086" t="s">
        <v>23768</v>
      </c>
      <c r="C17086" t="s">
        <v>7</v>
      </c>
      <c r="D17086" t="s">
        <v>14</v>
      </c>
      <c r="E17086" t="s">
        <v>23161</v>
      </c>
    </row>
    <row r="17087" spans="1:6" x14ac:dyDescent="0.25">
      <c r="A17087" t="str">
        <f>"616841053903"</f>
        <v>616841053903</v>
      </c>
      <c r="B17087" t="s">
        <v>23769</v>
      </c>
      <c r="C17087" t="s">
        <v>7</v>
      </c>
      <c r="D17087" t="s">
        <v>12</v>
      </c>
      <c r="E17087" t="s">
        <v>23161</v>
      </c>
    </row>
    <row r="17088" spans="1:6" x14ac:dyDescent="0.25">
      <c r="A17088" t="str">
        <f>"3444274520"</f>
        <v>3444274520</v>
      </c>
      <c r="B17088" t="s">
        <v>23770</v>
      </c>
      <c r="C17088" t="s">
        <v>7</v>
      </c>
      <c r="D17088" t="s">
        <v>14</v>
      </c>
      <c r="E17088" t="s">
        <v>23161</v>
      </c>
      <c r="F17088" t="s">
        <v>23771</v>
      </c>
    </row>
    <row r="17089" spans="1:6" x14ac:dyDescent="0.25">
      <c r="A17089" t="str">
        <f>"212805419745"</f>
        <v>212805419745</v>
      </c>
      <c r="B17089" t="s">
        <v>23772</v>
      </c>
      <c r="C17089" t="s">
        <v>7</v>
      </c>
      <c r="D17089" t="s">
        <v>14</v>
      </c>
      <c r="E17089" t="s">
        <v>23161</v>
      </c>
    </row>
    <row r="17090" spans="1:6" x14ac:dyDescent="0.25">
      <c r="A17090" t="str">
        <f>"212914641299"</f>
        <v>212914641299</v>
      </c>
      <c r="B17090" t="s">
        <v>23773</v>
      </c>
      <c r="C17090" t="s">
        <v>7</v>
      </c>
      <c r="D17090" t="s">
        <v>14</v>
      </c>
      <c r="E17090" t="s">
        <v>23161</v>
      </c>
    </row>
    <row r="17091" spans="1:6" x14ac:dyDescent="0.25">
      <c r="A17091" t="str">
        <f>"532003853557"</f>
        <v>532003853557</v>
      </c>
      <c r="B17091" t="s">
        <v>23774</v>
      </c>
      <c r="C17091" t="s">
        <v>7</v>
      </c>
      <c r="D17091" t="s">
        <v>33</v>
      </c>
      <c r="E17091" t="s">
        <v>23161</v>
      </c>
    </row>
    <row r="17092" spans="1:6" x14ac:dyDescent="0.25">
      <c r="A17092" t="str">
        <f>"540138917624"</f>
        <v>540138917624</v>
      </c>
      <c r="B17092" t="s">
        <v>23775</v>
      </c>
      <c r="C17092" t="s">
        <v>7</v>
      </c>
      <c r="D17092" t="s">
        <v>14</v>
      </c>
      <c r="E17092" t="s">
        <v>23161</v>
      </c>
    </row>
    <row r="17093" spans="1:6" x14ac:dyDescent="0.25">
      <c r="A17093" t="str">
        <f>"222106389678"</f>
        <v>222106389678</v>
      </c>
      <c r="B17093" t="s">
        <v>23776</v>
      </c>
      <c r="C17093" t="s">
        <v>7</v>
      </c>
      <c r="D17093" t="s">
        <v>14</v>
      </c>
      <c r="E17093" t="s">
        <v>23161</v>
      </c>
    </row>
    <row r="17094" spans="1:6" x14ac:dyDescent="0.25">
      <c r="A17094" t="str">
        <f>"222307472735"</f>
        <v>222307472735</v>
      </c>
      <c r="B17094" t="s">
        <v>23777</v>
      </c>
      <c r="C17094" t="s">
        <v>7</v>
      </c>
      <c r="D17094" t="s">
        <v>8</v>
      </c>
      <c r="E17094" t="s">
        <v>23161</v>
      </c>
    </row>
    <row r="17095" spans="1:6" x14ac:dyDescent="0.25">
      <c r="A17095" t="str">
        <f>"772917085860"</f>
        <v>772917085860</v>
      </c>
      <c r="B17095" t="s">
        <v>23778</v>
      </c>
      <c r="C17095" t="s">
        <v>7</v>
      </c>
      <c r="D17095" t="s">
        <v>14</v>
      </c>
      <c r="E17095" t="s">
        <v>23161</v>
      </c>
    </row>
    <row r="17096" spans="1:6" x14ac:dyDescent="0.25">
      <c r="A17096" t="str">
        <f>"772917367134"</f>
        <v>772917367134</v>
      </c>
      <c r="B17096" t="s">
        <v>23779</v>
      </c>
      <c r="C17096" t="s">
        <v>7</v>
      </c>
      <c r="D17096" t="s">
        <v>12</v>
      </c>
      <c r="E17096" t="s">
        <v>23161</v>
      </c>
    </row>
    <row r="17097" spans="1:6" x14ac:dyDescent="0.25">
      <c r="A17097" t="str">
        <f>"772917997062"</f>
        <v>772917997062</v>
      </c>
      <c r="B17097" t="s">
        <v>23780</v>
      </c>
      <c r="C17097" t="s">
        <v>7</v>
      </c>
      <c r="D17097" t="s">
        <v>14</v>
      </c>
      <c r="E17097" t="s">
        <v>23161</v>
      </c>
    </row>
    <row r="17098" spans="1:6" x14ac:dyDescent="0.25">
      <c r="A17098" t="str">
        <f>"7729466466"</f>
        <v>7729466466</v>
      </c>
      <c r="B17098" t="s">
        <v>23781</v>
      </c>
      <c r="C17098" t="s">
        <v>7</v>
      </c>
      <c r="D17098" t="s">
        <v>463</v>
      </c>
      <c r="E17098" t="s">
        <v>23161</v>
      </c>
      <c r="F17098" t="s">
        <v>23782</v>
      </c>
    </row>
    <row r="17099" spans="1:6" x14ac:dyDescent="0.25">
      <c r="A17099" t="str">
        <f>"7729559551"</f>
        <v>7729559551</v>
      </c>
      <c r="B17099" t="s">
        <v>23783</v>
      </c>
      <c r="C17099" t="s">
        <v>7</v>
      </c>
      <c r="D17099" t="s">
        <v>12</v>
      </c>
      <c r="E17099" t="s">
        <v>23161</v>
      </c>
      <c r="F17099" t="s">
        <v>23784</v>
      </c>
    </row>
    <row r="17100" spans="1:6" x14ac:dyDescent="0.25">
      <c r="A17100" t="str">
        <f>"7729663295"</f>
        <v>7729663295</v>
      </c>
      <c r="B17100" t="s">
        <v>23785</v>
      </c>
      <c r="C17100" t="s">
        <v>7</v>
      </c>
      <c r="D17100" t="s">
        <v>14</v>
      </c>
      <c r="E17100" t="s">
        <v>23161</v>
      </c>
      <c r="F17100" t="s">
        <v>23786</v>
      </c>
    </row>
    <row r="17101" spans="1:6" x14ac:dyDescent="0.25">
      <c r="A17101" t="str">
        <f>"7729675822"</f>
        <v>7729675822</v>
      </c>
      <c r="B17101" t="s">
        <v>23787</v>
      </c>
      <c r="C17101" t="s">
        <v>7</v>
      </c>
      <c r="D17101" t="s">
        <v>674</v>
      </c>
      <c r="E17101" t="s">
        <v>23161</v>
      </c>
      <c r="F17101" t="s">
        <v>23788</v>
      </c>
    </row>
    <row r="17102" spans="1:6" x14ac:dyDescent="0.25">
      <c r="A17102" t="str">
        <f>"772970115693"</f>
        <v>772970115693</v>
      </c>
      <c r="B17102" t="s">
        <v>23789</v>
      </c>
      <c r="C17102" t="s">
        <v>7</v>
      </c>
      <c r="D17102" t="s">
        <v>12</v>
      </c>
      <c r="E17102" t="s">
        <v>23161</v>
      </c>
    </row>
    <row r="17103" spans="1:6" x14ac:dyDescent="0.25">
      <c r="A17103" t="str">
        <f>"7729703614"</f>
        <v>7729703614</v>
      </c>
      <c r="B17103" t="s">
        <v>23790</v>
      </c>
      <c r="C17103" t="s">
        <v>7</v>
      </c>
      <c r="D17103" t="s">
        <v>12</v>
      </c>
      <c r="E17103" t="s">
        <v>23161</v>
      </c>
      <c r="F17103" t="s">
        <v>23791</v>
      </c>
    </row>
    <row r="17104" spans="1:6" x14ac:dyDescent="0.25">
      <c r="A17104" t="str">
        <f>"7729705354"</f>
        <v>7729705354</v>
      </c>
      <c r="B17104" t="s">
        <v>23792</v>
      </c>
      <c r="C17104" t="s">
        <v>7</v>
      </c>
      <c r="D17104" t="s">
        <v>12</v>
      </c>
      <c r="E17104" t="s">
        <v>23161</v>
      </c>
      <c r="F17104" t="s">
        <v>23793</v>
      </c>
    </row>
    <row r="17105" spans="1:6" x14ac:dyDescent="0.25">
      <c r="A17105" t="str">
        <f>"7729741232"</f>
        <v>7729741232</v>
      </c>
      <c r="B17105" t="s">
        <v>23794</v>
      </c>
      <c r="C17105" t="s">
        <v>7</v>
      </c>
      <c r="D17105" t="s">
        <v>33</v>
      </c>
      <c r="E17105" t="s">
        <v>23161</v>
      </c>
      <c r="F17105" t="s">
        <v>23795</v>
      </c>
    </row>
    <row r="17106" spans="1:6" x14ac:dyDescent="0.25">
      <c r="A17106" t="str">
        <f>"7729763331"</f>
        <v>7729763331</v>
      </c>
      <c r="B17106" t="s">
        <v>23796</v>
      </c>
      <c r="C17106" t="s">
        <v>7</v>
      </c>
      <c r="D17106" t="s">
        <v>674</v>
      </c>
      <c r="E17106" t="s">
        <v>23161</v>
      </c>
      <c r="F17106" t="s">
        <v>23797</v>
      </c>
    </row>
    <row r="17107" spans="1:6" x14ac:dyDescent="0.25">
      <c r="A17107" t="str">
        <f>"772977117308"</f>
        <v>772977117308</v>
      </c>
      <c r="B17107" t="s">
        <v>23798</v>
      </c>
      <c r="C17107" t="s">
        <v>7</v>
      </c>
      <c r="D17107" t="s">
        <v>14</v>
      </c>
      <c r="E17107" t="s">
        <v>23161</v>
      </c>
    </row>
    <row r="17108" spans="1:6" x14ac:dyDescent="0.25">
      <c r="A17108" t="str">
        <f>"7729785575"</f>
        <v>7729785575</v>
      </c>
      <c r="B17108" t="s">
        <v>23799</v>
      </c>
      <c r="C17108" t="s">
        <v>7</v>
      </c>
      <c r="D17108" t="s">
        <v>33</v>
      </c>
      <c r="E17108" t="s">
        <v>23161</v>
      </c>
      <c r="F17108" t="s">
        <v>23800</v>
      </c>
    </row>
    <row r="17109" spans="1:6" x14ac:dyDescent="0.25">
      <c r="A17109" t="str">
        <f>"7729787830"</f>
        <v>7729787830</v>
      </c>
      <c r="B17109" t="s">
        <v>23801</v>
      </c>
      <c r="C17109" t="s">
        <v>7</v>
      </c>
      <c r="D17109" t="s">
        <v>674</v>
      </c>
      <c r="E17109" t="s">
        <v>23161</v>
      </c>
      <c r="F17109" t="s">
        <v>23802</v>
      </c>
    </row>
    <row r="17110" spans="1:6" x14ac:dyDescent="0.25">
      <c r="A17110" t="str">
        <f>"773010451611"</f>
        <v>773010451611</v>
      </c>
      <c r="B17110" t="s">
        <v>23803</v>
      </c>
      <c r="C17110" t="s">
        <v>7</v>
      </c>
      <c r="D17110" t="s">
        <v>14</v>
      </c>
      <c r="E17110" t="s">
        <v>23161</v>
      </c>
    </row>
    <row r="17111" spans="1:6" x14ac:dyDescent="0.25">
      <c r="A17111" t="str">
        <f>"7730124241"</f>
        <v>7730124241</v>
      </c>
      <c r="B17111" t="s">
        <v>23804</v>
      </c>
      <c r="C17111" t="s">
        <v>7</v>
      </c>
      <c r="D17111" t="s">
        <v>674</v>
      </c>
      <c r="E17111" t="s">
        <v>23161</v>
      </c>
      <c r="F17111" t="s">
        <v>23805</v>
      </c>
    </row>
    <row r="17112" spans="1:6" x14ac:dyDescent="0.25">
      <c r="A17112" t="str">
        <f>"7730208886"</f>
        <v>7730208886</v>
      </c>
      <c r="B17112" t="s">
        <v>5533</v>
      </c>
      <c r="C17112" t="s">
        <v>7</v>
      </c>
      <c r="D17112" t="s">
        <v>14</v>
      </c>
      <c r="E17112" t="s">
        <v>23161</v>
      </c>
      <c r="F17112" t="s">
        <v>23806</v>
      </c>
    </row>
    <row r="17113" spans="1:6" x14ac:dyDescent="0.25">
      <c r="A17113" t="str">
        <f>"7730242439"</f>
        <v>7730242439</v>
      </c>
      <c r="B17113" t="s">
        <v>23807</v>
      </c>
      <c r="C17113" t="s">
        <v>7</v>
      </c>
      <c r="D17113" t="s">
        <v>189</v>
      </c>
      <c r="E17113" t="s">
        <v>23161</v>
      </c>
      <c r="F17113" t="s">
        <v>23808</v>
      </c>
    </row>
    <row r="17114" spans="1:6" x14ac:dyDescent="0.25">
      <c r="A17114" t="str">
        <f>"7730251507"</f>
        <v>7730251507</v>
      </c>
      <c r="B17114" t="s">
        <v>23809</v>
      </c>
      <c r="C17114" t="s">
        <v>7</v>
      </c>
      <c r="D17114" t="s">
        <v>674</v>
      </c>
      <c r="E17114" t="s">
        <v>23161</v>
      </c>
      <c r="F17114" t="s">
        <v>23810</v>
      </c>
    </row>
    <row r="17115" spans="1:6" x14ac:dyDescent="0.25">
      <c r="A17115" t="str">
        <f>"7730256576"</f>
        <v>7730256576</v>
      </c>
      <c r="B17115" t="s">
        <v>23811</v>
      </c>
      <c r="C17115" t="s">
        <v>7</v>
      </c>
      <c r="D17115" t="s">
        <v>33</v>
      </c>
      <c r="E17115" t="s">
        <v>23161</v>
      </c>
      <c r="F17115" t="s">
        <v>23812</v>
      </c>
    </row>
    <row r="17116" spans="1:6" x14ac:dyDescent="0.25">
      <c r="A17116" t="str">
        <f>"7730306347"</f>
        <v>7730306347</v>
      </c>
      <c r="B17116" t="s">
        <v>23813</v>
      </c>
      <c r="C17116" t="s">
        <v>7</v>
      </c>
      <c r="D17116" t="s">
        <v>189</v>
      </c>
      <c r="E17116" t="s">
        <v>23161</v>
      </c>
      <c r="F17116" t="s">
        <v>23814</v>
      </c>
    </row>
    <row r="17117" spans="1:6" x14ac:dyDescent="0.25">
      <c r="A17117" t="str">
        <f>"7730307502"</f>
        <v>7730307502</v>
      </c>
      <c r="B17117" t="s">
        <v>23815</v>
      </c>
      <c r="C17117" t="s">
        <v>7</v>
      </c>
      <c r="D17117" t="s">
        <v>33</v>
      </c>
      <c r="E17117" t="s">
        <v>23161</v>
      </c>
      <c r="F17117" t="s">
        <v>23816</v>
      </c>
    </row>
    <row r="17118" spans="1:6" x14ac:dyDescent="0.25">
      <c r="A17118" t="str">
        <f>"7730312647"</f>
        <v>7730312647</v>
      </c>
      <c r="B17118" t="s">
        <v>23817</v>
      </c>
      <c r="C17118" t="s">
        <v>7</v>
      </c>
      <c r="D17118" t="s">
        <v>12</v>
      </c>
      <c r="E17118" t="s">
        <v>23161</v>
      </c>
      <c r="F17118" t="s">
        <v>23818</v>
      </c>
    </row>
    <row r="17119" spans="1:6" x14ac:dyDescent="0.25">
      <c r="A17119" t="str">
        <f>"773101094854"</f>
        <v>773101094854</v>
      </c>
      <c r="B17119" t="s">
        <v>23819</v>
      </c>
      <c r="C17119" t="s">
        <v>7</v>
      </c>
      <c r="D17119" t="s">
        <v>14</v>
      </c>
      <c r="E17119" t="s">
        <v>23161</v>
      </c>
    </row>
    <row r="17120" spans="1:6" x14ac:dyDescent="0.25">
      <c r="A17120" t="str">
        <f>"7731127598"</f>
        <v>7731127598</v>
      </c>
      <c r="B17120" t="s">
        <v>23820</v>
      </c>
      <c r="C17120" t="s">
        <v>7</v>
      </c>
      <c r="D17120" t="s">
        <v>12</v>
      </c>
      <c r="E17120" t="s">
        <v>23161</v>
      </c>
      <c r="F17120" t="s">
        <v>23821</v>
      </c>
    </row>
    <row r="17121" spans="1:6" x14ac:dyDescent="0.25">
      <c r="A17121" t="str">
        <f>"7731248070"</f>
        <v>7731248070</v>
      </c>
      <c r="B17121" t="s">
        <v>12432</v>
      </c>
      <c r="C17121" t="s">
        <v>7</v>
      </c>
      <c r="D17121" t="s">
        <v>14</v>
      </c>
      <c r="E17121" t="s">
        <v>23161</v>
      </c>
      <c r="F17121" t="s">
        <v>23822</v>
      </c>
    </row>
    <row r="17122" spans="1:6" x14ac:dyDescent="0.25">
      <c r="A17122" t="str">
        <f>"7731293556"</f>
        <v>7731293556</v>
      </c>
      <c r="B17122" t="s">
        <v>23823</v>
      </c>
      <c r="C17122" t="s">
        <v>7</v>
      </c>
      <c r="D17122" t="s">
        <v>33</v>
      </c>
      <c r="E17122" t="s">
        <v>23161</v>
      </c>
      <c r="F17122" t="s">
        <v>23824</v>
      </c>
    </row>
    <row r="17123" spans="1:6" x14ac:dyDescent="0.25">
      <c r="A17123" t="str">
        <f>"773136101534"</f>
        <v>773136101534</v>
      </c>
      <c r="B17123" t="s">
        <v>23825</v>
      </c>
      <c r="C17123" t="s">
        <v>7</v>
      </c>
      <c r="D17123" t="s">
        <v>14</v>
      </c>
      <c r="E17123" t="s">
        <v>23161</v>
      </c>
    </row>
    <row r="17124" spans="1:6" x14ac:dyDescent="0.25">
      <c r="A17124" t="str">
        <f>"773136812351"</f>
        <v>773136812351</v>
      </c>
      <c r="B17124" t="s">
        <v>23826</v>
      </c>
      <c r="C17124" t="s">
        <v>7</v>
      </c>
      <c r="D17124" t="s">
        <v>463</v>
      </c>
      <c r="E17124" t="s">
        <v>23161</v>
      </c>
    </row>
    <row r="17125" spans="1:6" x14ac:dyDescent="0.25">
      <c r="A17125" t="str">
        <f>"7731482835"</f>
        <v>7731482835</v>
      </c>
      <c r="B17125" t="s">
        <v>23827</v>
      </c>
      <c r="C17125" t="s">
        <v>7</v>
      </c>
      <c r="D17125" t="s">
        <v>14</v>
      </c>
      <c r="E17125" t="s">
        <v>23161</v>
      </c>
      <c r="F17125" t="s">
        <v>23828</v>
      </c>
    </row>
    <row r="17126" spans="1:6" x14ac:dyDescent="0.25">
      <c r="A17126" t="str">
        <f>"7731660541"</f>
        <v>7731660541</v>
      </c>
      <c r="B17126" t="s">
        <v>23829</v>
      </c>
      <c r="C17126" t="s">
        <v>7</v>
      </c>
      <c r="D17126" t="s">
        <v>33</v>
      </c>
      <c r="E17126" t="s">
        <v>23161</v>
      </c>
      <c r="F17126" t="s">
        <v>23830</v>
      </c>
    </row>
    <row r="17127" spans="1:6" x14ac:dyDescent="0.25">
      <c r="A17127" t="str">
        <f>"773171095650"</f>
        <v>773171095650</v>
      </c>
      <c r="B17127" t="s">
        <v>23831</v>
      </c>
      <c r="C17127" t="s">
        <v>7</v>
      </c>
      <c r="D17127" t="s">
        <v>14</v>
      </c>
      <c r="E17127" t="s">
        <v>23161</v>
      </c>
    </row>
    <row r="17128" spans="1:6" x14ac:dyDescent="0.25">
      <c r="A17128" t="str">
        <f>"773200320092"</f>
        <v>773200320092</v>
      </c>
      <c r="B17128" t="s">
        <v>23832</v>
      </c>
      <c r="C17128" t="s">
        <v>7</v>
      </c>
      <c r="D17128" t="s">
        <v>14</v>
      </c>
      <c r="E17128" t="s">
        <v>23161</v>
      </c>
    </row>
    <row r="17129" spans="1:6" x14ac:dyDescent="0.25">
      <c r="A17129" t="str">
        <f>"773309485600"</f>
        <v>773309485600</v>
      </c>
      <c r="B17129" t="s">
        <v>23833</v>
      </c>
      <c r="C17129" t="s">
        <v>7</v>
      </c>
      <c r="D17129" t="s">
        <v>14</v>
      </c>
      <c r="E17129" t="s">
        <v>23161</v>
      </c>
    </row>
    <row r="17130" spans="1:6" x14ac:dyDescent="0.25">
      <c r="A17130" t="str">
        <f>"773312000936"</f>
        <v>773312000936</v>
      </c>
      <c r="B17130" t="s">
        <v>23834</v>
      </c>
      <c r="C17130" t="s">
        <v>7</v>
      </c>
      <c r="D17130" t="s">
        <v>14</v>
      </c>
      <c r="E17130" t="s">
        <v>23161</v>
      </c>
    </row>
    <row r="17131" spans="1:6" x14ac:dyDescent="0.25">
      <c r="A17131" t="str">
        <f>"773315748399"</f>
        <v>773315748399</v>
      </c>
      <c r="B17131" t="s">
        <v>23835</v>
      </c>
      <c r="C17131" t="s">
        <v>7</v>
      </c>
      <c r="D17131" t="s">
        <v>12</v>
      </c>
      <c r="E17131" t="s">
        <v>23161</v>
      </c>
    </row>
    <row r="17132" spans="1:6" x14ac:dyDescent="0.25">
      <c r="A17132" t="str">
        <f>"7733233908"</f>
        <v>7733233908</v>
      </c>
      <c r="B17132" t="s">
        <v>23836</v>
      </c>
      <c r="C17132" t="s">
        <v>7</v>
      </c>
      <c r="D17132" t="s">
        <v>12</v>
      </c>
      <c r="E17132" t="s">
        <v>23161</v>
      </c>
      <c r="F17132" t="s">
        <v>23837</v>
      </c>
    </row>
    <row r="17133" spans="1:6" x14ac:dyDescent="0.25">
      <c r="A17133" t="str">
        <f>"7733254753"</f>
        <v>7733254753</v>
      </c>
      <c r="B17133" t="s">
        <v>23838</v>
      </c>
      <c r="C17133" t="s">
        <v>7</v>
      </c>
      <c r="D17133" t="s">
        <v>14</v>
      </c>
      <c r="E17133" t="s">
        <v>23161</v>
      </c>
      <c r="F17133" t="s">
        <v>23839</v>
      </c>
    </row>
    <row r="17134" spans="1:6" x14ac:dyDescent="0.25">
      <c r="A17134" t="str">
        <f>"7733257151"</f>
        <v>7733257151</v>
      </c>
      <c r="B17134" t="s">
        <v>23840</v>
      </c>
      <c r="C17134" t="s">
        <v>7</v>
      </c>
      <c r="D17134" t="s">
        <v>674</v>
      </c>
      <c r="E17134" t="s">
        <v>23161</v>
      </c>
      <c r="F17134" t="s">
        <v>23841</v>
      </c>
    </row>
    <row r="17135" spans="1:6" x14ac:dyDescent="0.25">
      <c r="A17135" t="str">
        <f>"7733260034"</f>
        <v>7733260034</v>
      </c>
      <c r="B17135" t="s">
        <v>9714</v>
      </c>
      <c r="C17135" t="s">
        <v>7</v>
      </c>
      <c r="D17135" t="s">
        <v>33</v>
      </c>
      <c r="E17135" t="s">
        <v>23161</v>
      </c>
      <c r="F17135" t="s">
        <v>23842</v>
      </c>
    </row>
    <row r="17136" spans="1:6" x14ac:dyDescent="0.25">
      <c r="A17136" t="str">
        <f>"7733348666"</f>
        <v>7733348666</v>
      </c>
      <c r="B17136" t="s">
        <v>450</v>
      </c>
      <c r="C17136" t="s">
        <v>7</v>
      </c>
      <c r="D17136" t="s">
        <v>14</v>
      </c>
      <c r="E17136" t="s">
        <v>23161</v>
      </c>
      <c r="F17136" t="s">
        <v>23843</v>
      </c>
    </row>
    <row r="17137" spans="1:6" x14ac:dyDescent="0.25">
      <c r="A17137" t="str">
        <f>"7733413393"</f>
        <v>7733413393</v>
      </c>
      <c r="B17137" t="s">
        <v>23844</v>
      </c>
      <c r="C17137" t="s">
        <v>7</v>
      </c>
      <c r="D17137" t="s">
        <v>98</v>
      </c>
      <c r="E17137" t="s">
        <v>23161</v>
      </c>
      <c r="F17137" t="s">
        <v>23845</v>
      </c>
    </row>
    <row r="17138" spans="1:6" x14ac:dyDescent="0.25">
      <c r="A17138" t="str">
        <f>"773372446901"</f>
        <v>773372446901</v>
      </c>
      <c r="B17138" t="s">
        <v>23846</v>
      </c>
      <c r="C17138" t="s">
        <v>7</v>
      </c>
      <c r="D17138" t="s">
        <v>12</v>
      </c>
      <c r="E17138" t="s">
        <v>23161</v>
      </c>
    </row>
    <row r="17139" spans="1:6" x14ac:dyDescent="0.25">
      <c r="A17139" t="str">
        <f>"773374914023"</f>
        <v>773374914023</v>
      </c>
      <c r="B17139" t="s">
        <v>23847</v>
      </c>
      <c r="C17139" t="s">
        <v>7</v>
      </c>
      <c r="D17139" t="s">
        <v>12</v>
      </c>
      <c r="E17139" t="s">
        <v>23161</v>
      </c>
    </row>
    <row r="17140" spans="1:6" x14ac:dyDescent="0.25">
      <c r="A17140" t="str">
        <f>"773408985723"</f>
        <v>773408985723</v>
      </c>
      <c r="B17140" t="s">
        <v>23848</v>
      </c>
      <c r="C17140" t="s">
        <v>7</v>
      </c>
      <c r="D17140" t="s">
        <v>12</v>
      </c>
      <c r="E17140" t="s">
        <v>23161</v>
      </c>
    </row>
    <row r="17141" spans="1:6" x14ac:dyDescent="0.25">
      <c r="A17141" t="str">
        <f>"7734248833"</f>
        <v>7734248833</v>
      </c>
      <c r="B17141" t="s">
        <v>23849</v>
      </c>
      <c r="C17141" t="s">
        <v>7</v>
      </c>
      <c r="D17141" t="s">
        <v>14</v>
      </c>
      <c r="E17141" t="s">
        <v>23161</v>
      </c>
      <c r="F17141" t="s">
        <v>23850</v>
      </c>
    </row>
    <row r="17142" spans="1:6" x14ac:dyDescent="0.25">
      <c r="A17142" t="str">
        <f>"773434445523"</f>
        <v>773434445523</v>
      </c>
      <c r="B17142" t="s">
        <v>23851</v>
      </c>
      <c r="C17142" t="s">
        <v>7</v>
      </c>
      <c r="D17142" t="s">
        <v>14</v>
      </c>
      <c r="E17142" t="s">
        <v>23161</v>
      </c>
    </row>
    <row r="17143" spans="1:6" x14ac:dyDescent="0.25">
      <c r="A17143" t="str">
        <f>"7734415393"</f>
        <v>7734415393</v>
      </c>
      <c r="B17143" t="s">
        <v>23852</v>
      </c>
      <c r="C17143" t="s">
        <v>7</v>
      </c>
      <c r="D17143" t="s">
        <v>98</v>
      </c>
      <c r="E17143" t="s">
        <v>23161</v>
      </c>
      <c r="F17143" t="s">
        <v>23853</v>
      </c>
    </row>
    <row r="17144" spans="1:6" x14ac:dyDescent="0.25">
      <c r="A17144" t="str">
        <f>"7734425377"</f>
        <v>7734425377</v>
      </c>
      <c r="B17144" t="s">
        <v>23854</v>
      </c>
      <c r="C17144" t="s">
        <v>7</v>
      </c>
      <c r="D17144" t="s">
        <v>12</v>
      </c>
      <c r="E17144" t="s">
        <v>23161</v>
      </c>
      <c r="F17144" t="s">
        <v>23855</v>
      </c>
    </row>
    <row r="17145" spans="1:6" x14ac:dyDescent="0.25">
      <c r="A17145" t="str">
        <f>"772985385413"</f>
        <v>772985385413</v>
      </c>
      <c r="B17145" t="s">
        <v>23856</v>
      </c>
      <c r="C17145" t="s">
        <v>7</v>
      </c>
      <c r="D17145" t="s">
        <v>14</v>
      </c>
      <c r="E17145" t="s">
        <v>23161</v>
      </c>
    </row>
    <row r="17146" spans="1:6" x14ac:dyDescent="0.25">
      <c r="A17146" t="str">
        <f>"773003751100"</f>
        <v>773003751100</v>
      </c>
      <c r="B17146" t="s">
        <v>23857</v>
      </c>
      <c r="C17146" t="s">
        <v>7</v>
      </c>
      <c r="D17146" t="s">
        <v>14</v>
      </c>
      <c r="E17146" t="s">
        <v>23161</v>
      </c>
    </row>
    <row r="17147" spans="1:6" x14ac:dyDescent="0.25">
      <c r="A17147" t="str">
        <f>"7730199864"</f>
        <v>7730199864</v>
      </c>
      <c r="B17147" t="s">
        <v>23858</v>
      </c>
      <c r="C17147" t="s">
        <v>7</v>
      </c>
      <c r="D17147" t="s">
        <v>1430</v>
      </c>
      <c r="E17147" t="s">
        <v>23161</v>
      </c>
      <c r="F17147" t="s">
        <v>23859</v>
      </c>
    </row>
    <row r="17148" spans="1:6" x14ac:dyDescent="0.25">
      <c r="A17148" t="str">
        <f>"7730256907"</f>
        <v>7730256907</v>
      </c>
      <c r="B17148" t="s">
        <v>5533</v>
      </c>
      <c r="C17148" t="s">
        <v>7</v>
      </c>
      <c r="D17148" t="s">
        <v>674</v>
      </c>
      <c r="E17148" t="s">
        <v>23161</v>
      </c>
      <c r="F17148" t="s">
        <v>23860</v>
      </c>
    </row>
    <row r="17149" spans="1:6" x14ac:dyDescent="0.25">
      <c r="A17149" t="str">
        <f>"7730298390"</f>
        <v>7730298390</v>
      </c>
      <c r="B17149" t="s">
        <v>23861</v>
      </c>
      <c r="C17149" t="s">
        <v>7</v>
      </c>
      <c r="D17149" t="s">
        <v>463</v>
      </c>
      <c r="E17149" t="s">
        <v>23161</v>
      </c>
      <c r="F17149" t="s">
        <v>23862</v>
      </c>
    </row>
    <row r="17150" spans="1:6" x14ac:dyDescent="0.25">
      <c r="A17150" t="str">
        <f>"7730568529"</f>
        <v>7730568529</v>
      </c>
      <c r="B17150" t="s">
        <v>23863</v>
      </c>
      <c r="C17150" t="s">
        <v>7</v>
      </c>
      <c r="D17150" t="s">
        <v>12</v>
      </c>
      <c r="E17150" t="s">
        <v>23161</v>
      </c>
      <c r="F17150" t="s">
        <v>23864</v>
      </c>
    </row>
    <row r="17151" spans="1:6" x14ac:dyDescent="0.25">
      <c r="A17151" t="str">
        <f>"7730630216"</f>
        <v>7730630216</v>
      </c>
      <c r="B17151" t="s">
        <v>23865</v>
      </c>
      <c r="C17151" t="s">
        <v>7</v>
      </c>
      <c r="D17151" t="s">
        <v>189</v>
      </c>
      <c r="E17151" t="s">
        <v>23161</v>
      </c>
      <c r="F17151" t="s">
        <v>23866</v>
      </c>
    </row>
    <row r="17152" spans="1:6" x14ac:dyDescent="0.25">
      <c r="A17152" t="str">
        <f>"773109870315"</f>
        <v>773109870315</v>
      </c>
      <c r="B17152" t="s">
        <v>23867</v>
      </c>
      <c r="C17152" t="s">
        <v>7</v>
      </c>
      <c r="D17152" t="s">
        <v>14</v>
      </c>
      <c r="E17152" t="s">
        <v>23161</v>
      </c>
    </row>
    <row r="17153" spans="1:6" x14ac:dyDescent="0.25">
      <c r="A17153" t="str">
        <f>"773112191200"</f>
        <v>773112191200</v>
      </c>
      <c r="B17153" t="s">
        <v>23868</v>
      </c>
      <c r="C17153" t="s">
        <v>7</v>
      </c>
      <c r="D17153" t="s">
        <v>33</v>
      </c>
      <c r="E17153" t="s">
        <v>23161</v>
      </c>
    </row>
    <row r="17154" spans="1:6" x14ac:dyDescent="0.25">
      <c r="A17154" t="str">
        <f>"7731339698"</f>
        <v>7731339698</v>
      </c>
      <c r="B17154" t="s">
        <v>23869</v>
      </c>
      <c r="C17154" t="s">
        <v>7</v>
      </c>
      <c r="D17154" t="s">
        <v>674</v>
      </c>
      <c r="E17154" t="s">
        <v>23161</v>
      </c>
      <c r="F17154" t="s">
        <v>23870</v>
      </c>
    </row>
    <row r="17155" spans="1:6" x14ac:dyDescent="0.25">
      <c r="A17155" t="str">
        <f>"7731469136"</f>
        <v>7731469136</v>
      </c>
      <c r="B17155" t="s">
        <v>23871</v>
      </c>
      <c r="C17155" t="s">
        <v>7</v>
      </c>
      <c r="D17155" t="s">
        <v>674</v>
      </c>
      <c r="E17155" t="s">
        <v>23161</v>
      </c>
      <c r="F17155" t="s">
        <v>23872</v>
      </c>
    </row>
    <row r="17156" spans="1:6" x14ac:dyDescent="0.25">
      <c r="A17156" t="str">
        <f>"7731536840"</f>
        <v>7731536840</v>
      </c>
      <c r="B17156" t="s">
        <v>23873</v>
      </c>
      <c r="C17156" t="s">
        <v>7</v>
      </c>
      <c r="D17156" t="s">
        <v>33</v>
      </c>
      <c r="E17156" t="s">
        <v>23161</v>
      </c>
      <c r="F17156" t="s">
        <v>23874</v>
      </c>
    </row>
    <row r="17157" spans="1:6" x14ac:dyDescent="0.25">
      <c r="A17157" t="str">
        <f>"7731657073"</f>
        <v>7731657073</v>
      </c>
      <c r="B17157" t="s">
        <v>23875</v>
      </c>
      <c r="C17157" t="s">
        <v>7</v>
      </c>
      <c r="D17157" t="s">
        <v>14</v>
      </c>
      <c r="E17157" t="s">
        <v>23161</v>
      </c>
      <c r="F17157" t="s">
        <v>23876</v>
      </c>
    </row>
    <row r="17158" spans="1:6" x14ac:dyDescent="0.25">
      <c r="A17158" t="str">
        <f>"7731661792"</f>
        <v>7731661792</v>
      </c>
      <c r="B17158" t="s">
        <v>23877</v>
      </c>
      <c r="C17158" t="s">
        <v>7</v>
      </c>
      <c r="D17158" t="s">
        <v>14</v>
      </c>
      <c r="E17158" t="s">
        <v>23161</v>
      </c>
      <c r="F17158" t="s">
        <v>23878</v>
      </c>
    </row>
    <row r="17159" spans="1:6" x14ac:dyDescent="0.25">
      <c r="A17159" t="str">
        <f>"773179055674"</f>
        <v>773179055674</v>
      </c>
      <c r="B17159" t="s">
        <v>23879</v>
      </c>
      <c r="C17159" t="s">
        <v>7</v>
      </c>
      <c r="D17159" t="s">
        <v>14</v>
      </c>
      <c r="E17159" t="s">
        <v>23161</v>
      </c>
    </row>
    <row r="17160" spans="1:6" x14ac:dyDescent="0.25">
      <c r="A17160" t="str">
        <f>"7732105967"</f>
        <v>7732105967</v>
      </c>
      <c r="B17160" t="s">
        <v>23880</v>
      </c>
      <c r="C17160" t="s">
        <v>7</v>
      </c>
      <c r="D17160" t="s">
        <v>98</v>
      </c>
      <c r="E17160" t="s">
        <v>23161</v>
      </c>
      <c r="F17160" t="s">
        <v>23881</v>
      </c>
    </row>
    <row r="17161" spans="1:6" x14ac:dyDescent="0.25">
      <c r="A17161" t="str">
        <f>"7732503132"</f>
        <v>7732503132</v>
      </c>
      <c r="B17161" t="s">
        <v>23882</v>
      </c>
      <c r="C17161" t="s">
        <v>7</v>
      </c>
      <c r="D17161" t="s">
        <v>463</v>
      </c>
      <c r="E17161" t="s">
        <v>23161</v>
      </c>
      <c r="F17161" t="s">
        <v>23883</v>
      </c>
    </row>
    <row r="17162" spans="1:6" x14ac:dyDescent="0.25">
      <c r="A17162" t="str">
        <f>"773301496871"</f>
        <v>773301496871</v>
      </c>
      <c r="B17162" t="s">
        <v>23884</v>
      </c>
      <c r="C17162" t="s">
        <v>7</v>
      </c>
      <c r="D17162" t="s">
        <v>14</v>
      </c>
      <c r="E17162" t="s">
        <v>23161</v>
      </c>
    </row>
    <row r="17163" spans="1:6" x14ac:dyDescent="0.25">
      <c r="A17163" t="str">
        <f>"773305504403"</f>
        <v>773305504403</v>
      </c>
      <c r="B17163" t="s">
        <v>23885</v>
      </c>
      <c r="C17163" t="s">
        <v>7</v>
      </c>
      <c r="D17163" t="s">
        <v>14</v>
      </c>
      <c r="E17163" t="s">
        <v>23161</v>
      </c>
    </row>
    <row r="17164" spans="1:6" x14ac:dyDescent="0.25">
      <c r="A17164" t="str">
        <f>"7733106829"</f>
        <v>7733106829</v>
      </c>
      <c r="B17164" t="s">
        <v>23886</v>
      </c>
      <c r="C17164" t="s">
        <v>7</v>
      </c>
      <c r="D17164" t="s">
        <v>1430</v>
      </c>
      <c r="E17164" t="s">
        <v>23161</v>
      </c>
      <c r="F17164" t="s">
        <v>23887</v>
      </c>
    </row>
    <row r="17165" spans="1:6" x14ac:dyDescent="0.25">
      <c r="A17165" t="str">
        <f>"7733229235"</f>
        <v>7733229235</v>
      </c>
      <c r="B17165" t="s">
        <v>23888</v>
      </c>
      <c r="C17165" t="s">
        <v>7</v>
      </c>
      <c r="D17165" t="s">
        <v>12</v>
      </c>
      <c r="E17165" t="s">
        <v>23161</v>
      </c>
      <c r="F17165" t="s">
        <v>23889</v>
      </c>
    </row>
    <row r="17166" spans="1:6" x14ac:dyDescent="0.25">
      <c r="A17166" t="str">
        <f>"7733241112"</f>
        <v>7733241112</v>
      </c>
      <c r="B17166" t="s">
        <v>23890</v>
      </c>
      <c r="C17166" t="s">
        <v>7</v>
      </c>
      <c r="D17166" t="s">
        <v>14</v>
      </c>
      <c r="E17166" t="s">
        <v>23161</v>
      </c>
      <c r="F17166" t="s">
        <v>23891</v>
      </c>
    </row>
    <row r="17167" spans="1:6" x14ac:dyDescent="0.25">
      <c r="A17167" t="str">
        <f>"7733341773"</f>
        <v>7733341773</v>
      </c>
      <c r="B17167" t="s">
        <v>23892</v>
      </c>
      <c r="C17167" t="s">
        <v>7</v>
      </c>
      <c r="D17167" t="s">
        <v>189</v>
      </c>
      <c r="E17167" t="s">
        <v>23161</v>
      </c>
      <c r="F17167" t="s">
        <v>23893</v>
      </c>
    </row>
    <row r="17168" spans="1:6" x14ac:dyDescent="0.25">
      <c r="A17168" t="str">
        <f>"7733358992"</f>
        <v>7733358992</v>
      </c>
      <c r="B17168" t="s">
        <v>23894</v>
      </c>
      <c r="C17168" t="s">
        <v>7</v>
      </c>
      <c r="D17168" t="s">
        <v>12</v>
      </c>
      <c r="E17168" t="s">
        <v>23161</v>
      </c>
      <c r="F17168" t="s">
        <v>23895</v>
      </c>
    </row>
    <row r="17169" spans="1:6" x14ac:dyDescent="0.25">
      <c r="A17169" t="str">
        <f>"7733408139"</f>
        <v>7733408139</v>
      </c>
      <c r="B17169" t="s">
        <v>23896</v>
      </c>
      <c r="C17169" t="s">
        <v>7</v>
      </c>
      <c r="D17169" t="s">
        <v>33</v>
      </c>
      <c r="E17169" t="s">
        <v>23161</v>
      </c>
      <c r="F17169" t="s">
        <v>23897</v>
      </c>
    </row>
    <row r="17170" spans="1:6" x14ac:dyDescent="0.25">
      <c r="A17170" t="str">
        <f>"7733414710"</f>
        <v>7733414710</v>
      </c>
      <c r="B17170" t="s">
        <v>23898</v>
      </c>
      <c r="C17170" t="s">
        <v>7</v>
      </c>
      <c r="D17170" t="s">
        <v>33</v>
      </c>
      <c r="E17170" t="s">
        <v>23161</v>
      </c>
      <c r="F17170" t="s">
        <v>23899</v>
      </c>
    </row>
    <row r="17171" spans="1:6" x14ac:dyDescent="0.25">
      <c r="A17171" t="str">
        <f>"7733439592"</f>
        <v>7733439592</v>
      </c>
      <c r="B17171" t="s">
        <v>23900</v>
      </c>
      <c r="C17171" t="s">
        <v>7</v>
      </c>
      <c r="D17171" t="s">
        <v>12</v>
      </c>
      <c r="E17171" t="s">
        <v>23161</v>
      </c>
      <c r="F17171" t="s">
        <v>23901</v>
      </c>
    </row>
    <row r="17172" spans="1:6" x14ac:dyDescent="0.25">
      <c r="A17172" t="str">
        <f>"7733453318"</f>
        <v>7733453318</v>
      </c>
      <c r="B17172" t="s">
        <v>23902</v>
      </c>
      <c r="C17172" t="s">
        <v>7</v>
      </c>
      <c r="D17172" t="s">
        <v>14</v>
      </c>
      <c r="E17172" t="s">
        <v>23161</v>
      </c>
      <c r="F17172" t="s">
        <v>23903</v>
      </c>
    </row>
    <row r="17173" spans="1:6" x14ac:dyDescent="0.25">
      <c r="A17173" t="str">
        <f>"7733462136"</f>
        <v>7733462136</v>
      </c>
      <c r="B17173" t="s">
        <v>23904</v>
      </c>
      <c r="C17173" t="s">
        <v>7</v>
      </c>
      <c r="D17173" t="s">
        <v>33</v>
      </c>
      <c r="E17173" t="s">
        <v>23161</v>
      </c>
      <c r="F17173" t="s">
        <v>23905</v>
      </c>
    </row>
    <row r="17174" spans="1:6" x14ac:dyDescent="0.25">
      <c r="A17174" t="str">
        <f>"7733545417"</f>
        <v>7733545417</v>
      </c>
      <c r="B17174" t="s">
        <v>23906</v>
      </c>
      <c r="C17174" t="s">
        <v>7</v>
      </c>
      <c r="D17174" t="s">
        <v>14</v>
      </c>
      <c r="E17174" t="s">
        <v>23161</v>
      </c>
      <c r="F17174" t="s">
        <v>23907</v>
      </c>
    </row>
    <row r="17175" spans="1:6" x14ac:dyDescent="0.25">
      <c r="A17175" t="str">
        <f>"7733556360"</f>
        <v>7733556360</v>
      </c>
      <c r="B17175" t="s">
        <v>23908</v>
      </c>
      <c r="C17175" t="s">
        <v>7</v>
      </c>
      <c r="D17175" t="s">
        <v>33</v>
      </c>
      <c r="E17175" t="s">
        <v>23161</v>
      </c>
      <c r="F17175" t="s">
        <v>23909</v>
      </c>
    </row>
    <row r="17176" spans="1:6" x14ac:dyDescent="0.25">
      <c r="A17176" t="str">
        <f>"7733719293"</f>
        <v>7733719293</v>
      </c>
      <c r="B17176" t="s">
        <v>19344</v>
      </c>
      <c r="C17176" t="s">
        <v>7</v>
      </c>
      <c r="D17176" t="s">
        <v>33</v>
      </c>
      <c r="E17176" t="s">
        <v>23161</v>
      </c>
      <c r="F17176" t="s">
        <v>23910</v>
      </c>
    </row>
    <row r="17177" spans="1:6" x14ac:dyDescent="0.25">
      <c r="A17177" t="str">
        <f>"773376397613"</f>
        <v>773376397613</v>
      </c>
      <c r="B17177" t="s">
        <v>23911</v>
      </c>
      <c r="C17177" t="s">
        <v>7</v>
      </c>
      <c r="D17177" t="s">
        <v>14</v>
      </c>
      <c r="E17177" t="s">
        <v>23161</v>
      </c>
    </row>
    <row r="17178" spans="1:6" x14ac:dyDescent="0.25">
      <c r="A17178" t="str">
        <f>"773377037388"</f>
        <v>773377037388</v>
      </c>
      <c r="B17178" t="s">
        <v>23912</v>
      </c>
      <c r="C17178" t="s">
        <v>7</v>
      </c>
      <c r="D17178" t="s">
        <v>14</v>
      </c>
      <c r="E17178" t="s">
        <v>23161</v>
      </c>
    </row>
    <row r="17179" spans="1:6" x14ac:dyDescent="0.25">
      <c r="A17179" t="str">
        <f>"773378235456"</f>
        <v>773378235456</v>
      </c>
      <c r="B17179" t="s">
        <v>23913</v>
      </c>
      <c r="C17179" t="s">
        <v>7</v>
      </c>
      <c r="D17179" t="s">
        <v>14</v>
      </c>
      <c r="E17179" t="s">
        <v>23161</v>
      </c>
    </row>
    <row r="17180" spans="1:6" x14ac:dyDescent="0.25">
      <c r="A17180" t="str">
        <f>"7733807990"</f>
        <v>7733807990</v>
      </c>
      <c r="B17180" t="s">
        <v>9714</v>
      </c>
      <c r="C17180" t="s">
        <v>7</v>
      </c>
      <c r="D17180" t="s">
        <v>33</v>
      </c>
      <c r="E17180" t="s">
        <v>23161</v>
      </c>
      <c r="F17180" t="s">
        <v>23914</v>
      </c>
    </row>
    <row r="17181" spans="1:6" x14ac:dyDescent="0.25">
      <c r="A17181" t="str">
        <f>"7733824428"</f>
        <v>7733824428</v>
      </c>
      <c r="B17181" t="s">
        <v>23915</v>
      </c>
      <c r="C17181" t="s">
        <v>7</v>
      </c>
      <c r="D17181" t="s">
        <v>14</v>
      </c>
      <c r="E17181" t="s">
        <v>23161</v>
      </c>
      <c r="F17181" t="s">
        <v>23916</v>
      </c>
    </row>
    <row r="17182" spans="1:6" x14ac:dyDescent="0.25">
      <c r="A17182" t="str">
        <f>"7733841254"</f>
        <v>7733841254</v>
      </c>
      <c r="B17182" t="s">
        <v>23917</v>
      </c>
      <c r="C17182" t="s">
        <v>7</v>
      </c>
      <c r="D17182" t="s">
        <v>674</v>
      </c>
      <c r="E17182" t="s">
        <v>23161</v>
      </c>
      <c r="F17182" t="s">
        <v>23918</v>
      </c>
    </row>
    <row r="17183" spans="1:6" x14ac:dyDescent="0.25">
      <c r="A17183" t="str">
        <f>"7733879770"</f>
        <v>7733879770</v>
      </c>
      <c r="B17183" t="s">
        <v>23919</v>
      </c>
      <c r="C17183" t="s">
        <v>7</v>
      </c>
      <c r="D17183" t="s">
        <v>33</v>
      </c>
      <c r="E17183" t="s">
        <v>23161</v>
      </c>
      <c r="F17183" t="s">
        <v>23920</v>
      </c>
    </row>
    <row r="17184" spans="1:6" x14ac:dyDescent="0.25">
      <c r="A17184" t="str">
        <f>"773420942564"</f>
        <v>773420942564</v>
      </c>
      <c r="B17184" t="s">
        <v>23921</v>
      </c>
      <c r="C17184" t="s">
        <v>7</v>
      </c>
      <c r="D17184" t="s">
        <v>14</v>
      </c>
      <c r="E17184" t="s">
        <v>23161</v>
      </c>
    </row>
    <row r="17185" spans="1:6" x14ac:dyDescent="0.25">
      <c r="A17185" t="str">
        <f>"7734391181"</f>
        <v>7734391181</v>
      </c>
      <c r="B17185" t="s">
        <v>23922</v>
      </c>
      <c r="C17185" t="s">
        <v>7</v>
      </c>
      <c r="D17185" t="s">
        <v>28</v>
      </c>
      <c r="E17185" t="s">
        <v>23161</v>
      </c>
      <c r="F17185" t="s">
        <v>23923</v>
      </c>
    </row>
    <row r="17186" spans="1:6" x14ac:dyDescent="0.25">
      <c r="A17186" t="str">
        <f>"7734396503"</f>
        <v>7734396503</v>
      </c>
      <c r="B17186" t="s">
        <v>23924</v>
      </c>
      <c r="C17186" t="s">
        <v>7</v>
      </c>
      <c r="D17186" t="s">
        <v>463</v>
      </c>
      <c r="E17186" t="s">
        <v>23161</v>
      </c>
      <c r="F17186" t="s">
        <v>23925</v>
      </c>
    </row>
    <row r="17187" spans="1:6" x14ac:dyDescent="0.25">
      <c r="A17187" t="str">
        <f>"7734400090"</f>
        <v>7734400090</v>
      </c>
      <c r="B17187" t="s">
        <v>23926</v>
      </c>
      <c r="C17187" t="s">
        <v>7</v>
      </c>
      <c r="D17187" t="s">
        <v>33</v>
      </c>
      <c r="E17187" t="s">
        <v>23161</v>
      </c>
      <c r="F17187" t="s">
        <v>23927</v>
      </c>
    </row>
    <row r="17188" spans="1:6" x14ac:dyDescent="0.25">
      <c r="A17188" t="str">
        <f>"7734431275"</f>
        <v>7734431275</v>
      </c>
      <c r="B17188" t="s">
        <v>3253</v>
      </c>
      <c r="C17188" t="s">
        <v>7</v>
      </c>
      <c r="D17188" t="s">
        <v>33</v>
      </c>
      <c r="E17188" t="s">
        <v>23161</v>
      </c>
      <c r="F17188" t="s">
        <v>23928</v>
      </c>
    </row>
    <row r="17189" spans="1:6" x14ac:dyDescent="0.25">
      <c r="A17189" t="str">
        <f>"7734441185"</f>
        <v>7734441185</v>
      </c>
      <c r="B17189" t="s">
        <v>23929</v>
      </c>
      <c r="C17189" t="s">
        <v>7</v>
      </c>
      <c r="D17189" t="s">
        <v>674</v>
      </c>
      <c r="E17189" t="s">
        <v>23161</v>
      </c>
      <c r="F17189" t="s">
        <v>23930</v>
      </c>
    </row>
    <row r="17190" spans="1:6" x14ac:dyDescent="0.25">
      <c r="A17190" t="str">
        <f>"7734445422"</f>
        <v>7734445422</v>
      </c>
      <c r="B17190" t="s">
        <v>23931</v>
      </c>
      <c r="C17190" t="s">
        <v>7</v>
      </c>
      <c r="D17190" t="s">
        <v>28</v>
      </c>
      <c r="E17190" t="s">
        <v>23161</v>
      </c>
      <c r="F17190" t="s">
        <v>23932</v>
      </c>
    </row>
    <row r="17191" spans="1:6" x14ac:dyDescent="0.25">
      <c r="A17191" t="str">
        <f>"7734473469"</f>
        <v>7734473469</v>
      </c>
      <c r="B17191" t="s">
        <v>23933</v>
      </c>
      <c r="C17191" t="s">
        <v>7</v>
      </c>
      <c r="D17191" t="s">
        <v>33</v>
      </c>
      <c r="E17191" t="s">
        <v>23161</v>
      </c>
      <c r="F17191" t="s">
        <v>23934</v>
      </c>
    </row>
    <row r="17192" spans="1:6" x14ac:dyDescent="0.25">
      <c r="A17192" t="str">
        <f>"7734519988"</f>
        <v>7734519988</v>
      </c>
      <c r="B17192" t="s">
        <v>23935</v>
      </c>
      <c r="C17192" t="s">
        <v>7</v>
      </c>
      <c r="D17192" t="s">
        <v>12</v>
      </c>
      <c r="E17192" t="s">
        <v>23161</v>
      </c>
      <c r="F17192" t="s">
        <v>23936</v>
      </c>
    </row>
    <row r="17193" spans="1:6" x14ac:dyDescent="0.25">
      <c r="A17193" t="str">
        <f>"773460202485"</f>
        <v>773460202485</v>
      </c>
      <c r="B17193" t="s">
        <v>23937</v>
      </c>
      <c r="C17193" t="s">
        <v>7</v>
      </c>
      <c r="D17193" t="s">
        <v>12</v>
      </c>
      <c r="E17193" t="s">
        <v>23161</v>
      </c>
    </row>
    <row r="17194" spans="1:6" x14ac:dyDescent="0.25">
      <c r="A17194" t="str">
        <f>"773464878820"</f>
        <v>773464878820</v>
      </c>
      <c r="B17194" t="s">
        <v>23938</v>
      </c>
      <c r="C17194" t="s">
        <v>7</v>
      </c>
      <c r="D17194" t="s">
        <v>14</v>
      </c>
      <c r="E17194" t="s">
        <v>23161</v>
      </c>
    </row>
    <row r="17195" spans="1:6" x14ac:dyDescent="0.25">
      <c r="A17195" t="str">
        <f>"773471748364"</f>
        <v>773471748364</v>
      </c>
      <c r="B17195" t="s">
        <v>23939</v>
      </c>
      <c r="C17195" t="s">
        <v>7</v>
      </c>
      <c r="D17195" t="s">
        <v>14</v>
      </c>
      <c r="E17195" t="s">
        <v>23161</v>
      </c>
    </row>
    <row r="17196" spans="1:6" x14ac:dyDescent="0.25">
      <c r="A17196" t="str">
        <f>"773501075800"</f>
        <v>773501075800</v>
      </c>
      <c r="B17196" t="s">
        <v>23940</v>
      </c>
      <c r="C17196" t="s">
        <v>7</v>
      </c>
      <c r="D17196" t="s">
        <v>14</v>
      </c>
      <c r="E17196" t="s">
        <v>23161</v>
      </c>
    </row>
    <row r="17197" spans="1:6" x14ac:dyDescent="0.25">
      <c r="A17197" t="str">
        <f>"773501452254"</f>
        <v>773501452254</v>
      </c>
      <c r="B17197" t="s">
        <v>23941</v>
      </c>
      <c r="C17197" t="s">
        <v>7</v>
      </c>
      <c r="D17197" t="s">
        <v>14</v>
      </c>
      <c r="E17197" t="s">
        <v>23161</v>
      </c>
    </row>
    <row r="17198" spans="1:6" x14ac:dyDescent="0.25">
      <c r="A17198" t="str">
        <f>"773508197003"</f>
        <v>773508197003</v>
      </c>
      <c r="B17198" t="s">
        <v>23942</v>
      </c>
      <c r="C17198" t="s">
        <v>7</v>
      </c>
      <c r="D17198" t="s">
        <v>14</v>
      </c>
      <c r="E17198" t="s">
        <v>23161</v>
      </c>
    </row>
    <row r="17199" spans="1:6" x14ac:dyDescent="0.25">
      <c r="A17199" t="str">
        <f>"450101835344"</f>
        <v>450101835344</v>
      </c>
      <c r="B17199" t="s">
        <v>23943</v>
      </c>
      <c r="C17199" t="s">
        <v>7</v>
      </c>
      <c r="D17199" t="s">
        <v>14</v>
      </c>
      <c r="E17199" t="s">
        <v>23161</v>
      </c>
    </row>
    <row r="17200" spans="1:6" x14ac:dyDescent="0.25">
      <c r="A17200" t="str">
        <f>"710700073105"</f>
        <v>710700073105</v>
      </c>
      <c r="B17200" t="s">
        <v>23944</v>
      </c>
      <c r="C17200" t="s">
        <v>7</v>
      </c>
      <c r="D17200" t="s">
        <v>14</v>
      </c>
      <c r="E17200" t="s">
        <v>23161</v>
      </c>
    </row>
    <row r="17201" spans="1:6" x14ac:dyDescent="0.25">
      <c r="A17201" t="str">
        <f>"7729447449"</f>
        <v>7729447449</v>
      </c>
      <c r="B17201" t="s">
        <v>23945</v>
      </c>
      <c r="C17201" t="s">
        <v>7</v>
      </c>
      <c r="D17201" t="s">
        <v>1430</v>
      </c>
      <c r="E17201" t="s">
        <v>23161</v>
      </c>
      <c r="F17201" t="s">
        <v>23946</v>
      </c>
    </row>
    <row r="17202" spans="1:6" x14ac:dyDescent="0.25">
      <c r="A17202" t="str">
        <f>"7729486744"</f>
        <v>7729486744</v>
      </c>
      <c r="B17202" t="s">
        <v>23947</v>
      </c>
      <c r="C17202" t="s">
        <v>7</v>
      </c>
      <c r="D17202" t="s">
        <v>146</v>
      </c>
      <c r="E17202" t="s">
        <v>23161</v>
      </c>
      <c r="F17202" t="s">
        <v>23948</v>
      </c>
    </row>
    <row r="17203" spans="1:6" x14ac:dyDescent="0.25">
      <c r="A17203" t="str">
        <f>"7729488484"</f>
        <v>7729488484</v>
      </c>
      <c r="B17203" t="s">
        <v>23949</v>
      </c>
      <c r="C17203" t="s">
        <v>7</v>
      </c>
      <c r="D17203" t="s">
        <v>33</v>
      </c>
      <c r="E17203" t="s">
        <v>23161</v>
      </c>
      <c r="F17203" t="s">
        <v>23950</v>
      </c>
    </row>
    <row r="17204" spans="1:6" x14ac:dyDescent="0.25">
      <c r="A17204" t="str">
        <f>"7729654653"</f>
        <v>7729654653</v>
      </c>
      <c r="B17204" t="s">
        <v>23951</v>
      </c>
      <c r="C17204" t="s">
        <v>7</v>
      </c>
      <c r="D17204" t="s">
        <v>12</v>
      </c>
      <c r="E17204" t="s">
        <v>23161</v>
      </c>
      <c r="F17204" t="s">
        <v>23952</v>
      </c>
    </row>
    <row r="17205" spans="1:6" x14ac:dyDescent="0.25">
      <c r="A17205" t="str">
        <f>"772970097780"</f>
        <v>772970097780</v>
      </c>
      <c r="B17205" t="s">
        <v>23953</v>
      </c>
      <c r="C17205" t="s">
        <v>7</v>
      </c>
      <c r="D17205" t="s">
        <v>8</v>
      </c>
      <c r="E17205" t="s">
        <v>23161</v>
      </c>
    </row>
    <row r="17206" spans="1:6" x14ac:dyDescent="0.25">
      <c r="A17206" t="str">
        <f>"7729721701"</f>
        <v>7729721701</v>
      </c>
      <c r="B17206" t="s">
        <v>23954</v>
      </c>
      <c r="C17206" t="s">
        <v>7</v>
      </c>
      <c r="D17206" t="s">
        <v>33</v>
      </c>
      <c r="E17206" t="s">
        <v>23161</v>
      </c>
      <c r="F17206" t="s">
        <v>23955</v>
      </c>
    </row>
    <row r="17207" spans="1:6" x14ac:dyDescent="0.25">
      <c r="A17207" t="str">
        <f>"772973961648"</f>
        <v>772973961648</v>
      </c>
      <c r="B17207" t="s">
        <v>23956</v>
      </c>
      <c r="C17207" t="s">
        <v>7</v>
      </c>
      <c r="D17207" t="s">
        <v>14</v>
      </c>
      <c r="E17207" t="s">
        <v>23161</v>
      </c>
    </row>
    <row r="17208" spans="1:6" x14ac:dyDescent="0.25">
      <c r="A17208" t="str">
        <f>"7729763236"</f>
        <v>7729763236</v>
      </c>
      <c r="B17208" t="s">
        <v>23957</v>
      </c>
      <c r="C17208" t="s">
        <v>7</v>
      </c>
      <c r="D17208" t="s">
        <v>33</v>
      </c>
      <c r="E17208" t="s">
        <v>23161</v>
      </c>
      <c r="F17208" t="s">
        <v>23958</v>
      </c>
    </row>
    <row r="17209" spans="1:6" x14ac:dyDescent="0.25">
      <c r="A17209" t="str">
        <f>"7729773330"</f>
        <v>7729773330</v>
      </c>
      <c r="B17209" t="s">
        <v>23959</v>
      </c>
      <c r="C17209" t="s">
        <v>7</v>
      </c>
      <c r="D17209" t="s">
        <v>12</v>
      </c>
      <c r="E17209" t="s">
        <v>23161</v>
      </c>
      <c r="F17209" t="s">
        <v>23960</v>
      </c>
    </row>
    <row r="17210" spans="1:6" x14ac:dyDescent="0.25">
      <c r="A17210" t="str">
        <f>"773008141740"</f>
        <v>773008141740</v>
      </c>
      <c r="B17210" t="s">
        <v>23961</v>
      </c>
      <c r="C17210" t="s">
        <v>7</v>
      </c>
      <c r="D17210" t="s">
        <v>14</v>
      </c>
      <c r="E17210" t="s">
        <v>23161</v>
      </c>
    </row>
    <row r="17211" spans="1:6" x14ac:dyDescent="0.25">
      <c r="A17211" t="str">
        <f>"7730117815"</f>
        <v>7730117815</v>
      </c>
      <c r="B17211" t="s">
        <v>23962</v>
      </c>
      <c r="C17211" t="s">
        <v>7</v>
      </c>
      <c r="D17211" t="s">
        <v>12</v>
      </c>
      <c r="E17211" t="s">
        <v>23161</v>
      </c>
      <c r="F17211" t="s">
        <v>23963</v>
      </c>
    </row>
    <row r="17212" spans="1:6" x14ac:dyDescent="0.25">
      <c r="A17212" t="str">
        <f>"7730196038"</f>
        <v>7730196038</v>
      </c>
      <c r="B17212" t="s">
        <v>23964</v>
      </c>
      <c r="C17212" t="s">
        <v>7</v>
      </c>
      <c r="D17212" t="s">
        <v>14</v>
      </c>
      <c r="E17212" t="s">
        <v>23161</v>
      </c>
      <c r="F17212" t="s">
        <v>23965</v>
      </c>
    </row>
    <row r="17213" spans="1:6" x14ac:dyDescent="0.25">
      <c r="A17213" t="str">
        <f>"7730259489"</f>
        <v>7730259489</v>
      </c>
      <c r="B17213" t="s">
        <v>23966</v>
      </c>
      <c r="C17213" t="s">
        <v>7</v>
      </c>
      <c r="D17213" t="s">
        <v>189</v>
      </c>
      <c r="E17213" t="s">
        <v>23161</v>
      </c>
      <c r="F17213" t="s">
        <v>23967</v>
      </c>
    </row>
    <row r="17214" spans="1:6" x14ac:dyDescent="0.25">
      <c r="A17214" t="str">
        <f>"7730265027"</f>
        <v>7730265027</v>
      </c>
      <c r="B17214" t="s">
        <v>23968</v>
      </c>
      <c r="C17214" t="s">
        <v>7</v>
      </c>
      <c r="D17214" t="s">
        <v>674</v>
      </c>
      <c r="E17214" t="s">
        <v>23161</v>
      </c>
      <c r="F17214" t="s">
        <v>23969</v>
      </c>
    </row>
    <row r="17215" spans="1:6" x14ac:dyDescent="0.25">
      <c r="A17215" t="str">
        <f>"7730315126"</f>
        <v>7730315126</v>
      </c>
      <c r="B17215" t="s">
        <v>23970</v>
      </c>
      <c r="C17215" t="s">
        <v>7</v>
      </c>
      <c r="D17215" t="s">
        <v>14</v>
      </c>
      <c r="E17215" t="s">
        <v>23161</v>
      </c>
      <c r="F17215" t="s">
        <v>23971</v>
      </c>
    </row>
    <row r="17216" spans="1:6" x14ac:dyDescent="0.25">
      <c r="A17216" t="str">
        <f>"7730325580"</f>
        <v>7730325580</v>
      </c>
      <c r="B17216" t="s">
        <v>23972</v>
      </c>
      <c r="C17216" t="s">
        <v>7</v>
      </c>
      <c r="D17216" t="s">
        <v>8</v>
      </c>
      <c r="E17216" t="s">
        <v>23161</v>
      </c>
      <c r="F17216" t="s">
        <v>23973</v>
      </c>
    </row>
    <row r="17217" spans="1:6" x14ac:dyDescent="0.25">
      <c r="A17217" t="str">
        <f>"7730607376"</f>
        <v>7730607376</v>
      </c>
      <c r="B17217" t="s">
        <v>23974</v>
      </c>
      <c r="C17217" t="s">
        <v>7</v>
      </c>
      <c r="D17217" t="s">
        <v>14</v>
      </c>
      <c r="E17217" t="s">
        <v>23161</v>
      </c>
      <c r="F17217" t="s">
        <v>23975</v>
      </c>
    </row>
    <row r="17218" spans="1:6" x14ac:dyDescent="0.25">
      <c r="A17218" t="str">
        <f>"7730611767"</f>
        <v>7730611767</v>
      </c>
      <c r="B17218" t="s">
        <v>23976</v>
      </c>
      <c r="C17218" t="s">
        <v>7</v>
      </c>
      <c r="D17218" t="s">
        <v>12</v>
      </c>
      <c r="E17218" t="s">
        <v>23161</v>
      </c>
      <c r="F17218" t="s">
        <v>23977</v>
      </c>
    </row>
    <row r="17219" spans="1:6" x14ac:dyDescent="0.25">
      <c r="A17219" t="str">
        <f>"7730638889"</f>
        <v>7730638889</v>
      </c>
      <c r="B17219" t="s">
        <v>23978</v>
      </c>
      <c r="C17219" t="s">
        <v>7</v>
      </c>
      <c r="D17219" t="s">
        <v>8</v>
      </c>
      <c r="E17219" t="s">
        <v>23161</v>
      </c>
      <c r="F17219" t="s">
        <v>23979</v>
      </c>
    </row>
    <row r="17220" spans="1:6" x14ac:dyDescent="0.25">
      <c r="A17220" t="str">
        <f>"7730642733"</f>
        <v>7730642733</v>
      </c>
      <c r="B17220" t="s">
        <v>23980</v>
      </c>
      <c r="C17220" t="s">
        <v>7</v>
      </c>
      <c r="D17220" t="s">
        <v>12</v>
      </c>
      <c r="E17220" t="s">
        <v>23161</v>
      </c>
      <c r="F17220" t="s">
        <v>23981</v>
      </c>
    </row>
    <row r="17221" spans="1:6" x14ac:dyDescent="0.25">
      <c r="A17221" t="str">
        <f>"7730665473"</f>
        <v>7730665473</v>
      </c>
      <c r="B17221" t="s">
        <v>8435</v>
      </c>
      <c r="C17221" t="s">
        <v>7</v>
      </c>
      <c r="D17221" t="s">
        <v>33</v>
      </c>
      <c r="E17221" t="s">
        <v>23161</v>
      </c>
      <c r="F17221" t="s">
        <v>23982</v>
      </c>
    </row>
    <row r="17222" spans="1:6" x14ac:dyDescent="0.25">
      <c r="A17222" t="str">
        <f>"7730688008"</f>
        <v>7730688008</v>
      </c>
      <c r="B17222" t="s">
        <v>23983</v>
      </c>
      <c r="C17222" t="s">
        <v>7</v>
      </c>
      <c r="D17222" t="s">
        <v>12</v>
      </c>
      <c r="E17222" t="s">
        <v>23161</v>
      </c>
      <c r="F17222" t="s">
        <v>23984</v>
      </c>
    </row>
    <row r="17223" spans="1:6" x14ac:dyDescent="0.25">
      <c r="A17223" t="str">
        <f>"7730689668"</f>
        <v>7730689668</v>
      </c>
      <c r="B17223" t="s">
        <v>23985</v>
      </c>
      <c r="C17223" t="s">
        <v>7</v>
      </c>
      <c r="D17223" t="s">
        <v>33</v>
      </c>
      <c r="E17223" t="s">
        <v>23161</v>
      </c>
      <c r="F17223" t="s">
        <v>23986</v>
      </c>
    </row>
    <row r="17224" spans="1:6" x14ac:dyDescent="0.25">
      <c r="A17224" t="str">
        <f>"773111017601"</f>
        <v>773111017601</v>
      </c>
      <c r="B17224" t="s">
        <v>23987</v>
      </c>
      <c r="C17224" t="s">
        <v>7</v>
      </c>
      <c r="D17224" t="s">
        <v>12</v>
      </c>
      <c r="E17224" t="s">
        <v>23161</v>
      </c>
    </row>
    <row r="17225" spans="1:6" x14ac:dyDescent="0.25">
      <c r="A17225" t="str">
        <f>"773128744813"</f>
        <v>773128744813</v>
      </c>
      <c r="B17225" t="s">
        <v>23988</v>
      </c>
      <c r="C17225" t="s">
        <v>7</v>
      </c>
      <c r="D17225" t="s">
        <v>33</v>
      </c>
      <c r="E17225" t="s">
        <v>23161</v>
      </c>
    </row>
    <row r="17226" spans="1:6" x14ac:dyDescent="0.25">
      <c r="A17226" t="str">
        <f>"773134623461"</f>
        <v>773134623461</v>
      </c>
      <c r="B17226" t="s">
        <v>23989</v>
      </c>
      <c r="C17226" t="s">
        <v>7</v>
      </c>
      <c r="D17226" t="s">
        <v>33</v>
      </c>
      <c r="E17226" t="s">
        <v>23161</v>
      </c>
    </row>
    <row r="17227" spans="1:6" x14ac:dyDescent="0.25">
      <c r="A17227" t="str">
        <f>"7731391320"</f>
        <v>7731391320</v>
      </c>
      <c r="B17227" t="s">
        <v>23990</v>
      </c>
      <c r="C17227" t="s">
        <v>7</v>
      </c>
      <c r="D17227" t="s">
        <v>14</v>
      </c>
      <c r="E17227" t="s">
        <v>23161</v>
      </c>
      <c r="F17227" t="s">
        <v>23991</v>
      </c>
    </row>
    <row r="17228" spans="1:6" x14ac:dyDescent="0.25">
      <c r="A17228" t="str">
        <f>"7731431090"</f>
        <v>7731431090</v>
      </c>
      <c r="B17228" t="s">
        <v>23992</v>
      </c>
      <c r="C17228" t="s">
        <v>7</v>
      </c>
      <c r="D17228" t="s">
        <v>463</v>
      </c>
      <c r="E17228" t="s">
        <v>23161</v>
      </c>
      <c r="F17228" t="s">
        <v>23993</v>
      </c>
    </row>
    <row r="17229" spans="1:6" x14ac:dyDescent="0.25">
      <c r="A17229" t="str">
        <f>"7731481119"</f>
        <v>7731481119</v>
      </c>
      <c r="B17229" t="s">
        <v>23994</v>
      </c>
      <c r="C17229" t="s">
        <v>7</v>
      </c>
      <c r="D17229" t="s">
        <v>33</v>
      </c>
      <c r="E17229" t="s">
        <v>23161</v>
      </c>
      <c r="F17229" t="s">
        <v>23995</v>
      </c>
    </row>
    <row r="17230" spans="1:6" x14ac:dyDescent="0.25">
      <c r="A17230" t="str">
        <f>"773209680389"</f>
        <v>773209680389</v>
      </c>
      <c r="B17230" t="s">
        <v>23996</v>
      </c>
      <c r="C17230" t="s">
        <v>7</v>
      </c>
      <c r="D17230" t="s">
        <v>28</v>
      </c>
      <c r="E17230" t="s">
        <v>23161</v>
      </c>
    </row>
    <row r="17231" spans="1:6" x14ac:dyDescent="0.25">
      <c r="A17231" t="str">
        <f>"7732506535"</f>
        <v>7732506535</v>
      </c>
      <c r="B17231" t="s">
        <v>23997</v>
      </c>
      <c r="C17231" t="s">
        <v>7</v>
      </c>
      <c r="D17231" t="s">
        <v>12</v>
      </c>
      <c r="E17231" t="s">
        <v>23161</v>
      </c>
      <c r="F17231" t="s">
        <v>23998</v>
      </c>
    </row>
    <row r="17232" spans="1:6" x14ac:dyDescent="0.25">
      <c r="A17232" t="str">
        <f>"773273597804"</f>
        <v>773273597804</v>
      </c>
      <c r="B17232" t="s">
        <v>23999</v>
      </c>
      <c r="C17232" t="s">
        <v>7</v>
      </c>
      <c r="D17232" t="s">
        <v>14</v>
      </c>
      <c r="E17232" t="s">
        <v>23161</v>
      </c>
    </row>
    <row r="17233" spans="1:6" x14ac:dyDescent="0.25">
      <c r="A17233" t="str">
        <f>"7733248990"</f>
        <v>7733248990</v>
      </c>
      <c r="B17233" t="s">
        <v>24000</v>
      </c>
      <c r="C17233" t="s">
        <v>7</v>
      </c>
      <c r="D17233" t="s">
        <v>33</v>
      </c>
      <c r="E17233" t="s">
        <v>23161</v>
      </c>
      <c r="F17233" t="s">
        <v>24001</v>
      </c>
    </row>
    <row r="17234" spans="1:6" x14ac:dyDescent="0.25">
      <c r="A17234" t="str">
        <f>"7733281877"</f>
        <v>7733281877</v>
      </c>
      <c r="B17234" t="s">
        <v>24002</v>
      </c>
      <c r="C17234" t="s">
        <v>7</v>
      </c>
      <c r="D17234" t="s">
        <v>12</v>
      </c>
      <c r="E17234" t="s">
        <v>23161</v>
      </c>
      <c r="F17234" t="s">
        <v>24003</v>
      </c>
    </row>
    <row r="17235" spans="1:6" x14ac:dyDescent="0.25">
      <c r="A17235" t="str">
        <f>"7733345048"</f>
        <v>7733345048</v>
      </c>
      <c r="B17235" t="s">
        <v>24004</v>
      </c>
      <c r="C17235" t="s">
        <v>7</v>
      </c>
      <c r="D17235" t="s">
        <v>146</v>
      </c>
      <c r="E17235" t="s">
        <v>23161</v>
      </c>
      <c r="F17235" t="s">
        <v>24005</v>
      </c>
    </row>
    <row r="17236" spans="1:6" x14ac:dyDescent="0.25">
      <c r="A17236" t="str">
        <f>"7733353419"</f>
        <v>7733353419</v>
      </c>
      <c r="B17236" t="s">
        <v>24006</v>
      </c>
      <c r="C17236" t="s">
        <v>7</v>
      </c>
      <c r="D17236" t="s">
        <v>33</v>
      </c>
      <c r="E17236" t="s">
        <v>23161</v>
      </c>
      <c r="F17236" t="s">
        <v>24007</v>
      </c>
    </row>
    <row r="17237" spans="1:6" x14ac:dyDescent="0.25">
      <c r="A17237" t="str">
        <f>"7733417694"</f>
        <v>7733417694</v>
      </c>
      <c r="B17237" t="s">
        <v>24008</v>
      </c>
      <c r="C17237" t="s">
        <v>7</v>
      </c>
      <c r="D17237" t="s">
        <v>33</v>
      </c>
      <c r="E17237" t="s">
        <v>23161</v>
      </c>
      <c r="F17237" t="s">
        <v>24009</v>
      </c>
    </row>
    <row r="17238" spans="1:6" x14ac:dyDescent="0.25">
      <c r="A17238" t="str">
        <f>"7733443824"</f>
        <v>7733443824</v>
      </c>
      <c r="B17238" t="s">
        <v>24010</v>
      </c>
      <c r="C17238" t="s">
        <v>7</v>
      </c>
      <c r="D17238" t="s">
        <v>33</v>
      </c>
      <c r="E17238" t="s">
        <v>23161</v>
      </c>
      <c r="F17238" t="s">
        <v>24011</v>
      </c>
    </row>
    <row r="17239" spans="1:6" x14ac:dyDescent="0.25">
      <c r="A17239" t="str">
        <f>"7733457908"</f>
        <v>7733457908</v>
      </c>
      <c r="B17239" t="s">
        <v>24012</v>
      </c>
      <c r="C17239" t="s">
        <v>7</v>
      </c>
      <c r="D17239" t="s">
        <v>33</v>
      </c>
      <c r="E17239" t="s">
        <v>23161</v>
      </c>
      <c r="F17239" t="s">
        <v>23899</v>
      </c>
    </row>
    <row r="17240" spans="1:6" x14ac:dyDescent="0.25">
      <c r="A17240" t="str">
        <f>"7733464870"</f>
        <v>7733464870</v>
      </c>
      <c r="B17240" t="s">
        <v>11400</v>
      </c>
      <c r="C17240" t="s">
        <v>7</v>
      </c>
      <c r="D17240" t="s">
        <v>189</v>
      </c>
      <c r="E17240" t="s">
        <v>23161</v>
      </c>
      <c r="F17240" t="s">
        <v>24013</v>
      </c>
    </row>
    <row r="17241" spans="1:6" x14ac:dyDescent="0.25">
      <c r="A17241" t="str">
        <f>"7733547982"</f>
        <v>7733547982</v>
      </c>
      <c r="B17241" t="s">
        <v>24014</v>
      </c>
      <c r="C17241" t="s">
        <v>7</v>
      </c>
      <c r="D17241" t="s">
        <v>1430</v>
      </c>
      <c r="E17241" t="s">
        <v>23161</v>
      </c>
      <c r="F17241" t="s">
        <v>24015</v>
      </c>
    </row>
    <row r="17242" spans="1:6" x14ac:dyDescent="0.25">
      <c r="A17242" t="str">
        <f>"7733618009"</f>
        <v>7733618009</v>
      </c>
      <c r="B17242" t="s">
        <v>24016</v>
      </c>
      <c r="C17242" t="s">
        <v>7</v>
      </c>
      <c r="D17242" t="s">
        <v>12</v>
      </c>
      <c r="E17242" t="s">
        <v>23161</v>
      </c>
      <c r="F17242" t="s">
        <v>24017</v>
      </c>
    </row>
    <row r="17243" spans="1:6" x14ac:dyDescent="0.25">
      <c r="A17243" t="str">
        <f>"7733646084"</f>
        <v>7733646084</v>
      </c>
      <c r="B17243" t="s">
        <v>24018</v>
      </c>
      <c r="C17243" t="s">
        <v>7</v>
      </c>
      <c r="D17243" t="s">
        <v>189</v>
      </c>
      <c r="E17243" t="s">
        <v>23161</v>
      </c>
      <c r="F17243" t="s">
        <v>24019</v>
      </c>
    </row>
    <row r="17244" spans="1:6" x14ac:dyDescent="0.25">
      <c r="A17244" t="str">
        <f>"773365115360"</f>
        <v>773365115360</v>
      </c>
      <c r="B17244" t="s">
        <v>24020</v>
      </c>
      <c r="C17244" t="s">
        <v>7</v>
      </c>
      <c r="D17244" t="s">
        <v>14</v>
      </c>
      <c r="E17244" t="s">
        <v>23161</v>
      </c>
    </row>
    <row r="17245" spans="1:6" x14ac:dyDescent="0.25">
      <c r="A17245" t="str">
        <f>"773365234046"</f>
        <v>773365234046</v>
      </c>
      <c r="B17245" t="s">
        <v>24021</v>
      </c>
      <c r="C17245" t="s">
        <v>7</v>
      </c>
      <c r="D17245" t="s">
        <v>12</v>
      </c>
      <c r="E17245" t="s">
        <v>23161</v>
      </c>
    </row>
    <row r="17246" spans="1:6" x14ac:dyDescent="0.25">
      <c r="A17246" t="str">
        <f>"773372157480"</f>
        <v>773372157480</v>
      </c>
      <c r="B17246" t="s">
        <v>24022</v>
      </c>
      <c r="C17246" t="s">
        <v>7</v>
      </c>
      <c r="D17246" t="s">
        <v>12</v>
      </c>
      <c r="E17246" t="s">
        <v>23161</v>
      </c>
    </row>
    <row r="17247" spans="1:6" x14ac:dyDescent="0.25">
      <c r="A17247" t="str">
        <f>"7733849038"</f>
        <v>7733849038</v>
      </c>
      <c r="B17247" t="s">
        <v>24023</v>
      </c>
      <c r="C17247" t="s">
        <v>7</v>
      </c>
      <c r="D17247" t="s">
        <v>33</v>
      </c>
      <c r="E17247" t="s">
        <v>23161</v>
      </c>
      <c r="F17247" t="s">
        <v>24024</v>
      </c>
    </row>
    <row r="17248" spans="1:6" x14ac:dyDescent="0.25">
      <c r="A17248" t="str">
        <f>"773389897123"</f>
        <v>773389897123</v>
      </c>
      <c r="B17248" t="s">
        <v>24025</v>
      </c>
      <c r="C17248" t="s">
        <v>7</v>
      </c>
      <c r="D17248" t="s">
        <v>14</v>
      </c>
      <c r="E17248" t="s">
        <v>23161</v>
      </c>
    </row>
    <row r="17249" spans="1:6" x14ac:dyDescent="0.25">
      <c r="A17249" t="str">
        <f>"773403344564"</f>
        <v>773403344564</v>
      </c>
      <c r="B17249" t="s">
        <v>24026</v>
      </c>
      <c r="C17249" t="s">
        <v>7</v>
      </c>
      <c r="D17249" t="s">
        <v>12</v>
      </c>
      <c r="E17249" t="s">
        <v>23161</v>
      </c>
    </row>
    <row r="17250" spans="1:6" x14ac:dyDescent="0.25">
      <c r="A17250" t="str">
        <f>"773405611600"</f>
        <v>773405611600</v>
      </c>
      <c r="B17250" t="s">
        <v>24027</v>
      </c>
      <c r="C17250" t="s">
        <v>7</v>
      </c>
      <c r="D17250" t="s">
        <v>14</v>
      </c>
      <c r="E17250" t="s">
        <v>23161</v>
      </c>
    </row>
    <row r="17251" spans="1:6" x14ac:dyDescent="0.25">
      <c r="A17251" t="str">
        <f>"773419370552"</f>
        <v>773419370552</v>
      </c>
      <c r="B17251" t="s">
        <v>24028</v>
      </c>
      <c r="C17251" t="s">
        <v>7</v>
      </c>
      <c r="D17251" t="s">
        <v>12</v>
      </c>
      <c r="E17251" t="s">
        <v>23161</v>
      </c>
    </row>
    <row r="17252" spans="1:6" x14ac:dyDescent="0.25">
      <c r="A17252" t="str">
        <f>"7734354430"</f>
        <v>7734354430</v>
      </c>
      <c r="B17252" t="s">
        <v>24029</v>
      </c>
      <c r="C17252" t="s">
        <v>7</v>
      </c>
      <c r="D17252" t="s">
        <v>33</v>
      </c>
      <c r="E17252" t="s">
        <v>23161</v>
      </c>
      <c r="F17252" t="s">
        <v>24030</v>
      </c>
    </row>
    <row r="17253" spans="1:6" x14ac:dyDescent="0.25">
      <c r="A17253" t="str">
        <f>"7734406906"</f>
        <v>7734406906</v>
      </c>
      <c r="B17253" t="s">
        <v>24031</v>
      </c>
      <c r="C17253" t="s">
        <v>7</v>
      </c>
      <c r="D17253" t="s">
        <v>33</v>
      </c>
      <c r="E17253" t="s">
        <v>23161</v>
      </c>
      <c r="F17253" t="s">
        <v>24032</v>
      </c>
    </row>
    <row r="17254" spans="1:6" x14ac:dyDescent="0.25">
      <c r="A17254" t="str">
        <f>"7734441805"</f>
        <v>7734441805</v>
      </c>
      <c r="B17254" t="s">
        <v>24033</v>
      </c>
      <c r="C17254" t="s">
        <v>7</v>
      </c>
      <c r="D17254" t="s">
        <v>12</v>
      </c>
      <c r="E17254" t="s">
        <v>23161</v>
      </c>
      <c r="F17254" t="s">
        <v>24034</v>
      </c>
    </row>
    <row r="17255" spans="1:6" x14ac:dyDescent="0.25">
      <c r="A17255" t="str">
        <f>"7734448751"</f>
        <v>7734448751</v>
      </c>
      <c r="B17255" t="s">
        <v>24035</v>
      </c>
      <c r="C17255" t="s">
        <v>7</v>
      </c>
      <c r="D17255" t="s">
        <v>674</v>
      </c>
      <c r="E17255" t="s">
        <v>23161</v>
      </c>
      <c r="F17255" t="s">
        <v>24036</v>
      </c>
    </row>
    <row r="17256" spans="1:6" x14ac:dyDescent="0.25">
      <c r="A17256" t="str">
        <f>"7734449610"</f>
        <v>7734449610</v>
      </c>
      <c r="B17256" t="s">
        <v>24037</v>
      </c>
      <c r="C17256" t="s">
        <v>7</v>
      </c>
      <c r="D17256" t="s">
        <v>12</v>
      </c>
      <c r="E17256" t="s">
        <v>23161</v>
      </c>
      <c r="F17256" t="s">
        <v>24038</v>
      </c>
    </row>
    <row r="17257" spans="1:6" x14ac:dyDescent="0.25">
      <c r="A17257" t="str">
        <f>"343800230933"</f>
        <v>343800230933</v>
      </c>
      <c r="B17257" t="s">
        <v>24039</v>
      </c>
      <c r="C17257" t="s">
        <v>7</v>
      </c>
      <c r="D17257" t="s">
        <v>12</v>
      </c>
      <c r="E17257" t="s">
        <v>23161</v>
      </c>
    </row>
    <row r="17258" spans="1:6" x14ac:dyDescent="0.25">
      <c r="A17258" t="str">
        <f>"6166059754"</f>
        <v>6166059754</v>
      </c>
      <c r="B17258" t="s">
        <v>24040</v>
      </c>
      <c r="C17258" t="s">
        <v>7</v>
      </c>
      <c r="D17258" t="s">
        <v>8</v>
      </c>
      <c r="E17258" t="s">
        <v>23161</v>
      </c>
      <c r="F17258" t="s">
        <v>24041</v>
      </c>
    </row>
    <row r="17259" spans="1:6" x14ac:dyDescent="0.25">
      <c r="A17259" t="str">
        <f>"6213013439"</f>
        <v>6213013439</v>
      </c>
      <c r="B17259" t="s">
        <v>24042</v>
      </c>
      <c r="C17259" t="s">
        <v>7</v>
      </c>
      <c r="D17259" t="s">
        <v>14</v>
      </c>
      <c r="E17259" t="s">
        <v>23161</v>
      </c>
      <c r="F17259" t="s">
        <v>24043</v>
      </c>
    </row>
    <row r="17260" spans="1:6" x14ac:dyDescent="0.25">
      <c r="A17260" t="str">
        <f>"622502548996"</f>
        <v>622502548996</v>
      </c>
      <c r="B17260" t="s">
        <v>24044</v>
      </c>
      <c r="C17260" t="s">
        <v>7</v>
      </c>
      <c r="D17260" t="s">
        <v>14</v>
      </c>
      <c r="E17260" t="s">
        <v>23161</v>
      </c>
    </row>
    <row r="17261" spans="1:6" x14ac:dyDescent="0.25">
      <c r="A17261" t="str">
        <f>"2124039090"</f>
        <v>2124039090</v>
      </c>
      <c r="B17261" t="s">
        <v>24045</v>
      </c>
      <c r="C17261" t="s">
        <v>7</v>
      </c>
      <c r="D17261" t="s">
        <v>28</v>
      </c>
      <c r="E17261" t="s">
        <v>23161</v>
      </c>
      <c r="F17261" t="s">
        <v>24046</v>
      </c>
    </row>
    <row r="17262" spans="1:6" x14ac:dyDescent="0.25">
      <c r="A17262" t="str">
        <f>"027601003379"</f>
        <v>027601003379</v>
      </c>
      <c r="B17262" t="s">
        <v>24047</v>
      </c>
      <c r="C17262" t="s">
        <v>7</v>
      </c>
      <c r="D17262" t="s">
        <v>14</v>
      </c>
      <c r="E17262" t="s">
        <v>23161</v>
      </c>
    </row>
    <row r="17263" spans="1:6" x14ac:dyDescent="0.25">
      <c r="A17263" t="str">
        <f>"0300005592"</f>
        <v>0300005592</v>
      </c>
      <c r="B17263" t="s">
        <v>24048</v>
      </c>
      <c r="C17263" t="s">
        <v>7</v>
      </c>
      <c r="D17263" t="s">
        <v>674</v>
      </c>
      <c r="E17263" t="s">
        <v>23161</v>
      </c>
      <c r="F17263" t="s">
        <v>24049</v>
      </c>
    </row>
    <row r="17264" spans="1:6" x14ac:dyDescent="0.25">
      <c r="A17264" t="str">
        <f>"2539099000"</f>
        <v>2539099000</v>
      </c>
      <c r="B17264" t="s">
        <v>24050</v>
      </c>
      <c r="C17264" t="s">
        <v>7</v>
      </c>
      <c r="D17264" t="s">
        <v>28</v>
      </c>
      <c r="E17264" t="s">
        <v>23161</v>
      </c>
      <c r="F17264" t="s">
        <v>24051</v>
      </c>
    </row>
    <row r="17265" spans="1:6" x14ac:dyDescent="0.25">
      <c r="A17265" t="str">
        <f>"2536168785"</f>
        <v>2536168785</v>
      </c>
      <c r="B17265" t="s">
        <v>24052</v>
      </c>
      <c r="C17265" t="s">
        <v>7</v>
      </c>
      <c r="D17265" t="s">
        <v>8</v>
      </c>
      <c r="E17265" t="s">
        <v>23161</v>
      </c>
      <c r="F17265" t="s">
        <v>24053</v>
      </c>
    </row>
    <row r="17266" spans="1:6" x14ac:dyDescent="0.25">
      <c r="A17266" t="str">
        <f>"7734456569"</f>
        <v>7734456569</v>
      </c>
      <c r="B17266" t="s">
        <v>24054</v>
      </c>
      <c r="C17266" t="s">
        <v>7</v>
      </c>
      <c r="D17266" t="s">
        <v>674</v>
      </c>
      <c r="E17266" t="s">
        <v>23161</v>
      </c>
      <c r="F17266" t="s">
        <v>24055</v>
      </c>
    </row>
    <row r="17267" spans="1:6" x14ac:dyDescent="0.25">
      <c r="A17267" t="str">
        <f>"7734478756"</f>
        <v>7734478756</v>
      </c>
      <c r="B17267" t="s">
        <v>24056</v>
      </c>
      <c r="C17267" t="s">
        <v>7</v>
      </c>
      <c r="D17267" t="s">
        <v>12</v>
      </c>
      <c r="E17267" t="s">
        <v>23161</v>
      </c>
      <c r="F17267" t="s">
        <v>24057</v>
      </c>
    </row>
    <row r="17268" spans="1:6" x14ac:dyDescent="0.25">
      <c r="A17268" t="str">
        <f>"7734481830"</f>
        <v>7734481830</v>
      </c>
      <c r="B17268" t="s">
        <v>24058</v>
      </c>
      <c r="C17268" t="s">
        <v>7</v>
      </c>
      <c r="D17268" t="s">
        <v>33</v>
      </c>
      <c r="E17268" t="s">
        <v>23161</v>
      </c>
      <c r="F17268" t="s">
        <v>24059</v>
      </c>
    </row>
    <row r="17269" spans="1:6" x14ac:dyDescent="0.25">
      <c r="A17269" t="str">
        <f>"7734499393"</f>
        <v>7734499393</v>
      </c>
      <c r="B17269" t="s">
        <v>4600</v>
      </c>
      <c r="C17269" t="s">
        <v>7</v>
      </c>
      <c r="D17269" t="s">
        <v>12</v>
      </c>
      <c r="E17269" t="s">
        <v>23161</v>
      </c>
      <c r="F17269" t="s">
        <v>24060</v>
      </c>
    </row>
    <row r="17270" spans="1:6" x14ac:dyDescent="0.25">
      <c r="A17270" t="str">
        <f>"7734535676"</f>
        <v>7734535676</v>
      </c>
      <c r="B17270" t="s">
        <v>24061</v>
      </c>
      <c r="C17270" t="s">
        <v>7</v>
      </c>
      <c r="D17270" t="s">
        <v>33</v>
      </c>
      <c r="E17270" t="s">
        <v>23161</v>
      </c>
      <c r="F17270" t="s">
        <v>24062</v>
      </c>
    </row>
    <row r="17271" spans="1:6" x14ac:dyDescent="0.25">
      <c r="A17271" t="str">
        <f>"7734590148"</f>
        <v>7734590148</v>
      </c>
      <c r="B17271" t="s">
        <v>24063</v>
      </c>
      <c r="C17271" t="s">
        <v>7</v>
      </c>
      <c r="D17271" t="s">
        <v>33</v>
      </c>
      <c r="E17271" t="s">
        <v>23161</v>
      </c>
      <c r="F17271" t="s">
        <v>24064</v>
      </c>
    </row>
    <row r="17272" spans="1:6" x14ac:dyDescent="0.25">
      <c r="A17272" t="str">
        <f>"773463835623"</f>
        <v>773463835623</v>
      </c>
      <c r="B17272" t="s">
        <v>24065</v>
      </c>
      <c r="C17272" t="s">
        <v>7</v>
      </c>
      <c r="D17272" t="s">
        <v>14</v>
      </c>
      <c r="E17272" t="s">
        <v>23161</v>
      </c>
    </row>
    <row r="17273" spans="1:6" x14ac:dyDescent="0.25">
      <c r="A17273" t="str">
        <f>"773502016003"</f>
        <v>773502016003</v>
      </c>
      <c r="B17273" t="s">
        <v>24066</v>
      </c>
      <c r="C17273" t="s">
        <v>7</v>
      </c>
      <c r="D17273" t="s">
        <v>14</v>
      </c>
      <c r="E17273" t="s">
        <v>23161</v>
      </c>
    </row>
    <row r="17274" spans="1:6" x14ac:dyDescent="0.25">
      <c r="A17274" t="str">
        <f>"7735143449"</f>
        <v>7735143449</v>
      </c>
      <c r="B17274" t="s">
        <v>24067</v>
      </c>
      <c r="C17274" t="s">
        <v>7</v>
      </c>
      <c r="D17274" t="s">
        <v>33</v>
      </c>
      <c r="E17274" t="s">
        <v>23161</v>
      </c>
      <c r="F17274" t="s">
        <v>24068</v>
      </c>
    </row>
    <row r="17275" spans="1:6" x14ac:dyDescent="0.25">
      <c r="A17275" t="str">
        <f>"7735148084"</f>
        <v>7735148084</v>
      </c>
      <c r="B17275" t="s">
        <v>24069</v>
      </c>
      <c r="C17275" t="s">
        <v>7</v>
      </c>
      <c r="D17275" t="s">
        <v>14</v>
      </c>
      <c r="E17275" t="s">
        <v>23161</v>
      </c>
      <c r="F17275" t="s">
        <v>24070</v>
      </c>
    </row>
    <row r="17276" spans="1:6" x14ac:dyDescent="0.25">
      <c r="A17276" t="str">
        <f>"7735169486"</f>
        <v>7735169486</v>
      </c>
      <c r="B17276" t="s">
        <v>24071</v>
      </c>
      <c r="C17276" t="s">
        <v>7</v>
      </c>
      <c r="D17276" t="s">
        <v>12</v>
      </c>
      <c r="E17276" t="s">
        <v>23161</v>
      </c>
      <c r="F17276" t="s">
        <v>24072</v>
      </c>
    </row>
    <row r="17277" spans="1:6" x14ac:dyDescent="0.25">
      <c r="A17277" t="str">
        <f>"7735178480"</f>
        <v>7735178480</v>
      </c>
      <c r="B17277" t="s">
        <v>24073</v>
      </c>
      <c r="C17277" t="s">
        <v>7</v>
      </c>
      <c r="D17277" t="s">
        <v>674</v>
      </c>
      <c r="E17277" t="s">
        <v>23161</v>
      </c>
      <c r="F17277" t="s">
        <v>24074</v>
      </c>
    </row>
    <row r="17278" spans="1:6" x14ac:dyDescent="0.25">
      <c r="A17278" t="str">
        <f>"7735195849"</f>
        <v>7735195849</v>
      </c>
      <c r="B17278" t="s">
        <v>24075</v>
      </c>
      <c r="C17278" t="s">
        <v>7</v>
      </c>
      <c r="D17278" t="s">
        <v>674</v>
      </c>
      <c r="E17278" t="s">
        <v>23161</v>
      </c>
      <c r="F17278" t="s">
        <v>24076</v>
      </c>
    </row>
    <row r="17279" spans="1:6" x14ac:dyDescent="0.25">
      <c r="A17279" t="str">
        <f>"7735199120"</f>
        <v>7735199120</v>
      </c>
      <c r="B17279" t="s">
        <v>24077</v>
      </c>
      <c r="C17279" t="s">
        <v>7</v>
      </c>
      <c r="D17279" t="s">
        <v>14</v>
      </c>
      <c r="E17279" t="s">
        <v>23161</v>
      </c>
      <c r="F17279" t="s">
        <v>24078</v>
      </c>
    </row>
    <row r="17280" spans="1:6" x14ac:dyDescent="0.25">
      <c r="A17280" t="str">
        <f>"7735209330"</f>
        <v>7735209330</v>
      </c>
      <c r="B17280" t="s">
        <v>24079</v>
      </c>
      <c r="C17280" t="s">
        <v>7</v>
      </c>
      <c r="D17280" t="s">
        <v>12</v>
      </c>
      <c r="E17280" t="s">
        <v>23161</v>
      </c>
      <c r="F17280" t="s">
        <v>24080</v>
      </c>
    </row>
    <row r="17281" spans="1:6" x14ac:dyDescent="0.25">
      <c r="A17281" t="str">
        <f>"773571126381"</f>
        <v>773571126381</v>
      </c>
      <c r="B17281" t="s">
        <v>24081</v>
      </c>
      <c r="C17281" t="s">
        <v>7</v>
      </c>
      <c r="D17281" t="s">
        <v>14</v>
      </c>
      <c r="E17281" t="s">
        <v>23161</v>
      </c>
    </row>
    <row r="17282" spans="1:6" x14ac:dyDescent="0.25">
      <c r="A17282" t="str">
        <f>"773571373687"</f>
        <v>773571373687</v>
      </c>
      <c r="B17282" t="s">
        <v>24082</v>
      </c>
      <c r="C17282" t="s">
        <v>7</v>
      </c>
      <c r="D17282" t="s">
        <v>14</v>
      </c>
      <c r="E17282" t="s">
        <v>23161</v>
      </c>
    </row>
    <row r="17283" spans="1:6" x14ac:dyDescent="0.25">
      <c r="A17283" t="str">
        <f>"773603398084"</f>
        <v>773603398084</v>
      </c>
      <c r="B17283" t="s">
        <v>24083</v>
      </c>
      <c r="C17283" t="s">
        <v>7</v>
      </c>
      <c r="D17283" t="s">
        <v>12</v>
      </c>
      <c r="E17283" t="s">
        <v>23161</v>
      </c>
    </row>
    <row r="17284" spans="1:6" x14ac:dyDescent="0.25">
      <c r="A17284" t="str">
        <f>"773603752352"</f>
        <v>773603752352</v>
      </c>
      <c r="B17284" t="s">
        <v>24084</v>
      </c>
      <c r="C17284" t="s">
        <v>7</v>
      </c>
      <c r="D17284" t="s">
        <v>14</v>
      </c>
      <c r="E17284" t="s">
        <v>23161</v>
      </c>
    </row>
    <row r="17285" spans="1:6" x14ac:dyDescent="0.25">
      <c r="A17285" t="str">
        <f>"7736270552"</f>
        <v>7736270552</v>
      </c>
      <c r="B17285" t="s">
        <v>24085</v>
      </c>
      <c r="C17285" t="s">
        <v>7</v>
      </c>
      <c r="D17285" t="s">
        <v>12</v>
      </c>
      <c r="E17285" t="s">
        <v>23161</v>
      </c>
      <c r="F17285" t="s">
        <v>24086</v>
      </c>
    </row>
    <row r="17286" spans="1:6" x14ac:dyDescent="0.25">
      <c r="A17286" t="str">
        <f>"7736337729"</f>
        <v>7736337729</v>
      </c>
      <c r="B17286" t="s">
        <v>13036</v>
      </c>
      <c r="C17286" t="s">
        <v>7</v>
      </c>
      <c r="D17286" t="s">
        <v>33</v>
      </c>
      <c r="E17286" t="s">
        <v>23161</v>
      </c>
      <c r="F17286" t="s">
        <v>24087</v>
      </c>
    </row>
    <row r="17287" spans="1:6" x14ac:dyDescent="0.25">
      <c r="A17287" t="str">
        <f>"7736343105"</f>
        <v>7736343105</v>
      </c>
      <c r="B17287" t="s">
        <v>24088</v>
      </c>
      <c r="C17287" t="s">
        <v>7</v>
      </c>
      <c r="D17287" t="s">
        <v>8</v>
      </c>
      <c r="E17287" t="s">
        <v>23161</v>
      </c>
      <c r="F17287" t="s">
        <v>24089</v>
      </c>
    </row>
    <row r="17288" spans="1:6" x14ac:dyDescent="0.25">
      <c r="A17288" t="str">
        <f>"7736354026"</f>
        <v>7736354026</v>
      </c>
      <c r="B17288" t="s">
        <v>24090</v>
      </c>
      <c r="C17288" t="s">
        <v>7</v>
      </c>
      <c r="D17288" t="s">
        <v>14</v>
      </c>
      <c r="E17288" t="s">
        <v>23161</v>
      </c>
      <c r="F17288" t="s">
        <v>24091</v>
      </c>
    </row>
    <row r="17289" spans="1:6" x14ac:dyDescent="0.25">
      <c r="A17289" t="str">
        <f>"7736366712"</f>
        <v>7736366712</v>
      </c>
      <c r="B17289" t="s">
        <v>24092</v>
      </c>
      <c r="C17289" t="s">
        <v>7</v>
      </c>
      <c r="D17289" t="s">
        <v>674</v>
      </c>
      <c r="E17289" t="s">
        <v>23161</v>
      </c>
      <c r="F17289" t="s">
        <v>24093</v>
      </c>
    </row>
    <row r="17290" spans="1:6" x14ac:dyDescent="0.25">
      <c r="A17290" t="str">
        <f>"7736634859"</f>
        <v>7736634859</v>
      </c>
      <c r="B17290" t="s">
        <v>24094</v>
      </c>
      <c r="C17290" t="s">
        <v>7</v>
      </c>
      <c r="D17290" t="s">
        <v>14</v>
      </c>
      <c r="E17290" t="s">
        <v>23161</v>
      </c>
      <c r="F17290" t="s">
        <v>24095</v>
      </c>
    </row>
    <row r="17291" spans="1:6" x14ac:dyDescent="0.25">
      <c r="A17291" t="str">
        <f>"7736662133"</f>
        <v>7736662133</v>
      </c>
      <c r="B17291" t="s">
        <v>24096</v>
      </c>
      <c r="C17291" t="s">
        <v>7</v>
      </c>
      <c r="D17291" t="s">
        <v>33</v>
      </c>
      <c r="E17291" t="s">
        <v>23161</v>
      </c>
      <c r="F17291" t="s">
        <v>24097</v>
      </c>
    </row>
    <row r="17292" spans="1:6" x14ac:dyDescent="0.25">
      <c r="A17292" t="str">
        <f>"773704946403"</f>
        <v>773704946403</v>
      </c>
      <c r="B17292" t="s">
        <v>24098</v>
      </c>
      <c r="C17292" t="s">
        <v>7</v>
      </c>
      <c r="D17292" t="s">
        <v>14</v>
      </c>
      <c r="E17292" t="s">
        <v>23161</v>
      </c>
    </row>
    <row r="17293" spans="1:6" x14ac:dyDescent="0.25">
      <c r="A17293" t="str">
        <f>"7737100225"</f>
        <v>7737100225</v>
      </c>
      <c r="B17293" t="s">
        <v>24099</v>
      </c>
      <c r="C17293" t="s">
        <v>7</v>
      </c>
      <c r="D17293" t="s">
        <v>189</v>
      </c>
      <c r="E17293" t="s">
        <v>23161</v>
      </c>
      <c r="F17293" t="s">
        <v>24100</v>
      </c>
    </row>
    <row r="17294" spans="1:6" x14ac:dyDescent="0.25">
      <c r="A17294" t="str">
        <f>"773712714854"</f>
        <v>773712714854</v>
      </c>
      <c r="B17294" t="s">
        <v>24101</v>
      </c>
      <c r="C17294" t="s">
        <v>7</v>
      </c>
      <c r="D17294" t="s">
        <v>14</v>
      </c>
      <c r="E17294" t="s">
        <v>23161</v>
      </c>
    </row>
    <row r="17295" spans="1:6" x14ac:dyDescent="0.25">
      <c r="A17295" t="str">
        <f>"7737536205"</f>
        <v>7737536205</v>
      </c>
      <c r="B17295" t="s">
        <v>24102</v>
      </c>
      <c r="C17295" t="s">
        <v>7</v>
      </c>
      <c r="D17295" t="s">
        <v>14</v>
      </c>
      <c r="E17295" t="s">
        <v>23161</v>
      </c>
      <c r="F17295" t="s">
        <v>24103</v>
      </c>
    </row>
    <row r="17296" spans="1:6" x14ac:dyDescent="0.25">
      <c r="A17296" t="str">
        <f>"774303561729"</f>
        <v>774303561729</v>
      </c>
      <c r="B17296" t="s">
        <v>24104</v>
      </c>
      <c r="C17296" t="s">
        <v>7</v>
      </c>
      <c r="D17296" t="s">
        <v>14</v>
      </c>
      <c r="E17296" t="s">
        <v>23161</v>
      </c>
    </row>
    <row r="17297" spans="1:6" x14ac:dyDescent="0.25">
      <c r="A17297" t="str">
        <f>"774308326408"</f>
        <v>774308326408</v>
      </c>
      <c r="B17297" t="s">
        <v>24105</v>
      </c>
      <c r="C17297" t="s">
        <v>7</v>
      </c>
      <c r="D17297" t="s">
        <v>14</v>
      </c>
      <c r="E17297" t="s">
        <v>23161</v>
      </c>
    </row>
    <row r="17298" spans="1:6" x14ac:dyDescent="0.25">
      <c r="A17298" t="str">
        <f>"7743235414"</f>
        <v>7743235414</v>
      </c>
      <c r="B17298" t="s">
        <v>24106</v>
      </c>
      <c r="C17298" t="s">
        <v>7</v>
      </c>
      <c r="D17298" t="s">
        <v>674</v>
      </c>
      <c r="E17298" t="s">
        <v>23161</v>
      </c>
      <c r="F17298" t="s">
        <v>24107</v>
      </c>
    </row>
    <row r="17299" spans="1:6" x14ac:dyDescent="0.25">
      <c r="A17299" t="str">
        <f>"7743394982"</f>
        <v>7743394982</v>
      </c>
      <c r="B17299" t="s">
        <v>24108</v>
      </c>
      <c r="C17299" t="s">
        <v>7</v>
      </c>
      <c r="D17299" t="s">
        <v>8</v>
      </c>
      <c r="E17299" t="s">
        <v>23161</v>
      </c>
      <c r="F17299" t="s">
        <v>24109</v>
      </c>
    </row>
    <row r="17300" spans="1:6" x14ac:dyDescent="0.25">
      <c r="A17300" t="str">
        <f>"7743427719"</f>
        <v>7743427719</v>
      </c>
      <c r="B17300" t="s">
        <v>24110</v>
      </c>
      <c r="C17300" t="s">
        <v>7</v>
      </c>
      <c r="D17300" t="s">
        <v>674</v>
      </c>
      <c r="E17300" t="s">
        <v>23161</v>
      </c>
      <c r="F17300" t="s">
        <v>24111</v>
      </c>
    </row>
    <row r="17301" spans="1:6" x14ac:dyDescent="0.25">
      <c r="A17301" t="str">
        <f>"7743453370"</f>
        <v>7743453370</v>
      </c>
      <c r="B17301" t="s">
        <v>24112</v>
      </c>
      <c r="C17301" t="s">
        <v>7</v>
      </c>
      <c r="D17301" t="s">
        <v>146</v>
      </c>
      <c r="E17301" t="s">
        <v>23161</v>
      </c>
      <c r="F17301" t="s">
        <v>24113</v>
      </c>
    </row>
    <row r="17302" spans="1:6" x14ac:dyDescent="0.25">
      <c r="A17302" t="str">
        <f>"7743509560"</f>
        <v>7743509560</v>
      </c>
      <c r="B17302" t="s">
        <v>14291</v>
      </c>
      <c r="C17302" t="s">
        <v>7</v>
      </c>
      <c r="D17302" t="s">
        <v>12</v>
      </c>
      <c r="E17302" t="s">
        <v>23161</v>
      </c>
      <c r="F17302" t="s">
        <v>24114</v>
      </c>
    </row>
    <row r="17303" spans="1:6" x14ac:dyDescent="0.25">
      <c r="A17303" t="str">
        <f>"7743543232"</f>
        <v>7743543232</v>
      </c>
      <c r="B17303" t="s">
        <v>24115</v>
      </c>
      <c r="C17303" t="s">
        <v>7</v>
      </c>
      <c r="D17303" t="s">
        <v>14</v>
      </c>
      <c r="E17303" t="s">
        <v>23161</v>
      </c>
      <c r="F17303" t="s">
        <v>24116</v>
      </c>
    </row>
    <row r="17304" spans="1:6" x14ac:dyDescent="0.25">
      <c r="A17304" t="str">
        <f>"7743666731"</f>
        <v>7743666731</v>
      </c>
      <c r="B17304" t="s">
        <v>24117</v>
      </c>
      <c r="C17304" t="s">
        <v>7</v>
      </c>
      <c r="D17304" t="s">
        <v>8</v>
      </c>
      <c r="E17304" t="s">
        <v>23161</v>
      </c>
      <c r="F17304" t="s">
        <v>24118</v>
      </c>
    </row>
    <row r="17305" spans="1:6" x14ac:dyDescent="0.25">
      <c r="A17305" t="str">
        <f>"7743905820"</f>
        <v>7743905820</v>
      </c>
      <c r="B17305" t="s">
        <v>24119</v>
      </c>
      <c r="C17305" t="s">
        <v>7</v>
      </c>
      <c r="D17305" t="s">
        <v>189</v>
      </c>
      <c r="E17305" t="s">
        <v>23161</v>
      </c>
      <c r="F17305" t="s">
        <v>24120</v>
      </c>
    </row>
    <row r="17306" spans="1:6" x14ac:dyDescent="0.25">
      <c r="A17306" t="str">
        <f>"7751122693"</f>
        <v>7751122693</v>
      </c>
      <c r="B17306" t="s">
        <v>24121</v>
      </c>
      <c r="C17306" t="s">
        <v>7</v>
      </c>
      <c r="D17306" t="s">
        <v>146</v>
      </c>
      <c r="E17306" t="s">
        <v>23161</v>
      </c>
      <c r="F17306" t="s">
        <v>24122</v>
      </c>
    </row>
    <row r="17307" spans="1:6" x14ac:dyDescent="0.25">
      <c r="A17307" t="str">
        <f>"7751172895"</f>
        <v>7751172895</v>
      </c>
      <c r="B17307" t="s">
        <v>24123</v>
      </c>
      <c r="C17307" t="s">
        <v>7</v>
      </c>
      <c r="D17307" t="s">
        <v>33</v>
      </c>
      <c r="E17307" t="s">
        <v>23161</v>
      </c>
      <c r="F17307" t="s">
        <v>24124</v>
      </c>
    </row>
    <row r="17308" spans="1:6" x14ac:dyDescent="0.25">
      <c r="A17308" t="str">
        <f>"7751182558"</f>
        <v>7751182558</v>
      </c>
      <c r="B17308" t="s">
        <v>8183</v>
      </c>
      <c r="C17308" t="s">
        <v>7</v>
      </c>
      <c r="D17308" t="s">
        <v>14</v>
      </c>
      <c r="E17308" t="s">
        <v>23161</v>
      </c>
      <c r="F17308" t="s">
        <v>24125</v>
      </c>
    </row>
    <row r="17309" spans="1:6" x14ac:dyDescent="0.25">
      <c r="A17309" t="str">
        <f>"7751194546"</f>
        <v>7751194546</v>
      </c>
      <c r="B17309" t="s">
        <v>24126</v>
      </c>
      <c r="C17309" t="s">
        <v>7</v>
      </c>
      <c r="D17309" t="s">
        <v>33</v>
      </c>
      <c r="E17309" t="s">
        <v>23161</v>
      </c>
      <c r="F17309" t="s">
        <v>24127</v>
      </c>
    </row>
    <row r="17310" spans="1:6" x14ac:dyDescent="0.25">
      <c r="A17310" t="str">
        <f>"7751198808"</f>
        <v>7751198808</v>
      </c>
      <c r="B17310" t="s">
        <v>24128</v>
      </c>
      <c r="C17310" t="s">
        <v>7</v>
      </c>
      <c r="D17310" t="s">
        <v>674</v>
      </c>
      <c r="E17310" t="s">
        <v>23161</v>
      </c>
      <c r="F17310" t="s">
        <v>24129</v>
      </c>
    </row>
    <row r="17311" spans="1:6" x14ac:dyDescent="0.25">
      <c r="A17311" t="str">
        <f>"7751248618"</f>
        <v>7751248618</v>
      </c>
      <c r="B17311" t="s">
        <v>24130</v>
      </c>
      <c r="C17311" t="s">
        <v>7</v>
      </c>
      <c r="D17311" t="s">
        <v>14</v>
      </c>
      <c r="E17311" t="s">
        <v>23161</v>
      </c>
      <c r="F17311" t="s">
        <v>24131</v>
      </c>
    </row>
    <row r="17312" spans="1:6" x14ac:dyDescent="0.25">
      <c r="A17312" t="str">
        <f>"7751251804"</f>
        <v>7751251804</v>
      </c>
      <c r="B17312" t="s">
        <v>24132</v>
      </c>
      <c r="C17312" t="s">
        <v>7</v>
      </c>
      <c r="D17312" t="s">
        <v>674</v>
      </c>
      <c r="E17312" t="s">
        <v>23161</v>
      </c>
      <c r="F17312" t="s">
        <v>24133</v>
      </c>
    </row>
    <row r="17313" spans="1:6" x14ac:dyDescent="0.25">
      <c r="A17313" t="str">
        <f>"7751307750"</f>
        <v>7751307750</v>
      </c>
      <c r="B17313" t="s">
        <v>24134</v>
      </c>
      <c r="C17313" t="s">
        <v>7</v>
      </c>
      <c r="D17313" t="s">
        <v>33</v>
      </c>
      <c r="E17313" t="s">
        <v>23161</v>
      </c>
      <c r="F17313" t="s">
        <v>24135</v>
      </c>
    </row>
    <row r="17314" spans="1:6" x14ac:dyDescent="0.25">
      <c r="A17314" t="str">
        <f>"7751338029"</f>
        <v>7751338029</v>
      </c>
      <c r="B17314" t="s">
        <v>24136</v>
      </c>
      <c r="C17314" t="s">
        <v>7</v>
      </c>
      <c r="D17314" t="s">
        <v>33</v>
      </c>
      <c r="E17314" t="s">
        <v>23161</v>
      </c>
      <c r="F17314" t="s">
        <v>24137</v>
      </c>
    </row>
    <row r="17315" spans="1:6" x14ac:dyDescent="0.25">
      <c r="A17315" t="str">
        <f>"7751356910"</f>
        <v>7751356910</v>
      </c>
      <c r="B17315" t="s">
        <v>24138</v>
      </c>
      <c r="C17315" t="s">
        <v>7</v>
      </c>
      <c r="D17315" t="s">
        <v>14</v>
      </c>
      <c r="E17315" t="s">
        <v>23161</v>
      </c>
      <c r="F17315" t="s">
        <v>24139</v>
      </c>
    </row>
    <row r="17316" spans="1:6" x14ac:dyDescent="0.25">
      <c r="A17316" t="str">
        <f>"7751509683"</f>
        <v>7751509683</v>
      </c>
      <c r="B17316" t="s">
        <v>24140</v>
      </c>
      <c r="C17316" t="s">
        <v>7</v>
      </c>
      <c r="D17316" t="s">
        <v>33</v>
      </c>
      <c r="E17316" t="s">
        <v>23161</v>
      </c>
      <c r="F17316" t="s">
        <v>24141</v>
      </c>
    </row>
    <row r="17317" spans="1:6" x14ac:dyDescent="0.25">
      <c r="A17317" t="str">
        <f>"461302340452"</f>
        <v>461302340452</v>
      </c>
      <c r="B17317" t="s">
        <v>24142</v>
      </c>
      <c r="C17317" t="s">
        <v>7</v>
      </c>
      <c r="D17317" t="s">
        <v>14</v>
      </c>
      <c r="E17317" t="s">
        <v>23161</v>
      </c>
    </row>
    <row r="17318" spans="1:6" x14ac:dyDescent="0.25">
      <c r="A17318" t="str">
        <f>"463001355730"</f>
        <v>463001355730</v>
      </c>
      <c r="B17318" t="s">
        <v>24143</v>
      </c>
      <c r="C17318" t="s">
        <v>7</v>
      </c>
      <c r="D17318" t="s">
        <v>12</v>
      </c>
      <c r="E17318" t="s">
        <v>23161</v>
      </c>
    </row>
    <row r="17319" spans="1:6" x14ac:dyDescent="0.25">
      <c r="A17319" t="str">
        <f>"773610523184"</f>
        <v>773610523184</v>
      </c>
      <c r="B17319" t="s">
        <v>24144</v>
      </c>
      <c r="C17319" t="s">
        <v>7</v>
      </c>
      <c r="D17319" t="s">
        <v>14</v>
      </c>
      <c r="E17319" t="s">
        <v>23161</v>
      </c>
    </row>
    <row r="17320" spans="1:6" x14ac:dyDescent="0.25">
      <c r="A17320" t="str">
        <f>"7736233984"</f>
        <v>7736233984</v>
      </c>
      <c r="B17320" t="s">
        <v>24145</v>
      </c>
      <c r="C17320" t="s">
        <v>7</v>
      </c>
      <c r="D17320" t="s">
        <v>33</v>
      </c>
      <c r="E17320" t="s">
        <v>23161</v>
      </c>
      <c r="F17320" t="s">
        <v>24146</v>
      </c>
    </row>
    <row r="17321" spans="1:6" x14ac:dyDescent="0.25">
      <c r="A17321" t="str">
        <f>"7736290559"</f>
        <v>7736290559</v>
      </c>
      <c r="B17321" t="s">
        <v>24147</v>
      </c>
      <c r="C17321" t="s">
        <v>7</v>
      </c>
      <c r="D17321" t="s">
        <v>33</v>
      </c>
      <c r="E17321" t="s">
        <v>23161</v>
      </c>
      <c r="F17321" t="s">
        <v>24148</v>
      </c>
    </row>
    <row r="17322" spans="1:6" x14ac:dyDescent="0.25">
      <c r="A17322" t="str">
        <f>"7736316768"</f>
        <v>7736316768</v>
      </c>
      <c r="B17322" t="s">
        <v>24149</v>
      </c>
      <c r="C17322" t="s">
        <v>7</v>
      </c>
      <c r="D17322" t="s">
        <v>12</v>
      </c>
      <c r="E17322" t="s">
        <v>23161</v>
      </c>
      <c r="F17322" t="s">
        <v>24150</v>
      </c>
    </row>
    <row r="17323" spans="1:6" x14ac:dyDescent="0.25">
      <c r="A17323" t="str">
        <f>"7736359955"</f>
        <v>7736359955</v>
      </c>
      <c r="B17323" t="s">
        <v>24151</v>
      </c>
      <c r="C17323" t="s">
        <v>7</v>
      </c>
      <c r="D17323" t="s">
        <v>674</v>
      </c>
      <c r="E17323" t="s">
        <v>23161</v>
      </c>
      <c r="F17323" t="s">
        <v>24093</v>
      </c>
    </row>
    <row r="17324" spans="1:6" x14ac:dyDescent="0.25">
      <c r="A17324" t="str">
        <f>"7736672886"</f>
        <v>7736672886</v>
      </c>
      <c r="B17324" t="s">
        <v>24152</v>
      </c>
      <c r="C17324" t="s">
        <v>7</v>
      </c>
      <c r="D17324" t="s">
        <v>12</v>
      </c>
      <c r="E17324" t="s">
        <v>23161</v>
      </c>
      <c r="F17324" t="s">
        <v>24153</v>
      </c>
    </row>
    <row r="17325" spans="1:6" x14ac:dyDescent="0.25">
      <c r="A17325" t="str">
        <f>"773701629597"</f>
        <v>773701629597</v>
      </c>
      <c r="B17325" t="s">
        <v>24154</v>
      </c>
      <c r="C17325" t="s">
        <v>7</v>
      </c>
      <c r="D17325" t="s">
        <v>14</v>
      </c>
      <c r="E17325" t="s">
        <v>23161</v>
      </c>
    </row>
    <row r="17326" spans="1:6" x14ac:dyDescent="0.25">
      <c r="A17326" t="str">
        <f>"773711376105"</f>
        <v>773711376105</v>
      </c>
      <c r="B17326" t="s">
        <v>24155</v>
      </c>
      <c r="C17326" t="s">
        <v>7</v>
      </c>
      <c r="D17326" t="s">
        <v>12</v>
      </c>
      <c r="E17326" t="s">
        <v>23161</v>
      </c>
    </row>
    <row r="17327" spans="1:6" x14ac:dyDescent="0.25">
      <c r="A17327" t="str">
        <f>"773711714026"</f>
        <v>773711714026</v>
      </c>
      <c r="B17327" t="s">
        <v>24156</v>
      </c>
      <c r="C17327" t="s">
        <v>7</v>
      </c>
      <c r="D17327" t="s">
        <v>14</v>
      </c>
      <c r="E17327" t="s">
        <v>23161</v>
      </c>
    </row>
    <row r="17328" spans="1:6" x14ac:dyDescent="0.25">
      <c r="A17328" t="str">
        <f>"774307884304"</f>
        <v>774307884304</v>
      </c>
      <c r="B17328" t="s">
        <v>24157</v>
      </c>
      <c r="C17328" t="s">
        <v>7</v>
      </c>
      <c r="D17328" t="s">
        <v>14</v>
      </c>
      <c r="E17328" t="s">
        <v>23161</v>
      </c>
    </row>
    <row r="17329" spans="1:6" x14ac:dyDescent="0.25">
      <c r="A17329" t="str">
        <f>"774308339326"</f>
        <v>774308339326</v>
      </c>
      <c r="B17329" t="s">
        <v>24158</v>
      </c>
      <c r="C17329" t="s">
        <v>7</v>
      </c>
      <c r="D17329" t="s">
        <v>14</v>
      </c>
      <c r="E17329" t="s">
        <v>23161</v>
      </c>
    </row>
    <row r="17330" spans="1:6" x14ac:dyDescent="0.25">
      <c r="A17330" t="str">
        <f>"774312783439"</f>
        <v>774312783439</v>
      </c>
      <c r="B17330" t="s">
        <v>24159</v>
      </c>
      <c r="C17330" t="s">
        <v>7</v>
      </c>
      <c r="D17330" t="s">
        <v>12</v>
      </c>
      <c r="E17330" t="s">
        <v>23161</v>
      </c>
    </row>
    <row r="17331" spans="1:6" x14ac:dyDescent="0.25">
      <c r="A17331" t="str">
        <f>"7743128780"</f>
        <v>7743128780</v>
      </c>
      <c r="B17331" t="s">
        <v>24160</v>
      </c>
      <c r="C17331" t="s">
        <v>7</v>
      </c>
      <c r="D17331" t="s">
        <v>8</v>
      </c>
      <c r="E17331" t="s">
        <v>23161</v>
      </c>
      <c r="F17331" t="s">
        <v>24161</v>
      </c>
    </row>
    <row r="17332" spans="1:6" x14ac:dyDescent="0.25">
      <c r="A17332" t="str">
        <f>"7743139407"</f>
        <v>7743139407</v>
      </c>
      <c r="B17332" t="s">
        <v>24162</v>
      </c>
      <c r="C17332" t="s">
        <v>7</v>
      </c>
      <c r="D17332" t="s">
        <v>33</v>
      </c>
      <c r="E17332" t="s">
        <v>23161</v>
      </c>
      <c r="F17332" t="s">
        <v>24163</v>
      </c>
    </row>
    <row r="17333" spans="1:6" x14ac:dyDescent="0.25">
      <c r="A17333" t="str">
        <f>"774325028306"</f>
        <v>774325028306</v>
      </c>
      <c r="B17333" t="s">
        <v>24164</v>
      </c>
      <c r="C17333" t="s">
        <v>7</v>
      </c>
      <c r="D17333" t="s">
        <v>12</v>
      </c>
      <c r="E17333" t="s">
        <v>23161</v>
      </c>
    </row>
    <row r="17334" spans="1:6" x14ac:dyDescent="0.25">
      <c r="A17334" t="str">
        <f>"774326773977"</f>
        <v>774326773977</v>
      </c>
      <c r="B17334" t="s">
        <v>24165</v>
      </c>
      <c r="C17334" t="s">
        <v>7</v>
      </c>
      <c r="D17334" t="s">
        <v>14</v>
      </c>
      <c r="E17334" t="s">
        <v>23161</v>
      </c>
    </row>
    <row r="17335" spans="1:6" x14ac:dyDescent="0.25">
      <c r="A17335" t="str">
        <f>"7743287130"</f>
        <v>7743287130</v>
      </c>
      <c r="B17335" t="s">
        <v>9374</v>
      </c>
      <c r="C17335" t="s">
        <v>7</v>
      </c>
      <c r="D17335" t="s">
        <v>6745</v>
      </c>
      <c r="E17335" t="s">
        <v>23161</v>
      </c>
      <c r="F17335" t="s">
        <v>24166</v>
      </c>
    </row>
    <row r="17336" spans="1:6" x14ac:dyDescent="0.25">
      <c r="A17336" t="str">
        <f>"7743291360"</f>
        <v>7743291360</v>
      </c>
      <c r="B17336" t="s">
        <v>24167</v>
      </c>
      <c r="C17336" t="s">
        <v>7</v>
      </c>
      <c r="D17336" t="s">
        <v>14</v>
      </c>
      <c r="E17336" t="s">
        <v>23161</v>
      </c>
      <c r="F17336" t="s">
        <v>24168</v>
      </c>
    </row>
    <row r="17337" spans="1:6" x14ac:dyDescent="0.25">
      <c r="A17337" t="str">
        <f>"7743468680"</f>
        <v>7743468680</v>
      </c>
      <c r="B17337" t="s">
        <v>24169</v>
      </c>
      <c r="C17337" t="s">
        <v>7</v>
      </c>
      <c r="D17337" t="s">
        <v>98</v>
      </c>
      <c r="E17337" t="s">
        <v>23161</v>
      </c>
      <c r="F17337" t="s">
        <v>24170</v>
      </c>
    </row>
    <row r="17338" spans="1:6" x14ac:dyDescent="0.25">
      <c r="A17338" t="str">
        <f>"7743731420"</f>
        <v>7743731420</v>
      </c>
      <c r="B17338" t="s">
        <v>1957</v>
      </c>
      <c r="C17338" t="s">
        <v>7</v>
      </c>
      <c r="D17338" t="s">
        <v>674</v>
      </c>
      <c r="E17338" t="s">
        <v>23161</v>
      </c>
      <c r="F17338" t="s">
        <v>24171</v>
      </c>
    </row>
    <row r="17339" spans="1:6" x14ac:dyDescent="0.25">
      <c r="A17339" t="str">
        <f>"7743792870"</f>
        <v>7743792870</v>
      </c>
      <c r="B17339" t="s">
        <v>24172</v>
      </c>
      <c r="C17339" t="s">
        <v>7</v>
      </c>
      <c r="D17339" t="s">
        <v>14</v>
      </c>
      <c r="E17339" t="s">
        <v>23161</v>
      </c>
      <c r="F17339" t="s">
        <v>24173</v>
      </c>
    </row>
    <row r="17340" spans="1:6" x14ac:dyDescent="0.25">
      <c r="A17340" t="str">
        <f>"7743838807"</f>
        <v>7743838807</v>
      </c>
      <c r="B17340" t="s">
        <v>24174</v>
      </c>
      <c r="C17340" t="s">
        <v>7</v>
      </c>
      <c r="D17340" t="s">
        <v>189</v>
      </c>
      <c r="E17340" t="s">
        <v>23161</v>
      </c>
      <c r="F17340" t="s">
        <v>24175</v>
      </c>
    </row>
    <row r="17341" spans="1:6" x14ac:dyDescent="0.25">
      <c r="A17341" t="str">
        <f>"7743857863"</f>
        <v>7743857863</v>
      </c>
      <c r="B17341" t="s">
        <v>24176</v>
      </c>
      <c r="C17341" t="s">
        <v>7</v>
      </c>
      <c r="D17341" t="s">
        <v>33</v>
      </c>
      <c r="E17341" t="s">
        <v>23161</v>
      </c>
      <c r="F17341" t="s">
        <v>24177</v>
      </c>
    </row>
    <row r="17342" spans="1:6" x14ac:dyDescent="0.25">
      <c r="A17342" t="str">
        <f>"7743947235"</f>
        <v>7743947235</v>
      </c>
      <c r="B17342" t="s">
        <v>24178</v>
      </c>
      <c r="C17342" t="s">
        <v>7</v>
      </c>
      <c r="D17342" t="s">
        <v>12</v>
      </c>
      <c r="E17342" t="s">
        <v>23161</v>
      </c>
      <c r="F17342" t="s">
        <v>24179</v>
      </c>
    </row>
    <row r="17343" spans="1:6" x14ac:dyDescent="0.25">
      <c r="A17343" t="str">
        <f>"775103000238"</f>
        <v>775103000238</v>
      </c>
      <c r="B17343" t="s">
        <v>24180</v>
      </c>
      <c r="C17343" t="s">
        <v>7</v>
      </c>
      <c r="D17343" t="s">
        <v>14</v>
      </c>
      <c r="E17343" t="s">
        <v>23161</v>
      </c>
    </row>
    <row r="17344" spans="1:6" x14ac:dyDescent="0.25">
      <c r="A17344" t="str">
        <f>"7751049796"</f>
        <v>7751049796</v>
      </c>
      <c r="B17344" t="s">
        <v>24181</v>
      </c>
      <c r="C17344" t="s">
        <v>7</v>
      </c>
      <c r="D17344" t="s">
        <v>33</v>
      </c>
      <c r="E17344" t="s">
        <v>23161</v>
      </c>
      <c r="F17344" t="s">
        <v>24182</v>
      </c>
    </row>
    <row r="17345" spans="1:6" x14ac:dyDescent="0.25">
      <c r="A17345" t="str">
        <f>"7751063840"</f>
        <v>7751063840</v>
      </c>
      <c r="B17345" t="s">
        <v>24183</v>
      </c>
      <c r="C17345" t="s">
        <v>7</v>
      </c>
      <c r="D17345" t="s">
        <v>14</v>
      </c>
      <c r="E17345" t="s">
        <v>23161</v>
      </c>
      <c r="F17345" t="s">
        <v>24184</v>
      </c>
    </row>
    <row r="17346" spans="1:6" x14ac:dyDescent="0.25">
      <c r="A17346" t="str">
        <f>"7751132807"</f>
        <v>7751132807</v>
      </c>
      <c r="B17346" t="s">
        <v>24185</v>
      </c>
      <c r="C17346" t="s">
        <v>7</v>
      </c>
      <c r="D17346" t="s">
        <v>33</v>
      </c>
      <c r="E17346" t="s">
        <v>23161</v>
      </c>
      <c r="F17346" t="s">
        <v>24186</v>
      </c>
    </row>
    <row r="17347" spans="1:6" x14ac:dyDescent="0.25">
      <c r="A17347" t="str">
        <f>"7751140195"</f>
        <v>7751140195</v>
      </c>
      <c r="B17347" t="s">
        <v>20617</v>
      </c>
      <c r="C17347" t="s">
        <v>7</v>
      </c>
      <c r="D17347" t="s">
        <v>146</v>
      </c>
      <c r="E17347" t="s">
        <v>23161</v>
      </c>
      <c r="F17347" t="s">
        <v>24187</v>
      </c>
    </row>
    <row r="17348" spans="1:6" x14ac:dyDescent="0.25">
      <c r="A17348" t="str">
        <f>"7751140501"</f>
        <v>7751140501</v>
      </c>
      <c r="B17348" t="s">
        <v>24188</v>
      </c>
      <c r="C17348" t="s">
        <v>7</v>
      </c>
      <c r="D17348" t="s">
        <v>463</v>
      </c>
      <c r="E17348" t="s">
        <v>23161</v>
      </c>
      <c r="F17348" t="s">
        <v>24125</v>
      </c>
    </row>
    <row r="17349" spans="1:6" x14ac:dyDescent="0.25">
      <c r="A17349" t="str">
        <f>"7751153726"</f>
        <v>7751153726</v>
      </c>
      <c r="B17349" t="s">
        <v>24189</v>
      </c>
      <c r="C17349" t="s">
        <v>7</v>
      </c>
      <c r="D17349" t="s">
        <v>12</v>
      </c>
      <c r="E17349" t="s">
        <v>23161</v>
      </c>
      <c r="F17349" t="s">
        <v>24187</v>
      </c>
    </row>
    <row r="17350" spans="1:6" x14ac:dyDescent="0.25">
      <c r="A17350" t="str">
        <f>"7751166154"</f>
        <v>7751166154</v>
      </c>
      <c r="B17350" t="s">
        <v>24190</v>
      </c>
      <c r="C17350" t="s">
        <v>7</v>
      </c>
      <c r="D17350" t="s">
        <v>14</v>
      </c>
      <c r="E17350" t="s">
        <v>23161</v>
      </c>
      <c r="F17350" t="s">
        <v>24191</v>
      </c>
    </row>
    <row r="17351" spans="1:6" x14ac:dyDescent="0.25">
      <c r="A17351" t="str">
        <f>"7751209545"</f>
        <v>7751209545</v>
      </c>
      <c r="B17351" t="s">
        <v>8378</v>
      </c>
      <c r="C17351" t="s">
        <v>7</v>
      </c>
      <c r="D17351" t="s">
        <v>14</v>
      </c>
      <c r="E17351" t="s">
        <v>23161</v>
      </c>
      <c r="F17351" t="s">
        <v>24192</v>
      </c>
    </row>
    <row r="17352" spans="1:6" x14ac:dyDescent="0.25">
      <c r="A17352" t="str">
        <f>"7751211304"</f>
        <v>7751211304</v>
      </c>
      <c r="B17352" t="s">
        <v>24193</v>
      </c>
      <c r="C17352" t="s">
        <v>7</v>
      </c>
      <c r="D17352" t="s">
        <v>12</v>
      </c>
      <c r="E17352" t="s">
        <v>23161</v>
      </c>
      <c r="F17352" t="s">
        <v>24194</v>
      </c>
    </row>
    <row r="17353" spans="1:6" x14ac:dyDescent="0.25">
      <c r="A17353" t="str">
        <f>"7751221140"</f>
        <v>7751221140</v>
      </c>
      <c r="B17353" t="s">
        <v>24195</v>
      </c>
      <c r="C17353" t="s">
        <v>7</v>
      </c>
      <c r="D17353" t="s">
        <v>674</v>
      </c>
      <c r="E17353" t="s">
        <v>23161</v>
      </c>
      <c r="F17353" t="s">
        <v>24196</v>
      </c>
    </row>
    <row r="17354" spans="1:6" x14ac:dyDescent="0.25">
      <c r="A17354" t="str">
        <f>"7751230755"</f>
        <v>7751230755</v>
      </c>
      <c r="B17354" t="s">
        <v>24197</v>
      </c>
      <c r="C17354" t="s">
        <v>7</v>
      </c>
      <c r="D17354" t="s">
        <v>8</v>
      </c>
      <c r="E17354" t="s">
        <v>23161</v>
      </c>
      <c r="F17354" t="s">
        <v>24198</v>
      </c>
    </row>
    <row r="17355" spans="1:6" x14ac:dyDescent="0.25">
      <c r="A17355" t="str">
        <f>"7751246635"</f>
        <v>7751246635</v>
      </c>
      <c r="B17355" t="s">
        <v>24199</v>
      </c>
      <c r="C17355" t="s">
        <v>7</v>
      </c>
      <c r="D17355" t="s">
        <v>33</v>
      </c>
      <c r="E17355" t="s">
        <v>23161</v>
      </c>
      <c r="F17355" t="s">
        <v>24200</v>
      </c>
    </row>
    <row r="17356" spans="1:6" x14ac:dyDescent="0.25">
      <c r="A17356" t="str">
        <f>"7751264190"</f>
        <v>7751264190</v>
      </c>
      <c r="B17356" t="s">
        <v>24201</v>
      </c>
      <c r="C17356" t="s">
        <v>7</v>
      </c>
      <c r="D17356" t="s">
        <v>12</v>
      </c>
      <c r="E17356" t="s">
        <v>23161</v>
      </c>
      <c r="F17356" t="s">
        <v>24202</v>
      </c>
    </row>
    <row r="17357" spans="1:6" x14ac:dyDescent="0.25">
      <c r="A17357" t="str">
        <f>"7751319153"</f>
        <v>7751319153</v>
      </c>
      <c r="B17357" t="s">
        <v>24203</v>
      </c>
      <c r="C17357" t="s">
        <v>7</v>
      </c>
      <c r="D17357" t="s">
        <v>8</v>
      </c>
      <c r="E17357" t="s">
        <v>23161</v>
      </c>
      <c r="F17357" t="s">
        <v>24204</v>
      </c>
    </row>
    <row r="17358" spans="1:6" x14ac:dyDescent="0.25">
      <c r="A17358" t="str">
        <f>"7751329708"</f>
        <v>7751329708</v>
      </c>
      <c r="B17358" t="s">
        <v>24205</v>
      </c>
      <c r="C17358" t="s">
        <v>7</v>
      </c>
      <c r="D17358" t="s">
        <v>33</v>
      </c>
      <c r="E17358" t="s">
        <v>23161</v>
      </c>
      <c r="F17358" t="s">
        <v>24206</v>
      </c>
    </row>
    <row r="17359" spans="1:6" x14ac:dyDescent="0.25">
      <c r="A17359" t="str">
        <f>"7751345428"</f>
        <v>7751345428</v>
      </c>
      <c r="B17359" t="s">
        <v>1622</v>
      </c>
      <c r="C17359" t="s">
        <v>7</v>
      </c>
      <c r="D17359" t="s">
        <v>28</v>
      </c>
      <c r="E17359" t="s">
        <v>23161</v>
      </c>
      <c r="F17359" t="s">
        <v>24207</v>
      </c>
    </row>
    <row r="17360" spans="1:6" x14ac:dyDescent="0.25">
      <c r="A17360" t="str">
        <f>"7751358096"</f>
        <v>7751358096</v>
      </c>
      <c r="B17360" t="s">
        <v>24208</v>
      </c>
      <c r="C17360" t="s">
        <v>7</v>
      </c>
      <c r="D17360" t="s">
        <v>14</v>
      </c>
      <c r="E17360" t="s">
        <v>23161</v>
      </c>
      <c r="F17360" t="s">
        <v>24209</v>
      </c>
    </row>
    <row r="17361" spans="1:6" x14ac:dyDescent="0.25">
      <c r="A17361" t="str">
        <f>"460600830228"</f>
        <v>460600830228</v>
      </c>
      <c r="B17361" t="s">
        <v>24210</v>
      </c>
      <c r="C17361" t="s">
        <v>7</v>
      </c>
      <c r="D17361" t="s">
        <v>14</v>
      </c>
      <c r="E17361" t="s">
        <v>23161</v>
      </c>
    </row>
    <row r="17362" spans="1:6" x14ac:dyDescent="0.25">
      <c r="A17362" t="str">
        <f>"462800997267"</f>
        <v>462800997267</v>
      </c>
      <c r="B17362" t="s">
        <v>24211</v>
      </c>
      <c r="C17362" t="s">
        <v>7</v>
      </c>
      <c r="D17362" t="s">
        <v>14</v>
      </c>
      <c r="E17362" t="s">
        <v>23161</v>
      </c>
    </row>
    <row r="17363" spans="1:6" x14ac:dyDescent="0.25">
      <c r="A17363" t="str">
        <f>"463300726736"</f>
        <v>463300726736</v>
      </c>
      <c r="B17363" t="s">
        <v>24212</v>
      </c>
      <c r="C17363" t="s">
        <v>7</v>
      </c>
      <c r="D17363" t="s">
        <v>14</v>
      </c>
      <c r="E17363" t="s">
        <v>23161</v>
      </c>
    </row>
    <row r="17364" spans="1:6" x14ac:dyDescent="0.25">
      <c r="A17364" t="str">
        <f>"713201574486"</f>
        <v>713201574486</v>
      </c>
      <c r="B17364" t="s">
        <v>24213</v>
      </c>
      <c r="C17364" t="s">
        <v>7</v>
      </c>
      <c r="D17364" t="s">
        <v>33</v>
      </c>
      <c r="E17364" t="s">
        <v>23161</v>
      </c>
    </row>
    <row r="17365" spans="1:6" x14ac:dyDescent="0.25">
      <c r="A17365" t="str">
        <f>"2537068367"</f>
        <v>2537068367</v>
      </c>
      <c r="B17365" t="s">
        <v>24214</v>
      </c>
      <c r="C17365" t="s">
        <v>7</v>
      </c>
      <c r="D17365" t="s">
        <v>33</v>
      </c>
      <c r="E17365" t="s">
        <v>23161</v>
      </c>
      <c r="F17365" t="s">
        <v>24215</v>
      </c>
    </row>
    <row r="17366" spans="1:6" x14ac:dyDescent="0.25">
      <c r="A17366" t="str">
        <f>"2540223510"</f>
        <v>2540223510</v>
      </c>
      <c r="B17366" t="s">
        <v>24216</v>
      </c>
      <c r="C17366" t="s">
        <v>7</v>
      </c>
      <c r="D17366" t="s">
        <v>33</v>
      </c>
      <c r="E17366" t="s">
        <v>23161</v>
      </c>
      <c r="F17366" t="s">
        <v>24217</v>
      </c>
    </row>
    <row r="17367" spans="1:6" x14ac:dyDescent="0.25">
      <c r="A17367" t="str">
        <f>"2543088509"</f>
        <v>2543088509</v>
      </c>
      <c r="B17367" t="s">
        <v>24218</v>
      </c>
      <c r="C17367" t="s">
        <v>7</v>
      </c>
      <c r="D17367" t="s">
        <v>33</v>
      </c>
      <c r="E17367" t="s">
        <v>23161</v>
      </c>
      <c r="F17367" t="s">
        <v>24219</v>
      </c>
    </row>
    <row r="17368" spans="1:6" x14ac:dyDescent="0.25">
      <c r="A17368" t="str">
        <f>"7734455325"</f>
        <v>7734455325</v>
      </c>
      <c r="B17368" t="s">
        <v>24220</v>
      </c>
      <c r="C17368" t="s">
        <v>7</v>
      </c>
      <c r="D17368" t="s">
        <v>674</v>
      </c>
      <c r="E17368" t="s">
        <v>23161</v>
      </c>
      <c r="F17368" t="s">
        <v>24221</v>
      </c>
    </row>
    <row r="17369" spans="1:6" x14ac:dyDescent="0.25">
      <c r="A17369" t="str">
        <f>"7734472962"</f>
        <v>7734472962</v>
      </c>
      <c r="B17369" t="s">
        <v>1957</v>
      </c>
      <c r="C17369" t="s">
        <v>7</v>
      </c>
      <c r="D17369" t="s">
        <v>146</v>
      </c>
      <c r="E17369" t="s">
        <v>23161</v>
      </c>
      <c r="F17369" t="s">
        <v>24222</v>
      </c>
    </row>
    <row r="17370" spans="1:6" x14ac:dyDescent="0.25">
      <c r="A17370" t="str">
        <f>"7734480089"</f>
        <v>7734480089</v>
      </c>
      <c r="B17370" t="s">
        <v>24223</v>
      </c>
      <c r="C17370" t="s">
        <v>7</v>
      </c>
      <c r="D17370" t="s">
        <v>28</v>
      </c>
      <c r="E17370" t="s">
        <v>23161</v>
      </c>
      <c r="F17370" t="s">
        <v>24224</v>
      </c>
    </row>
    <row r="17371" spans="1:6" x14ac:dyDescent="0.25">
      <c r="A17371" t="str">
        <f>"7734500962"</f>
        <v>7734500962</v>
      </c>
      <c r="B17371" t="s">
        <v>24225</v>
      </c>
      <c r="C17371" t="s">
        <v>7</v>
      </c>
      <c r="D17371" t="s">
        <v>14</v>
      </c>
      <c r="E17371" t="s">
        <v>23161</v>
      </c>
      <c r="F17371" t="s">
        <v>24226</v>
      </c>
    </row>
    <row r="17372" spans="1:6" x14ac:dyDescent="0.25">
      <c r="A17372" t="str">
        <f>"7734677550"</f>
        <v>7734677550</v>
      </c>
      <c r="B17372" t="s">
        <v>24227</v>
      </c>
      <c r="C17372" t="s">
        <v>7</v>
      </c>
      <c r="D17372" t="s">
        <v>14</v>
      </c>
      <c r="E17372" t="s">
        <v>23161</v>
      </c>
      <c r="F17372" t="s">
        <v>24228</v>
      </c>
    </row>
    <row r="17373" spans="1:6" x14ac:dyDescent="0.25">
      <c r="A17373" t="str">
        <f>"7734685311"</f>
        <v>7734685311</v>
      </c>
      <c r="B17373" t="s">
        <v>24229</v>
      </c>
      <c r="C17373" t="s">
        <v>7</v>
      </c>
      <c r="D17373" t="s">
        <v>14</v>
      </c>
      <c r="E17373" t="s">
        <v>23161</v>
      </c>
      <c r="F17373" t="s">
        <v>24230</v>
      </c>
    </row>
    <row r="17374" spans="1:6" x14ac:dyDescent="0.25">
      <c r="A17374" t="str">
        <f>"773472327425"</f>
        <v>773472327425</v>
      </c>
      <c r="B17374" t="s">
        <v>24231</v>
      </c>
      <c r="C17374" t="s">
        <v>7</v>
      </c>
      <c r="D17374" t="s">
        <v>14</v>
      </c>
      <c r="E17374" t="s">
        <v>23161</v>
      </c>
    </row>
    <row r="17375" spans="1:6" x14ac:dyDescent="0.25">
      <c r="A17375" t="str">
        <f>"773500370908"</f>
        <v>773500370908</v>
      </c>
      <c r="B17375" t="s">
        <v>24232</v>
      </c>
      <c r="C17375" t="s">
        <v>7</v>
      </c>
      <c r="D17375" t="s">
        <v>12</v>
      </c>
      <c r="E17375" t="s">
        <v>23161</v>
      </c>
    </row>
    <row r="17376" spans="1:6" x14ac:dyDescent="0.25">
      <c r="A17376" t="str">
        <f>"773501276993"</f>
        <v>773501276993</v>
      </c>
      <c r="B17376" t="s">
        <v>24233</v>
      </c>
      <c r="C17376" t="s">
        <v>7</v>
      </c>
      <c r="D17376" t="s">
        <v>14</v>
      </c>
      <c r="E17376" t="s">
        <v>23161</v>
      </c>
    </row>
    <row r="17377" spans="1:6" x14ac:dyDescent="0.25">
      <c r="A17377" t="str">
        <f>"773513078315"</f>
        <v>773513078315</v>
      </c>
      <c r="B17377" t="s">
        <v>24234</v>
      </c>
      <c r="C17377" t="s">
        <v>7</v>
      </c>
      <c r="D17377" t="s">
        <v>14</v>
      </c>
      <c r="E17377" t="s">
        <v>23161</v>
      </c>
    </row>
    <row r="17378" spans="1:6" x14ac:dyDescent="0.25">
      <c r="A17378" t="str">
        <f>"7735146489"</f>
        <v>7735146489</v>
      </c>
      <c r="B17378" t="s">
        <v>24235</v>
      </c>
      <c r="C17378" t="s">
        <v>7</v>
      </c>
      <c r="D17378" t="s">
        <v>14</v>
      </c>
      <c r="E17378" t="s">
        <v>23161</v>
      </c>
      <c r="F17378" t="s">
        <v>24236</v>
      </c>
    </row>
    <row r="17379" spans="1:6" x14ac:dyDescent="0.25">
      <c r="A17379" t="str">
        <f>"7735184283"</f>
        <v>7735184283</v>
      </c>
      <c r="B17379" t="s">
        <v>24237</v>
      </c>
      <c r="C17379" t="s">
        <v>7</v>
      </c>
      <c r="D17379" t="s">
        <v>28</v>
      </c>
      <c r="E17379" t="s">
        <v>23161</v>
      </c>
      <c r="F17379" t="s">
        <v>24238</v>
      </c>
    </row>
    <row r="17380" spans="1:6" x14ac:dyDescent="0.25">
      <c r="A17380" t="str">
        <f>"7735581530"</f>
        <v>7735581530</v>
      </c>
      <c r="B17380" t="s">
        <v>24239</v>
      </c>
      <c r="C17380" t="s">
        <v>7</v>
      </c>
      <c r="D17380" t="s">
        <v>12</v>
      </c>
      <c r="E17380" t="s">
        <v>23161</v>
      </c>
      <c r="F17380" t="s">
        <v>24240</v>
      </c>
    </row>
    <row r="17381" spans="1:6" x14ac:dyDescent="0.25">
      <c r="A17381" t="str">
        <f>"773572631475"</f>
        <v>773572631475</v>
      </c>
      <c r="B17381" t="s">
        <v>24241</v>
      </c>
      <c r="C17381" t="s">
        <v>7</v>
      </c>
      <c r="D17381" t="s">
        <v>8</v>
      </c>
      <c r="E17381" t="s">
        <v>23161</v>
      </c>
    </row>
    <row r="17382" spans="1:6" x14ac:dyDescent="0.25">
      <c r="A17382" t="str">
        <f>"773572710039"</f>
        <v>773572710039</v>
      </c>
      <c r="B17382" t="s">
        <v>24242</v>
      </c>
      <c r="C17382" t="s">
        <v>7</v>
      </c>
      <c r="D17382" t="s">
        <v>14</v>
      </c>
      <c r="E17382" t="s">
        <v>23161</v>
      </c>
    </row>
    <row r="17383" spans="1:6" x14ac:dyDescent="0.25">
      <c r="A17383" t="str">
        <f>"773573427200"</f>
        <v>773573427200</v>
      </c>
      <c r="B17383" t="s">
        <v>24243</v>
      </c>
      <c r="C17383" t="s">
        <v>7</v>
      </c>
      <c r="D17383" t="s">
        <v>14</v>
      </c>
      <c r="E17383" t="s">
        <v>23161</v>
      </c>
    </row>
    <row r="17384" spans="1:6" x14ac:dyDescent="0.25">
      <c r="A17384" t="str">
        <f>"773576681759"</f>
        <v>773576681759</v>
      </c>
      <c r="B17384" t="s">
        <v>24244</v>
      </c>
      <c r="C17384" t="s">
        <v>7</v>
      </c>
      <c r="D17384" t="s">
        <v>189</v>
      </c>
      <c r="E17384" t="s">
        <v>23161</v>
      </c>
    </row>
    <row r="17385" spans="1:6" x14ac:dyDescent="0.25">
      <c r="A17385" t="str">
        <f>"7736208811"</f>
        <v>7736208811</v>
      </c>
      <c r="B17385" t="s">
        <v>24245</v>
      </c>
      <c r="C17385" t="s">
        <v>7</v>
      </c>
      <c r="D17385" t="s">
        <v>14</v>
      </c>
      <c r="E17385" t="s">
        <v>23161</v>
      </c>
      <c r="F17385" t="s">
        <v>24246</v>
      </c>
    </row>
    <row r="17386" spans="1:6" x14ac:dyDescent="0.25">
      <c r="A17386" t="str">
        <f>"7736263611"</f>
        <v>7736263611</v>
      </c>
      <c r="B17386" t="s">
        <v>24247</v>
      </c>
      <c r="C17386" t="s">
        <v>7</v>
      </c>
      <c r="D17386" t="s">
        <v>6745</v>
      </c>
      <c r="E17386" t="s">
        <v>23161</v>
      </c>
      <c r="F17386" t="s">
        <v>24248</v>
      </c>
    </row>
    <row r="17387" spans="1:6" x14ac:dyDescent="0.25">
      <c r="A17387" t="str">
        <f>"7736325480"</f>
        <v>7736325480</v>
      </c>
      <c r="B17387" t="s">
        <v>24249</v>
      </c>
      <c r="C17387" t="s">
        <v>7</v>
      </c>
      <c r="D17387" t="s">
        <v>12</v>
      </c>
      <c r="E17387" t="s">
        <v>23161</v>
      </c>
      <c r="F17387" t="s">
        <v>24250</v>
      </c>
    </row>
    <row r="17388" spans="1:6" x14ac:dyDescent="0.25">
      <c r="A17388" t="str">
        <f>"7736350335"</f>
        <v>7736350335</v>
      </c>
      <c r="B17388" t="s">
        <v>24251</v>
      </c>
      <c r="C17388" t="s">
        <v>7</v>
      </c>
      <c r="D17388" t="s">
        <v>12</v>
      </c>
      <c r="E17388" t="s">
        <v>23161</v>
      </c>
      <c r="F17388" t="s">
        <v>24252</v>
      </c>
    </row>
    <row r="17389" spans="1:6" x14ac:dyDescent="0.25">
      <c r="A17389" t="str">
        <f>"773700564393"</f>
        <v>773700564393</v>
      </c>
      <c r="B17389" t="s">
        <v>24253</v>
      </c>
      <c r="C17389" t="s">
        <v>7</v>
      </c>
      <c r="D17389" t="s">
        <v>14</v>
      </c>
      <c r="E17389" t="s">
        <v>23161</v>
      </c>
    </row>
    <row r="17390" spans="1:6" x14ac:dyDescent="0.25">
      <c r="A17390" t="str">
        <f>"773700808402"</f>
        <v>773700808402</v>
      </c>
      <c r="B17390" t="s">
        <v>24254</v>
      </c>
      <c r="C17390" t="s">
        <v>7</v>
      </c>
      <c r="D17390" t="s">
        <v>12</v>
      </c>
      <c r="E17390" t="s">
        <v>23161</v>
      </c>
    </row>
    <row r="17391" spans="1:6" x14ac:dyDescent="0.25">
      <c r="A17391" t="str">
        <f>"7737107478"</f>
        <v>7737107478</v>
      </c>
      <c r="B17391" t="s">
        <v>24255</v>
      </c>
      <c r="C17391" t="s">
        <v>7</v>
      </c>
      <c r="D17391" t="s">
        <v>28</v>
      </c>
      <c r="E17391" t="s">
        <v>23161</v>
      </c>
      <c r="F17391" t="s">
        <v>24256</v>
      </c>
    </row>
    <row r="17392" spans="1:6" x14ac:dyDescent="0.25">
      <c r="A17392" t="str">
        <f>"7743124231"</f>
        <v>7743124231</v>
      </c>
      <c r="B17392" t="s">
        <v>24257</v>
      </c>
      <c r="C17392" t="s">
        <v>7</v>
      </c>
      <c r="D17392" t="s">
        <v>33</v>
      </c>
      <c r="E17392" t="s">
        <v>23161</v>
      </c>
      <c r="F17392" t="s">
        <v>24258</v>
      </c>
    </row>
    <row r="17393" spans="1:6" x14ac:dyDescent="0.25">
      <c r="A17393" t="str">
        <f>"7743132419"</f>
        <v>7743132419</v>
      </c>
      <c r="B17393" t="s">
        <v>24259</v>
      </c>
      <c r="C17393" t="s">
        <v>7</v>
      </c>
      <c r="D17393" t="s">
        <v>12</v>
      </c>
      <c r="E17393" t="s">
        <v>23161</v>
      </c>
      <c r="F17393" t="s">
        <v>24260</v>
      </c>
    </row>
    <row r="17394" spans="1:6" x14ac:dyDescent="0.25">
      <c r="A17394" t="str">
        <f>"774320003650"</f>
        <v>774320003650</v>
      </c>
      <c r="B17394" t="s">
        <v>24261</v>
      </c>
      <c r="C17394" t="s">
        <v>7</v>
      </c>
      <c r="D17394" t="s">
        <v>14</v>
      </c>
      <c r="E17394" t="s">
        <v>23161</v>
      </c>
    </row>
    <row r="17395" spans="1:6" x14ac:dyDescent="0.25">
      <c r="A17395" t="str">
        <f>"7743313366"</f>
        <v>7743313366</v>
      </c>
      <c r="B17395" t="s">
        <v>24262</v>
      </c>
      <c r="C17395" t="s">
        <v>7</v>
      </c>
      <c r="D17395" t="s">
        <v>674</v>
      </c>
      <c r="E17395" t="s">
        <v>23161</v>
      </c>
      <c r="F17395" t="s">
        <v>24263</v>
      </c>
    </row>
    <row r="17396" spans="1:6" x14ac:dyDescent="0.25">
      <c r="A17396" t="str">
        <f>"7743314024"</f>
        <v>7743314024</v>
      </c>
      <c r="B17396" t="s">
        <v>24264</v>
      </c>
      <c r="C17396" t="s">
        <v>7</v>
      </c>
      <c r="D17396" t="s">
        <v>33</v>
      </c>
      <c r="E17396" t="s">
        <v>23161</v>
      </c>
      <c r="F17396" t="s">
        <v>24265</v>
      </c>
    </row>
    <row r="17397" spans="1:6" x14ac:dyDescent="0.25">
      <c r="A17397" t="str">
        <f>"7743345209"</f>
        <v>7743345209</v>
      </c>
      <c r="B17397" t="s">
        <v>24266</v>
      </c>
      <c r="C17397" t="s">
        <v>7</v>
      </c>
      <c r="D17397" t="s">
        <v>14</v>
      </c>
      <c r="E17397" t="s">
        <v>23161</v>
      </c>
      <c r="F17397" t="s">
        <v>24267</v>
      </c>
    </row>
    <row r="17398" spans="1:6" x14ac:dyDescent="0.25">
      <c r="A17398" t="str">
        <f>"7743355800"</f>
        <v>7743355800</v>
      </c>
      <c r="B17398" t="s">
        <v>24268</v>
      </c>
      <c r="C17398" t="s">
        <v>7</v>
      </c>
      <c r="D17398" t="s">
        <v>12</v>
      </c>
      <c r="E17398" t="s">
        <v>23161</v>
      </c>
      <c r="F17398" t="s">
        <v>24269</v>
      </c>
    </row>
    <row r="17399" spans="1:6" x14ac:dyDescent="0.25">
      <c r="A17399" t="str">
        <f>"7743357170"</f>
        <v>7743357170</v>
      </c>
      <c r="B17399" t="s">
        <v>24270</v>
      </c>
      <c r="C17399" t="s">
        <v>7</v>
      </c>
      <c r="D17399" t="s">
        <v>12</v>
      </c>
      <c r="E17399" t="s">
        <v>23161</v>
      </c>
      <c r="F17399" t="s">
        <v>24271</v>
      </c>
    </row>
    <row r="17400" spans="1:6" x14ac:dyDescent="0.25">
      <c r="A17400" t="str">
        <f>"7743395048"</f>
        <v>7743395048</v>
      </c>
      <c r="B17400" t="s">
        <v>24272</v>
      </c>
      <c r="C17400" t="s">
        <v>7</v>
      </c>
      <c r="D17400" t="s">
        <v>12</v>
      </c>
      <c r="E17400" t="s">
        <v>23161</v>
      </c>
      <c r="F17400" t="s">
        <v>24273</v>
      </c>
    </row>
    <row r="17401" spans="1:6" x14ac:dyDescent="0.25">
      <c r="A17401" t="str">
        <f>"7743405031"</f>
        <v>7743405031</v>
      </c>
      <c r="B17401" t="s">
        <v>24274</v>
      </c>
      <c r="C17401" t="s">
        <v>7</v>
      </c>
      <c r="D17401" t="s">
        <v>33</v>
      </c>
      <c r="E17401" t="s">
        <v>23161</v>
      </c>
      <c r="F17401" t="s">
        <v>24275</v>
      </c>
    </row>
    <row r="17402" spans="1:6" x14ac:dyDescent="0.25">
      <c r="A17402" t="str">
        <f>"7743438100"</f>
        <v>7743438100</v>
      </c>
      <c r="B17402" t="s">
        <v>24276</v>
      </c>
      <c r="C17402" t="s">
        <v>7</v>
      </c>
      <c r="D17402" t="s">
        <v>33</v>
      </c>
      <c r="E17402" t="s">
        <v>23161</v>
      </c>
      <c r="F17402" t="s">
        <v>24277</v>
      </c>
    </row>
    <row r="17403" spans="1:6" x14ac:dyDescent="0.25">
      <c r="A17403" t="str">
        <f>"7743558302"</f>
        <v>7743558302</v>
      </c>
      <c r="B17403" t="s">
        <v>24278</v>
      </c>
      <c r="C17403" t="s">
        <v>7</v>
      </c>
      <c r="D17403" t="s">
        <v>12</v>
      </c>
      <c r="E17403" t="s">
        <v>23161</v>
      </c>
      <c r="F17403" t="s">
        <v>24279</v>
      </c>
    </row>
    <row r="17404" spans="1:6" x14ac:dyDescent="0.25">
      <c r="A17404" t="str">
        <f>"7743578549"</f>
        <v>7743578549</v>
      </c>
      <c r="B17404" t="s">
        <v>24280</v>
      </c>
      <c r="C17404" t="s">
        <v>7</v>
      </c>
      <c r="D17404" t="s">
        <v>28</v>
      </c>
      <c r="E17404" t="s">
        <v>23161</v>
      </c>
      <c r="F17404" t="s">
        <v>24281</v>
      </c>
    </row>
    <row r="17405" spans="1:6" x14ac:dyDescent="0.25">
      <c r="A17405" t="str">
        <f>"7743580770"</f>
        <v>7743580770</v>
      </c>
      <c r="B17405" t="s">
        <v>24282</v>
      </c>
      <c r="C17405" t="s">
        <v>7</v>
      </c>
      <c r="D17405" t="s">
        <v>33</v>
      </c>
      <c r="E17405" t="s">
        <v>23161</v>
      </c>
      <c r="F17405" t="s">
        <v>24283</v>
      </c>
    </row>
    <row r="17406" spans="1:6" x14ac:dyDescent="0.25">
      <c r="A17406" t="str">
        <f>"7743582383"</f>
        <v>7743582383</v>
      </c>
      <c r="B17406" t="s">
        <v>24284</v>
      </c>
      <c r="C17406" t="s">
        <v>7</v>
      </c>
      <c r="D17406" t="s">
        <v>14</v>
      </c>
      <c r="E17406" t="s">
        <v>23161</v>
      </c>
      <c r="F17406" t="s">
        <v>24285</v>
      </c>
    </row>
    <row r="17407" spans="1:6" x14ac:dyDescent="0.25">
      <c r="A17407" t="str">
        <f>"7743789652"</f>
        <v>7743789652</v>
      </c>
      <c r="B17407" t="s">
        <v>24286</v>
      </c>
      <c r="C17407" t="s">
        <v>7</v>
      </c>
      <c r="D17407" t="s">
        <v>12</v>
      </c>
      <c r="E17407" t="s">
        <v>23161</v>
      </c>
      <c r="F17407" t="s">
        <v>24287</v>
      </c>
    </row>
    <row r="17408" spans="1:6" x14ac:dyDescent="0.25">
      <c r="A17408" t="str">
        <f>"774391304904"</f>
        <v>774391304904</v>
      </c>
      <c r="B17408" t="s">
        <v>24288</v>
      </c>
      <c r="C17408" t="s">
        <v>7</v>
      </c>
      <c r="D17408" t="s">
        <v>586</v>
      </c>
      <c r="E17408" t="s">
        <v>23161</v>
      </c>
    </row>
    <row r="17409" spans="1:6" x14ac:dyDescent="0.25">
      <c r="A17409" t="str">
        <f>"7743927461"</f>
        <v>7743927461</v>
      </c>
      <c r="B17409" t="s">
        <v>24289</v>
      </c>
      <c r="C17409" t="s">
        <v>7</v>
      </c>
      <c r="D17409" t="s">
        <v>14</v>
      </c>
      <c r="E17409" t="s">
        <v>23161</v>
      </c>
      <c r="F17409" t="s">
        <v>24290</v>
      </c>
    </row>
    <row r="17410" spans="1:6" x14ac:dyDescent="0.25">
      <c r="A17410" t="str">
        <f>"7751015821"</f>
        <v>7751015821</v>
      </c>
      <c r="B17410" t="s">
        <v>24291</v>
      </c>
      <c r="C17410" t="s">
        <v>7</v>
      </c>
      <c r="D17410" t="s">
        <v>8</v>
      </c>
      <c r="E17410" t="s">
        <v>23161</v>
      </c>
      <c r="F17410" t="s">
        <v>24292</v>
      </c>
    </row>
    <row r="17411" spans="1:6" x14ac:dyDescent="0.25">
      <c r="A17411" t="str">
        <f>"7751033362"</f>
        <v>7751033362</v>
      </c>
      <c r="B17411" t="s">
        <v>24293</v>
      </c>
      <c r="C17411" t="s">
        <v>7</v>
      </c>
      <c r="D17411" t="s">
        <v>33</v>
      </c>
      <c r="E17411" t="s">
        <v>23161</v>
      </c>
      <c r="F17411" t="s">
        <v>24294</v>
      </c>
    </row>
    <row r="17412" spans="1:6" x14ac:dyDescent="0.25">
      <c r="A17412" t="str">
        <f>"7751046604"</f>
        <v>7751046604</v>
      </c>
      <c r="B17412" t="s">
        <v>10981</v>
      </c>
      <c r="C17412" t="s">
        <v>7</v>
      </c>
      <c r="D17412" t="s">
        <v>146</v>
      </c>
      <c r="E17412" t="s">
        <v>23161</v>
      </c>
      <c r="F17412" t="s">
        <v>24295</v>
      </c>
    </row>
    <row r="17413" spans="1:6" x14ac:dyDescent="0.25">
      <c r="A17413" t="str">
        <f>"7751139873"</f>
        <v>7751139873</v>
      </c>
      <c r="B17413" t="s">
        <v>24296</v>
      </c>
      <c r="C17413" t="s">
        <v>7</v>
      </c>
      <c r="D17413" t="s">
        <v>98</v>
      </c>
      <c r="E17413" t="s">
        <v>23161</v>
      </c>
      <c r="F17413" t="s">
        <v>24297</v>
      </c>
    </row>
    <row r="17414" spans="1:6" x14ac:dyDescent="0.25">
      <c r="A17414" t="str">
        <f>"7751174564"</f>
        <v>7751174564</v>
      </c>
      <c r="B17414" t="s">
        <v>24298</v>
      </c>
      <c r="C17414" t="s">
        <v>7</v>
      </c>
      <c r="D17414" t="s">
        <v>33</v>
      </c>
      <c r="E17414" t="s">
        <v>23161</v>
      </c>
      <c r="F17414" t="s">
        <v>24299</v>
      </c>
    </row>
    <row r="17415" spans="1:6" x14ac:dyDescent="0.25">
      <c r="A17415" t="str">
        <f>"7751184241"</f>
        <v>7751184241</v>
      </c>
      <c r="B17415" t="s">
        <v>24300</v>
      </c>
      <c r="C17415" t="s">
        <v>7</v>
      </c>
      <c r="D17415" t="s">
        <v>33</v>
      </c>
      <c r="E17415" t="s">
        <v>23161</v>
      </c>
      <c r="F17415" t="s">
        <v>24301</v>
      </c>
    </row>
    <row r="17416" spans="1:6" x14ac:dyDescent="0.25">
      <c r="A17416" t="str">
        <f>"7751201521"</f>
        <v>7751201521</v>
      </c>
      <c r="B17416" t="s">
        <v>2296</v>
      </c>
      <c r="C17416" t="s">
        <v>7</v>
      </c>
      <c r="D17416" t="s">
        <v>28</v>
      </c>
      <c r="E17416" t="s">
        <v>23161</v>
      </c>
      <c r="F17416" t="s">
        <v>24302</v>
      </c>
    </row>
    <row r="17417" spans="1:6" x14ac:dyDescent="0.25">
      <c r="A17417" t="str">
        <f>"7751205607"</f>
        <v>7751205607</v>
      </c>
      <c r="B17417" t="s">
        <v>24303</v>
      </c>
      <c r="C17417" t="s">
        <v>7</v>
      </c>
      <c r="D17417" t="s">
        <v>8</v>
      </c>
      <c r="E17417" t="s">
        <v>23161</v>
      </c>
      <c r="F17417" t="s">
        <v>24304</v>
      </c>
    </row>
    <row r="17418" spans="1:6" x14ac:dyDescent="0.25">
      <c r="A17418" t="str">
        <f>"7751213277"</f>
        <v>7751213277</v>
      </c>
      <c r="B17418" t="s">
        <v>24305</v>
      </c>
      <c r="C17418" t="s">
        <v>7</v>
      </c>
      <c r="D17418" t="s">
        <v>33</v>
      </c>
      <c r="E17418" t="s">
        <v>23161</v>
      </c>
      <c r="F17418" t="s">
        <v>24306</v>
      </c>
    </row>
    <row r="17419" spans="1:6" x14ac:dyDescent="0.25">
      <c r="A17419" t="str">
        <f>"7751225392"</f>
        <v>7751225392</v>
      </c>
      <c r="B17419" t="s">
        <v>24307</v>
      </c>
      <c r="C17419" t="s">
        <v>7</v>
      </c>
      <c r="D17419" t="s">
        <v>12</v>
      </c>
      <c r="E17419" t="s">
        <v>23161</v>
      </c>
      <c r="F17419" t="s">
        <v>24308</v>
      </c>
    </row>
    <row r="17420" spans="1:6" x14ac:dyDescent="0.25">
      <c r="A17420" t="str">
        <f>"7751229862"</f>
        <v>7751229862</v>
      </c>
      <c r="B17420" t="s">
        <v>24309</v>
      </c>
      <c r="C17420" t="s">
        <v>7</v>
      </c>
      <c r="D17420" t="s">
        <v>674</v>
      </c>
      <c r="E17420" t="s">
        <v>23161</v>
      </c>
      <c r="F17420" t="s">
        <v>24310</v>
      </c>
    </row>
    <row r="17421" spans="1:6" x14ac:dyDescent="0.25">
      <c r="A17421" t="str">
        <f>"7751277136"</f>
        <v>7751277136</v>
      </c>
      <c r="B17421" t="s">
        <v>24311</v>
      </c>
      <c r="C17421" t="s">
        <v>7</v>
      </c>
      <c r="D17421" t="s">
        <v>12</v>
      </c>
      <c r="E17421" t="s">
        <v>23161</v>
      </c>
      <c r="F17421" t="s">
        <v>24312</v>
      </c>
    </row>
    <row r="17422" spans="1:6" x14ac:dyDescent="0.25">
      <c r="A17422" t="str">
        <f>"7751323505"</f>
        <v>7751323505</v>
      </c>
      <c r="B17422" t="s">
        <v>24313</v>
      </c>
      <c r="C17422" t="s">
        <v>7</v>
      </c>
      <c r="D17422" t="s">
        <v>12</v>
      </c>
      <c r="E17422" t="s">
        <v>23161</v>
      </c>
      <c r="F17422" t="s">
        <v>24314</v>
      </c>
    </row>
    <row r="17423" spans="1:6" x14ac:dyDescent="0.25">
      <c r="A17423" t="str">
        <f>"7751526135"</f>
        <v>7751526135</v>
      </c>
      <c r="B17423" t="s">
        <v>24315</v>
      </c>
      <c r="C17423" t="s">
        <v>7</v>
      </c>
      <c r="D17423" t="s">
        <v>14</v>
      </c>
      <c r="E17423" t="s">
        <v>23161</v>
      </c>
      <c r="F17423" t="s">
        <v>24316</v>
      </c>
    </row>
    <row r="17424" spans="1:6" x14ac:dyDescent="0.25">
      <c r="A17424" t="str">
        <f>"7751527107"</f>
        <v>7751527107</v>
      </c>
      <c r="B17424" t="s">
        <v>479</v>
      </c>
      <c r="C17424" t="s">
        <v>7</v>
      </c>
      <c r="D17424" t="s">
        <v>12</v>
      </c>
      <c r="E17424" t="s">
        <v>23161</v>
      </c>
      <c r="F17424" t="s">
        <v>24317</v>
      </c>
    </row>
    <row r="17425" spans="1:6" x14ac:dyDescent="0.25">
      <c r="A17425" t="str">
        <f>"622660500267"</f>
        <v>622660500267</v>
      </c>
      <c r="B17425" t="s">
        <v>24318</v>
      </c>
      <c r="C17425" t="s">
        <v>7</v>
      </c>
      <c r="D17425" t="s">
        <v>12</v>
      </c>
      <c r="E17425" t="s">
        <v>23161</v>
      </c>
    </row>
    <row r="17426" spans="1:6" x14ac:dyDescent="0.25">
      <c r="A17426" t="str">
        <f>"220410350166"</f>
        <v>220410350166</v>
      </c>
      <c r="B17426" t="s">
        <v>24319</v>
      </c>
      <c r="C17426" t="s">
        <v>7</v>
      </c>
      <c r="D17426" t="s">
        <v>146</v>
      </c>
      <c r="E17426" t="s">
        <v>23161</v>
      </c>
    </row>
    <row r="17427" spans="1:6" x14ac:dyDescent="0.25">
      <c r="A17427" t="str">
        <f>"222200420413"</f>
        <v>222200420413</v>
      </c>
      <c r="B17427" t="s">
        <v>24320</v>
      </c>
      <c r="C17427" t="s">
        <v>7</v>
      </c>
      <c r="D17427" t="s">
        <v>8</v>
      </c>
      <c r="E17427" t="s">
        <v>23161</v>
      </c>
    </row>
    <row r="17428" spans="1:6" x14ac:dyDescent="0.25">
      <c r="A17428" t="str">
        <f>"2223620033"</f>
        <v>2223620033</v>
      </c>
      <c r="B17428" t="s">
        <v>14171</v>
      </c>
      <c r="C17428" t="s">
        <v>7</v>
      </c>
      <c r="D17428" t="s">
        <v>1430</v>
      </c>
      <c r="E17428" t="s">
        <v>23161</v>
      </c>
      <c r="F17428" t="s">
        <v>24321</v>
      </c>
    </row>
    <row r="17429" spans="1:6" x14ac:dyDescent="0.25">
      <c r="A17429" t="str">
        <f>"632516646284"</f>
        <v>632516646284</v>
      </c>
      <c r="B17429" t="s">
        <v>24322</v>
      </c>
      <c r="C17429" t="s">
        <v>7</v>
      </c>
      <c r="D17429" t="s">
        <v>14</v>
      </c>
      <c r="E17429" t="s">
        <v>23161</v>
      </c>
    </row>
    <row r="17430" spans="1:6" x14ac:dyDescent="0.25">
      <c r="A17430" t="str">
        <f>"361700025270"</f>
        <v>361700025270</v>
      </c>
      <c r="B17430" t="s">
        <v>24323</v>
      </c>
      <c r="C17430" t="s">
        <v>7</v>
      </c>
      <c r="D17430" t="s">
        <v>14</v>
      </c>
      <c r="E17430" t="s">
        <v>23161</v>
      </c>
    </row>
    <row r="17431" spans="1:6" x14ac:dyDescent="0.25">
      <c r="A17431" t="str">
        <f>"361203277133"</f>
        <v>361203277133</v>
      </c>
      <c r="B17431" t="s">
        <v>24324</v>
      </c>
      <c r="C17431" t="s">
        <v>7</v>
      </c>
      <c r="D17431" t="s">
        <v>8</v>
      </c>
      <c r="E17431" t="s">
        <v>23161</v>
      </c>
    </row>
    <row r="17432" spans="1:6" x14ac:dyDescent="0.25">
      <c r="A17432" t="str">
        <f>"3662299892"</f>
        <v>3662299892</v>
      </c>
      <c r="B17432" t="s">
        <v>24325</v>
      </c>
      <c r="C17432" t="s">
        <v>7</v>
      </c>
      <c r="D17432" t="s">
        <v>12</v>
      </c>
      <c r="E17432" t="s">
        <v>23161</v>
      </c>
      <c r="F17432" t="s">
        <v>24326</v>
      </c>
    </row>
    <row r="17433" spans="1:6" x14ac:dyDescent="0.25">
      <c r="A17433" t="str">
        <f>"2543107198"</f>
        <v>2543107198</v>
      </c>
      <c r="B17433" t="s">
        <v>24327</v>
      </c>
      <c r="C17433" t="s">
        <v>7</v>
      </c>
      <c r="D17433" t="s">
        <v>1430</v>
      </c>
      <c r="E17433" t="s">
        <v>23161</v>
      </c>
      <c r="F17433" t="s">
        <v>24328</v>
      </c>
    </row>
    <row r="17434" spans="1:6" x14ac:dyDescent="0.25">
      <c r="A17434" t="str">
        <f>"261808381779"</f>
        <v>261808381779</v>
      </c>
      <c r="B17434" t="s">
        <v>24329</v>
      </c>
      <c r="C17434" t="s">
        <v>7</v>
      </c>
      <c r="D17434" t="s">
        <v>33</v>
      </c>
      <c r="E17434" t="s">
        <v>23161</v>
      </c>
    </row>
    <row r="17435" spans="1:6" x14ac:dyDescent="0.25">
      <c r="A17435" t="str">
        <f>"226702011250"</f>
        <v>226702011250</v>
      </c>
      <c r="B17435" t="s">
        <v>24330</v>
      </c>
      <c r="C17435" t="s">
        <v>7</v>
      </c>
      <c r="D17435" t="s">
        <v>12</v>
      </c>
      <c r="E17435" t="s">
        <v>23161</v>
      </c>
    </row>
    <row r="17436" spans="1:6" x14ac:dyDescent="0.25">
      <c r="A17436" t="str">
        <f>"544301154297"</f>
        <v>544301154297</v>
      </c>
      <c r="B17436" t="s">
        <v>24331</v>
      </c>
      <c r="C17436" t="s">
        <v>7</v>
      </c>
      <c r="D17436" t="s">
        <v>14</v>
      </c>
      <c r="E17436" t="s">
        <v>23161</v>
      </c>
    </row>
    <row r="17437" spans="1:6" x14ac:dyDescent="0.25">
      <c r="A17437" t="str">
        <f>"7325032086"</f>
        <v>7325032086</v>
      </c>
      <c r="B17437" t="s">
        <v>24332</v>
      </c>
      <c r="C17437" t="s">
        <v>7</v>
      </c>
      <c r="D17437" t="s">
        <v>14</v>
      </c>
      <c r="E17437" t="s">
        <v>23161</v>
      </c>
      <c r="F17437" t="s">
        <v>24333</v>
      </c>
    </row>
    <row r="17438" spans="1:6" x14ac:dyDescent="0.25">
      <c r="A17438" t="str">
        <f>"732600016942"</f>
        <v>732600016942</v>
      </c>
      <c r="B17438" t="s">
        <v>24334</v>
      </c>
      <c r="C17438" t="s">
        <v>7</v>
      </c>
      <c r="D17438" t="s">
        <v>14</v>
      </c>
      <c r="E17438" t="s">
        <v>23161</v>
      </c>
    </row>
    <row r="17439" spans="1:6" x14ac:dyDescent="0.25">
      <c r="A17439" t="str">
        <f>"7327042403"</f>
        <v>7327042403</v>
      </c>
      <c r="B17439" t="s">
        <v>24335</v>
      </c>
      <c r="C17439" t="s">
        <v>7</v>
      </c>
      <c r="D17439" t="s">
        <v>14</v>
      </c>
      <c r="E17439" t="s">
        <v>23161</v>
      </c>
      <c r="F17439" t="s">
        <v>24336</v>
      </c>
    </row>
    <row r="17440" spans="1:6" x14ac:dyDescent="0.25">
      <c r="A17440" t="str">
        <f>"260904336270"</f>
        <v>260904336270</v>
      </c>
      <c r="B17440" t="s">
        <v>24337</v>
      </c>
      <c r="C17440" t="s">
        <v>7</v>
      </c>
      <c r="D17440" t="s">
        <v>14</v>
      </c>
      <c r="E17440" t="s">
        <v>23161</v>
      </c>
    </row>
    <row r="17441" spans="1:6" x14ac:dyDescent="0.25">
      <c r="A17441" t="str">
        <f>"7300007384"</f>
        <v>7300007384</v>
      </c>
      <c r="B17441" t="s">
        <v>24338</v>
      </c>
      <c r="C17441" t="s">
        <v>7</v>
      </c>
      <c r="D17441" t="s">
        <v>674</v>
      </c>
      <c r="E17441" t="s">
        <v>23161</v>
      </c>
      <c r="F17441" t="s">
        <v>24339</v>
      </c>
    </row>
    <row r="17442" spans="1:6" x14ac:dyDescent="0.25">
      <c r="A17442" t="str">
        <f>"361203312902"</f>
        <v>361203312902</v>
      </c>
      <c r="B17442" t="s">
        <v>24340</v>
      </c>
      <c r="C17442" t="s">
        <v>7</v>
      </c>
      <c r="D17442" t="s">
        <v>8</v>
      </c>
      <c r="E17442" t="s">
        <v>23161</v>
      </c>
    </row>
    <row r="17443" spans="1:6" x14ac:dyDescent="0.25">
      <c r="A17443" t="str">
        <f>"233504927980"</f>
        <v>233504927980</v>
      </c>
      <c r="B17443" t="s">
        <v>24341</v>
      </c>
      <c r="C17443" t="s">
        <v>7</v>
      </c>
      <c r="D17443" t="s">
        <v>14</v>
      </c>
      <c r="E17443" t="s">
        <v>23161</v>
      </c>
    </row>
    <row r="17444" spans="1:6" x14ac:dyDescent="0.25">
      <c r="A17444" t="str">
        <f>"052501133416"</f>
        <v>052501133416</v>
      </c>
      <c r="B17444" t="s">
        <v>24342</v>
      </c>
      <c r="C17444" t="s">
        <v>7</v>
      </c>
      <c r="D17444" t="s">
        <v>14</v>
      </c>
      <c r="E17444" t="s">
        <v>23161</v>
      </c>
    </row>
    <row r="17445" spans="1:6" x14ac:dyDescent="0.25">
      <c r="A17445" t="str">
        <f>"550611906179"</f>
        <v>550611906179</v>
      </c>
      <c r="B17445" t="s">
        <v>24343</v>
      </c>
      <c r="C17445" t="s">
        <v>7</v>
      </c>
      <c r="D17445" t="s">
        <v>14</v>
      </c>
      <c r="E17445" t="s">
        <v>23161</v>
      </c>
    </row>
    <row r="17446" spans="1:6" x14ac:dyDescent="0.25">
      <c r="A17446" t="str">
        <f>"642202267394"</f>
        <v>642202267394</v>
      </c>
      <c r="B17446" t="s">
        <v>24344</v>
      </c>
      <c r="C17446" t="s">
        <v>7</v>
      </c>
      <c r="D17446" t="s">
        <v>14</v>
      </c>
      <c r="E17446" t="s">
        <v>23161</v>
      </c>
    </row>
    <row r="17447" spans="1:6" x14ac:dyDescent="0.25">
      <c r="A17447" t="str">
        <f>"3702715661"</f>
        <v>3702715661</v>
      </c>
      <c r="B17447" t="s">
        <v>24345</v>
      </c>
      <c r="C17447" t="s">
        <v>7</v>
      </c>
      <c r="D17447" t="s">
        <v>33</v>
      </c>
      <c r="E17447" t="s">
        <v>23161</v>
      </c>
      <c r="F17447" t="s">
        <v>24346</v>
      </c>
    </row>
    <row r="17448" spans="1:6" x14ac:dyDescent="0.25">
      <c r="A17448" t="str">
        <f>"090600717710"</f>
        <v>090600717710</v>
      </c>
      <c r="B17448" t="s">
        <v>24347</v>
      </c>
      <c r="C17448" t="s">
        <v>7</v>
      </c>
      <c r="D17448" t="s">
        <v>674</v>
      </c>
      <c r="E17448" t="s">
        <v>23161</v>
      </c>
    </row>
    <row r="17449" spans="1:6" x14ac:dyDescent="0.25">
      <c r="A17449" t="str">
        <f>"263201570360"</f>
        <v>263201570360</v>
      </c>
      <c r="B17449" t="s">
        <v>24348</v>
      </c>
      <c r="C17449" t="s">
        <v>7</v>
      </c>
      <c r="D17449" t="s">
        <v>14</v>
      </c>
      <c r="E17449" t="s">
        <v>23161</v>
      </c>
    </row>
    <row r="17450" spans="1:6" x14ac:dyDescent="0.25">
      <c r="A17450" t="str">
        <f>"263210245119"</f>
        <v>263210245119</v>
      </c>
      <c r="B17450" t="s">
        <v>24349</v>
      </c>
      <c r="C17450" t="s">
        <v>7</v>
      </c>
      <c r="D17450" t="s">
        <v>14</v>
      </c>
      <c r="E17450" t="s">
        <v>23161</v>
      </c>
    </row>
    <row r="17451" spans="1:6" x14ac:dyDescent="0.25">
      <c r="A17451" t="str">
        <f>"5507273950"</f>
        <v>5507273950</v>
      </c>
      <c r="B17451" t="s">
        <v>24350</v>
      </c>
      <c r="C17451" t="s">
        <v>7</v>
      </c>
      <c r="D17451" t="s">
        <v>33</v>
      </c>
      <c r="E17451" t="s">
        <v>23161</v>
      </c>
      <c r="F17451" t="s">
        <v>24351</v>
      </c>
    </row>
    <row r="17452" spans="1:6" x14ac:dyDescent="0.25">
      <c r="A17452" t="str">
        <f>"732815649705"</f>
        <v>732815649705</v>
      </c>
      <c r="B17452" t="s">
        <v>24352</v>
      </c>
      <c r="C17452" t="s">
        <v>7</v>
      </c>
      <c r="D17452" t="s">
        <v>14</v>
      </c>
      <c r="E17452" t="s">
        <v>23161</v>
      </c>
    </row>
    <row r="17453" spans="1:6" x14ac:dyDescent="0.25">
      <c r="A17453" t="str">
        <f>"7810918377"</f>
        <v>7810918377</v>
      </c>
      <c r="B17453" t="s">
        <v>24353</v>
      </c>
      <c r="C17453" t="s">
        <v>7</v>
      </c>
      <c r="D17453" t="s">
        <v>189</v>
      </c>
      <c r="E17453" t="s">
        <v>23161</v>
      </c>
      <c r="F17453" t="s">
        <v>24354</v>
      </c>
    </row>
    <row r="17454" spans="1:6" x14ac:dyDescent="0.25">
      <c r="A17454" t="str">
        <f>"7810974741"</f>
        <v>7810974741</v>
      </c>
      <c r="B17454" t="s">
        <v>24355</v>
      </c>
      <c r="C17454" t="s">
        <v>7</v>
      </c>
      <c r="D17454" t="s">
        <v>674</v>
      </c>
      <c r="E17454" t="s">
        <v>23161</v>
      </c>
      <c r="F17454" t="s">
        <v>24356</v>
      </c>
    </row>
    <row r="17455" spans="1:6" x14ac:dyDescent="0.25">
      <c r="A17455" t="str">
        <f>"7811646944"</f>
        <v>7811646944</v>
      </c>
      <c r="B17455" t="s">
        <v>24357</v>
      </c>
      <c r="C17455" t="s">
        <v>7</v>
      </c>
      <c r="D17455" t="s">
        <v>12</v>
      </c>
      <c r="E17455" t="s">
        <v>23161</v>
      </c>
      <c r="F17455" t="s">
        <v>24358</v>
      </c>
    </row>
    <row r="17456" spans="1:6" x14ac:dyDescent="0.25">
      <c r="A17456" t="str">
        <f>"781317845739"</f>
        <v>781317845739</v>
      </c>
      <c r="B17456" t="s">
        <v>24359</v>
      </c>
      <c r="C17456" t="s">
        <v>7</v>
      </c>
      <c r="D17456" t="s">
        <v>12</v>
      </c>
      <c r="E17456" t="s">
        <v>23161</v>
      </c>
    </row>
    <row r="17457" spans="1:6" x14ac:dyDescent="0.25">
      <c r="A17457" t="str">
        <f>"480303684979"</f>
        <v>480303684979</v>
      </c>
      <c r="B17457" t="s">
        <v>24360</v>
      </c>
      <c r="C17457" t="s">
        <v>7</v>
      </c>
      <c r="D17457" t="s">
        <v>14</v>
      </c>
      <c r="E17457" t="s">
        <v>23161</v>
      </c>
    </row>
    <row r="17458" spans="1:6" x14ac:dyDescent="0.25">
      <c r="A17458" t="str">
        <f>"482412502541"</f>
        <v>482412502541</v>
      </c>
      <c r="B17458" t="s">
        <v>24361</v>
      </c>
      <c r="C17458" t="s">
        <v>7</v>
      </c>
      <c r="D17458" t="s">
        <v>12</v>
      </c>
      <c r="E17458" t="s">
        <v>23161</v>
      </c>
    </row>
    <row r="17459" spans="1:6" x14ac:dyDescent="0.25">
      <c r="A17459" t="str">
        <f>"740400666985"</f>
        <v>740400666985</v>
      </c>
      <c r="B17459" t="s">
        <v>24362</v>
      </c>
      <c r="C17459" t="s">
        <v>7</v>
      </c>
      <c r="D17459" t="s">
        <v>14</v>
      </c>
      <c r="E17459" t="s">
        <v>23161</v>
      </c>
    </row>
    <row r="17460" spans="1:6" x14ac:dyDescent="0.25">
      <c r="A17460" t="str">
        <f>"263217750030"</f>
        <v>263217750030</v>
      </c>
      <c r="B17460" t="s">
        <v>24363</v>
      </c>
      <c r="C17460" t="s">
        <v>7</v>
      </c>
      <c r="D17460" t="s">
        <v>14</v>
      </c>
      <c r="E17460" t="s">
        <v>23161</v>
      </c>
    </row>
    <row r="17461" spans="1:6" x14ac:dyDescent="0.25">
      <c r="A17461" t="str">
        <f>"7811657720"</f>
        <v>7811657720</v>
      </c>
      <c r="B17461" t="s">
        <v>24364</v>
      </c>
      <c r="C17461" t="s">
        <v>7</v>
      </c>
      <c r="D17461" t="s">
        <v>12</v>
      </c>
      <c r="E17461" t="s">
        <v>23161</v>
      </c>
      <c r="F17461" t="s">
        <v>24365</v>
      </c>
    </row>
    <row r="17462" spans="1:6" x14ac:dyDescent="0.25">
      <c r="A17462" t="str">
        <f>"550521747781"</f>
        <v>550521747781</v>
      </c>
      <c r="B17462" t="s">
        <v>24366</v>
      </c>
      <c r="C17462" t="s">
        <v>7</v>
      </c>
      <c r="D17462" t="s">
        <v>14</v>
      </c>
      <c r="E17462" t="s">
        <v>23161</v>
      </c>
    </row>
    <row r="17463" spans="1:6" x14ac:dyDescent="0.25">
      <c r="A17463" t="str">
        <f>"632506033401"</f>
        <v>632506033401</v>
      </c>
      <c r="B17463" t="s">
        <v>24367</v>
      </c>
      <c r="C17463" t="s">
        <v>7</v>
      </c>
      <c r="D17463" t="s">
        <v>12</v>
      </c>
      <c r="E17463" t="s">
        <v>23161</v>
      </c>
    </row>
    <row r="17464" spans="1:6" x14ac:dyDescent="0.25">
      <c r="A17464" t="str">
        <f>"643909221702"</f>
        <v>643909221702</v>
      </c>
      <c r="B17464" t="s">
        <v>24368</v>
      </c>
      <c r="C17464" t="s">
        <v>7</v>
      </c>
      <c r="D17464" t="s">
        <v>12</v>
      </c>
      <c r="E17464" t="s">
        <v>23161</v>
      </c>
    </row>
    <row r="17465" spans="1:6" x14ac:dyDescent="0.25">
      <c r="A17465" t="str">
        <f>"230501209752"</f>
        <v>230501209752</v>
      </c>
      <c r="B17465" t="s">
        <v>24369</v>
      </c>
      <c r="C17465" t="s">
        <v>7</v>
      </c>
      <c r="D17465" t="s">
        <v>14</v>
      </c>
      <c r="E17465" t="s">
        <v>23161</v>
      </c>
    </row>
    <row r="17466" spans="1:6" x14ac:dyDescent="0.25">
      <c r="A17466" t="str">
        <f>"644911080553"</f>
        <v>644911080553</v>
      </c>
      <c r="B17466" t="s">
        <v>24370</v>
      </c>
      <c r="C17466" t="s">
        <v>7</v>
      </c>
      <c r="D17466" t="s">
        <v>12</v>
      </c>
      <c r="E17466" t="s">
        <v>23161</v>
      </c>
    </row>
    <row r="17467" spans="1:6" x14ac:dyDescent="0.25">
      <c r="A17467" t="str">
        <f>"645212512241"</f>
        <v>645212512241</v>
      </c>
      <c r="B17467" t="s">
        <v>24371</v>
      </c>
      <c r="C17467" t="s">
        <v>7</v>
      </c>
      <c r="D17467" t="s">
        <v>33</v>
      </c>
      <c r="E17467" t="s">
        <v>23161</v>
      </c>
    </row>
    <row r="17468" spans="1:6" x14ac:dyDescent="0.25">
      <c r="A17468" t="str">
        <f>"7447161089"</f>
        <v>7447161089</v>
      </c>
      <c r="B17468" t="s">
        <v>24372</v>
      </c>
      <c r="C17468" t="s">
        <v>7</v>
      </c>
      <c r="D17468" t="s">
        <v>33</v>
      </c>
      <c r="E17468" t="s">
        <v>23161</v>
      </c>
      <c r="F17468" t="s">
        <v>24373</v>
      </c>
    </row>
    <row r="17469" spans="1:6" x14ac:dyDescent="0.25">
      <c r="A17469" t="str">
        <f>"7451335330"</f>
        <v>7451335330</v>
      </c>
      <c r="B17469" t="s">
        <v>24374</v>
      </c>
      <c r="C17469" t="s">
        <v>7</v>
      </c>
      <c r="D17469" t="s">
        <v>146</v>
      </c>
      <c r="E17469" t="s">
        <v>23161</v>
      </c>
      <c r="F17469" t="s">
        <v>24375</v>
      </c>
    </row>
    <row r="17470" spans="1:6" x14ac:dyDescent="0.25">
      <c r="A17470" t="str">
        <f>"263622906897"</f>
        <v>263622906897</v>
      </c>
      <c r="B17470" t="s">
        <v>24376</v>
      </c>
      <c r="C17470" t="s">
        <v>7</v>
      </c>
      <c r="D17470" t="s">
        <v>33</v>
      </c>
      <c r="E17470" t="s">
        <v>23161</v>
      </c>
    </row>
    <row r="17471" spans="1:6" x14ac:dyDescent="0.25">
      <c r="A17471" t="str">
        <f>"5001065070"</f>
        <v>5001065070</v>
      </c>
      <c r="B17471" t="s">
        <v>24377</v>
      </c>
      <c r="C17471" t="s">
        <v>7</v>
      </c>
      <c r="D17471" t="s">
        <v>33</v>
      </c>
      <c r="E17471" t="s">
        <v>23161</v>
      </c>
      <c r="F17471" t="s">
        <v>24378</v>
      </c>
    </row>
    <row r="17472" spans="1:6" x14ac:dyDescent="0.25">
      <c r="A17472" t="str">
        <f>"500303380605"</f>
        <v>500303380605</v>
      </c>
      <c r="B17472" t="s">
        <v>24379</v>
      </c>
      <c r="C17472" t="s">
        <v>7</v>
      </c>
      <c r="D17472" t="s">
        <v>14</v>
      </c>
      <c r="E17472" t="s">
        <v>23161</v>
      </c>
    </row>
    <row r="17473" spans="1:6" x14ac:dyDescent="0.25">
      <c r="A17473" t="str">
        <f>"5003107368"</f>
        <v>5003107368</v>
      </c>
      <c r="B17473" t="s">
        <v>24380</v>
      </c>
      <c r="C17473" t="s">
        <v>7</v>
      </c>
      <c r="D17473" t="s">
        <v>12</v>
      </c>
      <c r="E17473" t="s">
        <v>23161</v>
      </c>
      <c r="F17473" t="s">
        <v>24381</v>
      </c>
    </row>
    <row r="17474" spans="1:6" x14ac:dyDescent="0.25">
      <c r="A17474" t="str">
        <f>"5003121757"</f>
        <v>5003121757</v>
      </c>
      <c r="B17474" t="s">
        <v>24382</v>
      </c>
      <c r="C17474" t="s">
        <v>7</v>
      </c>
      <c r="D17474" t="s">
        <v>33</v>
      </c>
      <c r="E17474" t="s">
        <v>23161</v>
      </c>
      <c r="F17474" t="s">
        <v>24383</v>
      </c>
    </row>
    <row r="17475" spans="1:6" x14ac:dyDescent="0.25">
      <c r="A17475" t="str">
        <f>"5009053687"</f>
        <v>5009053687</v>
      </c>
      <c r="B17475" t="s">
        <v>24384</v>
      </c>
      <c r="C17475" t="s">
        <v>7</v>
      </c>
      <c r="D17475" t="s">
        <v>14</v>
      </c>
      <c r="E17475" t="s">
        <v>23161</v>
      </c>
      <c r="F17475" t="s">
        <v>24385</v>
      </c>
    </row>
    <row r="17476" spans="1:6" x14ac:dyDescent="0.25">
      <c r="A17476" t="str">
        <f>"501105665135"</f>
        <v>501105665135</v>
      </c>
      <c r="B17476" t="s">
        <v>24386</v>
      </c>
      <c r="C17476" t="s">
        <v>7</v>
      </c>
      <c r="D17476" t="s">
        <v>14</v>
      </c>
      <c r="E17476" t="s">
        <v>23161</v>
      </c>
    </row>
    <row r="17477" spans="1:6" x14ac:dyDescent="0.25">
      <c r="A17477" t="str">
        <f>"7814694390"</f>
        <v>7814694390</v>
      </c>
      <c r="B17477" t="s">
        <v>1580</v>
      </c>
      <c r="C17477" t="s">
        <v>7</v>
      </c>
      <c r="D17477" t="s">
        <v>674</v>
      </c>
      <c r="E17477" t="s">
        <v>23161</v>
      </c>
      <c r="F17477" t="s">
        <v>24387</v>
      </c>
    </row>
    <row r="17478" spans="1:6" x14ac:dyDescent="0.25">
      <c r="A17478" t="str">
        <f>"5001057009"</f>
        <v>5001057009</v>
      </c>
      <c r="B17478" t="s">
        <v>24388</v>
      </c>
      <c r="C17478" t="s">
        <v>7</v>
      </c>
      <c r="D17478" t="s">
        <v>14</v>
      </c>
      <c r="E17478" t="s">
        <v>23161</v>
      </c>
      <c r="F17478" t="s">
        <v>24389</v>
      </c>
    </row>
    <row r="17479" spans="1:6" x14ac:dyDescent="0.25">
      <c r="A17479" t="str">
        <f>"500110541694"</f>
        <v>500110541694</v>
      </c>
      <c r="B17479" t="s">
        <v>24390</v>
      </c>
      <c r="C17479" t="s">
        <v>7</v>
      </c>
      <c r="D17479" t="s">
        <v>14</v>
      </c>
      <c r="E17479" t="s">
        <v>23161</v>
      </c>
    </row>
    <row r="17480" spans="1:6" x14ac:dyDescent="0.25">
      <c r="A17480" t="str">
        <f>"500309992080"</f>
        <v>500309992080</v>
      </c>
      <c r="B17480" t="s">
        <v>24391</v>
      </c>
      <c r="C17480" t="s">
        <v>7</v>
      </c>
      <c r="D17480" t="s">
        <v>14</v>
      </c>
      <c r="E17480" t="s">
        <v>23161</v>
      </c>
    </row>
    <row r="17481" spans="1:6" x14ac:dyDescent="0.25">
      <c r="A17481" t="str">
        <f>"500344613150"</f>
        <v>500344613150</v>
      </c>
      <c r="B17481" t="s">
        <v>24392</v>
      </c>
      <c r="C17481" t="s">
        <v>7</v>
      </c>
      <c r="D17481" t="s">
        <v>12</v>
      </c>
      <c r="E17481" t="s">
        <v>23161</v>
      </c>
    </row>
    <row r="17482" spans="1:6" x14ac:dyDescent="0.25">
      <c r="A17482" t="str">
        <f>"501101327880"</f>
        <v>501101327880</v>
      </c>
      <c r="B17482" t="s">
        <v>24393</v>
      </c>
      <c r="C17482" t="s">
        <v>7</v>
      </c>
      <c r="D17482" t="s">
        <v>14</v>
      </c>
      <c r="E17482" t="s">
        <v>23161</v>
      </c>
    </row>
    <row r="17483" spans="1:6" x14ac:dyDescent="0.25">
      <c r="A17483" t="str">
        <f>"5003064474"</f>
        <v>5003064474</v>
      </c>
      <c r="B17483" t="s">
        <v>24394</v>
      </c>
      <c r="C17483" t="s">
        <v>7</v>
      </c>
      <c r="D17483" t="s">
        <v>14</v>
      </c>
      <c r="E17483" t="s">
        <v>23161</v>
      </c>
      <c r="F17483" t="s">
        <v>24395</v>
      </c>
    </row>
    <row r="17484" spans="1:6" x14ac:dyDescent="0.25">
      <c r="A17484" t="str">
        <f>"5003064548"</f>
        <v>5003064548</v>
      </c>
      <c r="B17484" t="s">
        <v>24396</v>
      </c>
      <c r="C17484" t="s">
        <v>7</v>
      </c>
      <c r="D17484" t="s">
        <v>674</v>
      </c>
      <c r="E17484" t="s">
        <v>23161</v>
      </c>
      <c r="F17484" t="s">
        <v>24397</v>
      </c>
    </row>
    <row r="17485" spans="1:6" x14ac:dyDescent="0.25">
      <c r="A17485" t="str">
        <f>"5003127950"</f>
        <v>5003127950</v>
      </c>
      <c r="B17485" t="s">
        <v>24398</v>
      </c>
      <c r="C17485" t="s">
        <v>7</v>
      </c>
      <c r="D17485" t="s">
        <v>146</v>
      </c>
      <c r="E17485" t="s">
        <v>23161</v>
      </c>
      <c r="F17485" t="s">
        <v>24399</v>
      </c>
    </row>
    <row r="17486" spans="1:6" x14ac:dyDescent="0.25">
      <c r="A17486" t="str">
        <f>"7816465148"</f>
        <v>7816465148</v>
      </c>
      <c r="B17486" t="s">
        <v>24400</v>
      </c>
      <c r="C17486" t="s">
        <v>7</v>
      </c>
      <c r="D17486" t="s">
        <v>12</v>
      </c>
      <c r="E17486" t="s">
        <v>23161</v>
      </c>
      <c r="F17486" t="s">
        <v>24401</v>
      </c>
    </row>
    <row r="17487" spans="1:6" x14ac:dyDescent="0.25">
      <c r="A17487" t="str">
        <f>"380894490691"</f>
        <v>380894490691</v>
      </c>
      <c r="B17487" t="s">
        <v>24402</v>
      </c>
      <c r="C17487" t="s">
        <v>7</v>
      </c>
      <c r="D17487" t="s">
        <v>14</v>
      </c>
      <c r="E17487" t="s">
        <v>23161</v>
      </c>
    </row>
    <row r="17488" spans="1:6" x14ac:dyDescent="0.25">
      <c r="A17488" t="str">
        <f>"732719245354"</f>
        <v>732719245354</v>
      </c>
      <c r="B17488" t="s">
        <v>24403</v>
      </c>
      <c r="C17488" t="s">
        <v>7</v>
      </c>
      <c r="D17488" t="s">
        <v>8</v>
      </c>
      <c r="E17488" t="s">
        <v>23161</v>
      </c>
    </row>
    <row r="17489" spans="1:6" x14ac:dyDescent="0.25">
      <c r="A17489" t="str">
        <f>"740501330477"</f>
        <v>740501330477</v>
      </c>
      <c r="B17489" t="s">
        <v>24404</v>
      </c>
      <c r="C17489" t="s">
        <v>7</v>
      </c>
      <c r="D17489" t="s">
        <v>33</v>
      </c>
      <c r="E17489" t="s">
        <v>23161</v>
      </c>
    </row>
    <row r="17490" spans="1:6" x14ac:dyDescent="0.25">
      <c r="A17490" t="str">
        <f>"230808414208"</f>
        <v>230808414208</v>
      </c>
      <c r="B17490" t="s">
        <v>24405</v>
      </c>
      <c r="C17490" t="s">
        <v>7</v>
      </c>
      <c r="D17490" t="s">
        <v>98</v>
      </c>
      <c r="E17490" t="s">
        <v>23161</v>
      </c>
    </row>
    <row r="17491" spans="1:6" x14ac:dyDescent="0.25">
      <c r="A17491" t="str">
        <f>"2308292631"</f>
        <v>2308292631</v>
      </c>
      <c r="B17491" t="s">
        <v>24406</v>
      </c>
      <c r="C17491" t="s">
        <v>7</v>
      </c>
      <c r="D17491" t="s">
        <v>189</v>
      </c>
      <c r="E17491" t="s">
        <v>23161</v>
      </c>
      <c r="F17491" t="s">
        <v>24407</v>
      </c>
    </row>
    <row r="17492" spans="1:6" x14ac:dyDescent="0.25">
      <c r="A17492" t="str">
        <f>"1102042361"</f>
        <v>1102042361</v>
      </c>
      <c r="B17492" t="s">
        <v>24408</v>
      </c>
      <c r="C17492" t="s">
        <v>7</v>
      </c>
      <c r="D17492" t="s">
        <v>14</v>
      </c>
      <c r="E17492" t="s">
        <v>23161</v>
      </c>
      <c r="F17492" t="s">
        <v>24409</v>
      </c>
    </row>
    <row r="17493" spans="1:6" x14ac:dyDescent="0.25">
      <c r="A17493" t="str">
        <f>"570206117716"</f>
        <v>570206117716</v>
      </c>
      <c r="B17493" t="s">
        <v>24410</v>
      </c>
      <c r="C17493" t="s">
        <v>7</v>
      </c>
      <c r="D17493" t="s">
        <v>14</v>
      </c>
      <c r="E17493" t="s">
        <v>23161</v>
      </c>
    </row>
    <row r="17494" spans="1:6" x14ac:dyDescent="0.25">
      <c r="A17494" t="str">
        <f>"575100921161"</f>
        <v>575100921161</v>
      </c>
      <c r="B17494" t="s">
        <v>24411</v>
      </c>
      <c r="C17494" t="s">
        <v>7</v>
      </c>
      <c r="D17494" t="s">
        <v>12</v>
      </c>
      <c r="E17494" t="s">
        <v>23161</v>
      </c>
    </row>
    <row r="17495" spans="1:6" x14ac:dyDescent="0.25">
      <c r="A17495" t="str">
        <f>"5751053887"</f>
        <v>5751053887</v>
      </c>
      <c r="B17495" t="s">
        <v>24412</v>
      </c>
      <c r="C17495" t="s">
        <v>7</v>
      </c>
      <c r="D17495" t="s">
        <v>12</v>
      </c>
      <c r="E17495" t="s">
        <v>23161</v>
      </c>
      <c r="F17495" t="s">
        <v>24413</v>
      </c>
    </row>
    <row r="17496" spans="1:6" x14ac:dyDescent="0.25">
      <c r="A17496" t="str">
        <f>"575304524099"</f>
        <v>575304524099</v>
      </c>
      <c r="B17496" t="s">
        <v>24414</v>
      </c>
      <c r="C17496" t="s">
        <v>7</v>
      </c>
      <c r="D17496" t="s">
        <v>12</v>
      </c>
      <c r="E17496" t="s">
        <v>23161</v>
      </c>
    </row>
    <row r="17497" spans="1:6" x14ac:dyDescent="0.25">
      <c r="A17497" t="str">
        <f>"382101613045"</f>
        <v>382101613045</v>
      </c>
      <c r="B17497" t="s">
        <v>24415</v>
      </c>
      <c r="C17497" t="s">
        <v>7</v>
      </c>
      <c r="D17497" t="s">
        <v>14</v>
      </c>
      <c r="E17497" t="s">
        <v>23161</v>
      </c>
    </row>
    <row r="17498" spans="1:6" x14ac:dyDescent="0.25">
      <c r="A17498" t="str">
        <f>"120705375759"</f>
        <v>120705375759</v>
      </c>
      <c r="B17498" t="s">
        <v>24416</v>
      </c>
      <c r="C17498" t="s">
        <v>7</v>
      </c>
      <c r="D17498" t="s">
        <v>28</v>
      </c>
      <c r="E17498" t="s">
        <v>23161</v>
      </c>
    </row>
    <row r="17499" spans="1:6" x14ac:dyDescent="0.25">
      <c r="A17499" t="str">
        <f>"121701580660"</f>
        <v>121701580660</v>
      </c>
      <c r="B17499" t="s">
        <v>24417</v>
      </c>
      <c r="C17499" t="s">
        <v>7</v>
      </c>
      <c r="D17499" t="s">
        <v>14</v>
      </c>
      <c r="E17499" t="s">
        <v>23161</v>
      </c>
    </row>
    <row r="17500" spans="1:6" x14ac:dyDescent="0.25">
      <c r="A17500" t="str">
        <f>"2724210327"</f>
        <v>2724210327</v>
      </c>
      <c r="B17500" t="s">
        <v>24418</v>
      </c>
      <c r="C17500" t="s">
        <v>7</v>
      </c>
      <c r="D17500" t="s">
        <v>8</v>
      </c>
      <c r="E17500" t="s">
        <v>23161</v>
      </c>
      <c r="F17500" t="s">
        <v>24419</v>
      </c>
    </row>
    <row r="17501" spans="1:6" x14ac:dyDescent="0.25">
      <c r="A17501" t="str">
        <f>"231703842254"</f>
        <v>231703842254</v>
      </c>
      <c r="B17501" t="s">
        <v>24420</v>
      </c>
      <c r="C17501" t="s">
        <v>7</v>
      </c>
      <c r="D17501" t="s">
        <v>14</v>
      </c>
      <c r="E17501" t="s">
        <v>23161</v>
      </c>
    </row>
    <row r="17502" spans="1:6" x14ac:dyDescent="0.25">
      <c r="A17502" t="str">
        <f>"575307068084"</f>
        <v>575307068084</v>
      </c>
      <c r="B17502" t="s">
        <v>24421</v>
      </c>
      <c r="C17502" t="s">
        <v>7</v>
      </c>
      <c r="D17502" t="s">
        <v>14</v>
      </c>
      <c r="E17502" t="s">
        <v>23161</v>
      </c>
    </row>
    <row r="17503" spans="1:6" x14ac:dyDescent="0.25">
      <c r="A17503" t="str">
        <f>"7455029824"</f>
        <v>7455029824</v>
      </c>
      <c r="B17503" t="s">
        <v>24422</v>
      </c>
      <c r="C17503" t="s">
        <v>7</v>
      </c>
      <c r="D17503" t="s">
        <v>14</v>
      </c>
      <c r="E17503" t="s">
        <v>23161</v>
      </c>
      <c r="F17503" t="s">
        <v>24423</v>
      </c>
    </row>
    <row r="17504" spans="1:6" x14ac:dyDescent="0.25">
      <c r="A17504" t="str">
        <f>"7455031799"</f>
        <v>7455031799</v>
      </c>
      <c r="B17504" t="s">
        <v>6958</v>
      </c>
      <c r="C17504" t="s">
        <v>7</v>
      </c>
      <c r="D17504" t="s">
        <v>14</v>
      </c>
      <c r="E17504" t="s">
        <v>23161</v>
      </c>
      <c r="F17504" t="s">
        <v>24424</v>
      </c>
    </row>
    <row r="17505" spans="1:6" x14ac:dyDescent="0.25">
      <c r="A17505" t="str">
        <f>"2724161327"</f>
        <v>2724161327</v>
      </c>
      <c r="B17505" t="s">
        <v>24425</v>
      </c>
      <c r="C17505" t="s">
        <v>7</v>
      </c>
      <c r="D17505" t="s">
        <v>674</v>
      </c>
      <c r="E17505" t="s">
        <v>23161</v>
      </c>
      <c r="F17505" t="s">
        <v>24426</v>
      </c>
    </row>
    <row r="17506" spans="1:6" x14ac:dyDescent="0.25">
      <c r="A17506" t="str">
        <f>"2801076750"</f>
        <v>2801076750</v>
      </c>
      <c r="B17506" t="s">
        <v>24427</v>
      </c>
      <c r="C17506" t="s">
        <v>7</v>
      </c>
      <c r="D17506" t="s">
        <v>33</v>
      </c>
      <c r="E17506" t="s">
        <v>23161</v>
      </c>
      <c r="F17506" t="s">
        <v>24428</v>
      </c>
    </row>
    <row r="17507" spans="1:6" x14ac:dyDescent="0.25">
      <c r="A17507" t="str">
        <f>"501710989828"</f>
        <v>501710989828</v>
      </c>
      <c r="B17507" t="s">
        <v>24429</v>
      </c>
      <c r="C17507" t="s">
        <v>7</v>
      </c>
      <c r="D17507" t="s">
        <v>14</v>
      </c>
      <c r="E17507" t="s">
        <v>23161</v>
      </c>
    </row>
    <row r="17508" spans="1:6" x14ac:dyDescent="0.25">
      <c r="A17508" t="str">
        <f>"501800213691"</f>
        <v>501800213691</v>
      </c>
      <c r="B17508" t="s">
        <v>24430</v>
      </c>
      <c r="C17508" t="s">
        <v>7</v>
      </c>
      <c r="D17508" t="s">
        <v>14</v>
      </c>
      <c r="E17508" t="s">
        <v>23161</v>
      </c>
    </row>
    <row r="17509" spans="1:6" x14ac:dyDescent="0.25">
      <c r="A17509" t="str">
        <f>"501906740539"</f>
        <v>501906740539</v>
      </c>
      <c r="B17509" t="s">
        <v>24431</v>
      </c>
      <c r="C17509" t="s">
        <v>7</v>
      </c>
      <c r="D17509" t="s">
        <v>14</v>
      </c>
      <c r="E17509" t="s">
        <v>23161</v>
      </c>
    </row>
    <row r="17510" spans="1:6" x14ac:dyDescent="0.25">
      <c r="A17510" t="str">
        <f>"5022560083"</f>
        <v>5022560083</v>
      </c>
      <c r="B17510" t="s">
        <v>13194</v>
      </c>
      <c r="C17510" t="s">
        <v>7</v>
      </c>
      <c r="D17510" t="s">
        <v>33</v>
      </c>
      <c r="E17510" t="s">
        <v>23161</v>
      </c>
      <c r="F17510" t="s">
        <v>24432</v>
      </c>
    </row>
    <row r="17511" spans="1:6" x14ac:dyDescent="0.25">
      <c r="A17511" t="str">
        <f>"5024218855"</f>
        <v>5024218855</v>
      </c>
      <c r="B17511" t="s">
        <v>24433</v>
      </c>
      <c r="C17511" t="s">
        <v>7</v>
      </c>
      <c r="D17511" t="s">
        <v>12</v>
      </c>
      <c r="E17511" t="s">
        <v>23161</v>
      </c>
      <c r="F17511" t="s">
        <v>24434</v>
      </c>
    </row>
    <row r="17512" spans="1:6" x14ac:dyDescent="0.25">
      <c r="A17512" t="str">
        <f>"502703720970"</f>
        <v>502703720970</v>
      </c>
      <c r="B17512" t="s">
        <v>24435</v>
      </c>
      <c r="C17512" t="s">
        <v>7</v>
      </c>
      <c r="D17512" t="s">
        <v>33</v>
      </c>
      <c r="E17512" t="s">
        <v>23161</v>
      </c>
    </row>
    <row r="17513" spans="1:6" x14ac:dyDescent="0.25">
      <c r="A17513" t="str">
        <f>"120705914915"</f>
        <v>120705914915</v>
      </c>
      <c r="B17513" t="s">
        <v>24436</v>
      </c>
      <c r="C17513" t="s">
        <v>7</v>
      </c>
      <c r="D17513" t="s">
        <v>28</v>
      </c>
      <c r="E17513" t="s">
        <v>23161</v>
      </c>
    </row>
    <row r="17514" spans="1:6" x14ac:dyDescent="0.25">
      <c r="A17514" t="str">
        <f>"501900084094"</f>
        <v>501900084094</v>
      </c>
      <c r="B17514" t="s">
        <v>24437</v>
      </c>
      <c r="C17514" t="s">
        <v>7</v>
      </c>
      <c r="D17514" t="s">
        <v>14</v>
      </c>
      <c r="E17514" t="s">
        <v>23161</v>
      </c>
    </row>
    <row r="17515" spans="1:6" x14ac:dyDescent="0.25">
      <c r="A17515" t="str">
        <f>"5024070140"</f>
        <v>5024070140</v>
      </c>
      <c r="B17515" t="s">
        <v>24438</v>
      </c>
      <c r="C17515" t="s">
        <v>7</v>
      </c>
      <c r="D17515" t="s">
        <v>674</v>
      </c>
      <c r="E17515" t="s">
        <v>23161</v>
      </c>
      <c r="F17515" t="s">
        <v>24439</v>
      </c>
    </row>
    <row r="17516" spans="1:6" x14ac:dyDescent="0.25">
      <c r="A17516" t="str">
        <f>"5024138448"</f>
        <v>5024138448</v>
      </c>
      <c r="B17516" t="s">
        <v>24440</v>
      </c>
      <c r="C17516" t="s">
        <v>7</v>
      </c>
      <c r="D17516" t="s">
        <v>33</v>
      </c>
      <c r="E17516" t="s">
        <v>23161</v>
      </c>
      <c r="F17516" t="s">
        <v>24441</v>
      </c>
    </row>
    <row r="17517" spans="1:6" x14ac:dyDescent="0.25">
      <c r="A17517" t="str">
        <f>"5024195492"</f>
        <v>5024195492</v>
      </c>
      <c r="B17517" t="s">
        <v>24442</v>
      </c>
      <c r="C17517" t="s">
        <v>7</v>
      </c>
      <c r="D17517" t="s">
        <v>33</v>
      </c>
      <c r="E17517" t="s">
        <v>23161</v>
      </c>
      <c r="F17517" t="s">
        <v>24443</v>
      </c>
    </row>
    <row r="17518" spans="1:6" x14ac:dyDescent="0.25">
      <c r="A17518" t="str">
        <f>"5024238996"</f>
        <v>5024238996</v>
      </c>
      <c r="B17518" t="s">
        <v>24444</v>
      </c>
      <c r="C17518" t="s">
        <v>7</v>
      </c>
      <c r="D17518" t="s">
        <v>674</v>
      </c>
      <c r="E17518" t="s">
        <v>23161</v>
      </c>
      <c r="F17518" t="s">
        <v>24445</v>
      </c>
    </row>
    <row r="17519" spans="1:6" x14ac:dyDescent="0.25">
      <c r="A17519" t="str">
        <f>"502701630150"</f>
        <v>502701630150</v>
      </c>
      <c r="B17519" t="s">
        <v>24446</v>
      </c>
      <c r="C17519" t="s">
        <v>7</v>
      </c>
      <c r="D17519" t="s">
        <v>14</v>
      </c>
      <c r="E17519" t="s">
        <v>23161</v>
      </c>
    </row>
    <row r="17520" spans="1:6" x14ac:dyDescent="0.25">
      <c r="A17520" t="str">
        <f>"7841465198"</f>
        <v>7841465198</v>
      </c>
      <c r="B17520" t="s">
        <v>24447</v>
      </c>
      <c r="C17520" t="s">
        <v>7</v>
      </c>
      <c r="D17520" t="s">
        <v>28</v>
      </c>
      <c r="E17520" t="s">
        <v>23161</v>
      </c>
      <c r="F17520" t="s">
        <v>24448</v>
      </c>
    </row>
    <row r="17521" spans="1:6" x14ac:dyDescent="0.25">
      <c r="A17521" t="str">
        <f>"5018046069"</f>
        <v>5018046069</v>
      </c>
      <c r="B17521" t="s">
        <v>24449</v>
      </c>
      <c r="C17521" t="s">
        <v>7</v>
      </c>
      <c r="D17521" t="s">
        <v>189</v>
      </c>
      <c r="E17521" t="s">
        <v>23161</v>
      </c>
      <c r="F17521" t="s">
        <v>24450</v>
      </c>
    </row>
    <row r="17522" spans="1:6" x14ac:dyDescent="0.25">
      <c r="A17522" t="str">
        <f>"5018182150"</f>
        <v>5018182150</v>
      </c>
      <c r="B17522" t="s">
        <v>24451</v>
      </c>
      <c r="C17522" t="s">
        <v>7</v>
      </c>
      <c r="D17522" t="s">
        <v>12</v>
      </c>
      <c r="E17522" t="s">
        <v>23161</v>
      </c>
      <c r="F17522" t="s">
        <v>24452</v>
      </c>
    </row>
    <row r="17523" spans="1:6" x14ac:dyDescent="0.25">
      <c r="A17523" t="str">
        <f>"502238895860"</f>
        <v>502238895860</v>
      </c>
      <c r="B17523" t="s">
        <v>24453</v>
      </c>
      <c r="C17523" t="s">
        <v>7</v>
      </c>
      <c r="D17523" t="s">
        <v>14</v>
      </c>
      <c r="E17523" t="s">
        <v>23161</v>
      </c>
    </row>
    <row r="17524" spans="1:6" x14ac:dyDescent="0.25">
      <c r="A17524" t="str">
        <f>"7455027496"</f>
        <v>7455027496</v>
      </c>
      <c r="B17524" t="s">
        <v>24454</v>
      </c>
      <c r="C17524" t="s">
        <v>7</v>
      </c>
      <c r="D17524" t="s">
        <v>14</v>
      </c>
      <c r="E17524" t="s">
        <v>23161</v>
      </c>
      <c r="F17524" t="s">
        <v>24455</v>
      </c>
    </row>
    <row r="17525" spans="1:6" x14ac:dyDescent="0.25">
      <c r="A17525" t="str">
        <f>"2725076025"</f>
        <v>2725076025</v>
      </c>
      <c r="B17525" t="s">
        <v>24456</v>
      </c>
      <c r="C17525" t="s">
        <v>7</v>
      </c>
      <c r="D17525" t="s">
        <v>12</v>
      </c>
      <c r="E17525" t="s">
        <v>23161</v>
      </c>
      <c r="F17525" t="s">
        <v>24457</v>
      </c>
    </row>
    <row r="17526" spans="1:6" x14ac:dyDescent="0.25">
      <c r="A17526" t="str">
        <f>"575100315080"</f>
        <v>575100315080</v>
      </c>
      <c r="B17526" t="s">
        <v>24458</v>
      </c>
      <c r="C17526" t="s">
        <v>7</v>
      </c>
      <c r="D17526" t="s">
        <v>146</v>
      </c>
      <c r="E17526" t="s">
        <v>23161</v>
      </c>
    </row>
    <row r="17527" spans="1:6" x14ac:dyDescent="0.25">
      <c r="A17527" t="str">
        <f>"575300087472"</f>
        <v>575300087472</v>
      </c>
      <c r="B17527" t="s">
        <v>24459</v>
      </c>
      <c r="C17527" t="s">
        <v>7</v>
      </c>
      <c r="D17527" t="s">
        <v>14</v>
      </c>
      <c r="E17527" t="s">
        <v>23161</v>
      </c>
    </row>
    <row r="17528" spans="1:6" x14ac:dyDescent="0.25">
      <c r="A17528" t="str">
        <f>"691001022725"</f>
        <v>691001022725</v>
      </c>
      <c r="B17528" t="s">
        <v>24460</v>
      </c>
      <c r="C17528" t="s">
        <v>7</v>
      </c>
      <c r="D17528" t="s">
        <v>14</v>
      </c>
      <c r="E17528" t="s">
        <v>23161</v>
      </c>
    </row>
    <row r="17529" spans="1:6" x14ac:dyDescent="0.25">
      <c r="A17529" t="str">
        <f>"692502093609"</f>
        <v>692502093609</v>
      </c>
      <c r="B17529" t="s">
        <v>24461</v>
      </c>
      <c r="C17529" t="s">
        <v>7</v>
      </c>
      <c r="D17529" t="s">
        <v>14</v>
      </c>
      <c r="E17529" t="s">
        <v>23161</v>
      </c>
    </row>
    <row r="17530" spans="1:6" x14ac:dyDescent="0.25">
      <c r="A17530" t="str">
        <f>"711300104544"</f>
        <v>711300104544</v>
      </c>
      <c r="B17530" t="s">
        <v>24462</v>
      </c>
      <c r="C17530" t="s">
        <v>7</v>
      </c>
      <c r="D17530" t="s">
        <v>14</v>
      </c>
      <c r="E17530" t="s">
        <v>23161</v>
      </c>
    </row>
    <row r="17531" spans="1:6" x14ac:dyDescent="0.25">
      <c r="A17531" t="str">
        <f>"332805264222"</f>
        <v>332805264222</v>
      </c>
      <c r="B17531" t="s">
        <v>24463</v>
      </c>
      <c r="C17531" t="s">
        <v>7</v>
      </c>
      <c r="D17531" t="s">
        <v>12</v>
      </c>
      <c r="E17531" t="s">
        <v>23161</v>
      </c>
    </row>
    <row r="17532" spans="1:6" x14ac:dyDescent="0.25">
      <c r="A17532" t="str">
        <f>"231804098240"</f>
        <v>231804098240</v>
      </c>
      <c r="B17532" t="s">
        <v>24464</v>
      </c>
      <c r="C17532" t="s">
        <v>7</v>
      </c>
      <c r="D17532" t="s">
        <v>12</v>
      </c>
      <c r="E17532" t="s">
        <v>23161</v>
      </c>
    </row>
    <row r="17533" spans="1:6" x14ac:dyDescent="0.25">
      <c r="A17533" t="str">
        <f>"281100393755"</f>
        <v>281100393755</v>
      </c>
      <c r="B17533" t="s">
        <v>24465</v>
      </c>
      <c r="C17533" t="s">
        <v>7</v>
      </c>
      <c r="D17533" t="s">
        <v>14</v>
      </c>
      <c r="E17533" t="s">
        <v>23161</v>
      </c>
    </row>
    <row r="17534" spans="1:6" x14ac:dyDescent="0.25">
      <c r="A17534" t="str">
        <f>"290129104697"</f>
        <v>290129104697</v>
      </c>
      <c r="B17534" t="s">
        <v>24466</v>
      </c>
      <c r="C17534" t="s">
        <v>7</v>
      </c>
      <c r="D17534" t="s">
        <v>14</v>
      </c>
      <c r="E17534" t="s">
        <v>23161</v>
      </c>
    </row>
    <row r="17535" spans="1:6" x14ac:dyDescent="0.25">
      <c r="A17535" t="str">
        <f>"760400083305"</f>
        <v>760400083305</v>
      </c>
      <c r="B17535" t="s">
        <v>24467</v>
      </c>
      <c r="C17535" t="s">
        <v>7</v>
      </c>
      <c r="D17535" t="s">
        <v>12</v>
      </c>
      <c r="E17535" t="s">
        <v>23161</v>
      </c>
    </row>
    <row r="17536" spans="1:6" x14ac:dyDescent="0.25">
      <c r="A17536" t="str">
        <f>"5031120138"</f>
        <v>5031120138</v>
      </c>
      <c r="B17536" t="s">
        <v>24468</v>
      </c>
      <c r="C17536" t="s">
        <v>7</v>
      </c>
      <c r="D17536" t="s">
        <v>146</v>
      </c>
      <c r="E17536" t="s">
        <v>23161</v>
      </c>
      <c r="F17536" t="s">
        <v>24469</v>
      </c>
    </row>
    <row r="17537" spans="1:6" x14ac:dyDescent="0.25">
      <c r="A17537" t="str">
        <f>"503206656941"</f>
        <v>503206656941</v>
      </c>
      <c r="B17537" t="s">
        <v>24470</v>
      </c>
      <c r="C17537" t="s">
        <v>7</v>
      </c>
      <c r="D17537" t="s">
        <v>14</v>
      </c>
      <c r="E17537" t="s">
        <v>23161</v>
      </c>
    </row>
    <row r="17538" spans="1:6" x14ac:dyDescent="0.25">
      <c r="A17538" t="str">
        <f>"5032139036"</f>
        <v>5032139036</v>
      </c>
      <c r="B17538" t="s">
        <v>19344</v>
      </c>
      <c r="C17538" t="s">
        <v>7</v>
      </c>
      <c r="D17538" t="s">
        <v>189</v>
      </c>
      <c r="E17538" t="s">
        <v>23161</v>
      </c>
      <c r="F17538" t="s">
        <v>24471</v>
      </c>
    </row>
    <row r="17539" spans="1:6" x14ac:dyDescent="0.25">
      <c r="A17539" t="str">
        <f>"5032278752"</f>
        <v>5032278752</v>
      </c>
      <c r="B17539" t="s">
        <v>7045</v>
      </c>
      <c r="C17539" t="s">
        <v>7</v>
      </c>
      <c r="D17539" t="s">
        <v>33</v>
      </c>
      <c r="E17539" t="s">
        <v>23161</v>
      </c>
      <c r="F17539" t="s">
        <v>24472</v>
      </c>
    </row>
    <row r="17540" spans="1:6" x14ac:dyDescent="0.25">
      <c r="A17540" t="str">
        <f>"5032329710"</f>
        <v>5032329710</v>
      </c>
      <c r="B17540" t="s">
        <v>1081</v>
      </c>
      <c r="C17540" t="s">
        <v>7</v>
      </c>
      <c r="D17540" t="s">
        <v>33</v>
      </c>
      <c r="E17540" t="s">
        <v>23161</v>
      </c>
      <c r="F17540" t="s">
        <v>24473</v>
      </c>
    </row>
    <row r="17541" spans="1:6" x14ac:dyDescent="0.25">
      <c r="A17541" t="str">
        <f>"502804651031"</f>
        <v>502804651031</v>
      </c>
      <c r="B17541" t="s">
        <v>24474</v>
      </c>
      <c r="C17541" t="s">
        <v>7</v>
      </c>
      <c r="D17541" t="s">
        <v>12</v>
      </c>
      <c r="E17541" t="s">
        <v>23161</v>
      </c>
    </row>
    <row r="17542" spans="1:6" x14ac:dyDescent="0.25">
      <c r="A17542" t="str">
        <f>"503132562990"</f>
        <v>503132562990</v>
      </c>
      <c r="B17542" t="s">
        <v>24475</v>
      </c>
      <c r="C17542" t="s">
        <v>7</v>
      </c>
      <c r="D17542" t="s">
        <v>12</v>
      </c>
      <c r="E17542" t="s">
        <v>23161</v>
      </c>
    </row>
    <row r="17543" spans="1:6" x14ac:dyDescent="0.25">
      <c r="A17543" t="str">
        <f>"503204153981"</f>
        <v>503204153981</v>
      </c>
      <c r="B17543" t="s">
        <v>24476</v>
      </c>
      <c r="C17543" t="s">
        <v>7</v>
      </c>
      <c r="D17543" t="s">
        <v>14</v>
      </c>
      <c r="E17543" t="s">
        <v>23161</v>
      </c>
    </row>
    <row r="17544" spans="1:6" x14ac:dyDescent="0.25">
      <c r="A17544" t="str">
        <f>"5032190498"</f>
        <v>5032190498</v>
      </c>
      <c r="B17544" t="s">
        <v>24477</v>
      </c>
      <c r="C17544" t="s">
        <v>7</v>
      </c>
      <c r="D17544" t="s">
        <v>674</v>
      </c>
      <c r="E17544" t="s">
        <v>23161</v>
      </c>
      <c r="F17544" t="s">
        <v>24478</v>
      </c>
    </row>
    <row r="17545" spans="1:6" x14ac:dyDescent="0.25">
      <c r="A17545" t="str">
        <f>"5032237788"</f>
        <v>5032237788</v>
      </c>
      <c r="B17545" t="s">
        <v>24479</v>
      </c>
      <c r="C17545" t="s">
        <v>7</v>
      </c>
      <c r="D17545" t="s">
        <v>28</v>
      </c>
      <c r="E17545" t="s">
        <v>23161</v>
      </c>
      <c r="F17545" t="s">
        <v>24480</v>
      </c>
    </row>
    <row r="17546" spans="1:6" x14ac:dyDescent="0.25">
      <c r="A17546" t="str">
        <f>"860330372092"</f>
        <v>860330372092</v>
      </c>
      <c r="B17546" t="s">
        <v>24481</v>
      </c>
      <c r="C17546" t="s">
        <v>7</v>
      </c>
      <c r="D17546" t="s">
        <v>14</v>
      </c>
      <c r="E17546" t="s">
        <v>23161</v>
      </c>
    </row>
    <row r="17547" spans="1:6" x14ac:dyDescent="0.25">
      <c r="A17547" t="str">
        <f>"860801197486"</f>
        <v>860801197486</v>
      </c>
      <c r="B17547" t="s">
        <v>24482</v>
      </c>
      <c r="C17547" t="s">
        <v>7</v>
      </c>
      <c r="D17547" t="s">
        <v>14</v>
      </c>
      <c r="E17547" t="s">
        <v>23161</v>
      </c>
    </row>
    <row r="17548" spans="1:6" x14ac:dyDescent="0.25">
      <c r="A17548" t="str">
        <f>"5027259962"</f>
        <v>5027259962</v>
      </c>
      <c r="B17548" t="s">
        <v>24483</v>
      </c>
      <c r="C17548" t="s">
        <v>7</v>
      </c>
      <c r="D17548" t="s">
        <v>33</v>
      </c>
      <c r="E17548" t="s">
        <v>23161</v>
      </c>
      <c r="F17548" t="s">
        <v>24484</v>
      </c>
    </row>
    <row r="17549" spans="1:6" x14ac:dyDescent="0.25">
      <c r="A17549" t="str">
        <f>"5027289854"</f>
        <v>5027289854</v>
      </c>
      <c r="B17549" t="s">
        <v>24485</v>
      </c>
      <c r="C17549" t="s">
        <v>7</v>
      </c>
      <c r="D17549" t="s">
        <v>12</v>
      </c>
      <c r="E17549" t="s">
        <v>23161</v>
      </c>
      <c r="F17549" t="s">
        <v>24486</v>
      </c>
    </row>
    <row r="17550" spans="1:6" x14ac:dyDescent="0.25">
      <c r="A17550" t="str">
        <f>"502902869607"</f>
        <v>502902869607</v>
      </c>
      <c r="B17550" t="s">
        <v>24487</v>
      </c>
      <c r="C17550" t="s">
        <v>7</v>
      </c>
      <c r="D17550" t="s">
        <v>14</v>
      </c>
      <c r="E17550" t="s">
        <v>23161</v>
      </c>
    </row>
    <row r="17551" spans="1:6" x14ac:dyDescent="0.25">
      <c r="A17551" t="str">
        <f>"5030069200"</f>
        <v>5030069200</v>
      </c>
      <c r="B17551" t="s">
        <v>24488</v>
      </c>
      <c r="C17551" t="s">
        <v>7</v>
      </c>
      <c r="D17551" t="s">
        <v>12</v>
      </c>
      <c r="E17551" t="s">
        <v>23161</v>
      </c>
      <c r="F17551" t="s">
        <v>24489</v>
      </c>
    </row>
    <row r="17552" spans="1:6" x14ac:dyDescent="0.25">
      <c r="A17552" t="str">
        <f>"503112259794"</f>
        <v>503112259794</v>
      </c>
      <c r="B17552" t="s">
        <v>24490</v>
      </c>
      <c r="C17552" t="s">
        <v>7</v>
      </c>
      <c r="D17552" t="s">
        <v>14</v>
      </c>
      <c r="E17552" t="s">
        <v>23161</v>
      </c>
    </row>
    <row r="17553" spans="1:6" x14ac:dyDescent="0.25">
      <c r="A17553" t="str">
        <f>"503203602200"</f>
        <v>503203602200</v>
      </c>
      <c r="B17553" t="s">
        <v>24491</v>
      </c>
      <c r="C17553" t="s">
        <v>7</v>
      </c>
      <c r="D17553" t="s">
        <v>14</v>
      </c>
      <c r="E17553" t="s">
        <v>23161</v>
      </c>
    </row>
    <row r="17554" spans="1:6" x14ac:dyDescent="0.25">
      <c r="A17554" t="str">
        <f>"503206560654"</f>
        <v>503206560654</v>
      </c>
      <c r="B17554" t="s">
        <v>24492</v>
      </c>
      <c r="C17554" t="s">
        <v>7</v>
      </c>
      <c r="D17554" t="s">
        <v>14</v>
      </c>
      <c r="E17554" t="s">
        <v>23161</v>
      </c>
    </row>
    <row r="17555" spans="1:6" x14ac:dyDescent="0.25">
      <c r="A17555" t="str">
        <f>"503210163642"</f>
        <v>503210163642</v>
      </c>
      <c r="B17555" t="s">
        <v>24493</v>
      </c>
      <c r="C17555" t="s">
        <v>7</v>
      </c>
      <c r="D17555" t="s">
        <v>8</v>
      </c>
      <c r="E17555" t="s">
        <v>23161</v>
      </c>
    </row>
    <row r="17556" spans="1:6" x14ac:dyDescent="0.25">
      <c r="A17556" t="str">
        <f>"7536164300"</f>
        <v>7536164300</v>
      </c>
      <c r="B17556" t="s">
        <v>24494</v>
      </c>
      <c r="C17556" t="s">
        <v>7</v>
      </c>
      <c r="D17556" t="s">
        <v>33</v>
      </c>
      <c r="E17556" t="s">
        <v>23161</v>
      </c>
      <c r="F17556" t="s">
        <v>24495</v>
      </c>
    </row>
    <row r="17557" spans="1:6" x14ac:dyDescent="0.25">
      <c r="A17557" t="str">
        <f>"7602155283"</f>
        <v>7602155283</v>
      </c>
      <c r="B17557" t="s">
        <v>24496</v>
      </c>
      <c r="C17557" t="s">
        <v>7</v>
      </c>
      <c r="D17557" t="s">
        <v>12</v>
      </c>
      <c r="E17557" t="s">
        <v>23161</v>
      </c>
      <c r="F17557" t="s">
        <v>24497</v>
      </c>
    </row>
    <row r="17558" spans="1:6" x14ac:dyDescent="0.25">
      <c r="A17558" t="str">
        <f>"760309839173"</f>
        <v>760309839173</v>
      </c>
      <c r="B17558" t="s">
        <v>24498</v>
      </c>
      <c r="C17558" t="s">
        <v>7</v>
      </c>
      <c r="D17558" t="s">
        <v>14</v>
      </c>
      <c r="E17558" t="s">
        <v>23161</v>
      </c>
    </row>
    <row r="17559" spans="1:6" x14ac:dyDescent="0.25">
      <c r="A17559" t="str">
        <f>"280700273313"</f>
        <v>280700273313</v>
      </c>
      <c r="B17559" t="s">
        <v>24499</v>
      </c>
      <c r="C17559" t="s">
        <v>7</v>
      </c>
      <c r="D17559" t="s">
        <v>14</v>
      </c>
      <c r="E17559" t="s">
        <v>23161</v>
      </c>
    </row>
    <row r="17560" spans="1:6" x14ac:dyDescent="0.25">
      <c r="A17560" t="str">
        <f>"280701502157"</f>
        <v>280701502157</v>
      </c>
      <c r="B17560" t="s">
        <v>24500</v>
      </c>
      <c r="C17560" t="s">
        <v>7</v>
      </c>
      <c r="D17560" t="s">
        <v>12</v>
      </c>
      <c r="E17560" t="s">
        <v>23161</v>
      </c>
    </row>
    <row r="17561" spans="1:6" x14ac:dyDescent="0.25">
      <c r="A17561" t="str">
        <f>"290136588865"</f>
        <v>290136588865</v>
      </c>
      <c r="B17561" t="s">
        <v>24501</v>
      </c>
      <c r="C17561" t="s">
        <v>7</v>
      </c>
      <c r="D17561" t="s">
        <v>33</v>
      </c>
      <c r="E17561" t="s">
        <v>23161</v>
      </c>
    </row>
    <row r="17562" spans="1:6" x14ac:dyDescent="0.25">
      <c r="A17562" t="str">
        <f>"8601065871"</f>
        <v>8601065871</v>
      </c>
      <c r="B17562" t="s">
        <v>24502</v>
      </c>
      <c r="C17562" t="s">
        <v>7</v>
      </c>
      <c r="D17562" t="s">
        <v>14</v>
      </c>
      <c r="E17562" t="s">
        <v>23161</v>
      </c>
      <c r="F17562" t="s">
        <v>24503</v>
      </c>
    </row>
    <row r="17563" spans="1:6" x14ac:dyDescent="0.25">
      <c r="A17563" t="str">
        <f>"583509764440"</f>
        <v>583509764440</v>
      </c>
      <c r="B17563" t="s">
        <v>24504</v>
      </c>
      <c r="C17563" t="s">
        <v>7</v>
      </c>
      <c r="D17563" t="s">
        <v>14</v>
      </c>
      <c r="E17563" t="s">
        <v>23161</v>
      </c>
    </row>
    <row r="17564" spans="1:6" x14ac:dyDescent="0.25">
      <c r="A17564" t="str">
        <f>"7453251904"</f>
        <v>7453251904</v>
      </c>
      <c r="B17564" t="s">
        <v>24505</v>
      </c>
      <c r="C17564" t="s">
        <v>7</v>
      </c>
      <c r="D17564" t="s">
        <v>33</v>
      </c>
      <c r="E17564" t="s">
        <v>23161</v>
      </c>
      <c r="F17564" t="s">
        <v>24506</v>
      </c>
    </row>
    <row r="17565" spans="1:6" x14ac:dyDescent="0.25">
      <c r="A17565" t="str">
        <f>"720696185709"</f>
        <v>720696185709</v>
      </c>
      <c r="B17565" t="s">
        <v>24507</v>
      </c>
      <c r="C17565" t="s">
        <v>7</v>
      </c>
      <c r="D17565" t="s">
        <v>14</v>
      </c>
      <c r="E17565" t="s">
        <v>23161</v>
      </c>
    </row>
    <row r="17566" spans="1:6" x14ac:dyDescent="0.25">
      <c r="A17566" t="str">
        <f>"7451443872"</f>
        <v>7451443872</v>
      </c>
      <c r="B17566" t="s">
        <v>24508</v>
      </c>
      <c r="C17566" t="s">
        <v>7</v>
      </c>
      <c r="D17566" t="s">
        <v>14</v>
      </c>
      <c r="E17566" t="s">
        <v>23161</v>
      </c>
      <c r="F17566" t="s">
        <v>24509</v>
      </c>
    </row>
    <row r="17567" spans="1:6" x14ac:dyDescent="0.25">
      <c r="A17567" t="str">
        <f>"3444203350"</f>
        <v>3444203350</v>
      </c>
      <c r="B17567" t="s">
        <v>24510</v>
      </c>
      <c r="C17567" t="s">
        <v>7</v>
      </c>
      <c r="D17567" t="s">
        <v>12</v>
      </c>
      <c r="E17567" t="s">
        <v>23161</v>
      </c>
      <c r="F17567" t="s">
        <v>24511</v>
      </c>
    </row>
    <row r="17568" spans="1:6" x14ac:dyDescent="0.25">
      <c r="A17568" t="str">
        <f>"352521671971"</f>
        <v>352521671971</v>
      </c>
      <c r="B17568" t="s">
        <v>24512</v>
      </c>
      <c r="C17568" t="s">
        <v>7</v>
      </c>
      <c r="D17568" t="s">
        <v>14</v>
      </c>
      <c r="E17568" t="s">
        <v>23161</v>
      </c>
    </row>
    <row r="17569" spans="1:6" x14ac:dyDescent="0.25">
      <c r="A17569" t="str">
        <f>"665913775523"</f>
        <v>665913775523</v>
      </c>
      <c r="B17569" t="s">
        <v>24513</v>
      </c>
      <c r="C17569" t="s">
        <v>7</v>
      </c>
      <c r="D17569" t="s">
        <v>12</v>
      </c>
      <c r="E17569" t="s">
        <v>23161</v>
      </c>
    </row>
    <row r="17570" spans="1:6" x14ac:dyDescent="0.25">
      <c r="A17570" t="str">
        <f>"667004480901"</f>
        <v>667004480901</v>
      </c>
      <c r="B17570" t="s">
        <v>24514</v>
      </c>
      <c r="C17570" t="s">
        <v>7</v>
      </c>
      <c r="D17570" t="s">
        <v>12</v>
      </c>
      <c r="E17570" t="s">
        <v>23161</v>
      </c>
    </row>
    <row r="17571" spans="1:6" x14ac:dyDescent="0.25">
      <c r="A17571" t="str">
        <f>"5905239838"</f>
        <v>5905239838</v>
      </c>
      <c r="B17571" t="s">
        <v>24515</v>
      </c>
      <c r="C17571" t="s">
        <v>7</v>
      </c>
      <c r="D17571" t="s">
        <v>33</v>
      </c>
      <c r="E17571" t="s">
        <v>23161</v>
      </c>
      <c r="F17571" t="s">
        <v>24516</v>
      </c>
    </row>
    <row r="17572" spans="1:6" x14ac:dyDescent="0.25">
      <c r="A17572" t="str">
        <f>"7701196812"</f>
        <v>7701196812</v>
      </c>
      <c r="B17572" t="s">
        <v>24517</v>
      </c>
      <c r="C17572" t="s">
        <v>7</v>
      </c>
      <c r="D17572" t="s">
        <v>12</v>
      </c>
      <c r="E17572" t="s">
        <v>23161</v>
      </c>
      <c r="F17572" t="s">
        <v>24518</v>
      </c>
    </row>
    <row r="17573" spans="1:6" x14ac:dyDescent="0.25">
      <c r="A17573" t="str">
        <f>"7701932526"</f>
        <v>7701932526</v>
      </c>
      <c r="B17573" t="s">
        <v>24519</v>
      </c>
      <c r="C17573" t="s">
        <v>7</v>
      </c>
      <c r="D17573" t="s">
        <v>14</v>
      </c>
      <c r="E17573" t="s">
        <v>23161</v>
      </c>
      <c r="F17573" t="s">
        <v>24520</v>
      </c>
    </row>
    <row r="17574" spans="1:6" x14ac:dyDescent="0.25">
      <c r="A17574" t="str">
        <f>"7702060490"</f>
        <v>7702060490</v>
      </c>
      <c r="B17574" t="s">
        <v>24521</v>
      </c>
      <c r="C17574" t="s">
        <v>7</v>
      </c>
      <c r="D17574" t="s">
        <v>12</v>
      </c>
      <c r="E17574" t="s">
        <v>23161</v>
      </c>
      <c r="F17574" t="s">
        <v>24522</v>
      </c>
    </row>
    <row r="17575" spans="1:6" x14ac:dyDescent="0.25">
      <c r="A17575" t="str">
        <f>"7702360600"</f>
        <v>7702360600</v>
      </c>
      <c r="B17575" t="s">
        <v>24523</v>
      </c>
      <c r="C17575" t="s">
        <v>7</v>
      </c>
      <c r="D17575" t="s">
        <v>14</v>
      </c>
      <c r="E17575" t="s">
        <v>23161</v>
      </c>
      <c r="F17575" t="s">
        <v>24524</v>
      </c>
    </row>
    <row r="17576" spans="1:6" x14ac:dyDescent="0.25">
      <c r="A17576" t="str">
        <f>"7702415143"</f>
        <v>7702415143</v>
      </c>
      <c r="B17576" t="s">
        <v>24525</v>
      </c>
      <c r="C17576" t="s">
        <v>7</v>
      </c>
      <c r="D17576" t="s">
        <v>12</v>
      </c>
      <c r="E17576" t="s">
        <v>23161</v>
      </c>
      <c r="F17576" t="s">
        <v>24526</v>
      </c>
    </row>
    <row r="17577" spans="1:6" x14ac:dyDescent="0.25">
      <c r="A17577" t="str">
        <f>"7702512531"</f>
        <v>7702512531</v>
      </c>
      <c r="B17577" t="s">
        <v>24527</v>
      </c>
      <c r="C17577" t="s">
        <v>7</v>
      </c>
      <c r="D17577" t="s">
        <v>12</v>
      </c>
      <c r="E17577" t="s">
        <v>23161</v>
      </c>
      <c r="F17577" t="s">
        <v>24528</v>
      </c>
    </row>
    <row r="17578" spans="1:6" x14ac:dyDescent="0.25">
      <c r="A17578" t="str">
        <f>"7702583250"</f>
        <v>7702583250</v>
      </c>
      <c r="B17578" t="s">
        <v>24529</v>
      </c>
      <c r="C17578" t="s">
        <v>7</v>
      </c>
      <c r="D17578" t="s">
        <v>1430</v>
      </c>
      <c r="E17578" t="s">
        <v>23161</v>
      </c>
      <c r="F17578" t="s">
        <v>24530</v>
      </c>
    </row>
    <row r="17579" spans="1:6" x14ac:dyDescent="0.25">
      <c r="A17579" t="str">
        <f>"7702616330"</f>
        <v>7702616330</v>
      </c>
      <c r="B17579" t="s">
        <v>24531</v>
      </c>
      <c r="C17579" t="s">
        <v>7</v>
      </c>
      <c r="D17579" t="s">
        <v>674</v>
      </c>
      <c r="E17579" t="s">
        <v>23161</v>
      </c>
      <c r="F17579" t="s">
        <v>24532</v>
      </c>
    </row>
    <row r="17580" spans="1:6" x14ac:dyDescent="0.25">
      <c r="A17580" t="str">
        <f>"7703280347"</f>
        <v>7703280347</v>
      </c>
      <c r="B17580" t="s">
        <v>24533</v>
      </c>
      <c r="C17580" t="s">
        <v>7</v>
      </c>
      <c r="D17580" t="s">
        <v>189</v>
      </c>
      <c r="E17580" t="s">
        <v>23161</v>
      </c>
      <c r="F17580" t="s">
        <v>24534</v>
      </c>
    </row>
    <row r="17581" spans="1:6" x14ac:dyDescent="0.25">
      <c r="A17581" t="str">
        <f>"7703536905"</f>
        <v>7703536905</v>
      </c>
      <c r="B17581" t="s">
        <v>24535</v>
      </c>
      <c r="C17581" t="s">
        <v>7</v>
      </c>
      <c r="D17581" t="s">
        <v>189</v>
      </c>
      <c r="E17581" t="s">
        <v>23161</v>
      </c>
      <c r="F17581" t="s">
        <v>24536</v>
      </c>
    </row>
    <row r="17582" spans="1:6" x14ac:dyDescent="0.25">
      <c r="A17582" t="str">
        <f>"7703797431"</f>
        <v>7703797431</v>
      </c>
      <c r="B17582" t="s">
        <v>24537</v>
      </c>
      <c r="C17582" t="s">
        <v>7</v>
      </c>
      <c r="D17582" t="s">
        <v>189</v>
      </c>
      <c r="E17582" t="s">
        <v>23161</v>
      </c>
      <c r="F17582" t="s">
        <v>24538</v>
      </c>
    </row>
    <row r="17583" spans="1:6" x14ac:dyDescent="0.25">
      <c r="A17583" t="str">
        <f>"7703802152"</f>
        <v>7703802152</v>
      </c>
      <c r="B17583" t="s">
        <v>24539</v>
      </c>
      <c r="C17583" t="s">
        <v>7</v>
      </c>
      <c r="D17583" t="s">
        <v>14</v>
      </c>
      <c r="E17583" t="s">
        <v>23161</v>
      </c>
      <c r="F17583" t="s">
        <v>24540</v>
      </c>
    </row>
    <row r="17584" spans="1:6" x14ac:dyDescent="0.25">
      <c r="A17584" t="str">
        <f>"7704439774"</f>
        <v>7704439774</v>
      </c>
      <c r="B17584" t="s">
        <v>24541</v>
      </c>
      <c r="C17584" t="s">
        <v>7</v>
      </c>
      <c r="D17584" t="s">
        <v>674</v>
      </c>
      <c r="E17584" t="s">
        <v>23161</v>
      </c>
      <c r="F17584" t="s">
        <v>24542</v>
      </c>
    </row>
    <row r="17585" spans="1:6" x14ac:dyDescent="0.25">
      <c r="A17585" t="str">
        <f>"7704483847"</f>
        <v>7704483847</v>
      </c>
      <c r="B17585" t="s">
        <v>24543</v>
      </c>
      <c r="C17585" t="s">
        <v>7</v>
      </c>
      <c r="D17585" t="s">
        <v>14</v>
      </c>
      <c r="E17585" t="s">
        <v>23161</v>
      </c>
      <c r="F17585" t="s">
        <v>24544</v>
      </c>
    </row>
    <row r="17586" spans="1:6" x14ac:dyDescent="0.25">
      <c r="A17586" t="str">
        <f>"7704514742"</f>
        <v>7704514742</v>
      </c>
      <c r="B17586" t="s">
        <v>24545</v>
      </c>
      <c r="C17586" t="s">
        <v>7</v>
      </c>
      <c r="D17586" t="s">
        <v>189</v>
      </c>
      <c r="E17586" t="s">
        <v>23161</v>
      </c>
      <c r="F17586" t="s">
        <v>24546</v>
      </c>
    </row>
    <row r="17587" spans="1:6" x14ac:dyDescent="0.25">
      <c r="A17587" t="str">
        <f>"7704558059"</f>
        <v>7704558059</v>
      </c>
      <c r="B17587" t="s">
        <v>24547</v>
      </c>
      <c r="C17587" t="s">
        <v>7</v>
      </c>
      <c r="D17587" t="s">
        <v>8</v>
      </c>
      <c r="E17587" t="s">
        <v>23161</v>
      </c>
      <c r="F17587" t="s">
        <v>24548</v>
      </c>
    </row>
    <row r="17588" spans="1:6" x14ac:dyDescent="0.25">
      <c r="A17588" t="str">
        <f>"7704657966"</f>
        <v>7704657966</v>
      </c>
      <c r="B17588" t="s">
        <v>24549</v>
      </c>
      <c r="C17588" t="s">
        <v>7</v>
      </c>
      <c r="D17588" t="s">
        <v>14</v>
      </c>
      <c r="E17588" t="s">
        <v>23161</v>
      </c>
      <c r="F17588" t="s">
        <v>24550</v>
      </c>
    </row>
    <row r="17589" spans="1:6" x14ac:dyDescent="0.25">
      <c r="A17589" t="str">
        <f>"770470268377"</f>
        <v>770470268377</v>
      </c>
      <c r="B17589" t="s">
        <v>24551</v>
      </c>
      <c r="C17589" t="s">
        <v>7</v>
      </c>
      <c r="D17589" t="s">
        <v>14</v>
      </c>
      <c r="E17589" t="s">
        <v>23161</v>
      </c>
    </row>
    <row r="17590" spans="1:6" x14ac:dyDescent="0.25">
      <c r="A17590" t="str">
        <f>"770473050202"</f>
        <v>770473050202</v>
      </c>
      <c r="B17590" t="s">
        <v>24552</v>
      </c>
      <c r="C17590" t="s">
        <v>7</v>
      </c>
      <c r="D17590" t="s">
        <v>12</v>
      </c>
      <c r="E17590" t="s">
        <v>23161</v>
      </c>
    </row>
    <row r="17591" spans="1:6" x14ac:dyDescent="0.25">
      <c r="A17591" t="str">
        <f>"7704782710"</f>
        <v>7704782710</v>
      </c>
      <c r="B17591" t="s">
        <v>24553</v>
      </c>
      <c r="C17591" t="s">
        <v>7</v>
      </c>
      <c r="D17591" t="s">
        <v>14</v>
      </c>
      <c r="E17591" t="s">
        <v>23161</v>
      </c>
      <c r="F17591" t="s">
        <v>24554</v>
      </c>
    </row>
    <row r="17592" spans="1:6" x14ac:dyDescent="0.25">
      <c r="A17592" t="str">
        <f>"7705010473"</f>
        <v>7705010473</v>
      </c>
      <c r="B17592" t="s">
        <v>24555</v>
      </c>
      <c r="C17592" t="s">
        <v>7</v>
      </c>
      <c r="D17592" t="s">
        <v>14</v>
      </c>
      <c r="E17592" t="s">
        <v>23161</v>
      </c>
      <c r="F17592" t="s">
        <v>24556</v>
      </c>
    </row>
    <row r="17593" spans="1:6" x14ac:dyDescent="0.25">
      <c r="A17593" t="str">
        <f>"7705133757"</f>
        <v>7705133757</v>
      </c>
      <c r="B17593" t="s">
        <v>24557</v>
      </c>
      <c r="C17593" t="s">
        <v>7</v>
      </c>
      <c r="D17593" t="s">
        <v>12</v>
      </c>
      <c r="E17593" t="s">
        <v>23161</v>
      </c>
      <c r="F17593" t="s">
        <v>24558</v>
      </c>
    </row>
    <row r="17594" spans="1:6" x14ac:dyDescent="0.25">
      <c r="A17594" t="str">
        <f>"7706442758"</f>
        <v>7706442758</v>
      </c>
      <c r="B17594" t="s">
        <v>24559</v>
      </c>
      <c r="C17594" t="s">
        <v>7</v>
      </c>
      <c r="D17594" t="s">
        <v>33</v>
      </c>
      <c r="E17594" t="s">
        <v>23161</v>
      </c>
      <c r="F17594" t="s">
        <v>24560</v>
      </c>
    </row>
    <row r="17595" spans="1:6" x14ac:dyDescent="0.25">
      <c r="A17595" t="str">
        <f>"7706725428"</f>
        <v>7706725428</v>
      </c>
      <c r="B17595" t="s">
        <v>24561</v>
      </c>
      <c r="C17595" t="s">
        <v>7</v>
      </c>
      <c r="D17595" t="s">
        <v>33</v>
      </c>
      <c r="E17595" t="s">
        <v>23161</v>
      </c>
      <c r="F17595" t="s">
        <v>24562</v>
      </c>
    </row>
    <row r="17596" spans="1:6" x14ac:dyDescent="0.25">
      <c r="A17596" t="str">
        <f>"7707016368"</f>
        <v>7707016368</v>
      </c>
      <c r="B17596" t="s">
        <v>24563</v>
      </c>
      <c r="C17596" t="s">
        <v>7</v>
      </c>
      <c r="D17596" t="s">
        <v>8</v>
      </c>
      <c r="E17596" t="s">
        <v>23161</v>
      </c>
      <c r="F17596" t="s">
        <v>24564</v>
      </c>
    </row>
    <row r="17597" spans="1:6" x14ac:dyDescent="0.25">
      <c r="A17597" t="str">
        <f>"7707297133"</f>
        <v>7707297133</v>
      </c>
      <c r="B17597" t="s">
        <v>24565</v>
      </c>
      <c r="C17597" t="s">
        <v>7</v>
      </c>
      <c r="D17597" t="s">
        <v>6745</v>
      </c>
      <c r="E17597" t="s">
        <v>23161</v>
      </c>
      <c r="F17597" t="s">
        <v>24566</v>
      </c>
    </row>
    <row r="17598" spans="1:6" x14ac:dyDescent="0.25">
      <c r="A17598" t="str">
        <f>"7707374300"</f>
        <v>7707374300</v>
      </c>
      <c r="B17598" t="s">
        <v>24567</v>
      </c>
      <c r="C17598" t="s">
        <v>7</v>
      </c>
      <c r="D17598" t="s">
        <v>98</v>
      </c>
      <c r="E17598" t="s">
        <v>23161</v>
      </c>
      <c r="F17598" t="s">
        <v>24568</v>
      </c>
    </row>
    <row r="17599" spans="1:6" x14ac:dyDescent="0.25">
      <c r="A17599" t="str">
        <f>"7707374324"</f>
        <v>7707374324</v>
      </c>
      <c r="B17599" t="s">
        <v>24569</v>
      </c>
      <c r="C17599" t="s">
        <v>7</v>
      </c>
      <c r="D17599" t="s">
        <v>674</v>
      </c>
      <c r="E17599" t="s">
        <v>23161</v>
      </c>
      <c r="F17599" t="s">
        <v>24570</v>
      </c>
    </row>
    <row r="17600" spans="1:6" x14ac:dyDescent="0.25">
      <c r="A17600" t="str">
        <f>"7707808099"</f>
        <v>7707808099</v>
      </c>
      <c r="B17600" t="s">
        <v>6440</v>
      </c>
      <c r="C17600" t="s">
        <v>7</v>
      </c>
      <c r="D17600" t="s">
        <v>8</v>
      </c>
      <c r="E17600" t="s">
        <v>23161</v>
      </c>
      <c r="F17600" t="s">
        <v>24571</v>
      </c>
    </row>
    <row r="17601" spans="1:6" x14ac:dyDescent="0.25">
      <c r="A17601" t="str">
        <f>"7708339756"</f>
        <v>7708339756</v>
      </c>
      <c r="B17601" t="s">
        <v>24572</v>
      </c>
      <c r="C17601" t="s">
        <v>7</v>
      </c>
      <c r="D17601" t="s">
        <v>33</v>
      </c>
      <c r="E17601" t="s">
        <v>23161</v>
      </c>
      <c r="F17601" t="s">
        <v>24573</v>
      </c>
    </row>
    <row r="17602" spans="1:6" x14ac:dyDescent="0.25">
      <c r="A17602" t="str">
        <f>"7708348711"</f>
        <v>7708348711</v>
      </c>
      <c r="B17602" t="s">
        <v>24574</v>
      </c>
      <c r="C17602" t="s">
        <v>7</v>
      </c>
      <c r="D17602" t="s">
        <v>33</v>
      </c>
      <c r="E17602" t="s">
        <v>23161</v>
      </c>
      <c r="F17602" t="s">
        <v>24575</v>
      </c>
    </row>
    <row r="17603" spans="1:6" x14ac:dyDescent="0.25">
      <c r="A17603" t="str">
        <f>"290200173300"</f>
        <v>290200173300</v>
      </c>
      <c r="B17603" t="s">
        <v>24576</v>
      </c>
      <c r="C17603" t="s">
        <v>7</v>
      </c>
      <c r="D17603" t="s">
        <v>12</v>
      </c>
      <c r="E17603" t="s">
        <v>23161</v>
      </c>
    </row>
    <row r="17604" spans="1:6" x14ac:dyDescent="0.25">
      <c r="A17604" t="str">
        <f>"503409391673"</f>
        <v>503409391673</v>
      </c>
      <c r="B17604" t="s">
        <v>24577</v>
      </c>
      <c r="C17604" t="s">
        <v>7</v>
      </c>
      <c r="D17604" t="s">
        <v>14</v>
      </c>
      <c r="E17604" t="s">
        <v>23161</v>
      </c>
    </row>
    <row r="17605" spans="1:6" x14ac:dyDescent="0.25">
      <c r="A17605" t="str">
        <f>"5038188270"</f>
        <v>5038188270</v>
      </c>
      <c r="B17605" t="s">
        <v>24578</v>
      </c>
      <c r="C17605" t="s">
        <v>7</v>
      </c>
      <c r="D17605" t="s">
        <v>12</v>
      </c>
      <c r="E17605" t="s">
        <v>23161</v>
      </c>
      <c r="F17605" t="s">
        <v>24579</v>
      </c>
    </row>
    <row r="17606" spans="1:6" x14ac:dyDescent="0.25">
      <c r="A17606" t="str">
        <f>"890415374267"</f>
        <v>890415374267</v>
      </c>
      <c r="B17606" t="s">
        <v>24580</v>
      </c>
      <c r="C17606" t="s">
        <v>7</v>
      </c>
      <c r="D17606" t="s">
        <v>14</v>
      </c>
      <c r="E17606" t="s">
        <v>23161</v>
      </c>
    </row>
    <row r="17607" spans="1:6" x14ac:dyDescent="0.25">
      <c r="A17607" t="str">
        <f>"890508411585"</f>
        <v>890508411585</v>
      </c>
      <c r="B17607" t="s">
        <v>24581</v>
      </c>
      <c r="C17607" t="s">
        <v>7</v>
      </c>
      <c r="D17607" t="s">
        <v>14</v>
      </c>
      <c r="E17607" t="s">
        <v>23161</v>
      </c>
    </row>
    <row r="17608" spans="1:6" x14ac:dyDescent="0.25">
      <c r="A17608" t="str">
        <f>"503302405316"</f>
        <v>503302405316</v>
      </c>
      <c r="B17608" t="s">
        <v>24582</v>
      </c>
      <c r="C17608" t="s">
        <v>7</v>
      </c>
      <c r="D17608" t="s">
        <v>12</v>
      </c>
      <c r="E17608" t="s">
        <v>23161</v>
      </c>
    </row>
    <row r="17609" spans="1:6" x14ac:dyDescent="0.25">
      <c r="A17609" t="str">
        <f>"503604423801"</f>
        <v>503604423801</v>
      </c>
      <c r="B17609" t="s">
        <v>24583</v>
      </c>
      <c r="C17609" t="s">
        <v>7</v>
      </c>
      <c r="D17609" t="s">
        <v>14</v>
      </c>
      <c r="E17609" t="s">
        <v>23161</v>
      </c>
    </row>
    <row r="17610" spans="1:6" x14ac:dyDescent="0.25">
      <c r="A17610" t="str">
        <f>"5038119558"</f>
        <v>5038119558</v>
      </c>
      <c r="B17610" t="s">
        <v>24584</v>
      </c>
      <c r="C17610" t="s">
        <v>7</v>
      </c>
      <c r="D17610" t="s">
        <v>33</v>
      </c>
      <c r="E17610" t="s">
        <v>23161</v>
      </c>
      <c r="F17610" t="s">
        <v>24585</v>
      </c>
    </row>
    <row r="17611" spans="1:6" x14ac:dyDescent="0.25">
      <c r="A17611" t="str">
        <f>"503830641810"</f>
        <v>503830641810</v>
      </c>
      <c r="B17611" t="s">
        <v>24586</v>
      </c>
      <c r="C17611" t="s">
        <v>7</v>
      </c>
      <c r="D17611" t="s">
        <v>14</v>
      </c>
      <c r="E17611" t="s">
        <v>23161</v>
      </c>
    </row>
    <row r="17612" spans="1:6" x14ac:dyDescent="0.25">
      <c r="A17612" t="str">
        <f>"503610108413"</f>
        <v>503610108413</v>
      </c>
      <c r="B17612" t="s">
        <v>24587</v>
      </c>
      <c r="C17612" t="s">
        <v>7</v>
      </c>
      <c r="D17612" t="s">
        <v>14</v>
      </c>
      <c r="E17612" t="s">
        <v>23161</v>
      </c>
    </row>
    <row r="17613" spans="1:6" x14ac:dyDescent="0.25">
      <c r="A17613" t="str">
        <f>"5036136741"</f>
        <v>5036136741</v>
      </c>
      <c r="B17613" t="s">
        <v>2613</v>
      </c>
      <c r="C17613" t="s">
        <v>7</v>
      </c>
      <c r="D17613" t="s">
        <v>33</v>
      </c>
      <c r="E17613" t="s">
        <v>23161</v>
      </c>
      <c r="F17613" t="s">
        <v>24588</v>
      </c>
    </row>
    <row r="17614" spans="1:6" x14ac:dyDescent="0.25">
      <c r="A17614" t="str">
        <f>"503808630806"</f>
        <v>503808630806</v>
      </c>
      <c r="B17614" t="s">
        <v>24589</v>
      </c>
      <c r="C17614" t="s">
        <v>7</v>
      </c>
      <c r="D17614" t="s">
        <v>12</v>
      </c>
      <c r="E17614" t="s">
        <v>23161</v>
      </c>
    </row>
    <row r="17615" spans="1:6" x14ac:dyDescent="0.25">
      <c r="A17615" t="str">
        <f>"5038133200"</f>
        <v>5038133200</v>
      </c>
      <c r="B17615" t="s">
        <v>24590</v>
      </c>
      <c r="C17615" t="s">
        <v>7</v>
      </c>
      <c r="D17615" t="s">
        <v>14</v>
      </c>
      <c r="E17615" t="s">
        <v>23161</v>
      </c>
      <c r="F17615" t="s">
        <v>24591</v>
      </c>
    </row>
    <row r="17616" spans="1:6" x14ac:dyDescent="0.25">
      <c r="A17616" t="str">
        <f>"504213651294"</f>
        <v>504213651294</v>
      </c>
      <c r="B17616" t="s">
        <v>24592</v>
      </c>
      <c r="C17616" t="s">
        <v>7</v>
      </c>
      <c r="D17616" t="s">
        <v>12</v>
      </c>
      <c r="E17616" t="s">
        <v>23161</v>
      </c>
    </row>
    <row r="17617" spans="1:6" x14ac:dyDescent="0.25">
      <c r="A17617" t="str">
        <f>"7701108020"</f>
        <v>7701108020</v>
      </c>
      <c r="B17617" t="s">
        <v>24593</v>
      </c>
      <c r="C17617" t="s">
        <v>7</v>
      </c>
      <c r="D17617" t="s">
        <v>674</v>
      </c>
      <c r="E17617" t="s">
        <v>23161</v>
      </c>
      <c r="F17617" t="s">
        <v>24594</v>
      </c>
    </row>
    <row r="17618" spans="1:6" x14ac:dyDescent="0.25">
      <c r="A17618" t="str">
        <f>"7701285928"</f>
        <v>7701285928</v>
      </c>
      <c r="B17618" t="s">
        <v>24595</v>
      </c>
      <c r="C17618" t="s">
        <v>7</v>
      </c>
      <c r="D17618" t="s">
        <v>14</v>
      </c>
      <c r="E17618" t="s">
        <v>23161</v>
      </c>
      <c r="F17618" t="s">
        <v>24596</v>
      </c>
    </row>
    <row r="17619" spans="1:6" x14ac:dyDescent="0.25">
      <c r="A17619" t="str">
        <f>"7701302972"</f>
        <v>7701302972</v>
      </c>
      <c r="B17619" t="s">
        <v>24597</v>
      </c>
      <c r="C17619" t="s">
        <v>7</v>
      </c>
      <c r="D17619" t="s">
        <v>33</v>
      </c>
      <c r="E17619" t="s">
        <v>23161</v>
      </c>
      <c r="F17619" t="s">
        <v>24598</v>
      </c>
    </row>
    <row r="17620" spans="1:6" x14ac:dyDescent="0.25">
      <c r="A17620" t="str">
        <f>"7701944673"</f>
        <v>7701944673</v>
      </c>
      <c r="B17620" t="s">
        <v>24599</v>
      </c>
      <c r="C17620" t="s">
        <v>7</v>
      </c>
      <c r="D17620" t="s">
        <v>189</v>
      </c>
      <c r="E17620" t="s">
        <v>23161</v>
      </c>
      <c r="F17620" t="s">
        <v>24600</v>
      </c>
    </row>
    <row r="17621" spans="1:6" x14ac:dyDescent="0.25">
      <c r="A17621" t="str">
        <f>"7702456750"</f>
        <v>7702456750</v>
      </c>
      <c r="B17621" t="s">
        <v>24601</v>
      </c>
      <c r="C17621" t="s">
        <v>7</v>
      </c>
      <c r="D17621" t="s">
        <v>98</v>
      </c>
      <c r="E17621" t="s">
        <v>23161</v>
      </c>
      <c r="F17621" t="s">
        <v>24602</v>
      </c>
    </row>
    <row r="17622" spans="1:6" x14ac:dyDescent="0.25">
      <c r="A17622" t="str">
        <f>"770307445652"</f>
        <v>770307445652</v>
      </c>
      <c r="B17622" t="s">
        <v>24603</v>
      </c>
      <c r="C17622" t="s">
        <v>7</v>
      </c>
      <c r="D17622" t="s">
        <v>14</v>
      </c>
      <c r="E17622" t="s">
        <v>23161</v>
      </c>
    </row>
    <row r="17623" spans="1:6" x14ac:dyDescent="0.25">
      <c r="A17623" t="str">
        <f>"770372227830"</f>
        <v>770372227830</v>
      </c>
      <c r="B17623" t="s">
        <v>24604</v>
      </c>
      <c r="C17623" t="s">
        <v>7</v>
      </c>
      <c r="D17623" t="s">
        <v>14</v>
      </c>
      <c r="E17623" t="s">
        <v>23161</v>
      </c>
    </row>
    <row r="17624" spans="1:6" x14ac:dyDescent="0.25">
      <c r="A17624" t="str">
        <f>"7703737707"</f>
        <v>7703737707</v>
      </c>
      <c r="B17624" t="s">
        <v>24605</v>
      </c>
      <c r="C17624" t="s">
        <v>7</v>
      </c>
      <c r="D17624" t="s">
        <v>463</v>
      </c>
      <c r="E17624" t="s">
        <v>23161</v>
      </c>
      <c r="F17624" t="s">
        <v>24606</v>
      </c>
    </row>
    <row r="17625" spans="1:6" x14ac:dyDescent="0.25">
      <c r="A17625" t="str">
        <f>"7703761900"</f>
        <v>7703761900</v>
      </c>
      <c r="B17625" t="s">
        <v>24607</v>
      </c>
      <c r="C17625" t="s">
        <v>7</v>
      </c>
      <c r="D17625" t="s">
        <v>33</v>
      </c>
      <c r="E17625" t="s">
        <v>23161</v>
      </c>
      <c r="F17625" t="s">
        <v>24608</v>
      </c>
    </row>
    <row r="17626" spans="1:6" x14ac:dyDescent="0.25">
      <c r="A17626" t="str">
        <f>"7703764644"</f>
        <v>7703764644</v>
      </c>
      <c r="B17626" t="s">
        <v>24609</v>
      </c>
      <c r="C17626" t="s">
        <v>7</v>
      </c>
      <c r="D17626" t="s">
        <v>12</v>
      </c>
      <c r="E17626" t="s">
        <v>23161</v>
      </c>
      <c r="F17626" t="s">
        <v>24610</v>
      </c>
    </row>
    <row r="17627" spans="1:6" x14ac:dyDescent="0.25">
      <c r="A17627" t="str">
        <f>"770406800851"</f>
        <v>770406800851</v>
      </c>
      <c r="B17627" t="s">
        <v>24611</v>
      </c>
      <c r="C17627" t="s">
        <v>7</v>
      </c>
      <c r="D17627" t="s">
        <v>14</v>
      </c>
      <c r="E17627" t="s">
        <v>23161</v>
      </c>
    </row>
    <row r="17628" spans="1:6" x14ac:dyDescent="0.25">
      <c r="A17628" t="str">
        <f>"7704171125"</f>
        <v>7704171125</v>
      </c>
      <c r="B17628" t="s">
        <v>24612</v>
      </c>
      <c r="C17628" t="s">
        <v>7</v>
      </c>
      <c r="D17628" t="s">
        <v>14</v>
      </c>
      <c r="E17628" t="s">
        <v>23161</v>
      </c>
      <c r="F17628" t="s">
        <v>24613</v>
      </c>
    </row>
    <row r="17629" spans="1:6" x14ac:dyDescent="0.25">
      <c r="A17629" t="str">
        <f>"7704188023"</f>
        <v>7704188023</v>
      </c>
      <c r="B17629" t="s">
        <v>24614</v>
      </c>
      <c r="C17629" t="s">
        <v>7</v>
      </c>
      <c r="D17629" t="s">
        <v>674</v>
      </c>
      <c r="E17629" t="s">
        <v>23161</v>
      </c>
      <c r="F17629" t="s">
        <v>24615</v>
      </c>
    </row>
    <row r="17630" spans="1:6" x14ac:dyDescent="0.25">
      <c r="A17630" t="str">
        <f>"7704217370"</f>
        <v>7704217370</v>
      </c>
      <c r="B17630" t="s">
        <v>24616</v>
      </c>
      <c r="C17630" t="s">
        <v>7</v>
      </c>
      <c r="D17630" t="s">
        <v>28</v>
      </c>
      <c r="E17630" t="s">
        <v>23161</v>
      </c>
      <c r="F17630" t="s">
        <v>24617</v>
      </c>
    </row>
    <row r="17631" spans="1:6" x14ac:dyDescent="0.25">
      <c r="A17631" t="str">
        <f>"7704218694"</f>
        <v>7704218694</v>
      </c>
      <c r="B17631" t="s">
        <v>24618</v>
      </c>
      <c r="C17631" t="s">
        <v>7</v>
      </c>
      <c r="D17631" t="s">
        <v>12</v>
      </c>
      <c r="E17631" t="s">
        <v>23161</v>
      </c>
      <c r="F17631" t="s">
        <v>24619</v>
      </c>
    </row>
    <row r="17632" spans="1:6" x14ac:dyDescent="0.25">
      <c r="A17632" t="str">
        <f>"7704255174"</f>
        <v>7704255174</v>
      </c>
      <c r="B17632" t="s">
        <v>24620</v>
      </c>
      <c r="C17632" t="s">
        <v>7</v>
      </c>
      <c r="D17632" t="s">
        <v>189</v>
      </c>
      <c r="E17632" t="s">
        <v>23161</v>
      </c>
      <c r="F17632" t="s">
        <v>24621</v>
      </c>
    </row>
    <row r="17633" spans="1:6" x14ac:dyDescent="0.25">
      <c r="A17633" t="str">
        <f>"7704395051"</f>
        <v>7704395051</v>
      </c>
      <c r="B17633" t="s">
        <v>24622</v>
      </c>
      <c r="C17633" t="s">
        <v>7</v>
      </c>
      <c r="D17633" t="s">
        <v>33</v>
      </c>
      <c r="E17633" t="s">
        <v>23161</v>
      </c>
      <c r="F17633" t="s">
        <v>24623</v>
      </c>
    </row>
    <row r="17634" spans="1:6" x14ac:dyDescent="0.25">
      <c r="A17634" t="str">
        <f>"7704572141"</f>
        <v>7704572141</v>
      </c>
      <c r="B17634" t="s">
        <v>18070</v>
      </c>
      <c r="C17634" t="s">
        <v>7</v>
      </c>
      <c r="D17634" t="s">
        <v>12</v>
      </c>
      <c r="E17634" t="s">
        <v>23161</v>
      </c>
      <c r="F17634" t="s">
        <v>24624</v>
      </c>
    </row>
    <row r="17635" spans="1:6" x14ac:dyDescent="0.25">
      <c r="A17635" t="str">
        <f>"7704744030"</f>
        <v>7704744030</v>
      </c>
      <c r="B17635" t="s">
        <v>24625</v>
      </c>
      <c r="C17635" t="s">
        <v>7</v>
      </c>
      <c r="D17635" t="s">
        <v>14</v>
      </c>
      <c r="E17635" t="s">
        <v>23161</v>
      </c>
      <c r="F17635" t="s">
        <v>24626</v>
      </c>
    </row>
    <row r="17636" spans="1:6" x14ac:dyDescent="0.25">
      <c r="A17636" t="str">
        <f>"7704803582"</f>
        <v>7704803582</v>
      </c>
      <c r="B17636" t="s">
        <v>10481</v>
      </c>
      <c r="C17636" t="s">
        <v>7</v>
      </c>
      <c r="D17636" t="s">
        <v>33</v>
      </c>
      <c r="E17636" t="s">
        <v>23161</v>
      </c>
      <c r="F17636" t="s">
        <v>24627</v>
      </c>
    </row>
    <row r="17637" spans="1:6" x14ac:dyDescent="0.25">
      <c r="A17637" t="str">
        <f>"7705040943"</f>
        <v>7705040943</v>
      </c>
      <c r="B17637" t="s">
        <v>24628</v>
      </c>
      <c r="C17637" t="s">
        <v>7</v>
      </c>
      <c r="D17637" t="s">
        <v>12</v>
      </c>
      <c r="E17637" t="s">
        <v>23161</v>
      </c>
      <c r="F17637" t="s">
        <v>24629</v>
      </c>
    </row>
    <row r="17638" spans="1:6" x14ac:dyDescent="0.25">
      <c r="A17638" t="str">
        <f>"7705484755"</f>
        <v>7705484755</v>
      </c>
      <c r="B17638" t="s">
        <v>24630</v>
      </c>
      <c r="C17638" t="s">
        <v>7</v>
      </c>
      <c r="D17638" t="s">
        <v>146</v>
      </c>
      <c r="E17638" t="s">
        <v>23161</v>
      </c>
      <c r="F17638" t="s">
        <v>24631</v>
      </c>
    </row>
    <row r="17639" spans="1:6" x14ac:dyDescent="0.25">
      <c r="A17639" t="str">
        <f>"7705546240"</f>
        <v>7705546240</v>
      </c>
      <c r="B17639" t="s">
        <v>24632</v>
      </c>
      <c r="C17639" t="s">
        <v>7</v>
      </c>
      <c r="D17639" t="s">
        <v>674</v>
      </c>
      <c r="E17639" t="s">
        <v>23161</v>
      </c>
      <c r="F17639" t="s">
        <v>24633</v>
      </c>
    </row>
    <row r="17640" spans="1:6" x14ac:dyDescent="0.25">
      <c r="A17640" t="str">
        <f>"7705899157"</f>
        <v>7705899157</v>
      </c>
      <c r="B17640" t="s">
        <v>24634</v>
      </c>
      <c r="C17640" t="s">
        <v>7</v>
      </c>
      <c r="D17640" t="s">
        <v>33</v>
      </c>
      <c r="E17640" t="s">
        <v>23161</v>
      </c>
      <c r="F17640" t="s">
        <v>24635</v>
      </c>
    </row>
    <row r="17641" spans="1:6" x14ac:dyDescent="0.25">
      <c r="A17641" t="str">
        <f>"7705993103"</f>
        <v>7705993103</v>
      </c>
      <c r="B17641" t="s">
        <v>24636</v>
      </c>
      <c r="C17641" t="s">
        <v>7</v>
      </c>
      <c r="D17641" t="s">
        <v>8</v>
      </c>
      <c r="E17641" t="s">
        <v>23161</v>
      </c>
      <c r="F17641" t="s">
        <v>24637</v>
      </c>
    </row>
    <row r="17642" spans="1:6" x14ac:dyDescent="0.25">
      <c r="A17642" t="str">
        <f>"770605427810"</f>
        <v>770605427810</v>
      </c>
      <c r="B17642" t="s">
        <v>24638</v>
      </c>
      <c r="C17642" t="s">
        <v>7</v>
      </c>
      <c r="D17642" t="s">
        <v>14</v>
      </c>
      <c r="E17642" t="s">
        <v>23161</v>
      </c>
    </row>
    <row r="17643" spans="1:6" x14ac:dyDescent="0.25">
      <c r="A17643" t="str">
        <f>"7706091500"</f>
        <v>7706091500</v>
      </c>
      <c r="B17643" t="s">
        <v>24639</v>
      </c>
      <c r="C17643" t="s">
        <v>7</v>
      </c>
      <c r="D17643" t="s">
        <v>12</v>
      </c>
      <c r="E17643" t="s">
        <v>23161</v>
      </c>
      <c r="F17643" t="s">
        <v>24640</v>
      </c>
    </row>
    <row r="17644" spans="1:6" x14ac:dyDescent="0.25">
      <c r="A17644" t="str">
        <f>"7706210718"</f>
        <v>7706210718</v>
      </c>
      <c r="B17644" t="s">
        <v>24641</v>
      </c>
      <c r="C17644" t="s">
        <v>7</v>
      </c>
      <c r="D17644" t="s">
        <v>98</v>
      </c>
      <c r="E17644" t="s">
        <v>23161</v>
      </c>
      <c r="F17644" t="s">
        <v>24642</v>
      </c>
    </row>
    <row r="17645" spans="1:6" x14ac:dyDescent="0.25">
      <c r="A17645" t="str">
        <f>"7706443776"</f>
        <v>7706443776</v>
      </c>
      <c r="B17645" t="s">
        <v>24643</v>
      </c>
      <c r="C17645" t="s">
        <v>7</v>
      </c>
      <c r="D17645" t="s">
        <v>33</v>
      </c>
      <c r="E17645" t="s">
        <v>23161</v>
      </c>
      <c r="F17645" t="s">
        <v>24644</v>
      </c>
    </row>
    <row r="17646" spans="1:6" x14ac:dyDescent="0.25">
      <c r="A17646" t="str">
        <f>"770704899606"</f>
        <v>770704899606</v>
      </c>
      <c r="B17646" t="s">
        <v>24645</v>
      </c>
      <c r="C17646" t="s">
        <v>7</v>
      </c>
      <c r="D17646" t="s">
        <v>12</v>
      </c>
      <c r="E17646" t="s">
        <v>23161</v>
      </c>
    </row>
    <row r="17647" spans="1:6" x14ac:dyDescent="0.25">
      <c r="A17647" t="str">
        <f>"7707332998"</f>
        <v>7707332998</v>
      </c>
      <c r="B17647" t="s">
        <v>24646</v>
      </c>
      <c r="C17647" t="s">
        <v>7</v>
      </c>
      <c r="D17647" t="s">
        <v>98</v>
      </c>
      <c r="E17647" t="s">
        <v>23161</v>
      </c>
      <c r="F17647" t="s">
        <v>24647</v>
      </c>
    </row>
    <row r="17648" spans="1:6" x14ac:dyDescent="0.25">
      <c r="A17648" t="str">
        <f>"7707339753"</f>
        <v>7707339753</v>
      </c>
      <c r="B17648" t="s">
        <v>24648</v>
      </c>
      <c r="C17648" t="s">
        <v>7</v>
      </c>
      <c r="D17648" t="s">
        <v>33</v>
      </c>
      <c r="E17648" t="s">
        <v>23161</v>
      </c>
      <c r="F17648" t="s">
        <v>24649</v>
      </c>
    </row>
    <row r="17649" spans="1:6" x14ac:dyDescent="0.25">
      <c r="A17649" t="str">
        <f>"8709012480"</f>
        <v>8709012480</v>
      </c>
      <c r="B17649" t="s">
        <v>24650</v>
      </c>
      <c r="C17649" t="s">
        <v>7</v>
      </c>
      <c r="D17649" t="s">
        <v>33</v>
      </c>
      <c r="E17649" t="s">
        <v>23161</v>
      </c>
      <c r="F17649" t="s">
        <v>24651</v>
      </c>
    </row>
    <row r="17650" spans="1:6" x14ac:dyDescent="0.25">
      <c r="A17650" t="str">
        <f>"400330990082"</f>
        <v>400330990082</v>
      </c>
      <c r="B17650" t="s">
        <v>24652</v>
      </c>
      <c r="C17650" t="s">
        <v>7</v>
      </c>
      <c r="D17650" t="s">
        <v>12</v>
      </c>
      <c r="E17650" t="s">
        <v>23161</v>
      </c>
    </row>
    <row r="17651" spans="1:6" x14ac:dyDescent="0.25">
      <c r="A17651" t="str">
        <f>"7701534807"</f>
        <v>7701534807</v>
      </c>
      <c r="B17651" t="s">
        <v>24653</v>
      </c>
      <c r="C17651" t="s">
        <v>7</v>
      </c>
      <c r="D17651" t="s">
        <v>8</v>
      </c>
      <c r="E17651" t="s">
        <v>23161</v>
      </c>
      <c r="F17651" t="s">
        <v>24654</v>
      </c>
    </row>
    <row r="17652" spans="1:6" x14ac:dyDescent="0.25">
      <c r="A17652" t="str">
        <f>"7701604437"</f>
        <v>7701604437</v>
      </c>
      <c r="B17652" t="s">
        <v>24655</v>
      </c>
      <c r="C17652" t="s">
        <v>7</v>
      </c>
      <c r="D17652" t="s">
        <v>8</v>
      </c>
      <c r="E17652" t="s">
        <v>23161</v>
      </c>
      <c r="F17652" t="s">
        <v>24656</v>
      </c>
    </row>
    <row r="17653" spans="1:6" x14ac:dyDescent="0.25">
      <c r="A17653" t="str">
        <f>"7702849542"</f>
        <v>7702849542</v>
      </c>
      <c r="B17653" t="s">
        <v>24657</v>
      </c>
      <c r="C17653" t="s">
        <v>7</v>
      </c>
      <c r="D17653" t="s">
        <v>33</v>
      </c>
      <c r="E17653" t="s">
        <v>23161</v>
      </c>
      <c r="F17653" t="s">
        <v>24658</v>
      </c>
    </row>
    <row r="17654" spans="1:6" x14ac:dyDescent="0.25">
      <c r="A17654" t="str">
        <f>"770370246933"</f>
        <v>770370246933</v>
      </c>
      <c r="B17654" t="s">
        <v>24659</v>
      </c>
      <c r="C17654" t="s">
        <v>7</v>
      </c>
      <c r="D17654" t="s">
        <v>33</v>
      </c>
      <c r="E17654" t="s">
        <v>23161</v>
      </c>
    </row>
    <row r="17655" spans="1:6" x14ac:dyDescent="0.25">
      <c r="A17655" t="str">
        <f>"7703718729"</f>
        <v>7703718729</v>
      </c>
      <c r="B17655" t="s">
        <v>2266</v>
      </c>
      <c r="C17655" t="s">
        <v>7</v>
      </c>
      <c r="D17655" t="s">
        <v>33</v>
      </c>
      <c r="E17655" t="s">
        <v>23161</v>
      </c>
      <c r="F17655" t="s">
        <v>24660</v>
      </c>
    </row>
    <row r="17656" spans="1:6" x14ac:dyDescent="0.25">
      <c r="A17656" t="str">
        <f>"7704384081"</f>
        <v>7704384081</v>
      </c>
      <c r="B17656" t="s">
        <v>24661</v>
      </c>
      <c r="C17656" t="s">
        <v>7</v>
      </c>
      <c r="D17656" t="s">
        <v>674</v>
      </c>
      <c r="E17656" t="s">
        <v>23161</v>
      </c>
      <c r="F17656" t="s">
        <v>24662</v>
      </c>
    </row>
    <row r="17657" spans="1:6" x14ac:dyDescent="0.25">
      <c r="A17657" t="str">
        <f>"7704433395"</f>
        <v>7704433395</v>
      </c>
      <c r="B17657" t="s">
        <v>6074</v>
      </c>
      <c r="C17657" t="s">
        <v>7</v>
      </c>
      <c r="D17657" t="s">
        <v>33</v>
      </c>
      <c r="E17657" t="s">
        <v>23161</v>
      </c>
      <c r="F17657" t="s">
        <v>24663</v>
      </c>
    </row>
    <row r="17658" spans="1:6" x14ac:dyDescent="0.25">
      <c r="A17658" t="str">
        <f>"7704479424"</f>
        <v>7704479424</v>
      </c>
      <c r="B17658" t="s">
        <v>24664</v>
      </c>
      <c r="C17658" t="s">
        <v>7</v>
      </c>
      <c r="D17658" t="s">
        <v>674</v>
      </c>
      <c r="E17658" t="s">
        <v>23161</v>
      </c>
      <c r="F17658" t="s">
        <v>24665</v>
      </c>
    </row>
    <row r="17659" spans="1:6" x14ac:dyDescent="0.25">
      <c r="A17659" t="str">
        <f>"770470107700"</f>
        <v>770470107700</v>
      </c>
      <c r="B17659" t="s">
        <v>24666</v>
      </c>
      <c r="C17659" t="s">
        <v>7</v>
      </c>
      <c r="D17659" t="s">
        <v>12</v>
      </c>
      <c r="E17659" t="s">
        <v>23161</v>
      </c>
    </row>
    <row r="17660" spans="1:6" x14ac:dyDescent="0.25">
      <c r="A17660" t="str">
        <f>"7707579480"</f>
        <v>7707579480</v>
      </c>
      <c r="B17660" t="s">
        <v>24667</v>
      </c>
      <c r="C17660" t="s">
        <v>7</v>
      </c>
      <c r="D17660" t="s">
        <v>12</v>
      </c>
      <c r="E17660" t="s">
        <v>23161</v>
      </c>
      <c r="F17660" t="s">
        <v>24668</v>
      </c>
    </row>
    <row r="17661" spans="1:6" x14ac:dyDescent="0.25">
      <c r="A17661" t="str">
        <f>"7708714830"</f>
        <v>7708714830</v>
      </c>
      <c r="B17661" t="s">
        <v>24669</v>
      </c>
      <c r="C17661" t="s">
        <v>7</v>
      </c>
      <c r="D17661" t="s">
        <v>33</v>
      </c>
      <c r="E17661" t="s">
        <v>23161</v>
      </c>
      <c r="F17661" t="s">
        <v>24670</v>
      </c>
    </row>
    <row r="17662" spans="1:6" x14ac:dyDescent="0.25">
      <c r="A17662" t="str">
        <f>"770907785763"</f>
        <v>770907785763</v>
      </c>
      <c r="B17662" t="s">
        <v>24671</v>
      </c>
      <c r="C17662" t="s">
        <v>7</v>
      </c>
      <c r="D17662" t="s">
        <v>98</v>
      </c>
      <c r="E17662" t="s">
        <v>23161</v>
      </c>
    </row>
    <row r="17663" spans="1:6" x14ac:dyDescent="0.25">
      <c r="A17663" t="str">
        <f>"7709267494"</f>
        <v>7709267494</v>
      </c>
      <c r="B17663" t="s">
        <v>24672</v>
      </c>
      <c r="C17663" t="s">
        <v>7</v>
      </c>
      <c r="D17663" t="s">
        <v>28</v>
      </c>
      <c r="E17663" t="s">
        <v>23161</v>
      </c>
      <c r="F17663" t="s">
        <v>24673</v>
      </c>
    </row>
    <row r="17664" spans="1:6" x14ac:dyDescent="0.25">
      <c r="A17664" t="str">
        <f>"7709278792"</f>
        <v>7709278792</v>
      </c>
      <c r="B17664" t="s">
        <v>24674</v>
      </c>
      <c r="C17664" t="s">
        <v>7</v>
      </c>
      <c r="D17664" t="s">
        <v>14</v>
      </c>
      <c r="E17664" t="s">
        <v>23161</v>
      </c>
      <c r="F17664" t="s">
        <v>24675</v>
      </c>
    </row>
    <row r="17665" spans="1:6" x14ac:dyDescent="0.25">
      <c r="A17665" t="str">
        <f>"7709408868"</f>
        <v>7709408868</v>
      </c>
      <c r="B17665" t="s">
        <v>24676</v>
      </c>
      <c r="C17665" t="s">
        <v>7</v>
      </c>
      <c r="D17665" t="s">
        <v>1430</v>
      </c>
      <c r="E17665" t="s">
        <v>23161</v>
      </c>
      <c r="F17665" t="s">
        <v>24677</v>
      </c>
    </row>
    <row r="17666" spans="1:6" x14ac:dyDescent="0.25">
      <c r="A17666" t="str">
        <f>"7709445877"</f>
        <v>7709445877</v>
      </c>
      <c r="B17666" t="s">
        <v>24678</v>
      </c>
      <c r="C17666" t="s">
        <v>7</v>
      </c>
      <c r="D17666" t="s">
        <v>14</v>
      </c>
      <c r="E17666" t="s">
        <v>23161</v>
      </c>
      <c r="F17666" t="s">
        <v>24679</v>
      </c>
    </row>
    <row r="17667" spans="1:6" x14ac:dyDescent="0.25">
      <c r="A17667" t="str">
        <f>"7713468789"</f>
        <v>7713468789</v>
      </c>
      <c r="B17667" t="s">
        <v>24680</v>
      </c>
      <c r="C17667" t="s">
        <v>7</v>
      </c>
      <c r="D17667" t="s">
        <v>14</v>
      </c>
      <c r="E17667" t="s">
        <v>23161</v>
      </c>
      <c r="F17667" t="s">
        <v>24681</v>
      </c>
    </row>
    <row r="17668" spans="1:6" x14ac:dyDescent="0.25">
      <c r="A17668" t="str">
        <f>"7713489154"</f>
        <v>7713489154</v>
      </c>
      <c r="B17668" t="s">
        <v>24682</v>
      </c>
      <c r="C17668" t="s">
        <v>7</v>
      </c>
      <c r="D17668" t="s">
        <v>674</v>
      </c>
      <c r="E17668" t="s">
        <v>23161</v>
      </c>
      <c r="F17668" t="s">
        <v>24683</v>
      </c>
    </row>
    <row r="17669" spans="1:6" x14ac:dyDescent="0.25">
      <c r="A17669" t="str">
        <f>"7713494362"</f>
        <v>7713494362</v>
      </c>
      <c r="B17669" t="s">
        <v>8899</v>
      </c>
      <c r="C17669" t="s">
        <v>7</v>
      </c>
      <c r="D17669" t="s">
        <v>674</v>
      </c>
      <c r="E17669" t="s">
        <v>23161</v>
      </c>
      <c r="F17669" t="s">
        <v>24684</v>
      </c>
    </row>
    <row r="17670" spans="1:6" x14ac:dyDescent="0.25">
      <c r="A17670" t="str">
        <f>"7713788154"</f>
        <v>7713788154</v>
      </c>
      <c r="B17670" t="s">
        <v>24685</v>
      </c>
      <c r="C17670" t="s">
        <v>7</v>
      </c>
      <c r="D17670" t="s">
        <v>33</v>
      </c>
      <c r="E17670" t="s">
        <v>23161</v>
      </c>
      <c r="F17670" t="s">
        <v>24686</v>
      </c>
    </row>
    <row r="17671" spans="1:6" x14ac:dyDescent="0.25">
      <c r="A17671" t="str">
        <f>"771402348957"</f>
        <v>771402348957</v>
      </c>
      <c r="B17671" t="s">
        <v>24687</v>
      </c>
      <c r="C17671" t="s">
        <v>7</v>
      </c>
      <c r="D17671" t="s">
        <v>14</v>
      </c>
      <c r="E17671" t="s">
        <v>23161</v>
      </c>
    </row>
    <row r="17672" spans="1:6" x14ac:dyDescent="0.25">
      <c r="A17672" t="str">
        <f>"7714031705"</f>
        <v>7714031705</v>
      </c>
      <c r="B17672" t="s">
        <v>24688</v>
      </c>
      <c r="C17672" t="s">
        <v>7</v>
      </c>
      <c r="D17672" t="s">
        <v>14</v>
      </c>
      <c r="E17672" t="s">
        <v>23161</v>
      </c>
      <c r="F17672" t="s">
        <v>24689</v>
      </c>
    </row>
    <row r="17673" spans="1:6" x14ac:dyDescent="0.25">
      <c r="A17673" t="str">
        <f>"7714388705"</f>
        <v>7714388705</v>
      </c>
      <c r="B17673" t="s">
        <v>24690</v>
      </c>
      <c r="C17673" t="s">
        <v>7</v>
      </c>
      <c r="D17673" t="s">
        <v>33</v>
      </c>
      <c r="E17673" t="s">
        <v>23161</v>
      </c>
      <c r="F17673" t="s">
        <v>24691</v>
      </c>
    </row>
    <row r="17674" spans="1:6" x14ac:dyDescent="0.25">
      <c r="A17674" t="str">
        <f>"7714392902"</f>
        <v>7714392902</v>
      </c>
      <c r="B17674" t="s">
        <v>24692</v>
      </c>
      <c r="C17674" t="s">
        <v>7</v>
      </c>
      <c r="D17674" t="s">
        <v>8</v>
      </c>
      <c r="E17674" t="s">
        <v>23161</v>
      </c>
      <c r="F17674" t="s">
        <v>24693</v>
      </c>
    </row>
    <row r="17675" spans="1:6" x14ac:dyDescent="0.25">
      <c r="A17675" t="str">
        <f>"7714700709"</f>
        <v>7714700709</v>
      </c>
      <c r="B17675" t="s">
        <v>24694</v>
      </c>
      <c r="C17675" t="s">
        <v>7</v>
      </c>
      <c r="D17675" t="s">
        <v>12</v>
      </c>
      <c r="E17675" t="s">
        <v>23161</v>
      </c>
      <c r="F17675" t="s">
        <v>24695</v>
      </c>
    </row>
    <row r="17676" spans="1:6" x14ac:dyDescent="0.25">
      <c r="A17676" t="str">
        <f>"7715398390"</f>
        <v>7715398390</v>
      </c>
      <c r="B17676" t="s">
        <v>24696</v>
      </c>
      <c r="C17676" t="s">
        <v>7</v>
      </c>
      <c r="D17676" t="s">
        <v>12</v>
      </c>
      <c r="E17676" t="s">
        <v>23161</v>
      </c>
      <c r="F17676" t="s">
        <v>24697</v>
      </c>
    </row>
    <row r="17677" spans="1:6" x14ac:dyDescent="0.25">
      <c r="A17677" t="str">
        <f>"7715474080"</f>
        <v>7715474080</v>
      </c>
      <c r="B17677" t="s">
        <v>24698</v>
      </c>
      <c r="C17677" t="s">
        <v>7</v>
      </c>
      <c r="D17677" t="s">
        <v>33</v>
      </c>
      <c r="E17677" t="s">
        <v>23161</v>
      </c>
      <c r="F17677" t="s">
        <v>24699</v>
      </c>
    </row>
    <row r="17678" spans="1:6" x14ac:dyDescent="0.25">
      <c r="A17678" t="str">
        <f>"771552642757"</f>
        <v>771552642757</v>
      </c>
      <c r="B17678" t="s">
        <v>24700</v>
      </c>
      <c r="C17678" t="s">
        <v>7</v>
      </c>
      <c r="D17678" t="s">
        <v>12</v>
      </c>
      <c r="E17678" t="s">
        <v>23161</v>
      </c>
    </row>
    <row r="17679" spans="1:6" x14ac:dyDescent="0.25">
      <c r="A17679" t="str">
        <f>"7715933008"</f>
        <v>7715933008</v>
      </c>
      <c r="B17679" t="s">
        <v>24701</v>
      </c>
      <c r="C17679" t="s">
        <v>7</v>
      </c>
      <c r="D17679" t="s">
        <v>12</v>
      </c>
      <c r="E17679" t="s">
        <v>23161</v>
      </c>
      <c r="F17679" t="s">
        <v>24702</v>
      </c>
    </row>
    <row r="17680" spans="1:6" x14ac:dyDescent="0.25">
      <c r="A17680" t="str">
        <f>"771619013498"</f>
        <v>771619013498</v>
      </c>
      <c r="B17680" t="s">
        <v>24703</v>
      </c>
      <c r="C17680" t="s">
        <v>7</v>
      </c>
      <c r="D17680" t="s">
        <v>8</v>
      </c>
      <c r="E17680" t="s">
        <v>23161</v>
      </c>
    </row>
    <row r="17681" spans="1:6" x14ac:dyDescent="0.25">
      <c r="A17681" t="str">
        <f>"7716829024"</f>
        <v>7716829024</v>
      </c>
      <c r="B17681" t="s">
        <v>24704</v>
      </c>
      <c r="C17681" t="s">
        <v>7</v>
      </c>
      <c r="D17681" t="s">
        <v>146</v>
      </c>
      <c r="E17681" t="s">
        <v>23161</v>
      </c>
      <c r="F17681" t="s">
        <v>24705</v>
      </c>
    </row>
    <row r="17682" spans="1:6" x14ac:dyDescent="0.25">
      <c r="A17682" t="str">
        <f>"771875770481"</f>
        <v>771875770481</v>
      </c>
      <c r="B17682" t="s">
        <v>24706</v>
      </c>
      <c r="C17682" t="s">
        <v>7</v>
      </c>
      <c r="D17682" t="s">
        <v>14</v>
      </c>
      <c r="E17682" t="s">
        <v>23161</v>
      </c>
    </row>
    <row r="17683" spans="1:6" x14ac:dyDescent="0.25">
      <c r="A17683" t="str">
        <f>"7718988982"</f>
        <v>7718988982</v>
      </c>
      <c r="B17683" t="s">
        <v>24707</v>
      </c>
      <c r="C17683" t="s">
        <v>7</v>
      </c>
      <c r="D17683" t="s">
        <v>98</v>
      </c>
      <c r="E17683" t="s">
        <v>23161</v>
      </c>
      <c r="F17683" t="s">
        <v>24708</v>
      </c>
    </row>
    <row r="17684" spans="1:6" x14ac:dyDescent="0.25">
      <c r="A17684" t="str">
        <f>"7719196806"</f>
        <v>7719196806</v>
      </c>
      <c r="B17684" t="s">
        <v>24709</v>
      </c>
      <c r="C17684" t="s">
        <v>7</v>
      </c>
      <c r="D17684" t="s">
        <v>674</v>
      </c>
      <c r="E17684" t="s">
        <v>23161</v>
      </c>
      <c r="F17684" t="s">
        <v>24710</v>
      </c>
    </row>
    <row r="17685" spans="1:6" x14ac:dyDescent="0.25">
      <c r="A17685" t="str">
        <f>"771986447220"</f>
        <v>771986447220</v>
      </c>
      <c r="B17685" t="s">
        <v>24711</v>
      </c>
      <c r="C17685" t="s">
        <v>7</v>
      </c>
      <c r="D17685" t="s">
        <v>14</v>
      </c>
      <c r="E17685" t="s">
        <v>23161</v>
      </c>
    </row>
    <row r="17686" spans="1:6" x14ac:dyDescent="0.25">
      <c r="A17686" t="str">
        <f>"772003178600"</f>
        <v>772003178600</v>
      </c>
      <c r="B17686" t="s">
        <v>24712</v>
      </c>
      <c r="C17686" t="s">
        <v>7</v>
      </c>
      <c r="D17686" t="s">
        <v>12</v>
      </c>
      <c r="E17686" t="s">
        <v>23161</v>
      </c>
    </row>
    <row r="17687" spans="1:6" x14ac:dyDescent="0.25">
      <c r="A17687" t="str">
        <f>"7720369563"</f>
        <v>7720369563</v>
      </c>
      <c r="B17687" t="s">
        <v>24713</v>
      </c>
      <c r="C17687" t="s">
        <v>7</v>
      </c>
      <c r="D17687" t="s">
        <v>33</v>
      </c>
      <c r="E17687" t="s">
        <v>23161</v>
      </c>
      <c r="F17687" t="s">
        <v>24714</v>
      </c>
    </row>
    <row r="17688" spans="1:6" x14ac:dyDescent="0.25">
      <c r="A17688" t="str">
        <f>"670402827306"</f>
        <v>670402827306</v>
      </c>
      <c r="B17688" t="s">
        <v>24715</v>
      </c>
      <c r="C17688" t="s">
        <v>7</v>
      </c>
      <c r="D17688" t="s">
        <v>14</v>
      </c>
      <c r="E17688" t="s">
        <v>23161</v>
      </c>
    </row>
    <row r="17689" spans="1:6" x14ac:dyDescent="0.25">
      <c r="A17689" t="str">
        <f>"400704467890"</f>
        <v>400704467890</v>
      </c>
      <c r="B17689" t="s">
        <v>24716</v>
      </c>
      <c r="C17689" t="s">
        <v>7</v>
      </c>
      <c r="D17689" t="s">
        <v>14</v>
      </c>
      <c r="E17689" t="s">
        <v>23161</v>
      </c>
    </row>
    <row r="17690" spans="1:6" x14ac:dyDescent="0.25">
      <c r="A17690" t="str">
        <f>"401122878155"</f>
        <v>401122878155</v>
      </c>
      <c r="B17690" t="s">
        <v>24717</v>
      </c>
      <c r="C17690" t="s">
        <v>7</v>
      </c>
      <c r="D17690" t="s">
        <v>14</v>
      </c>
      <c r="E17690" t="s">
        <v>23161</v>
      </c>
    </row>
    <row r="17691" spans="1:6" x14ac:dyDescent="0.25">
      <c r="A17691" t="str">
        <f>"402101079266"</f>
        <v>402101079266</v>
      </c>
      <c r="B17691" t="s">
        <v>24718</v>
      </c>
      <c r="C17691" t="s">
        <v>7</v>
      </c>
      <c r="D17691" t="s">
        <v>12</v>
      </c>
      <c r="E17691" t="s">
        <v>23161</v>
      </c>
    </row>
    <row r="17692" spans="1:6" x14ac:dyDescent="0.25">
      <c r="A17692" t="str">
        <f>"402915551760"</f>
        <v>402915551760</v>
      </c>
      <c r="B17692" t="s">
        <v>24719</v>
      </c>
      <c r="C17692" t="s">
        <v>7</v>
      </c>
      <c r="D17692" t="s">
        <v>14</v>
      </c>
      <c r="E17692" t="s">
        <v>23161</v>
      </c>
    </row>
    <row r="17693" spans="1:6" x14ac:dyDescent="0.25">
      <c r="A17693" t="str">
        <f>"311402703112"</f>
        <v>311402703112</v>
      </c>
      <c r="B17693" t="s">
        <v>24720</v>
      </c>
      <c r="C17693" t="s">
        <v>7</v>
      </c>
      <c r="D17693" t="s">
        <v>14</v>
      </c>
      <c r="E17693" t="s">
        <v>23161</v>
      </c>
    </row>
    <row r="17694" spans="1:6" x14ac:dyDescent="0.25">
      <c r="A17694" t="str">
        <f>"7708732727"</f>
        <v>7708732727</v>
      </c>
      <c r="B17694" t="s">
        <v>24721</v>
      </c>
      <c r="C17694" t="s">
        <v>7</v>
      </c>
      <c r="D17694" t="s">
        <v>674</v>
      </c>
      <c r="E17694" t="s">
        <v>23161</v>
      </c>
      <c r="F17694" t="s">
        <v>24722</v>
      </c>
    </row>
    <row r="17695" spans="1:6" x14ac:dyDescent="0.25">
      <c r="A17695" t="str">
        <f>"770903390002"</f>
        <v>770903390002</v>
      </c>
      <c r="B17695" t="s">
        <v>24723</v>
      </c>
      <c r="C17695" t="s">
        <v>7</v>
      </c>
      <c r="D17695" t="s">
        <v>14</v>
      </c>
      <c r="E17695" t="s">
        <v>23161</v>
      </c>
    </row>
    <row r="17696" spans="1:6" x14ac:dyDescent="0.25">
      <c r="A17696" t="str">
        <f>"7709359770"</f>
        <v>7709359770</v>
      </c>
      <c r="B17696" t="s">
        <v>24724</v>
      </c>
      <c r="C17696" t="s">
        <v>7</v>
      </c>
      <c r="D17696" t="s">
        <v>12</v>
      </c>
      <c r="E17696" t="s">
        <v>23161</v>
      </c>
      <c r="F17696" t="s">
        <v>24725</v>
      </c>
    </row>
    <row r="17697" spans="1:6" x14ac:dyDescent="0.25">
      <c r="A17697" t="str">
        <f>"7709532375"</f>
        <v>7709532375</v>
      </c>
      <c r="B17697" t="s">
        <v>24726</v>
      </c>
      <c r="C17697" t="s">
        <v>7</v>
      </c>
      <c r="D17697" t="s">
        <v>12</v>
      </c>
      <c r="E17697" t="s">
        <v>23161</v>
      </c>
      <c r="F17697" t="s">
        <v>24727</v>
      </c>
    </row>
    <row r="17698" spans="1:6" x14ac:dyDescent="0.25">
      <c r="A17698" t="str">
        <f>"7709752701"</f>
        <v>7709752701</v>
      </c>
      <c r="B17698" t="s">
        <v>24728</v>
      </c>
      <c r="C17698" t="s">
        <v>7</v>
      </c>
      <c r="D17698" t="s">
        <v>12</v>
      </c>
      <c r="E17698" t="s">
        <v>23161</v>
      </c>
      <c r="F17698" t="s">
        <v>24729</v>
      </c>
    </row>
    <row r="17699" spans="1:6" x14ac:dyDescent="0.25">
      <c r="A17699" t="str">
        <f>"7709825967"</f>
        <v>7709825967</v>
      </c>
      <c r="B17699" t="s">
        <v>24730</v>
      </c>
      <c r="C17699" t="s">
        <v>7</v>
      </c>
      <c r="D17699" t="s">
        <v>33</v>
      </c>
      <c r="E17699" t="s">
        <v>23161</v>
      </c>
      <c r="F17699" t="s">
        <v>24731</v>
      </c>
    </row>
    <row r="17700" spans="1:6" x14ac:dyDescent="0.25">
      <c r="A17700" t="str">
        <f>"7709876930"</f>
        <v>7709876930</v>
      </c>
      <c r="B17700" t="s">
        <v>24732</v>
      </c>
      <c r="C17700" t="s">
        <v>7</v>
      </c>
      <c r="D17700" t="s">
        <v>12</v>
      </c>
      <c r="E17700" t="s">
        <v>23161</v>
      </c>
      <c r="F17700" t="s">
        <v>24733</v>
      </c>
    </row>
    <row r="17701" spans="1:6" x14ac:dyDescent="0.25">
      <c r="A17701" t="str">
        <f>"7709900413"</f>
        <v>7709900413</v>
      </c>
      <c r="B17701" t="s">
        <v>24734</v>
      </c>
      <c r="C17701" t="s">
        <v>7</v>
      </c>
      <c r="D17701" t="s">
        <v>146</v>
      </c>
      <c r="E17701" t="s">
        <v>23161</v>
      </c>
      <c r="F17701" t="s">
        <v>24735</v>
      </c>
    </row>
    <row r="17702" spans="1:6" x14ac:dyDescent="0.25">
      <c r="A17702" t="str">
        <f>"7709912680"</f>
        <v>7709912680</v>
      </c>
      <c r="B17702" t="s">
        <v>24736</v>
      </c>
      <c r="C17702" t="s">
        <v>7</v>
      </c>
      <c r="D17702" t="s">
        <v>12</v>
      </c>
      <c r="E17702" t="s">
        <v>23161</v>
      </c>
      <c r="F17702" t="s">
        <v>24737</v>
      </c>
    </row>
    <row r="17703" spans="1:6" x14ac:dyDescent="0.25">
      <c r="A17703" t="str">
        <f>"7709981412"</f>
        <v>7709981412</v>
      </c>
      <c r="B17703" t="s">
        <v>24738</v>
      </c>
      <c r="C17703" t="s">
        <v>7</v>
      </c>
      <c r="D17703" t="s">
        <v>33</v>
      </c>
      <c r="E17703" t="s">
        <v>23161</v>
      </c>
      <c r="F17703" t="s">
        <v>24739</v>
      </c>
    </row>
    <row r="17704" spans="1:6" x14ac:dyDescent="0.25">
      <c r="A17704" t="str">
        <f>"771001043073"</f>
        <v>771001043073</v>
      </c>
      <c r="B17704" t="s">
        <v>24740</v>
      </c>
      <c r="C17704" t="s">
        <v>7</v>
      </c>
      <c r="D17704" t="s">
        <v>14</v>
      </c>
      <c r="E17704" t="s">
        <v>23161</v>
      </c>
    </row>
    <row r="17705" spans="1:6" x14ac:dyDescent="0.25">
      <c r="A17705" t="str">
        <f>"7710016640"</f>
        <v>7710016640</v>
      </c>
      <c r="B17705" t="s">
        <v>24741</v>
      </c>
      <c r="C17705" t="s">
        <v>7</v>
      </c>
      <c r="D17705" t="s">
        <v>14</v>
      </c>
      <c r="E17705" t="s">
        <v>23161</v>
      </c>
      <c r="F17705" t="s">
        <v>24742</v>
      </c>
    </row>
    <row r="17706" spans="1:6" x14ac:dyDescent="0.25">
      <c r="A17706" t="str">
        <f>"7710200649"</f>
        <v>7710200649</v>
      </c>
      <c r="B17706" t="s">
        <v>24743</v>
      </c>
      <c r="C17706" t="s">
        <v>7</v>
      </c>
      <c r="D17706" t="s">
        <v>33</v>
      </c>
      <c r="E17706" t="s">
        <v>23161</v>
      </c>
      <c r="F17706" t="s">
        <v>24744</v>
      </c>
    </row>
    <row r="17707" spans="1:6" x14ac:dyDescent="0.25">
      <c r="A17707" t="str">
        <f>"7710529289"</f>
        <v>7710529289</v>
      </c>
      <c r="B17707" t="s">
        <v>24745</v>
      </c>
      <c r="C17707" t="s">
        <v>7</v>
      </c>
      <c r="D17707" t="s">
        <v>674</v>
      </c>
      <c r="E17707" t="s">
        <v>23161</v>
      </c>
      <c r="F17707" t="s">
        <v>24746</v>
      </c>
    </row>
    <row r="17708" spans="1:6" x14ac:dyDescent="0.25">
      <c r="A17708" t="str">
        <f>"771300257651"</f>
        <v>771300257651</v>
      </c>
      <c r="B17708" t="s">
        <v>24747</v>
      </c>
      <c r="C17708" t="s">
        <v>7</v>
      </c>
      <c r="D17708" t="s">
        <v>14</v>
      </c>
      <c r="E17708" t="s">
        <v>23161</v>
      </c>
    </row>
    <row r="17709" spans="1:6" x14ac:dyDescent="0.25">
      <c r="A17709" t="str">
        <f>"771300918887"</f>
        <v>771300918887</v>
      </c>
      <c r="B17709" t="s">
        <v>24748</v>
      </c>
      <c r="C17709" t="s">
        <v>7</v>
      </c>
      <c r="D17709" t="s">
        <v>12</v>
      </c>
      <c r="E17709" t="s">
        <v>23161</v>
      </c>
    </row>
    <row r="17710" spans="1:6" x14ac:dyDescent="0.25">
      <c r="A17710" t="str">
        <f>"7713117597"</f>
        <v>7713117597</v>
      </c>
      <c r="B17710" t="s">
        <v>24749</v>
      </c>
      <c r="C17710" t="s">
        <v>7</v>
      </c>
      <c r="D17710" t="s">
        <v>33</v>
      </c>
      <c r="E17710" t="s">
        <v>23161</v>
      </c>
      <c r="F17710" t="s">
        <v>24750</v>
      </c>
    </row>
    <row r="17711" spans="1:6" x14ac:dyDescent="0.25">
      <c r="A17711" t="str">
        <f>"7713249762"</f>
        <v>7713249762</v>
      </c>
      <c r="B17711" t="s">
        <v>24751</v>
      </c>
      <c r="C17711" t="s">
        <v>7</v>
      </c>
      <c r="D17711" t="s">
        <v>33</v>
      </c>
      <c r="E17711" t="s">
        <v>23161</v>
      </c>
      <c r="F17711" t="s">
        <v>24752</v>
      </c>
    </row>
    <row r="17712" spans="1:6" x14ac:dyDescent="0.25">
      <c r="A17712" t="str">
        <f>"7713385236"</f>
        <v>7713385236</v>
      </c>
      <c r="B17712" t="s">
        <v>24753</v>
      </c>
      <c r="C17712" t="s">
        <v>7</v>
      </c>
      <c r="D17712" t="s">
        <v>14</v>
      </c>
      <c r="E17712" t="s">
        <v>23161</v>
      </c>
      <c r="F17712" t="s">
        <v>24754</v>
      </c>
    </row>
    <row r="17713" spans="1:6" x14ac:dyDescent="0.25">
      <c r="A17713" t="str">
        <f>"7713441522"</f>
        <v>7713441522</v>
      </c>
      <c r="B17713" t="s">
        <v>24755</v>
      </c>
      <c r="C17713" t="s">
        <v>7</v>
      </c>
      <c r="D17713" t="s">
        <v>33</v>
      </c>
      <c r="E17713" t="s">
        <v>23161</v>
      </c>
      <c r="F17713" t="s">
        <v>24756</v>
      </c>
    </row>
    <row r="17714" spans="1:6" x14ac:dyDescent="0.25">
      <c r="A17714" t="str">
        <f>"7713443576"</f>
        <v>7713443576</v>
      </c>
      <c r="B17714" t="s">
        <v>24757</v>
      </c>
      <c r="C17714" t="s">
        <v>7</v>
      </c>
      <c r="D17714" t="s">
        <v>674</v>
      </c>
      <c r="E17714" t="s">
        <v>23161</v>
      </c>
      <c r="F17714" t="s">
        <v>24758</v>
      </c>
    </row>
    <row r="17715" spans="1:6" x14ac:dyDescent="0.25">
      <c r="A17715" t="str">
        <f>"7713469084"</f>
        <v>7713469084</v>
      </c>
      <c r="B17715" t="s">
        <v>24759</v>
      </c>
      <c r="C17715" t="s">
        <v>7</v>
      </c>
      <c r="D17715" t="s">
        <v>33</v>
      </c>
      <c r="E17715" t="s">
        <v>23161</v>
      </c>
      <c r="F17715" t="s">
        <v>24760</v>
      </c>
    </row>
    <row r="17716" spans="1:6" x14ac:dyDescent="0.25">
      <c r="A17716" t="str">
        <f>"7713470690"</f>
        <v>7713470690</v>
      </c>
      <c r="B17716" t="s">
        <v>24761</v>
      </c>
      <c r="C17716" t="s">
        <v>7</v>
      </c>
      <c r="D17716" t="s">
        <v>674</v>
      </c>
      <c r="E17716" t="s">
        <v>23161</v>
      </c>
      <c r="F17716" t="s">
        <v>24762</v>
      </c>
    </row>
    <row r="17717" spans="1:6" x14ac:dyDescent="0.25">
      <c r="A17717" t="str">
        <f>"7713475560"</f>
        <v>7713475560</v>
      </c>
      <c r="B17717" t="s">
        <v>24763</v>
      </c>
      <c r="C17717" t="s">
        <v>7</v>
      </c>
      <c r="D17717" t="s">
        <v>33</v>
      </c>
      <c r="E17717" t="s">
        <v>23161</v>
      </c>
      <c r="F17717" t="s">
        <v>24764</v>
      </c>
    </row>
    <row r="17718" spans="1:6" x14ac:dyDescent="0.25">
      <c r="A17718" t="str">
        <f>"7713628217"</f>
        <v>7713628217</v>
      </c>
      <c r="B17718" t="s">
        <v>24765</v>
      </c>
      <c r="C17718" t="s">
        <v>7</v>
      </c>
      <c r="D17718" t="s">
        <v>12</v>
      </c>
      <c r="E17718" t="s">
        <v>23161</v>
      </c>
      <c r="F17718" t="s">
        <v>24766</v>
      </c>
    </row>
    <row r="17719" spans="1:6" x14ac:dyDescent="0.25">
      <c r="A17719" t="str">
        <f>"771365025803"</f>
        <v>771365025803</v>
      </c>
      <c r="B17719" t="s">
        <v>24767</v>
      </c>
      <c r="C17719" t="s">
        <v>7</v>
      </c>
      <c r="D17719" t="s">
        <v>14</v>
      </c>
      <c r="E17719" t="s">
        <v>23161</v>
      </c>
    </row>
    <row r="17720" spans="1:6" x14ac:dyDescent="0.25">
      <c r="A17720" t="str">
        <f>"7713745577"</f>
        <v>7713745577</v>
      </c>
      <c r="B17720" t="s">
        <v>24768</v>
      </c>
      <c r="C17720" t="s">
        <v>7</v>
      </c>
      <c r="D17720" t="s">
        <v>33</v>
      </c>
      <c r="E17720" t="s">
        <v>23161</v>
      </c>
      <c r="F17720" t="s">
        <v>24769</v>
      </c>
    </row>
    <row r="17721" spans="1:6" x14ac:dyDescent="0.25">
      <c r="A17721" t="str">
        <f>"7713748183"</f>
        <v>7713748183</v>
      </c>
      <c r="B17721" t="s">
        <v>11790</v>
      </c>
      <c r="C17721" t="s">
        <v>7</v>
      </c>
      <c r="D17721" t="s">
        <v>33</v>
      </c>
      <c r="E17721" t="s">
        <v>23161</v>
      </c>
      <c r="F17721" t="s">
        <v>24770</v>
      </c>
    </row>
    <row r="17722" spans="1:6" x14ac:dyDescent="0.25">
      <c r="A17722" t="str">
        <f>"771402551010"</f>
        <v>771402551010</v>
      </c>
      <c r="B17722" t="s">
        <v>24771</v>
      </c>
      <c r="C17722" t="s">
        <v>7</v>
      </c>
      <c r="D17722" t="s">
        <v>14</v>
      </c>
      <c r="E17722" t="s">
        <v>23161</v>
      </c>
    </row>
    <row r="17723" spans="1:6" x14ac:dyDescent="0.25">
      <c r="A17723" t="str">
        <f>"7714176330"</f>
        <v>7714176330</v>
      </c>
      <c r="B17723" t="s">
        <v>24772</v>
      </c>
      <c r="C17723" t="s">
        <v>7</v>
      </c>
      <c r="D17723" t="s">
        <v>33</v>
      </c>
      <c r="E17723" t="s">
        <v>23161</v>
      </c>
      <c r="F17723" t="s">
        <v>24773</v>
      </c>
    </row>
    <row r="17724" spans="1:6" x14ac:dyDescent="0.25">
      <c r="A17724" t="str">
        <f>"7714466791"</f>
        <v>7714466791</v>
      </c>
      <c r="B17724" t="s">
        <v>1731</v>
      </c>
      <c r="C17724" t="s">
        <v>7</v>
      </c>
      <c r="D17724" t="s">
        <v>8</v>
      </c>
      <c r="E17724" t="s">
        <v>23161</v>
      </c>
      <c r="F17724" t="s">
        <v>24774</v>
      </c>
    </row>
    <row r="17725" spans="1:6" x14ac:dyDescent="0.25">
      <c r="A17725" t="str">
        <f>"7714481849"</f>
        <v>7714481849</v>
      </c>
      <c r="B17725" t="s">
        <v>24775</v>
      </c>
      <c r="C17725" t="s">
        <v>7</v>
      </c>
      <c r="D17725" t="s">
        <v>33</v>
      </c>
      <c r="E17725" t="s">
        <v>23161</v>
      </c>
      <c r="F17725" t="s">
        <v>24776</v>
      </c>
    </row>
    <row r="17726" spans="1:6" x14ac:dyDescent="0.25">
      <c r="A17726" t="str">
        <f>"7714709349"</f>
        <v>7714709349</v>
      </c>
      <c r="B17726" t="s">
        <v>24777</v>
      </c>
      <c r="C17726" t="s">
        <v>7</v>
      </c>
      <c r="D17726" t="s">
        <v>12</v>
      </c>
      <c r="E17726" t="s">
        <v>23161</v>
      </c>
      <c r="F17726" t="s">
        <v>24778</v>
      </c>
    </row>
    <row r="17727" spans="1:6" x14ac:dyDescent="0.25">
      <c r="A17727" t="str">
        <f>"771475240715"</f>
        <v>771475240715</v>
      </c>
      <c r="B17727" t="s">
        <v>24779</v>
      </c>
      <c r="C17727" t="s">
        <v>7</v>
      </c>
      <c r="D17727" t="s">
        <v>14</v>
      </c>
      <c r="E17727" t="s">
        <v>23161</v>
      </c>
    </row>
    <row r="17728" spans="1:6" x14ac:dyDescent="0.25">
      <c r="A17728" t="str">
        <f>"771476472740"</f>
        <v>771476472740</v>
      </c>
      <c r="B17728" t="s">
        <v>24780</v>
      </c>
      <c r="C17728" t="s">
        <v>7</v>
      </c>
      <c r="D17728" t="s">
        <v>12</v>
      </c>
      <c r="E17728" t="s">
        <v>23161</v>
      </c>
    </row>
    <row r="17729" spans="1:6" x14ac:dyDescent="0.25">
      <c r="A17729" t="str">
        <f>"771480092815"</f>
        <v>771480092815</v>
      </c>
      <c r="B17729" t="s">
        <v>24781</v>
      </c>
      <c r="C17729" t="s">
        <v>7</v>
      </c>
      <c r="D17729" t="s">
        <v>8</v>
      </c>
      <c r="E17729" t="s">
        <v>23161</v>
      </c>
    </row>
    <row r="17730" spans="1:6" x14ac:dyDescent="0.25">
      <c r="A17730" t="str">
        <f>"7714884781"</f>
        <v>7714884781</v>
      </c>
      <c r="B17730" t="s">
        <v>24782</v>
      </c>
      <c r="C17730" t="s">
        <v>7</v>
      </c>
      <c r="D17730" t="s">
        <v>12</v>
      </c>
      <c r="E17730" t="s">
        <v>23161</v>
      </c>
      <c r="F17730" t="s">
        <v>24783</v>
      </c>
    </row>
    <row r="17731" spans="1:6" x14ac:dyDescent="0.25">
      <c r="A17731" t="str">
        <f>"7714910375"</f>
        <v>7714910375</v>
      </c>
      <c r="B17731" t="s">
        <v>24784</v>
      </c>
      <c r="C17731" t="s">
        <v>7</v>
      </c>
      <c r="D17731" t="s">
        <v>14</v>
      </c>
      <c r="E17731" t="s">
        <v>23161</v>
      </c>
      <c r="F17731" t="s">
        <v>24785</v>
      </c>
    </row>
    <row r="17732" spans="1:6" x14ac:dyDescent="0.25">
      <c r="A17732" t="str">
        <f>"771500491151"</f>
        <v>771500491151</v>
      </c>
      <c r="B17732" t="s">
        <v>24786</v>
      </c>
      <c r="C17732" t="s">
        <v>7</v>
      </c>
      <c r="D17732" t="s">
        <v>14</v>
      </c>
      <c r="E17732" t="s">
        <v>23161</v>
      </c>
    </row>
    <row r="17733" spans="1:6" x14ac:dyDescent="0.25">
      <c r="A17733" t="str">
        <f>"771501536207"</f>
        <v>771501536207</v>
      </c>
      <c r="B17733" t="s">
        <v>24787</v>
      </c>
      <c r="C17733" t="s">
        <v>7</v>
      </c>
      <c r="D17733" t="s">
        <v>14</v>
      </c>
      <c r="E17733" t="s">
        <v>23161</v>
      </c>
    </row>
    <row r="17734" spans="1:6" x14ac:dyDescent="0.25">
      <c r="A17734" t="str">
        <f>"7715364168"</f>
        <v>7715364168</v>
      </c>
      <c r="B17734" t="s">
        <v>24788</v>
      </c>
      <c r="C17734" t="s">
        <v>7</v>
      </c>
      <c r="D17734" t="s">
        <v>12</v>
      </c>
      <c r="E17734" t="s">
        <v>23161</v>
      </c>
      <c r="F17734" t="s">
        <v>24789</v>
      </c>
    </row>
    <row r="17735" spans="1:6" x14ac:dyDescent="0.25">
      <c r="A17735" t="str">
        <f>"7715439462"</f>
        <v>7715439462</v>
      </c>
      <c r="B17735" t="s">
        <v>24790</v>
      </c>
      <c r="C17735" t="s">
        <v>7</v>
      </c>
      <c r="D17735" t="s">
        <v>674</v>
      </c>
      <c r="E17735" t="s">
        <v>23161</v>
      </c>
      <c r="F17735" t="s">
        <v>24791</v>
      </c>
    </row>
    <row r="17736" spans="1:6" x14ac:dyDescent="0.25">
      <c r="A17736" t="str">
        <f>"771550454109"</f>
        <v>771550454109</v>
      </c>
      <c r="B17736" t="s">
        <v>24792</v>
      </c>
      <c r="C17736" t="s">
        <v>7</v>
      </c>
      <c r="D17736" t="s">
        <v>14</v>
      </c>
      <c r="E17736" t="s">
        <v>23161</v>
      </c>
    </row>
    <row r="17737" spans="1:6" x14ac:dyDescent="0.25">
      <c r="A17737" t="str">
        <f>"771557758018"</f>
        <v>771557758018</v>
      </c>
      <c r="B17737" t="s">
        <v>24793</v>
      </c>
      <c r="C17737" t="s">
        <v>7</v>
      </c>
      <c r="D17737" t="s">
        <v>14</v>
      </c>
      <c r="E17737" t="s">
        <v>23161</v>
      </c>
    </row>
    <row r="17738" spans="1:6" x14ac:dyDescent="0.25">
      <c r="A17738" t="str">
        <f>"7715596257"</f>
        <v>7715596257</v>
      </c>
      <c r="B17738" t="s">
        <v>6964</v>
      </c>
      <c r="C17738" t="s">
        <v>7</v>
      </c>
      <c r="D17738" t="s">
        <v>189</v>
      </c>
      <c r="E17738" t="s">
        <v>23161</v>
      </c>
      <c r="F17738" t="s">
        <v>24794</v>
      </c>
    </row>
    <row r="17739" spans="1:6" x14ac:dyDescent="0.25">
      <c r="A17739" t="str">
        <f>"7715669410"</f>
        <v>7715669410</v>
      </c>
      <c r="B17739" t="s">
        <v>1731</v>
      </c>
      <c r="C17739" t="s">
        <v>7</v>
      </c>
      <c r="D17739" t="s">
        <v>14</v>
      </c>
      <c r="E17739" t="s">
        <v>23161</v>
      </c>
      <c r="F17739" t="s">
        <v>24795</v>
      </c>
    </row>
    <row r="17740" spans="1:6" x14ac:dyDescent="0.25">
      <c r="A17740" t="str">
        <f>"7715669515"</f>
        <v>7715669515</v>
      </c>
      <c r="B17740" t="s">
        <v>24796</v>
      </c>
      <c r="C17740" t="s">
        <v>7</v>
      </c>
      <c r="D17740" t="s">
        <v>14</v>
      </c>
      <c r="E17740" t="s">
        <v>23161</v>
      </c>
      <c r="F17740" t="s">
        <v>24797</v>
      </c>
    </row>
    <row r="17741" spans="1:6" x14ac:dyDescent="0.25">
      <c r="A17741" t="str">
        <f>"237304704623"</f>
        <v>237304704623</v>
      </c>
      <c r="B17741" t="s">
        <v>24798</v>
      </c>
      <c r="C17741" t="s">
        <v>7</v>
      </c>
      <c r="D17741" t="s">
        <v>14</v>
      </c>
      <c r="E17741" t="s">
        <v>23161</v>
      </c>
    </row>
    <row r="17742" spans="1:6" x14ac:dyDescent="0.25">
      <c r="A17742" t="str">
        <f>"504602722607"</f>
        <v>504602722607</v>
      </c>
      <c r="B17742" t="s">
        <v>24799</v>
      </c>
      <c r="C17742" t="s">
        <v>7</v>
      </c>
      <c r="D17742" t="s">
        <v>14</v>
      </c>
      <c r="E17742" t="s">
        <v>23161</v>
      </c>
    </row>
    <row r="17743" spans="1:6" x14ac:dyDescent="0.25">
      <c r="A17743" t="str">
        <f>"504603104515"</f>
        <v>504603104515</v>
      </c>
      <c r="B17743" t="s">
        <v>24800</v>
      </c>
      <c r="C17743" t="s">
        <v>7</v>
      </c>
      <c r="D17743" t="s">
        <v>12</v>
      </c>
      <c r="E17743" t="s">
        <v>23161</v>
      </c>
    </row>
    <row r="17744" spans="1:6" x14ac:dyDescent="0.25">
      <c r="A17744" t="str">
        <f>"504705585575"</f>
        <v>504705585575</v>
      </c>
      <c r="B17744" t="s">
        <v>24801</v>
      </c>
      <c r="C17744" t="s">
        <v>7</v>
      </c>
      <c r="D17744" t="s">
        <v>8</v>
      </c>
      <c r="E17744" t="s">
        <v>23161</v>
      </c>
    </row>
    <row r="17745" spans="1:6" x14ac:dyDescent="0.25">
      <c r="A17745" t="str">
        <f>"5047239844"</f>
        <v>5047239844</v>
      </c>
      <c r="B17745" t="s">
        <v>24802</v>
      </c>
      <c r="C17745" t="s">
        <v>7</v>
      </c>
      <c r="D17745" t="s">
        <v>146</v>
      </c>
      <c r="E17745" t="s">
        <v>23161</v>
      </c>
      <c r="F17745" t="s">
        <v>24803</v>
      </c>
    </row>
    <row r="17746" spans="1:6" x14ac:dyDescent="0.25">
      <c r="A17746" t="str">
        <f>"505301485658"</f>
        <v>505301485658</v>
      </c>
      <c r="B17746" t="s">
        <v>24804</v>
      </c>
      <c r="C17746" t="s">
        <v>7</v>
      </c>
      <c r="D17746" t="s">
        <v>14</v>
      </c>
      <c r="E17746" t="s">
        <v>23161</v>
      </c>
    </row>
    <row r="17747" spans="1:6" x14ac:dyDescent="0.25">
      <c r="A17747" t="str">
        <f>"507200810908"</f>
        <v>507200810908</v>
      </c>
      <c r="B17747" t="s">
        <v>24805</v>
      </c>
      <c r="C17747" t="s">
        <v>7</v>
      </c>
      <c r="D17747" t="s">
        <v>14</v>
      </c>
      <c r="E17747" t="s">
        <v>23161</v>
      </c>
    </row>
    <row r="17748" spans="1:6" x14ac:dyDescent="0.25">
      <c r="A17748" t="str">
        <f>"5074039241"</f>
        <v>5074039241</v>
      </c>
      <c r="B17748" t="s">
        <v>24806</v>
      </c>
      <c r="C17748" t="s">
        <v>7</v>
      </c>
      <c r="D17748" t="s">
        <v>1430</v>
      </c>
      <c r="E17748" t="s">
        <v>23161</v>
      </c>
      <c r="F17748" t="s">
        <v>24807</v>
      </c>
    </row>
    <row r="17749" spans="1:6" x14ac:dyDescent="0.25">
      <c r="A17749" t="str">
        <f>"507404268049"</f>
        <v>507404268049</v>
      </c>
      <c r="B17749" t="s">
        <v>24808</v>
      </c>
      <c r="C17749" t="s">
        <v>7</v>
      </c>
      <c r="D17749" t="s">
        <v>12</v>
      </c>
      <c r="E17749" t="s">
        <v>23161</v>
      </c>
    </row>
    <row r="17750" spans="1:6" x14ac:dyDescent="0.25">
      <c r="A17750" t="str">
        <f>"165023307616"</f>
        <v>165023307616</v>
      </c>
      <c r="B17750" t="s">
        <v>24809</v>
      </c>
      <c r="C17750" t="s">
        <v>7</v>
      </c>
      <c r="D17750" t="s">
        <v>12</v>
      </c>
      <c r="E17750" t="s">
        <v>23161</v>
      </c>
    </row>
    <row r="17751" spans="1:6" x14ac:dyDescent="0.25">
      <c r="A17751" t="str">
        <f>"505009393126"</f>
        <v>505009393126</v>
      </c>
      <c r="B17751" t="s">
        <v>24810</v>
      </c>
      <c r="C17751" t="s">
        <v>7</v>
      </c>
      <c r="D17751" t="s">
        <v>14</v>
      </c>
      <c r="E17751" t="s">
        <v>23161</v>
      </c>
    </row>
    <row r="17752" spans="1:6" x14ac:dyDescent="0.25">
      <c r="A17752" t="str">
        <f>"507301437337"</f>
        <v>507301437337</v>
      </c>
      <c r="B17752" t="s">
        <v>24811</v>
      </c>
      <c r="C17752" t="s">
        <v>7</v>
      </c>
      <c r="D17752" t="s">
        <v>14</v>
      </c>
      <c r="E17752" t="s">
        <v>23161</v>
      </c>
    </row>
    <row r="17753" spans="1:6" x14ac:dyDescent="0.25">
      <c r="A17753" t="str">
        <f>"5046074050"</f>
        <v>5046074050</v>
      </c>
      <c r="B17753" t="s">
        <v>24812</v>
      </c>
      <c r="C17753" t="s">
        <v>7</v>
      </c>
      <c r="D17753" t="s">
        <v>14</v>
      </c>
      <c r="E17753" t="s">
        <v>23161</v>
      </c>
      <c r="F17753" t="s">
        <v>24813</v>
      </c>
    </row>
    <row r="17754" spans="1:6" x14ac:dyDescent="0.25">
      <c r="A17754" t="str">
        <f>"5047095543"</f>
        <v>5047095543</v>
      </c>
      <c r="B17754" t="s">
        <v>24814</v>
      </c>
      <c r="C17754" t="s">
        <v>7</v>
      </c>
      <c r="D17754" t="s">
        <v>674</v>
      </c>
      <c r="E17754" t="s">
        <v>23161</v>
      </c>
      <c r="F17754" t="s">
        <v>24815</v>
      </c>
    </row>
    <row r="17755" spans="1:6" x14ac:dyDescent="0.25">
      <c r="A17755" t="str">
        <f>"5047164532"</f>
        <v>5047164532</v>
      </c>
      <c r="B17755" t="s">
        <v>24816</v>
      </c>
      <c r="C17755" t="s">
        <v>7</v>
      </c>
      <c r="D17755" t="s">
        <v>33</v>
      </c>
      <c r="E17755" t="s">
        <v>23161</v>
      </c>
      <c r="F17755" t="s">
        <v>24817</v>
      </c>
    </row>
    <row r="17756" spans="1:6" x14ac:dyDescent="0.25">
      <c r="A17756" t="str">
        <f>"5047222784"</f>
        <v>5047222784</v>
      </c>
      <c r="B17756" t="s">
        <v>24818</v>
      </c>
      <c r="C17756" t="s">
        <v>7</v>
      </c>
      <c r="D17756" t="s">
        <v>14</v>
      </c>
      <c r="E17756" t="s">
        <v>23161</v>
      </c>
      <c r="F17756" t="s">
        <v>24819</v>
      </c>
    </row>
    <row r="17757" spans="1:6" x14ac:dyDescent="0.25">
      <c r="A17757" t="str">
        <f>"5048055455"</f>
        <v>5048055455</v>
      </c>
      <c r="B17757" t="s">
        <v>24820</v>
      </c>
      <c r="C17757" t="s">
        <v>7</v>
      </c>
      <c r="D17757" t="s">
        <v>14</v>
      </c>
      <c r="E17757" t="s">
        <v>23161</v>
      </c>
      <c r="F17757" t="s">
        <v>24821</v>
      </c>
    </row>
    <row r="17758" spans="1:6" x14ac:dyDescent="0.25">
      <c r="A17758" t="str">
        <f>"5050058510"</f>
        <v>5050058510</v>
      </c>
      <c r="B17758" t="s">
        <v>24822</v>
      </c>
      <c r="C17758" t="s">
        <v>7</v>
      </c>
      <c r="D17758" t="s">
        <v>12</v>
      </c>
      <c r="E17758" t="s">
        <v>23161</v>
      </c>
      <c r="F17758" t="s">
        <v>24823</v>
      </c>
    </row>
    <row r="17759" spans="1:6" x14ac:dyDescent="0.25">
      <c r="A17759" t="str">
        <f>"507400738060"</f>
        <v>507400738060</v>
      </c>
      <c r="B17759" t="s">
        <v>24824</v>
      </c>
      <c r="C17759" t="s">
        <v>7</v>
      </c>
      <c r="D17759" t="s">
        <v>14</v>
      </c>
      <c r="E17759" t="s">
        <v>23161</v>
      </c>
    </row>
    <row r="17760" spans="1:6" x14ac:dyDescent="0.25">
      <c r="A17760" t="str">
        <f>"507401904049"</f>
        <v>507401904049</v>
      </c>
      <c r="B17760" t="s">
        <v>24825</v>
      </c>
      <c r="C17760" t="s">
        <v>7</v>
      </c>
      <c r="D17760" t="s">
        <v>14</v>
      </c>
      <c r="E17760" t="s">
        <v>23161</v>
      </c>
    </row>
    <row r="17761" spans="1:6" x14ac:dyDescent="0.25">
      <c r="A17761" t="str">
        <f>"507405109901"</f>
        <v>507405109901</v>
      </c>
      <c r="B17761" t="s">
        <v>24826</v>
      </c>
      <c r="C17761" t="s">
        <v>7</v>
      </c>
      <c r="D17761" t="s">
        <v>14</v>
      </c>
      <c r="E17761" t="s">
        <v>23161</v>
      </c>
    </row>
    <row r="17762" spans="1:6" x14ac:dyDescent="0.25">
      <c r="A17762" t="str">
        <f>"7707446603"</f>
        <v>7707446603</v>
      </c>
      <c r="B17762" t="s">
        <v>24827</v>
      </c>
      <c r="C17762" t="s">
        <v>7</v>
      </c>
      <c r="D17762" t="s">
        <v>12</v>
      </c>
      <c r="E17762" t="s">
        <v>23161</v>
      </c>
      <c r="F17762" t="s">
        <v>24828</v>
      </c>
    </row>
    <row r="17763" spans="1:6" x14ac:dyDescent="0.25">
      <c r="A17763" t="str">
        <f>"7707457274"</f>
        <v>7707457274</v>
      </c>
      <c r="B17763" t="s">
        <v>8759</v>
      </c>
      <c r="C17763" t="s">
        <v>7</v>
      </c>
      <c r="D17763" t="s">
        <v>674</v>
      </c>
      <c r="E17763" t="s">
        <v>23161</v>
      </c>
      <c r="F17763" t="s">
        <v>24829</v>
      </c>
    </row>
    <row r="17764" spans="1:6" x14ac:dyDescent="0.25">
      <c r="A17764" t="str">
        <f>"7707655396"</f>
        <v>7707655396</v>
      </c>
      <c r="B17764" t="s">
        <v>11689</v>
      </c>
      <c r="C17764" t="s">
        <v>7</v>
      </c>
      <c r="D17764" t="s">
        <v>98</v>
      </c>
      <c r="E17764" t="s">
        <v>23161</v>
      </c>
      <c r="F17764" t="s">
        <v>24830</v>
      </c>
    </row>
    <row r="17765" spans="1:6" x14ac:dyDescent="0.25">
      <c r="A17765" t="str">
        <f>"7707819848"</f>
        <v>7707819848</v>
      </c>
      <c r="B17765" t="s">
        <v>10313</v>
      </c>
      <c r="C17765" t="s">
        <v>7</v>
      </c>
      <c r="D17765" t="s">
        <v>28</v>
      </c>
      <c r="E17765" t="s">
        <v>23161</v>
      </c>
      <c r="F17765" t="s">
        <v>24831</v>
      </c>
    </row>
    <row r="17766" spans="1:6" x14ac:dyDescent="0.25">
      <c r="A17766" t="str">
        <f>"7708016628"</f>
        <v>7708016628</v>
      </c>
      <c r="B17766" t="s">
        <v>24832</v>
      </c>
      <c r="C17766" t="s">
        <v>7</v>
      </c>
      <c r="D17766" t="s">
        <v>14</v>
      </c>
      <c r="E17766" t="s">
        <v>23161</v>
      </c>
      <c r="F17766" t="s">
        <v>24833</v>
      </c>
    </row>
    <row r="17767" spans="1:6" x14ac:dyDescent="0.25">
      <c r="A17767" t="str">
        <f>"770802967741"</f>
        <v>770802967741</v>
      </c>
      <c r="B17767" t="s">
        <v>24834</v>
      </c>
      <c r="C17767" t="s">
        <v>7</v>
      </c>
      <c r="D17767" t="s">
        <v>33</v>
      </c>
      <c r="E17767" t="s">
        <v>23161</v>
      </c>
    </row>
    <row r="17768" spans="1:6" x14ac:dyDescent="0.25">
      <c r="A17768" t="str">
        <f>"7708147035"</f>
        <v>7708147035</v>
      </c>
      <c r="B17768" t="s">
        <v>24835</v>
      </c>
      <c r="C17768" t="s">
        <v>7</v>
      </c>
      <c r="D17768" t="s">
        <v>98</v>
      </c>
      <c r="E17768" t="s">
        <v>23161</v>
      </c>
      <c r="F17768" t="s">
        <v>24836</v>
      </c>
    </row>
    <row r="17769" spans="1:6" x14ac:dyDescent="0.25">
      <c r="A17769" t="str">
        <f>"7708607959"</f>
        <v>7708607959</v>
      </c>
      <c r="B17769" t="s">
        <v>24837</v>
      </c>
      <c r="C17769" t="s">
        <v>7</v>
      </c>
      <c r="D17769" t="s">
        <v>8</v>
      </c>
      <c r="E17769" t="s">
        <v>23161</v>
      </c>
      <c r="F17769" t="s">
        <v>24838</v>
      </c>
    </row>
    <row r="17770" spans="1:6" x14ac:dyDescent="0.25">
      <c r="A17770" t="str">
        <f>"7708785849"</f>
        <v>7708785849</v>
      </c>
      <c r="B17770" t="s">
        <v>24839</v>
      </c>
      <c r="C17770" t="s">
        <v>7</v>
      </c>
      <c r="D17770" t="s">
        <v>8</v>
      </c>
      <c r="E17770" t="s">
        <v>23161</v>
      </c>
      <c r="F17770" t="s">
        <v>24840</v>
      </c>
    </row>
    <row r="17771" spans="1:6" x14ac:dyDescent="0.25">
      <c r="A17771" t="str">
        <f>"7709480198"</f>
        <v>7709480198</v>
      </c>
      <c r="B17771" t="s">
        <v>24841</v>
      </c>
      <c r="C17771" t="s">
        <v>7</v>
      </c>
      <c r="D17771" t="s">
        <v>674</v>
      </c>
      <c r="E17771" t="s">
        <v>23161</v>
      </c>
      <c r="F17771" t="s">
        <v>24842</v>
      </c>
    </row>
    <row r="17772" spans="1:6" x14ac:dyDescent="0.25">
      <c r="A17772" t="str">
        <f>"7709481963"</f>
        <v>7709481963</v>
      </c>
      <c r="B17772" t="s">
        <v>24843</v>
      </c>
      <c r="C17772" t="s">
        <v>7</v>
      </c>
      <c r="D17772" t="s">
        <v>12</v>
      </c>
      <c r="E17772" t="s">
        <v>23161</v>
      </c>
      <c r="F17772" t="s">
        <v>24844</v>
      </c>
    </row>
    <row r="17773" spans="1:6" x14ac:dyDescent="0.25">
      <c r="A17773" t="str">
        <f>"7709492098"</f>
        <v>7709492098</v>
      </c>
      <c r="B17773" t="s">
        <v>24845</v>
      </c>
      <c r="C17773" t="s">
        <v>7</v>
      </c>
      <c r="D17773" t="s">
        <v>33</v>
      </c>
      <c r="E17773" t="s">
        <v>23161</v>
      </c>
      <c r="F17773" t="s">
        <v>24846</v>
      </c>
    </row>
    <row r="17774" spans="1:6" x14ac:dyDescent="0.25">
      <c r="A17774" t="str">
        <f>"7709492130"</f>
        <v>7709492130</v>
      </c>
      <c r="B17774" t="s">
        <v>24847</v>
      </c>
      <c r="C17774" t="s">
        <v>7</v>
      </c>
      <c r="D17774" t="s">
        <v>33</v>
      </c>
      <c r="E17774" t="s">
        <v>23161</v>
      </c>
      <c r="F17774" t="s">
        <v>24848</v>
      </c>
    </row>
    <row r="17775" spans="1:6" x14ac:dyDescent="0.25">
      <c r="A17775" t="str">
        <f>"771000812801"</f>
        <v>771000812801</v>
      </c>
      <c r="B17775" t="s">
        <v>24849</v>
      </c>
      <c r="C17775" t="s">
        <v>7</v>
      </c>
      <c r="D17775" t="s">
        <v>14</v>
      </c>
      <c r="E17775" t="s">
        <v>23161</v>
      </c>
    </row>
    <row r="17776" spans="1:6" x14ac:dyDescent="0.25">
      <c r="A17776" t="str">
        <f>"7710280355"</f>
        <v>7710280355</v>
      </c>
      <c r="B17776" t="s">
        <v>24850</v>
      </c>
      <c r="C17776" t="s">
        <v>7</v>
      </c>
      <c r="D17776" t="s">
        <v>12</v>
      </c>
      <c r="E17776" t="s">
        <v>23161</v>
      </c>
      <c r="F17776" t="s">
        <v>24851</v>
      </c>
    </row>
    <row r="17777" spans="1:6" x14ac:dyDescent="0.25">
      <c r="A17777" t="str">
        <f>"7710389970"</f>
        <v>7710389970</v>
      </c>
      <c r="B17777" t="s">
        <v>24852</v>
      </c>
      <c r="C17777" t="s">
        <v>7</v>
      </c>
      <c r="D17777" t="s">
        <v>674</v>
      </c>
      <c r="E17777" t="s">
        <v>23161</v>
      </c>
      <c r="F17777" t="s">
        <v>24853</v>
      </c>
    </row>
    <row r="17778" spans="1:6" x14ac:dyDescent="0.25">
      <c r="A17778" t="str">
        <f>"7712040052"</f>
        <v>7712040052</v>
      </c>
      <c r="B17778" t="s">
        <v>24854</v>
      </c>
      <c r="C17778" t="s">
        <v>7</v>
      </c>
      <c r="D17778" t="s">
        <v>33</v>
      </c>
      <c r="E17778" t="s">
        <v>23161</v>
      </c>
      <c r="F17778" t="s">
        <v>24855</v>
      </c>
    </row>
    <row r="17779" spans="1:6" x14ac:dyDescent="0.25">
      <c r="A17779" t="str">
        <f>"7712098870"</f>
        <v>7712098870</v>
      </c>
      <c r="B17779" t="s">
        <v>24856</v>
      </c>
      <c r="C17779" t="s">
        <v>7</v>
      </c>
      <c r="D17779" t="s">
        <v>14</v>
      </c>
      <c r="E17779" t="s">
        <v>23161</v>
      </c>
      <c r="F17779" t="s">
        <v>24857</v>
      </c>
    </row>
    <row r="17780" spans="1:6" x14ac:dyDescent="0.25">
      <c r="A17780" t="str">
        <f>"7713385243"</f>
        <v>7713385243</v>
      </c>
      <c r="B17780" t="s">
        <v>24858</v>
      </c>
      <c r="C17780" t="s">
        <v>7</v>
      </c>
      <c r="D17780" t="s">
        <v>33</v>
      </c>
      <c r="E17780" t="s">
        <v>23161</v>
      </c>
      <c r="F17780" t="s">
        <v>24859</v>
      </c>
    </row>
    <row r="17781" spans="1:6" x14ac:dyDescent="0.25">
      <c r="A17781" t="str">
        <f>"7713390500"</f>
        <v>7713390500</v>
      </c>
      <c r="B17781" t="s">
        <v>24860</v>
      </c>
      <c r="C17781" t="s">
        <v>7</v>
      </c>
      <c r="D17781" t="s">
        <v>1430</v>
      </c>
      <c r="E17781" t="s">
        <v>23161</v>
      </c>
      <c r="F17781" t="s">
        <v>24861</v>
      </c>
    </row>
    <row r="17782" spans="1:6" x14ac:dyDescent="0.25">
      <c r="A17782" t="str">
        <f>"7713407923"</f>
        <v>7713407923</v>
      </c>
      <c r="B17782" t="s">
        <v>24071</v>
      </c>
      <c r="C17782" t="s">
        <v>7</v>
      </c>
      <c r="D17782" t="s">
        <v>674</v>
      </c>
      <c r="E17782" t="s">
        <v>23161</v>
      </c>
      <c r="F17782" t="s">
        <v>24862</v>
      </c>
    </row>
    <row r="17783" spans="1:6" x14ac:dyDescent="0.25">
      <c r="A17783" t="str">
        <f>"7713442163"</f>
        <v>7713442163</v>
      </c>
      <c r="B17783" t="s">
        <v>24863</v>
      </c>
      <c r="C17783" t="s">
        <v>7</v>
      </c>
      <c r="D17783" t="s">
        <v>674</v>
      </c>
      <c r="E17783" t="s">
        <v>23161</v>
      </c>
      <c r="F17783" t="s">
        <v>24864</v>
      </c>
    </row>
    <row r="17784" spans="1:6" x14ac:dyDescent="0.25">
      <c r="A17784" t="str">
        <f>"7713449296"</f>
        <v>7713449296</v>
      </c>
      <c r="B17784" t="s">
        <v>24865</v>
      </c>
      <c r="C17784" t="s">
        <v>7</v>
      </c>
      <c r="D17784" t="s">
        <v>33</v>
      </c>
      <c r="E17784" t="s">
        <v>23161</v>
      </c>
      <c r="F17784" t="s">
        <v>24866</v>
      </c>
    </row>
    <row r="17785" spans="1:6" x14ac:dyDescent="0.25">
      <c r="A17785" t="str">
        <f>"7713576745"</f>
        <v>7713576745</v>
      </c>
      <c r="B17785" t="s">
        <v>24867</v>
      </c>
      <c r="C17785" t="s">
        <v>7</v>
      </c>
      <c r="D17785" t="s">
        <v>28</v>
      </c>
      <c r="E17785" t="s">
        <v>23161</v>
      </c>
      <c r="F17785" t="s">
        <v>24868</v>
      </c>
    </row>
    <row r="17786" spans="1:6" x14ac:dyDescent="0.25">
      <c r="A17786" t="str">
        <f>"7713579552"</f>
        <v>7713579552</v>
      </c>
      <c r="B17786" t="s">
        <v>24869</v>
      </c>
      <c r="C17786" t="s">
        <v>7</v>
      </c>
      <c r="D17786" t="s">
        <v>33</v>
      </c>
      <c r="E17786" t="s">
        <v>23161</v>
      </c>
      <c r="F17786" t="s">
        <v>24870</v>
      </c>
    </row>
    <row r="17787" spans="1:6" x14ac:dyDescent="0.25">
      <c r="A17787" t="str">
        <f>"7713580460"</f>
        <v>7713580460</v>
      </c>
      <c r="B17787" t="s">
        <v>24871</v>
      </c>
      <c r="C17787" t="s">
        <v>7</v>
      </c>
      <c r="D17787" t="s">
        <v>146</v>
      </c>
      <c r="E17787" t="s">
        <v>23161</v>
      </c>
      <c r="F17787" t="s">
        <v>24872</v>
      </c>
    </row>
    <row r="17788" spans="1:6" x14ac:dyDescent="0.25">
      <c r="A17788" t="str">
        <f>"7713747944"</f>
        <v>7713747944</v>
      </c>
      <c r="B17788" t="s">
        <v>24873</v>
      </c>
      <c r="C17788" t="s">
        <v>7</v>
      </c>
      <c r="D17788" t="s">
        <v>14</v>
      </c>
      <c r="E17788" t="s">
        <v>23161</v>
      </c>
      <c r="F17788" t="s">
        <v>24874</v>
      </c>
    </row>
    <row r="17789" spans="1:6" x14ac:dyDescent="0.25">
      <c r="A17789" t="str">
        <f>"771376231861"</f>
        <v>771376231861</v>
      </c>
      <c r="B17789" t="s">
        <v>24875</v>
      </c>
      <c r="C17789" t="s">
        <v>7</v>
      </c>
      <c r="D17789" t="s">
        <v>14</v>
      </c>
      <c r="E17789" t="s">
        <v>23161</v>
      </c>
    </row>
    <row r="17790" spans="1:6" x14ac:dyDescent="0.25">
      <c r="A17790" t="str">
        <f>"7713785749"</f>
        <v>7713785749</v>
      </c>
      <c r="B17790" t="s">
        <v>24876</v>
      </c>
      <c r="C17790" t="s">
        <v>7</v>
      </c>
      <c r="D17790" t="s">
        <v>674</v>
      </c>
      <c r="E17790" t="s">
        <v>23161</v>
      </c>
      <c r="F17790" t="s">
        <v>24877</v>
      </c>
    </row>
    <row r="17791" spans="1:6" x14ac:dyDescent="0.25">
      <c r="A17791" t="str">
        <f>"771380375305"</f>
        <v>771380375305</v>
      </c>
      <c r="B17791" t="s">
        <v>24878</v>
      </c>
      <c r="C17791" t="s">
        <v>7</v>
      </c>
      <c r="D17791" t="s">
        <v>33</v>
      </c>
      <c r="E17791" t="s">
        <v>23161</v>
      </c>
    </row>
    <row r="17792" spans="1:6" x14ac:dyDescent="0.25">
      <c r="A17792" t="str">
        <f>"7714118561"</f>
        <v>7714118561</v>
      </c>
      <c r="B17792" t="s">
        <v>24879</v>
      </c>
      <c r="C17792" t="s">
        <v>7</v>
      </c>
      <c r="D17792" t="s">
        <v>12</v>
      </c>
      <c r="E17792" t="s">
        <v>23161</v>
      </c>
      <c r="F17792" t="s">
        <v>24880</v>
      </c>
    </row>
    <row r="17793" spans="1:6" x14ac:dyDescent="0.25">
      <c r="A17793" t="str">
        <f>"7714461708"</f>
        <v>7714461708</v>
      </c>
      <c r="B17793" t="s">
        <v>24881</v>
      </c>
      <c r="C17793" t="s">
        <v>7</v>
      </c>
      <c r="D17793" t="s">
        <v>8</v>
      </c>
      <c r="E17793" t="s">
        <v>23161</v>
      </c>
      <c r="F17793" t="s">
        <v>24882</v>
      </c>
    </row>
    <row r="17794" spans="1:6" x14ac:dyDescent="0.25">
      <c r="A17794" t="str">
        <f>"7714496700"</f>
        <v>7714496700</v>
      </c>
      <c r="B17794" t="s">
        <v>24883</v>
      </c>
      <c r="C17794" t="s">
        <v>7</v>
      </c>
      <c r="D17794" t="s">
        <v>33</v>
      </c>
      <c r="E17794" t="s">
        <v>23161</v>
      </c>
      <c r="F17794" t="s">
        <v>23932</v>
      </c>
    </row>
    <row r="17795" spans="1:6" x14ac:dyDescent="0.25">
      <c r="A17795" t="str">
        <f>"7714898801"</f>
        <v>7714898801</v>
      </c>
      <c r="B17795" t="s">
        <v>24884</v>
      </c>
      <c r="C17795" t="s">
        <v>7</v>
      </c>
      <c r="D17795" t="s">
        <v>33</v>
      </c>
      <c r="E17795" t="s">
        <v>23161</v>
      </c>
      <c r="F17795" t="s">
        <v>24885</v>
      </c>
    </row>
    <row r="17796" spans="1:6" x14ac:dyDescent="0.25">
      <c r="A17796" t="str">
        <f>"7714939261"</f>
        <v>7714939261</v>
      </c>
      <c r="B17796" t="s">
        <v>24886</v>
      </c>
      <c r="C17796" t="s">
        <v>7</v>
      </c>
      <c r="D17796" t="s">
        <v>189</v>
      </c>
      <c r="E17796" t="s">
        <v>23161</v>
      </c>
      <c r="F17796" t="s">
        <v>24887</v>
      </c>
    </row>
    <row r="17797" spans="1:6" x14ac:dyDescent="0.25">
      <c r="A17797" t="str">
        <f>"771512747626"</f>
        <v>771512747626</v>
      </c>
      <c r="B17797" t="s">
        <v>24888</v>
      </c>
      <c r="C17797" t="s">
        <v>7</v>
      </c>
      <c r="D17797" t="s">
        <v>14</v>
      </c>
      <c r="E17797" t="s">
        <v>23161</v>
      </c>
    </row>
    <row r="17798" spans="1:6" x14ac:dyDescent="0.25">
      <c r="A17798" t="str">
        <f>"771527743800"</f>
        <v>771527743800</v>
      </c>
      <c r="B17798" t="s">
        <v>24889</v>
      </c>
      <c r="C17798" t="s">
        <v>7</v>
      </c>
      <c r="D17798" t="s">
        <v>14</v>
      </c>
      <c r="E17798" t="s">
        <v>23161</v>
      </c>
    </row>
    <row r="17799" spans="1:6" x14ac:dyDescent="0.25">
      <c r="A17799" t="str">
        <f>"771538486136"</f>
        <v>771538486136</v>
      </c>
      <c r="B17799" t="s">
        <v>24890</v>
      </c>
      <c r="C17799" t="s">
        <v>7</v>
      </c>
      <c r="D17799" t="s">
        <v>33</v>
      </c>
      <c r="E17799" t="s">
        <v>23161</v>
      </c>
    </row>
    <row r="17800" spans="1:6" x14ac:dyDescent="0.25">
      <c r="A17800" t="str">
        <f>"771575039094"</f>
        <v>771575039094</v>
      </c>
      <c r="B17800" t="s">
        <v>24891</v>
      </c>
      <c r="C17800" t="s">
        <v>7</v>
      </c>
      <c r="D17800" t="s">
        <v>33</v>
      </c>
      <c r="E17800" t="s">
        <v>23161</v>
      </c>
    </row>
    <row r="17801" spans="1:6" x14ac:dyDescent="0.25">
      <c r="A17801" t="str">
        <f>"771576499087"</f>
        <v>771576499087</v>
      </c>
      <c r="B17801" t="s">
        <v>24892</v>
      </c>
      <c r="C17801" t="s">
        <v>7</v>
      </c>
      <c r="D17801" t="s">
        <v>12</v>
      </c>
      <c r="E17801" t="s">
        <v>23161</v>
      </c>
    </row>
    <row r="17802" spans="1:6" x14ac:dyDescent="0.25">
      <c r="A17802" t="str">
        <f>"9103002729"</f>
        <v>9103002729</v>
      </c>
      <c r="B17802" t="s">
        <v>24893</v>
      </c>
      <c r="C17802" t="s">
        <v>7</v>
      </c>
      <c r="D17802" t="s">
        <v>14</v>
      </c>
      <c r="E17802" t="s">
        <v>23161</v>
      </c>
      <c r="F17802" t="s">
        <v>24894</v>
      </c>
    </row>
    <row r="17803" spans="1:6" x14ac:dyDescent="0.25">
      <c r="A17803" t="str">
        <f>"402400179660"</f>
        <v>402400179660</v>
      </c>
      <c r="B17803" t="s">
        <v>24895</v>
      </c>
      <c r="C17803" t="s">
        <v>7</v>
      </c>
      <c r="D17803" t="s">
        <v>14</v>
      </c>
      <c r="E17803" t="s">
        <v>23161</v>
      </c>
    </row>
    <row r="17804" spans="1:6" x14ac:dyDescent="0.25">
      <c r="A17804" t="str">
        <f>"402403698551"</f>
        <v>402403698551</v>
      </c>
      <c r="B17804" t="s">
        <v>24896</v>
      </c>
      <c r="C17804" t="s">
        <v>7</v>
      </c>
      <c r="D17804" t="s">
        <v>14</v>
      </c>
      <c r="E17804" t="s">
        <v>23161</v>
      </c>
    </row>
    <row r="17805" spans="1:6" x14ac:dyDescent="0.25">
      <c r="A17805" t="str">
        <f>"770100048514"</f>
        <v>770100048514</v>
      </c>
      <c r="B17805" t="s">
        <v>24897</v>
      </c>
      <c r="C17805" t="s">
        <v>7</v>
      </c>
      <c r="D17805" t="s">
        <v>14</v>
      </c>
      <c r="E17805" t="s">
        <v>23161</v>
      </c>
    </row>
    <row r="17806" spans="1:6" x14ac:dyDescent="0.25">
      <c r="A17806" t="str">
        <f>"7701190698"</f>
        <v>7701190698</v>
      </c>
      <c r="B17806" t="s">
        <v>24898</v>
      </c>
      <c r="C17806" t="s">
        <v>7</v>
      </c>
      <c r="D17806" t="s">
        <v>12</v>
      </c>
      <c r="E17806" t="s">
        <v>23161</v>
      </c>
      <c r="F17806" t="s">
        <v>24899</v>
      </c>
    </row>
    <row r="17807" spans="1:6" x14ac:dyDescent="0.25">
      <c r="A17807" t="str">
        <f>"7701520346"</f>
        <v>7701520346</v>
      </c>
      <c r="B17807" t="s">
        <v>24900</v>
      </c>
      <c r="C17807" t="s">
        <v>7</v>
      </c>
      <c r="D17807" t="s">
        <v>146</v>
      </c>
      <c r="E17807" t="s">
        <v>23161</v>
      </c>
      <c r="F17807" t="s">
        <v>24901</v>
      </c>
    </row>
    <row r="17808" spans="1:6" x14ac:dyDescent="0.25">
      <c r="A17808" t="str">
        <f>"7701585569"</f>
        <v>7701585569</v>
      </c>
      <c r="B17808" t="s">
        <v>24902</v>
      </c>
      <c r="C17808" t="s">
        <v>7</v>
      </c>
      <c r="D17808" t="s">
        <v>14</v>
      </c>
      <c r="E17808" t="s">
        <v>23161</v>
      </c>
      <c r="F17808" t="s">
        <v>24903</v>
      </c>
    </row>
    <row r="17809" spans="1:6" x14ac:dyDescent="0.25">
      <c r="A17809" t="str">
        <f>"7701836082"</f>
        <v>7701836082</v>
      </c>
      <c r="B17809" t="s">
        <v>24904</v>
      </c>
      <c r="C17809" t="s">
        <v>7</v>
      </c>
      <c r="D17809" t="s">
        <v>189</v>
      </c>
      <c r="E17809" t="s">
        <v>23161</v>
      </c>
      <c r="F17809" t="s">
        <v>24905</v>
      </c>
    </row>
    <row r="17810" spans="1:6" x14ac:dyDescent="0.25">
      <c r="A17810" t="str">
        <f>"7702446448"</f>
        <v>7702446448</v>
      </c>
      <c r="B17810" t="s">
        <v>1386</v>
      </c>
      <c r="C17810" t="s">
        <v>7</v>
      </c>
      <c r="D17810" t="s">
        <v>33</v>
      </c>
      <c r="E17810" t="s">
        <v>23161</v>
      </c>
      <c r="F17810" t="s">
        <v>24906</v>
      </c>
    </row>
    <row r="17811" spans="1:6" x14ac:dyDescent="0.25">
      <c r="A17811" t="str">
        <f>"7702691545"</f>
        <v>7702691545</v>
      </c>
      <c r="B17811" t="s">
        <v>24907</v>
      </c>
      <c r="C17811" t="s">
        <v>7</v>
      </c>
      <c r="D17811" t="s">
        <v>98</v>
      </c>
      <c r="E17811" t="s">
        <v>23161</v>
      </c>
      <c r="F17811" t="s">
        <v>24908</v>
      </c>
    </row>
    <row r="17812" spans="1:6" x14ac:dyDescent="0.25">
      <c r="A17812" t="str">
        <f>"7702807302"</f>
        <v>7702807302</v>
      </c>
      <c r="B17812" t="s">
        <v>24909</v>
      </c>
      <c r="C17812" t="s">
        <v>7</v>
      </c>
      <c r="D17812" t="s">
        <v>146</v>
      </c>
      <c r="E17812" t="s">
        <v>23161</v>
      </c>
      <c r="F17812" t="s">
        <v>24910</v>
      </c>
    </row>
    <row r="17813" spans="1:6" x14ac:dyDescent="0.25">
      <c r="A17813" t="str">
        <f>"7703247653"</f>
        <v>7703247653</v>
      </c>
      <c r="B17813" t="s">
        <v>24911</v>
      </c>
      <c r="C17813" t="s">
        <v>7</v>
      </c>
      <c r="D17813" t="s">
        <v>8</v>
      </c>
      <c r="E17813" t="s">
        <v>23161</v>
      </c>
      <c r="F17813" t="s">
        <v>24912</v>
      </c>
    </row>
    <row r="17814" spans="1:6" x14ac:dyDescent="0.25">
      <c r="A17814" t="str">
        <f>"7703432247"</f>
        <v>7703432247</v>
      </c>
      <c r="B17814" t="s">
        <v>24913</v>
      </c>
      <c r="C17814" t="s">
        <v>7</v>
      </c>
      <c r="D17814" t="s">
        <v>14</v>
      </c>
      <c r="E17814" t="s">
        <v>23161</v>
      </c>
      <c r="F17814" t="s">
        <v>24914</v>
      </c>
    </row>
    <row r="17815" spans="1:6" x14ac:dyDescent="0.25">
      <c r="A17815" t="str">
        <f>"7703669870"</f>
        <v>7703669870</v>
      </c>
      <c r="B17815" t="s">
        <v>24915</v>
      </c>
      <c r="C17815" t="s">
        <v>7</v>
      </c>
      <c r="D17815" t="s">
        <v>33</v>
      </c>
      <c r="E17815" t="s">
        <v>23161</v>
      </c>
      <c r="F17815" t="s">
        <v>24916</v>
      </c>
    </row>
    <row r="17816" spans="1:6" x14ac:dyDescent="0.25">
      <c r="A17816" t="str">
        <f>"7704216778"</f>
        <v>7704216778</v>
      </c>
      <c r="B17816" t="s">
        <v>24917</v>
      </c>
      <c r="C17816" t="s">
        <v>7</v>
      </c>
      <c r="D17816" t="s">
        <v>674</v>
      </c>
      <c r="E17816" t="s">
        <v>23161</v>
      </c>
      <c r="F17816" t="s">
        <v>24918</v>
      </c>
    </row>
    <row r="17817" spans="1:6" x14ac:dyDescent="0.25">
      <c r="A17817" t="str">
        <f>"7704217309"</f>
        <v>7704217309</v>
      </c>
      <c r="B17817" t="s">
        <v>24919</v>
      </c>
      <c r="C17817" t="s">
        <v>7</v>
      </c>
      <c r="D17817" t="s">
        <v>28</v>
      </c>
      <c r="E17817" t="s">
        <v>23161</v>
      </c>
      <c r="F17817" t="s">
        <v>24920</v>
      </c>
    </row>
    <row r="17818" spans="1:6" x14ac:dyDescent="0.25">
      <c r="A17818" t="str">
        <f>"7704244550"</f>
        <v>7704244550</v>
      </c>
      <c r="B17818" t="s">
        <v>24921</v>
      </c>
      <c r="C17818" t="s">
        <v>7</v>
      </c>
      <c r="D17818" t="s">
        <v>14</v>
      </c>
      <c r="E17818" t="s">
        <v>23161</v>
      </c>
      <c r="F17818" t="s">
        <v>24922</v>
      </c>
    </row>
    <row r="17819" spans="1:6" x14ac:dyDescent="0.25">
      <c r="A17819" t="str">
        <f>"7704460328"</f>
        <v>7704460328</v>
      </c>
      <c r="B17819" t="s">
        <v>24923</v>
      </c>
      <c r="C17819" t="s">
        <v>7</v>
      </c>
      <c r="D17819" t="s">
        <v>33</v>
      </c>
      <c r="E17819" t="s">
        <v>23161</v>
      </c>
      <c r="F17819" t="s">
        <v>24924</v>
      </c>
    </row>
    <row r="17820" spans="1:6" x14ac:dyDescent="0.25">
      <c r="A17820" t="str">
        <f>"7704490322"</f>
        <v>7704490322</v>
      </c>
      <c r="B17820" t="s">
        <v>24925</v>
      </c>
      <c r="C17820" t="s">
        <v>7</v>
      </c>
      <c r="D17820" t="s">
        <v>1430</v>
      </c>
      <c r="E17820" t="s">
        <v>23161</v>
      </c>
      <c r="F17820" t="s">
        <v>24926</v>
      </c>
    </row>
    <row r="17821" spans="1:6" x14ac:dyDescent="0.25">
      <c r="A17821" t="str">
        <f>"770501621002"</f>
        <v>770501621002</v>
      </c>
      <c r="B17821" t="s">
        <v>24927</v>
      </c>
      <c r="C17821" t="s">
        <v>7</v>
      </c>
      <c r="D17821" t="s">
        <v>12</v>
      </c>
      <c r="E17821" t="s">
        <v>23161</v>
      </c>
    </row>
    <row r="17822" spans="1:6" x14ac:dyDescent="0.25">
      <c r="A17822" t="str">
        <f>"7705581614"</f>
        <v>7705581614</v>
      </c>
      <c r="B17822" t="s">
        <v>24928</v>
      </c>
      <c r="C17822" t="s">
        <v>7</v>
      </c>
      <c r="D17822" t="s">
        <v>12</v>
      </c>
      <c r="E17822" t="s">
        <v>23161</v>
      </c>
      <c r="F17822" t="s">
        <v>24929</v>
      </c>
    </row>
    <row r="17823" spans="1:6" x14ac:dyDescent="0.25">
      <c r="A17823" t="str">
        <f>"7705860199"</f>
        <v>7705860199</v>
      </c>
      <c r="B17823" t="s">
        <v>24315</v>
      </c>
      <c r="C17823" t="s">
        <v>7</v>
      </c>
      <c r="D17823" t="s">
        <v>189</v>
      </c>
      <c r="E17823" t="s">
        <v>23161</v>
      </c>
      <c r="F17823" t="s">
        <v>24930</v>
      </c>
    </row>
    <row r="17824" spans="1:6" x14ac:dyDescent="0.25">
      <c r="A17824" t="str">
        <f>"7705981210"</f>
        <v>7705981210</v>
      </c>
      <c r="B17824" t="s">
        <v>24931</v>
      </c>
      <c r="C17824" t="s">
        <v>7</v>
      </c>
      <c r="D17824" t="s">
        <v>8</v>
      </c>
      <c r="E17824" t="s">
        <v>23161</v>
      </c>
      <c r="F17824" t="s">
        <v>24932</v>
      </c>
    </row>
    <row r="17825" spans="1:6" x14ac:dyDescent="0.25">
      <c r="A17825" t="str">
        <f>"7705985060"</f>
        <v>7705985060</v>
      </c>
      <c r="B17825" t="s">
        <v>24933</v>
      </c>
      <c r="C17825" t="s">
        <v>7</v>
      </c>
      <c r="D17825" t="s">
        <v>14</v>
      </c>
      <c r="E17825" t="s">
        <v>23161</v>
      </c>
      <c r="F17825" t="s">
        <v>24934</v>
      </c>
    </row>
    <row r="17826" spans="1:6" x14ac:dyDescent="0.25">
      <c r="A17826" t="str">
        <f>"7706168167"</f>
        <v>7706168167</v>
      </c>
      <c r="B17826" t="s">
        <v>24935</v>
      </c>
      <c r="C17826" t="s">
        <v>7</v>
      </c>
      <c r="D17826" t="s">
        <v>14</v>
      </c>
      <c r="E17826" t="s">
        <v>23161</v>
      </c>
      <c r="F17826" t="s">
        <v>24936</v>
      </c>
    </row>
    <row r="17827" spans="1:6" x14ac:dyDescent="0.25">
      <c r="A17827" t="str">
        <f>"7706241963"</f>
        <v>7706241963</v>
      </c>
      <c r="B17827" t="s">
        <v>24937</v>
      </c>
      <c r="C17827" t="s">
        <v>7</v>
      </c>
      <c r="D17827" t="s">
        <v>14</v>
      </c>
      <c r="E17827" t="s">
        <v>23161</v>
      </c>
      <c r="F17827" t="s">
        <v>24938</v>
      </c>
    </row>
    <row r="17828" spans="1:6" x14ac:dyDescent="0.25">
      <c r="A17828" t="str">
        <f>"7706400780"</f>
        <v>7706400780</v>
      </c>
      <c r="B17828" t="s">
        <v>24939</v>
      </c>
      <c r="C17828" t="s">
        <v>7</v>
      </c>
      <c r="D17828" t="s">
        <v>674</v>
      </c>
      <c r="E17828" t="s">
        <v>23161</v>
      </c>
      <c r="F17828" t="s">
        <v>24940</v>
      </c>
    </row>
    <row r="17829" spans="1:6" x14ac:dyDescent="0.25">
      <c r="A17829" t="str">
        <f>"7706444385"</f>
        <v>7706444385</v>
      </c>
      <c r="B17829" t="s">
        <v>24941</v>
      </c>
      <c r="C17829" t="s">
        <v>7</v>
      </c>
      <c r="D17829" t="s">
        <v>28</v>
      </c>
      <c r="E17829" t="s">
        <v>23161</v>
      </c>
      <c r="F17829" t="s">
        <v>24942</v>
      </c>
    </row>
    <row r="17830" spans="1:6" x14ac:dyDescent="0.25">
      <c r="A17830" t="str">
        <f>"7706735722"</f>
        <v>7706735722</v>
      </c>
      <c r="B17830" t="s">
        <v>24943</v>
      </c>
      <c r="C17830" t="s">
        <v>7</v>
      </c>
      <c r="D17830" t="s">
        <v>12</v>
      </c>
      <c r="E17830" t="s">
        <v>23161</v>
      </c>
      <c r="F17830" t="s">
        <v>24944</v>
      </c>
    </row>
    <row r="17831" spans="1:6" x14ac:dyDescent="0.25">
      <c r="A17831" t="str">
        <f>"7706782000"</f>
        <v>7706782000</v>
      </c>
      <c r="B17831" t="s">
        <v>24945</v>
      </c>
      <c r="C17831" t="s">
        <v>7</v>
      </c>
      <c r="D17831" t="s">
        <v>33</v>
      </c>
      <c r="E17831" t="s">
        <v>23161</v>
      </c>
      <c r="F17831" t="s">
        <v>24946</v>
      </c>
    </row>
    <row r="17832" spans="1:6" x14ac:dyDescent="0.25">
      <c r="A17832" t="str">
        <f>"7707419455"</f>
        <v>7707419455</v>
      </c>
      <c r="B17832" t="s">
        <v>24947</v>
      </c>
      <c r="C17832" t="s">
        <v>7</v>
      </c>
      <c r="D17832" t="s">
        <v>674</v>
      </c>
      <c r="E17832" t="s">
        <v>23161</v>
      </c>
      <c r="F17832" t="s">
        <v>24948</v>
      </c>
    </row>
    <row r="17833" spans="1:6" x14ac:dyDescent="0.25">
      <c r="A17833" t="str">
        <f>"7720817328"</f>
        <v>7720817328</v>
      </c>
      <c r="B17833" t="s">
        <v>24949</v>
      </c>
      <c r="C17833" t="s">
        <v>7</v>
      </c>
      <c r="D17833" t="s">
        <v>33</v>
      </c>
      <c r="E17833" t="s">
        <v>23161</v>
      </c>
      <c r="F17833" t="s">
        <v>24950</v>
      </c>
    </row>
    <row r="17834" spans="1:6" x14ac:dyDescent="0.25">
      <c r="A17834" t="str">
        <f>"772082754500"</f>
        <v>772082754500</v>
      </c>
      <c r="B17834" t="s">
        <v>24951</v>
      </c>
      <c r="C17834" t="s">
        <v>7</v>
      </c>
      <c r="D17834" t="s">
        <v>33</v>
      </c>
      <c r="E17834" t="s">
        <v>23161</v>
      </c>
    </row>
    <row r="17835" spans="1:6" x14ac:dyDescent="0.25">
      <c r="A17835" t="str">
        <f>"7721305347"</f>
        <v>7721305347</v>
      </c>
      <c r="B17835" t="s">
        <v>24952</v>
      </c>
      <c r="C17835" t="s">
        <v>7</v>
      </c>
      <c r="D17835" t="s">
        <v>14</v>
      </c>
      <c r="E17835" t="s">
        <v>23161</v>
      </c>
      <c r="F17835" t="s">
        <v>24953</v>
      </c>
    </row>
    <row r="17836" spans="1:6" x14ac:dyDescent="0.25">
      <c r="A17836" t="str">
        <f>"7721844807"</f>
        <v>7721844807</v>
      </c>
      <c r="B17836" t="s">
        <v>24954</v>
      </c>
      <c r="C17836" t="s">
        <v>7</v>
      </c>
      <c r="D17836" t="s">
        <v>8</v>
      </c>
      <c r="E17836" t="s">
        <v>23161</v>
      </c>
      <c r="F17836" t="s">
        <v>24955</v>
      </c>
    </row>
    <row r="17837" spans="1:6" x14ac:dyDescent="0.25">
      <c r="A17837" t="str">
        <f>"7722620020"</f>
        <v>7722620020</v>
      </c>
      <c r="B17837" t="s">
        <v>24956</v>
      </c>
      <c r="C17837" t="s">
        <v>7</v>
      </c>
      <c r="D17837" t="s">
        <v>674</v>
      </c>
      <c r="E17837" t="s">
        <v>23161</v>
      </c>
      <c r="F17837" t="s">
        <v>24957</v>
      </c>
    </row>
    <row r="17838" spans="1:6" x14ac:dyDescent="0.25">
      <c r="A17838" t="str">
        <f>"7722643099"</f>
        <v>7722643099</v>
      </c>
      <c r="B17838" t="s">
        <v>24958</v>
      </c>
      <c r="C17838" t="s">
        <v>7</v>
      </c>
      <c r="D17838" t="s">
        <v>189</v>
      </c>
      <c r="E17838" t="s">
        <v>23161</v>
      </c>
      <c r="F17838" t="s">
        <v>24959</v>
      </c>
    </row>
    <row r="17839" spans="1:6" x14ac:dyDescent="0.25">
      <c r="A17839" t="str">
        <f>"7723017175"</f>
        <v>7723017175</v>
      </c>
      <c r="B17839" t="s">
        <v>24960</v>
      </c>
      <c r="C17839" t="s">
        <v>7</v>
      </c>
      <c r="D17839" t="s">
        <v>586</v>
      </c>
      <c r="E17839" t="s">
        <v>23161</v>
      </c>
      <c r="F17839" t="s">
        <v>24961</v>
      </c>
    </row>
    <row r="17840" spans="1:6" x14ac:dyDescent="0.25">
      <c r="A17840" t="str">
        <f>"772316857046"</f>
        <v>772316857046</v>
      </c>
      <c r="B17840" t="s">
        <v>24962</v>
      </c>
      <c r="C17840" t="s">
        <v>7</v>
      </c>
      <c r="D17840" t="s">
        <v>12</v>
      </c>
      <c r="E17840" t="s">
        <v>23161</v>
      </c>
    </row>
    <row r="17841" spans="1:6" x14ac:dyDescent="0.25">
      <c r="A17841" t="str">
        <f>"7723182877"</f>
        <v>7723182877</v>
      </c>
      <c r="B17841" t="s">
        <v>24963</v>
      </c>
      <c r="C17841" t="s">
        <v>7</v>
      </c>
      <c r="D17841" t="s">
        <v>8</v>
      </c>
      <c r="E17841" t="s">
        <v>23161</v>
      </c>
      <c r="F17841" t="s">
        <v>24964</v>
      </c>
    </row>
    <row r="17842" spans="1:6" x14ac:dyDescent="0.25">
      <c r="A17842" t="str">
        <f>"7723417286"</f>
        <v>7723417286</v>
      </c>
      <c r="B17842" t="s">
        <v>24965</v>
      </c>
      <c r="C17842" t="s">
        <v>7</v>
      </c>
      <c r="D17842" t="s">
        <v>98</v>
      </c>
      <c r="E17842" t="s">
        <v>23161</v>
      </c>
      <c r="F17842" t="s">
        <v>24966</v>
      </c>
    </row>
    <row r="17843" spans="1:6" x14ac:dyDescent="0.25">
      <c r="A17843" t="str">
        <f>"772343797050"</f>
        <v>772343797050</v>
      </c>
      <c r="B17843" t="s">
        <v>24967</v>
      </c>
      <c r="C17843" t="s">
        <v>7</v>
      </c>
      <c r="D17843" t="s">
        <v>14</v>
      </c>
      <c r="E17843" t="s">
        <v>23161</v>
      </c>
    </row>
    <row r="17844" spans="1:6" x14ac:dyDescent="0.25">
      <c r="A17844" t="str">
        <f>"7723919550"</f>
        <v>7723919550</v>
      </c>
      <c r="B17844" t="s">
        <v>24968</v>
      </c>
      <c r="C17844" t="s">
        <v>7</v>
      </c>
      <c r="D17844" t="s">
        <v>674</v>
      </c>
      <c r="E17844" t="s">
        <v>23161</v>
      </c>
      <c r="F17844" t="s">
        <v>24528</v>
      </c>
    </row>
    <row r="17845" spans="1:6" x14ac:dyDescent="0.25">
      <c r="A17845" t="str">
        <f>"772446013565"</f>
        <v>772446013565</v>
      </c>
      <c r="B17845" t="s">
        <v>24969</v>
      </c>
      <c r="C17845" t="s">
        <v>7</v>
      </c>
      <c r="D17845" t="s">
        <v>33</v>
      </c>
      <c r="E17845" t="s">
        <v>23161</v>
      </c>
    </row>
    <row r="17846" spans="1:6" x14ac:dyDescent="0.25">
      <c r="A17846" t="str">
        <f>"7725693620"</f>
        <v>7725693620</v>
      </c>
      <c r="B17846" t="s">
        <v>18857</v>
      </c>
      <c r="C17846" t="s">
        <v>7</v>
      </c>
      <c r="D17846" t="s">
        <v>12</v>
      </c>
      <c r="E17846" t="s">
        <v>23161</v>
      </c>
      <c r="F17846" t="s">
        <v>24970</v>
      </c>
    </row>
    <row r="17847" spans="1:6" x14ac:dyDescent="0.25">
      <c r="A17847" t="str">
        <f>"772606892067"</f>
        <v>772606892067</v>
      </c>
      <c r="B17847" t="s">
        <v>24971</v>
      </c>
      <c r="C17847" t="s">
        <v>7</v>
      </c>
      <c r="D17847" t="s">
        <v>14</v>
      </c>
      <c r="E17847" t="s">
        <v>23161</v>
      </c>
    </row>
    <row r="17848" spans="1:6" x14ac:dyDescent="0.25">
      <c r="A17848" t="str">
        <f>"7726385018"</f>
        <v>7726385018</v>
      </c>
      <c r="B17848" t="s">
        <v>24972</v>
      </c>
      <c r="C17848" t="s">
        <v>7</v>
      </c>
      <c r="D17848" t="s">
        <v>8</v>
      </c>
      <c r="E17848" t="s">
        <v>23161</v>
      </c>
      <c r="F17848" t="s">
        <v>24973</v>
      </c>
    </row>
    <row r="17849" spans="1:6" x14ac:dyDescent="0.25">
      <c r="A17849" t="str">
        <f>"7726726469"</f>
        <v>7726726469</v>
      </c>
      <c r="B17849" t="s">
        <v>24974</v>
      </c>
      <c r="C17849" t="s">
        <v>7</v>
      </c>
      <c r="D17849" t="s">
        <v>1430</v>
      </c>
      <c r="E17849" t="s">
        <v>23161</v>
      </c>
      <c r="F17849" t="s">
        <v>24975</v>
      </c>
    </row>
    <row r="17850" spans="1:6" x14ac:dyDescent="0.25">
      <c r="A17850" t="str">
        <f>"7726762097"</f>
        <v>7726762097</v>
      </c>
      <c r="B17850" t="s">
        <v>24976</v>
      </c>
      <c r="C17850" t="s">
        <v>7</v>
      </c>
      <c r="D17850" t="s">
        <v>12</v>
      </c>
      <c r="E17850" t="s">
        <v>23161</v>
      </c>
      <c r="F17850" t="s">
        <v>24977</v>
      </c>
    </row>
    <row r="17851" spans="1:6" x14ac:dyDescent="0.25">
      <c r="A17851" t="str">
        <f>"772703624000"</f>
        <v>772703624000</v>
      </c>
      <c r="B17851" t="s">
        <v>24978</v>
      </c>
      <c r="C17851" t="s">
        <v>7</v>
      </c>
      <c r="D17851" t="s">
        <v>12</v>
      </c>
      <c r="E17851" t="s">
        <v>23161</v>
      </c>
    </row>
    <row r="17852" spans="1:6" x14ac:dyDescent="0.25">
      <c r="A17852" t="str">
        <f>"7727304290"</f>
        <v>7727304290</v>
      </c>
      <c r="B17852" t="s">
        <v>24979</v>
      </c>
      <c r="C17852" t="s">
        <v>7</v>
      </c>
      <c r="D17852" t="s">
        <v>674</v>
      </c>
      <c r="E17852" t="s">
        <v>23161</v>
      </c>
      <c r="F17852" t="s">
        <v>24980</v>
      </c>
    </row>
    <row r="17853" spans="1:6" x14ac:dyDescent="0.25">
      <c r="A17853" t="str">
        <f>"7727446739"</f>
        <v>7727446739</v>
      </c>
      <c r="B17853" t="s">
        <v>24981</v>
      </c>
      <c r="C17853" t="s">
        <v>7</v>
      </c>
      <c r="D17853" t="s">
        <v>33</v>
      </c>
      <c r="E17853" t="s">
        <v>23161</v>
      </c>
      <c r="F17853" t="s">
        <v>24982</v>
      </c>
    </row>
    <row r="17854" spans="1:6" x14ac:dyDescent="0.25">
      <c r="A17854" t="str">
        <f>"7728235610"</f>
        <v>7728235610</v>
      </c>
      <c r="B17854" t="s">
        <v>24983</v>
      </c>
      <c r="C17854" t="s">
        <v>7</v>
      </c>
      <c r="D17854" t="s">
        <v>14</v>
      </c>
      <c r="E17854" t="s">
        <v>23161</v>
      </c>
      <c r="F17854" t="s">
        <v>24984</v>
      </c>
    </row>
    <row r="17855" spans="1:6" x14ac:dyDescent="0.25">
      <c r="A17855" t="str">
        <f>"772823610249"</f>
        <v>772823610249</v>
      </c>
      <c r="B17855" t="s">
        <v>24985</v>
      </c>
      <c r="C17855" t="s">
        <v>7</v>
      </c>
      <c r="D17855" t="s">
        <v>12</v>
      </c>
      <c r="E17855" t="s">
        <v>23161</v>
      </c>
    </row>
    <row r="17856" spans="1:6" x14ac:dyDescent="0.25">
      <c r="A17856" t="str">
        <f>"772851339327"</f>
        <v>772851339327</v>
      </c>
      <c r="B17856" t="s">
        <v>24986</v>
      </c>
      <c r="C17856" t="s">
        <v>7</v>
      </c>
      <c r="D17856" t="s">
        <v>33</v>
      </c>
      <c r="E17856" t="s">
        <v>23161</v>
      </c>
    </row>
    <row r="17857" spans="1:6" x14ac:dyDescent="0.25">
      <c r="A17857" t="str">
        <f>"7728551528"</f>
        <v>7728551528</v>
      </c>
      <c r="B17857" t="s">
        <v>24987</v>
      </c>
      <c r="C17857" t="s">
        <v>7</v>
      </c>
      <c r="D17857" t="s">
        <v>28</v>
      </c>
      <c r="E17857" t="s">
        <v>23161</v>
      </c>
      <c r="F17857" t="s">
        <v>24988</v>
      </c>
    </row>
    <row r="17858" spans="1:6" x14ac:dyDescent="0.25">
      <c r="A17858" t="str">
        <f>"7728644821"</f>
        <v>7728644821</v>
      </c>
      <c r="B17858" t="s">
        <v>24989</v>
      </c>
      <c r="C17858" t="s">
        <v>7</v>
      </c>
      <c r="D17858" t="s">
        <v>674</v>
      </c>
      <c r="E17858" t="s">
        <v>23161</v>
      </c>
      <c r="F17858" t="s">
        <v>24990</v>
      </c>
    </row>
    <row r="17859" spans="1:6" x14ac:dyDescent="0.25">
      <c r="A17859" t="str">
        <f>"772908117995"</f>
        <v>772908117995</v>
      </c>
      <c r="B17859" t="s">
        <v>24991</v>
      </c>
      <c r="C17859" t="s">
        <v>7</v>
      </c>
      <c r="D17859" t="s">
        <v>14</v>
      </c>
      <c r="E17859" t="s">
        <v>23161</v>
      </c>
    </row>
    <row r="17860" spans="1:6" x14ac:dyDescent="0.25">
      <c r="A17860" t="str">
        <f>"7729773266"</f>
        <v>7729773266</v>
      </c>
      <c r="B17860" t="s">
        <v>24992</v>
      </c>
      <c r="C17860" t="s">
        <v>7</v>
      </c>
      <c r="D17860" t="s">
        <v>12</v>
      </c>
      <c r="E17860" t="s">
        <v>23161</v>
      </c>
      <c r="F17860" t="s">
        <v>24993</v>
      </c>
    </row>
    <row r="17861" spans="1:6" x14ac:dyDescent="0.25">
      <c r="A17861" t="str">
        <f>"7730208639"</f>
        <v>7730208639</v>
      </c>
      <c r="B17861" t="s">
        <v>24994</v>
      </c>
      <c r="C17861" t="s">
        <v>7</v>
      </c>
      <c r="D17861" t="s">
        <v>14</v>
      </c>
      <c r="E17861" t="s">
        <v>23161</v>
      </c>
      <c r="F17861" t="s">
        <v>23398</v>
      </c>
    </row>
    <row r="17862" spans="1:6" x14ac:dyDescent="0.25">
      <c r="A17862" t="str">
        <f>"7730222880"</f>
        <v>7730222880</v>
      </c>
      <c r="B17862" t="s">
        <v>24995</v>
      </c>
      <c r="C17862" t="s">
        <v>7</v>
      </c>
      <c r="D17862" t="s">
        <v>189</v>
      </c>
      <c r="E17862" t="s">
        <v>23161</v>
      </c>
      <c r="F17862" t="s">
        <v>24996</v>
      </c>
    </row>
    <row r="17863" spans="1:6" x14ac:dyDescent="0.25">
      <c r="A17863" t="str">
        <f>"7730253670"</f>
        <v>7730253670</v>
      </c>
      <c r="B17863" t="s">
        <v>24997</v>
      </c>
      <c r="C17863" t="s">
        <v>7</v>
      </c>
      <c r="D17863" t="s">
        <v>674</v>
      </c>
      <c r="E17863" t="s">
        <v>23161</v>
      </c>
      <c r="F17863" t="s">
        <v>24998</v>
      </c>
    </row>
    <row r="17864" spans="1:6" x14ac:dyDescent="0.25">
      <c r="A17864" t="str">
        <f>"7730534150"</f>
        <v>7730534150</v>
      </c>
      <c r="B17864" t="s">
        <v>24999</v>
      </c>
      <c r="C17864" t="s">
        <v>7</v>
      </c>
      <c r="D17864" t="s">
        <v>8</v>
      </c>
      <c r="E17864" t="s">
        <v>23161</v>
      </c>
      <c r="F17864" t="s">
        <v>25000</v>
      </c>
    </row>
    <row r="17865" spans="1:6" x14ac:dyDescent="0.25">
      <c r="A17865" t="str">
        <f>"7730569353"</f>
        <v>7730569353</v>
      </c>
      <c r="B17865" t="s">
        <v>25001</v>
      </c>
      <c r="C17865" t="s">
        <v>7</v>
      </c>
      <c r="D17865" t="s">
        <v>12</v>
      </c>
      <c r="E17865" t="s">
        <v>23161</v>
      </c>
      <c r="F17865" t="s">
        <v>23864</v>
      </c>
    </row>
    <row r="17866" spans="1:6" x14ac:dyDescent="0.25">
      <c r="A17866" t="str">
        <f>"7730675129"</f>
        <v>7730675129</v>
      </c>
      <c r="B17866" t="s">
        <v>25002</v>
      </c>
      <c r="C17866" t="s">
        <v>7</v>
      </c>
      <c r="D17866" t="s">
        <v>33</v>
      </c>
      <c r="E17866" t="s">
        <v>23161</v>
      </c>
      <c r="F17866" t="s">
        <v>25003</v>
      </c>
    </row>
    <row r="17867" spans="1:6" x14ac:dyDescent="0.25">
      <c r="A17867" t="str">
        <f>"7730707645"</f>
        <v>7730707645</v>
      </c>
      <c r="B17867" t="s">
        <v>25004</v>
      </c>
      <c r="C17867" t="s">
        <v>7</v>
      </c>
      <c r="D17867" t="s">
        <v>189</v>
      </c>
      <c r="E17867" t="s">
        <v>23161</v>
      </c>
      <c r="F17867" t="s">
        <v>25005</v>
      </c>
    </row>
    <row r="17868" spans="1:6" x14ac:dyDescent="0.25">
      <c r="A17868" t="str">
        <f>"7731327942"</f>
        <v>7731327942</v>
      </c>
      <c r="B17868" t="s">
        <v>1291</v>
      </c>
      <c r="C17868" t="s">
        <v>7</v>
      </c>
      <c r="D17868" t="s">
        <v>12</v>
      </c>
      <c r="E17868" t="s">
        <v>23161</v>
      </c>
      <c r="F17868" t="s">
        <v>25006</v>
      </c>
    </row>
    <row r="17869" spans="1:6" x14ac:dyDescent="0.25">
      <c r="A17869" t="str">
        <f>"7731350282"</f>
        <v>7731350282</v>
      </c>
      <c r="B17869" t="s">
        <v>25007</v>
      </c>
      <c r="C17869" t="s">
        <v>7</v>
      </c>
      <c r="D17869" t="s">
        <v>12</v>
      </c>
      <c r="E17869" t="s">
        <v>23161</v>
      </c>
      <c r="F17869" t="s">
        <v>25008</v>
      </c>
    </row>
    <row r="17870" spans="1:6" x14ac:dyDescent="0.25">
      <c r="A17870" t="str">
        <f>"773301343138"</f>
        <v>773301343138</v>
      </c>
      <c r="B17870" t="s">
        <v>25009</v>
      </c>
      <c r="C17870" t="s">
        <v>7</v>
      </c>
      <c r="D17870" t="s">
        <v>14</v>
      </c>
      <c r="E17870" t="s">
        <v>23161</v>
      </c>
    </row>
    <row r="17871" spans="1:6" x14ac:dyDescent="0.25">
      <c r="A17871" t="str">
        <f>"7733247298"</f>
        <v>7733247298</v>
      </c>
      <c r="B17871" t="s">
        <v>25010</v>
      </c>
      <c r="C17871" t="s">
        <v>7</v>
      </c>
      <c r="D17871" t="s">
        <v>189</v>
      </c>
      <c r="E17871" t="s">
        <v>23161</v>
      </c>
      <c r="F17871" t="s">
        <v>25011</v>
      </c>
    </row>
    <row r="17872" spans="1:6" x14ac:dyDescent="0.25">
      <c r="A17872" t="str">
        <f>"7733669807"</f>
        <v>7733669807</v>
      </c>
      <c r="B17872" t="s">
        <v>25012</v>
      </c>
      <c r="C17872" t="s">
        <v>7</v>
      </c>
      <c r="D17872" t="s">
        <v>8</v>
      </c>
      <c r="E17872" t="s">
        <v>23161</v>
      </c>
      <c r="F17872" t="s">
        <v>25013</v>
      </c>
    </row>
    <row r="17873" spans="1:6" x14ac:dyDescent="0.25">
      <c r="A17873" t="str">
        <f>"773370779398"</f>
        <v>773370779398</v>
      </c>
      <c r="B17873" t="s">
        <v>25014</v>
      </c>
      <c r="C17873" t="s">
        <v>7</v>
      </c>
      <c r="D17873" t="s">
        <v>14</v>
      </c>
      <c r="E17873" t="s">
        <v>23161</v>
      </c>
    </row>
    <row r="17874" spans="1:6" x14ac:dyDescent="0.25">
      <c r="A17874" t="str">
        <f>"7734452853"</f>
        <v>7734452853</v>
      </c>
      <c r="B17874" t="s">
        <v>25015</v>
      </c>
      <c r="C17874" t="s">
        <v>7</v>
      </c>
      <c r="D17874" t="s">
        <v>14</v>
      </c>
      <c r="E17874" t="s">
        <v>23161</v>
      </c>
      <c r="F17874" t="s">
        <v>25016</v>
      </c>
    </row>
    <row r="17875" spans="1:6" x14ac:dyDescent="0.25">
      <c r="A17875" t="str">
        <f>"773512981901"</f>
        <v>773512981901</v>
      </c>
      <c r="B17875" t="s">
        <v>25017</v>
      </c>
      <c r="C17875" t="s">
        <v>7</v>
      </c>
      <c r="D17875" t="s">
        <v>14</v>
      </c>
      <c r="E17875" t="s">
        <v>23161</v>
      </c>
    </row>
    <row r="17876" spans="1:6" x14ac:dyDescent="0.25">
      <c r="A17876" t="str">
        <f>"7735543687"</f>
        <v>7735543687</v>
      </c>
      <c r="B17876" t="s">
        <v>25018</v>
      </c>
      <c r="C17876" t="s">
        <v>7</v>
      </c>
      <c r="D17876" t="s">
        <v>12</v>
      </c>
      <c r="E17876" t="s">
        <v>23161</v>
      </c>
      <c r="F17876" t="s">
        <v>25019</v>
      </c>
    </row>
    <row r="17877" spans="1:6" x14ac:dyDescent="0.25">
      <c r="A17877" t="str">
        <f>"773573172802"</f>
        <v>773573172802</v>
      </c>
      <c r="B17877" t="s">
        <v>25020</v>
      </c>
      <c r="C17877" t="s">
        <v>7</v>
      </c>
      <c r="D17877" t="s">
        <v>14</v>
      </c>
      <c r="E17877" t="s">
        <v>23161</v>
      </c>
    </row>
    <row r="17878" spans="1:6" x14ac:dyDescent="0.25">
      <c r="A17878" t="str">
        <f>"773574560685"</f>
        <v>773574560685</v>
      </c>
      <c r="B17878" t="s">
        <v>25021</v>
      </c>
      <c r="C17878" t="s">
        <v>7</v>
      </c>
      <c r="D17878" t="s">
        <v>12</v>
      </c>
      <c r="E17878" t="s">
        <v>23161</v>
      </c>
    </row>
    <row r="17879" spans="1:6" x14ac:dyDescent="0.25">
      <c r="A17879" t="str">
        <f>"7736333273"</f>
        <v>7736333273</v>
      </c>
      <c r="B17879" t="s">
        <v>25022</v>
      </c>
      <c r="C17879" t="s">
        <v>7</v>
      </c>
      <c r="D17879" t="s">
        <v>8</v>
      </c>
      <c r="E17879" t="s">
        <v>23161</v>
      </c>
      <c r="F17879" t="s">
        <v>25023</v>
      </c>
    </row>
    <row r="17880" spans="1:6" x14ac:dyDescent="0.25">
      <c r="A17880" t="str">
        <f>"7736367610"</f>
        <v>7736367610</v>
      </c>
      <c r="B17880" t="s">
        <v>25024</v>
      </c>
      <c r="C17880" t="s">
        <v>7</v>
      </c>
      <c r="D17880" t="s">
        <v>14</v>
      </c>
      <c r="E17880" t="s">
        <v>23161</v>
      </c>
      <c r="F17880" t="s">
        <v>25025</v>
      </c>
    </row>
    <row r="17881" spans="1:6" x14ac:dyDescent="0.25">
      <c r="A17881" t="str">
        <f>"774300996094"</f>
        <v>774300996094</v>
      </c>
      <c r="B17881" t="s">
        <v>25026</v>
      </c>
      <c r="C17881" t="s">
        <v>7</v>
      </c>
      <c r="D17881" t="s">
        <v>14</v>
      </c>
      <c r="E17881" t="s">
        <v>23161</v>
      </c>
    </row>
    <row r="17882" spans="1:6" x14ac:dyDescent="0.25">
      <c r="A17882" t="str">
        <f>"7743178903"</f>
        <v>7743178903</v>
      </c>
      <c r="B17882" t="s">
        <v>11786</v>
      </c>
      <c r="C17882" t="s">
        <v>7</v>
      </c>
      <c r="D17882" t="s">
        <v>12</v>
      </c>
      <c r="E17882" t="s">
        <v>23161</v>
      </c>
      <c r="F17882" t="s">
        <v>25027</v>
      </c>
    </row>
    <row r="17883" spans="1:6" x14ac:dyDescent="0.25">
      <c r="A17883" t="str">
        <f>"7743203589"</f>
        <v>7743203589</v>
      </c>
      <c r="B17883" t="s">
        <v>24584</v>
      </c>
      <c r="C17883" t="s">
        <v>7</v>
      </c>
      <c r="D17883" t="s">
        <v>98</v>
      </c>
      <c r="E17883" t="s">
        <v>23161</v>
      </c>
      <c r="F17883" t="s">
        <v>25028</v>
      </c>
    </row>
    <row r="17884" spans="1:6" x14ac:dyDescent="0.25">
      <c r="A17884" t="str">
        <f>"7743209527"</f>
        <v>7743209527</v>
      </c>
      <c r="B17884" t="s">
        <v>25029</v>
      </c>
      <c r="C17884" t="s">
        <v>7</v>
      </c>
      <c r="D17884" t="s">
        <v>463</v>
      </c>
      <c r="E17884" t="s">
        <v>23161</v>
      </c>
      <c r="F17884" t="s">
        <v>25030</v>
      </c>
    </row>
    <row r="17885" spans="1:6" x14ac:dyDescent="0.25">
      <c r="A17885" t="str">
        <f>"7743601124"</f>
        <v>7743601124</v>
      </c>
      <c r="B17885" t="s">
        <v>25031</v>
      </c>
      <c r="C17885" t="s">
        <v>7</v>
      </c>
      <c r="D17885" t="s">
        <v>12</v>
      </c>
      <c r="E17885" t="s">
        <v>23161</v>
      </c>
      <c r="F17885" t="s">
        <v>25032</v>
      </c>
    </row>
    <row r="17886" spans="1:6" x14ac:dyDescent="0.25">
      <c r="A17886" t="str">
        <f>"7743734773"</f>
        <v>7743734773</v>
      </c>
      <c r="B17886" t="s">
        <v>25033</v>
      </c>
      <c r="C17886" t="s">
        <v>7</v>
      </c>
      <c r="D17886" t="s">
        <v>12</v>
      </c>
      <c r="E17886" t="s">
        <v>23161</v>
      </c>
      <c r="F17886" t="s">
        <v>25034</v>
      </c>
    </row>
    <row r="17887" spans="1:6" x14ac:dyDescent="0.25">
      <c r="A17887" t="str">
        <f>"7743738295"</f>
        <v>7743738295</v>
      </c>
      <c r="B17887" t="s">
        <v>25035</v>
      </c>
      <c r="C17887" t="s">
        <v>7</v>
      </c>
      <c r="D17887" t="s">
        <v>12</v>
      </c>
      <c r="E17887" t="s">
        <v>23161</v>
      </c>
      <c r="F17887" t="s">
        <v>25036</v>
      </c>
    </row>
    <row r="17888" spans="1:6" x14ac:dyDescent="0.25">
      <c r="A17888" t="str">
        <f>"7743827241"</f>
        <v>7743827241</v>
      </c>
      <c r="B17888" t="s">
        <v>25037</v>
      </c>
      <c r="C17888" t="s">
        <v>7</v>
      </c>
      <c r="D17888" t="s">
        <v>674</v>
      </c>
      <c r="E17888" t="s">
        <v>23161</v>
      </c>
      <c r="F17888" t="s">
        <v>25038</v>
      </c>
    </row>
    <row r="17889" spans="1:6" x14ac:dyDescent="0.25">
      <c r="A17889" t="str">
        <f>"7751040095"</f>
        <v>7751040095</v>
      </c>
      <c r="B17889" t="s">
        <v>25039</v>
      </c>
      <c r="C17889" t="s">
        <v>7</v>
      </c>
      <c r="D17889" t="s">
        <v>33</v>
      </c>
      <c r="E17889" t="s">
        <v>23161</v>
      </c>
      <c r="F17889" t="s">
        <v>25040</v>
      </c>
    </row>
    <row r="17890" spans="1:6" x14ac:dyDescent="0.25">
      <c r="A17890" t="str">
        <f>"7751272900"</f>
        <v>7751272900</v>
      </c>
      <c r="B17890" t="s">
        <v>25041</v>
      </c>
      <c r="C17890" t="s">
        <v>7</v>
      </c>
      <c r="D17890" t="s">
        <v>98</v>
      </c>
      <c r="E17890" t="s">
        <v>23161</v>
      </c>
      <c r="F17890" t="s">
        <v>25042</v>
      </c>
    </row>
    <row r="17891" spans="1:6" x14ac:dyDescent="0.25">
      <c r="A17891" t="str">
        <f>"7751309980"</f>
        <v>7751309980</v>
      </c>
      <c r="B17891" t="s">
        <v>2296</v>
      </c>
      <c r="C17891" t="s">
        <v>7</v>
      </c>
      <c r="D17891" t="s">
        <v>460</v>
      </c>
      <c r="E17891" t="s">
        <v>23161</v>
      </c>
      <c r="F17891" t="s">
        <v>25043</v>
      </c>
    </row>
    <row r="17892" spans="1:6" x14ac:dyDescent="0.25">
      <c r="A17892" t="str">
        <f>"667471117127"</f>
        <v>667471117127</v>
      </c>
      <c r="B17892" t="s">
        <v>25044</v>
      </c>
      <c r="C17892" t="s">
        <v>7</v>
      </c>
      <c r="D17892" t="s">
        <v>14</v>
      </c>
      <c r="E17892" t="s">
        <v>23161</v>
      </c>
    </row>
    <row r="17893" spans="1:6" x14ac:dyDescent="0.25">
      <c r="A17893" t="str">
        <f>"6678043436"</f>
        <v>6678043436</v>
      </c>
      <c r="B17893" t="s">
        <v>25045</v>
      </c>
      <c r="C17893" t="s">
        <v>7</v>
      </c>
      <c r="D17893" t="s">
        <v>12</v>
      </c>
      <c r="E17893" t="s">
        <v>23161</v>
      </c>
      <c r="F17893" t="s">
        <v>25046</v>
      </c>
    </row>
    <row r="17894" spans="1:6" x14ac:dyDescent="0.25">
      <c r="A17894" t="str">
        <f>"402571149360"</f>
        <v>402571149360</v>
      </c>
      <c r="B17894" t="s">
        <v>25047</v>
      </c>
      <c r="C17894" t="s">
        <v>7</v>
      </c>
      <c r="D17894" t="s">
        <v>12</v>
      </c>
      <c r="E17894" t="s">
        <v>23161</v>
      </c>
    </row>
    <row r="17895" spans="1:6" x14ac:dyDescent="0.25">
      <c r="A17895" t="str">
        <f>"673006015000"</f>
        <v>673006015000</v>
      </c>
      <c r="B17895" t="s">
        <v>25048</v>
      </c>
      <c r="C17895" t="s">
        <v>7</v>
      </c>
      <c r="D17895" t="s">
        <v>12</v>
      </c>
      <c r="E17895" t="s">
        <v>23161</v>
      </c>
    </row>
    <row r="17896" spans="1:6" x14ac:dyDescent="0.25">
      <c r="A17896" t="str">
        <f>"6730079100"</f>
        <v>6730079100</v>
      </c>
      <c r="B17896" t="s">
        <v>25049</v>
      </c>
      <c r="C17896" t="s">
        <v>7</v>
      </c>
      <c r="D17896" t="s">
        <v>33</v>
      </c>
      <c r="E17896" t="s">
        <v>23161</v>
      </c>
      <c r="F17896" t="s">
        <v>25050</v>
      </c>
    </row>
    <row r="17897" spans="1:6" x14ac:dyDescent="0.25">
      <c r="A17897" t="str">
        <f>"673110985117"</f>
        <v>673110985117</v>
      </c>
      <c r="B17897" t="s">
        <v>25051</v>
      </c>
      <c r="C17897" t="s">
        <v>7</v>
      </c>
      <c r="D17897" t="s">
        <v>12</v>
      </c>
      <c r="E17897" t="s">
        <v>23161</v>
      </c>
    </row>
    <row r="17898" spans="1:6" x14ac:dyDescent="0.25">
      <c r="A17898" t="str">
        <f>"6732055048"</f>
        <v>6732055048</v>
      </c>
      <c r="B17898" t="s">
        <v>25052</v>
      </c>
      <c r="C17898" t="s">
        <v>7</v>
      </c>
      <c r="D17898" t="s">
        <v>8</v>
      </c>
      <c r="E17898" t="s">
        <v>23161</v>
      </c>
      <c r="F17898" t="s">
        <v>25053</v>
      </c>
    </row>
    <row r="17899" spans="1:6" x14ac:dyDescent="0.25">
      <c r="A17899" t="str">
        <f>"682502420377"</f>
        <v>682502420377</v>
      </c>
      <c r="B17899" t="s">
        <v>25054</v>
      </c>
      <c r="C17899" t="s">
        <v>7</v>
      </c>
      <c r="D17899" t="s">
        <v>14</v>
      </c>
      <c r="E17899" t="s">
        <v>23161</v>
      </c>
    </row>
    <row r="17900" spans="1:6" x14ac:dyDescent="0.25">
      <c r="A17900" t="str">
        <f>"1650079641"</f>
        <v>1650079641</v>
      </c>
      <c r="B17900" t="s">
        <v>25055</v>
      </c>
      <c r="C17900" t="s">
        <v>7</v>
      </c>
      <c r="D17900" t="s">
        <v>12</v>
      </c>
      <c r="E17900" t="s">
        <v>23161</v>
      </c>
      <c r="F17900" t="s">
        <v>25056</v>
      </c>
    </row>
    <row r="17901" spans="1:6" x14ac:dyDescent="0.25">
      <c r="A17901" t="str">
        <f>"671900018437"</f>
        <v>671900018437</v>
      </c>
      <c r="B17901" t="s">
        <v>25057</v>
      </c>
      <c r="C17901" t="s">
        <v>7</v>
      </c>
      <c r="D17901" t="s">
        <v>14</v>
      </c>
      <c r="E17901" t="s">
        <v>23161</v>
      </c>
    </row>
    <row r="17902" spans="1:6" x14ac:dyDescent="0.25">
      <c r="A17902" t="str">
        <f>"672600531400"</f>
        <v>672600531400</v>
      </c>
      <c r="B17902" t="s">
        <v>25058</v>
      </c>
      <c r="C17902" t="s">
        <v>7</v>
      </c>
      <c r="D17902" t="s">
        <v>14</v>
      </c>
      <c r="E17902" t="s">
        <v>23161</v>
      </c>
    </row>
    <row r="17903" spans="1:6" x14ac:dyDescent="0.25">
      <c r="A17903" t="str">
        <f>"4205124036"</f>
        <v>4205124036</v>
      </c>
      <c r="B17903" t="s">
        <v>25059</v>
      </c>
      <c r="C17903" t="s">
        <v>7</v>
      </c>
      <c r="D17903" t="s">
        <v>33</v>
      </c>
      <c r="E17903" t="s">
        <v>23161</v>
      </c>
      <c r="F17903" t="s">
        <v>25060</v>
      </c>
    </row>
    <row r="17904" spans="1:6" x14ac:dyDescent="0.25">
      <c r="A17904" t="str">
        <f>"321701426150"</f>
        <v>321701426150</v>
      </c>
      <c r="B17904" t="s">
        <v>25061</v>
      </c>
      <c r="C17904" t="s">
        <v>7</v>
      </c>
      <c r="D17904" t="s">
        <v>8</v>
      </c>
      <c r="E17904" t="s">
        <v>23161</v>
      </c>
    </row>
    <row r="17905" spans="1:6" x14ac:dyDescent="0.25">
      <c r="A17905" t="str">
        <f>"323300004813"</f>
        <v>323300004813</v>
      </c>
      <c r="B17905" t="s">
        <v>25062</v>
      </c>
      <c r="C17905" t="s">
        <v>7</v>
      </c>
      <c r="D17905" t="s">
        <v>12</v>
      </c>
      <c r="E17905" t="s">
        <v>23161</v>
      </c>
    </row>
    <row r="17906" spans="1:6" x14ac:dyDescent="0.25">
      <c r="A17906" t="str">
        <f>"610702792430"</f>
        <v>610702792430</v>
      </c>
      <c r="B17906" t="s">
        <v>25063</v>
      </c>
      <c r="C17906" t="s">
        <v>7</v>
      </c>
      <c r="D17906" t="s">
        <v>14</v>
      </c>
      <c r="E17906" t="s">
        <v>23161</v>
      </c>
    </row>
    <row r="17907" spans="1:6" x14ac:dyDescent="0.25">
      <c r="A17907" t="str">
        <f>"611404429791"</f>
        <v>611404429791</v>
      </c>
      <c r="B17907" t="s">
        <v>25064</v>
      </c>
      <c r="C17907" t="s">
        <v>7</v>
      </c>
      <c r="D17907" t="s">
        <v>8</v>
      </c>
      <c r="E17907" t="s">
        <v>23161</v>
      </c>
    </row>
    <row r="17908" spans="1:6" x14ac:dyDescent="0.25">
      <c r="A17908" t="str">
        <f>"611800088249"</f>
        <v>611800088249</v>
      </c>
      <c r="B17908" t="s">
        <v>25065</v>
      </c>
      <c r="C17908" t="s">
        <v>7</v>
      </c>
      <c r="D17908" t="s">
        <v>14</v>
      </c>
      <c r="E17908" t="s">
        <v>23161</v>
      </c>
    </row>
    <row r="17909" spans="1:6" x14ac:dyDescent="0.25">
      <c r="A17909" t="str">
        <f>"7716564949"</f>
        <v>7716564949</v>
      </c>
      <c r="B17909" t="s">
        <v>1622</v>
      </c>
      <c r="C17909" t="s">
        <v>7</v>
      </c>
      <c r="D17909" t="s">
        <v>14</v>
      </c>
      <c r="E17909" t="s">
        <v>23161</v>
      </c>
      <c r="F17909" t="s">
        <v>25066</v>
      </c>
    </row>
    <row r="17910" spans="1:6" x14ac:dyDescent="0.25">
      <c r="A17910" t="str">
        <f>"7716683657"</f>
        <v>7716683657</v>
      </c>
      <c r="B17910" t="s">
        <v>25067</v>
      </c>
      <c r="C17910" t="s">
        <v>7</v>
      </c>
      <c r="D17910" t="s">
        <v>33</v>
      </c>
      <c r="E17910" t="s">
        <v>23161</v>
      </c>
      <c r="F17910" t="s">
        <v>25068</v>
      </c>
    </row>
    <row r="17911" spans="1:6" x14ac:dyDescent="0.25">
      <c r="A17911" t="str">
        <f>"7716711375"</f>
        <v>7716711375</v>
      </c>
      <c r="B17911" t="s">
        <v>25069</v>
      </c>
      <c r="C17911" t="s">
        <v>7</v>
      </c>
      <c r="D17911" t="s">
        <v>12</v>
      </c>
      <c r="E17911" t="s">
        <v>23161</v>
      </c>
      <c r="F17911" t="s">
        <v>25070</v>
      </c>
    </row>
    <row r="17912" spans="1:6" x14ac:dyDescent="0.25">
      <c r="A17912" t="str">
        <f>"7716746307"</f>
        <v>7716746307</v>
      </c>
      <c r="B17912" t="s">
        <v>25071</v>
      </c>
      <c r="C17912" t="s">
        <v>7</v>
      </c>
      <c r="D17912" t="s">
        <v>14</v>
      </c>
      <c r="E17912" t="s">
        <v>23161</v>
      </c>
      <c r="F17912" t="s">
        <v>25072</v>
      </c>
    </row>
    <row r="17913" spans="1:6" x14ac:dyDescent="0.25">
      <c r="A17913" t="str">
        <f>"7716829955"</f>
        <v>7716829955</v>
      </c>
      <c r="B17913" t="s">
        <v>25073</v>
      </c>
      <c r="C17913" t="s">
        <v>7</v>
      </c>
      <c r="D17913" t="s">
        <v>33</v>
      </c>
      <c r="E17913" t="s">
        <v>23161</v>
      </c>
      <c r="F17913" t="s">
        <v>25074</v>
      </c>
    </row>
    <row r="17914" spans="1:6" x14ac:dyDescent="0.25">
      <c r="A17914" t="str">
        <f>"7716933561"</f>
        <v>7716933561</v>
      </c>
      <c r="B17914" t="s">
        <v>25075</v>
      </c>
      <c r="C17914" t="s">
        <v>7</v>
      </c>
      <c r="D17914" t="s">
        <v>146</v>
      </c>
      <c r="E17914" t="s">
        <v>23161</v>
      </c>
      <c r="F17914" t="s">
        <v>25076</v>
      </c>
    </row>
    <row r="17915" spans="1:6" x14ac:dyDescent="0.25">
      <c r="A17915" t="str">
        <f>"7716947236"</f>
        <v>7716947236</v>
      </c>
      <c r="B17915" t="s">
        <v>25077</v>
      </c>
      <c r="C17915" t="s">
        <v>7</v>
      </c>
      <c r="D17915" t="s">
        <v>33</v>
      </c>
      <c r="E17915" t="s">
        <v>23161</v>
      </c>
      <c r="F17915" t="s">
        <v>25078</v>
      </c>
    </row>
    <row r="17916" spans="1:6" x14ac:dyDescent="0.25">
      <c r="A17916" t="str">
        <f>"7716951828"</f>
        <v>7716951828</v>
      </c>
      <c r="B17916" t="s">
        <v>25079</v>
      </c>
      <c r="C17916" t="s">
        <v>7</v>
      </c>
      <c r="D17916" t="s">
        <v>146</v>
      </c>
      <c r="E17916" t="s">
        <v>23161</v>
      </c>
      <c r="F17916" t="s">
        <v>25080</v>
      </c>
    </row>
    <row r="17917" spans="1:6" x14ac:dyDescent="0.25">
      <c r="A17917" t="str">
        <f>"7716956833"</f>
        <v>7716956833</v>
      </c>
      <c r="B17917" t="s">
        <v>25081</v>
      </c>
      <c r="C17917" t="s">
        <v>7</v>
      </c>
      <c r="D17917" t="s">
        <v>146</v>
      </c>
      <c r="E17917" t="s">
        <v>23161</v>
      </c>
      <c r="F17917" t="s">
        <v>25082</v>
      </c>
    </row>
    <row r="17918" spans="1:6" x14ac:dyDescent="0.25">
      <c r="A17918" t="str">
        <f>"7716971038"</f>
        <v>7716971038</v>
      </c>
      <c r="B17918" t="s">
        <v>25083</v>
      </c>
      <c r="C17918" t="s">
        <v>7</v>
      </c>
      <c r="D17918" t="s">
        <v>33</v>
      </c>
      <c r="E17918" t="s">
        <v>23161</v>
      </c>
      <c r="F17918" t="s">
        <v>25084</v>
      </c>
    </row>
    <row r="17919" spans="1:6" x14ac:dyDescent="0.25">
      <c r="A17919" t="str">
        <f>"7717299838"</f>
        <v>7717299838</v>
      </c>
      <c r="B17919" t="s">
        <v>25085</v>
      </c>
      <c r="C17919" t="s">
        <v>7</v>
      </c>
      <c r="D17919" t="s">
        <v>33</v>
      </c>
      <c r="E17919" t="s">
        <v>23161</v>
      </c>
      <c r="F17919" t="s">
        <v>25086</v>
      </c>
    </row>
    <row r="17920" spans="1:6" x14ac:dyDescent="0.25">
      <c r="A17920" t="str">
        <f>"7717750560"</f>
        <v>7717750560</v>
      </c>
      <c r="B17920" t="s">
        <v>7045</v>
      </c>
      <c r="C17920" t="s">
        <v>7</v>
      </c>
      <c r="D17920" t="s">
        <v>674</v>
      </c>
      <c r="E17920" t="s">
        <v>23161</v>
      </c>
      <c r="F17920" t="s">
        <v>25087</v>
      </c>
    </row>
    <row r="17921" spans="1:6" x14ac:dyDescent="0.25">
      <c r="A17921" t="str">
        <f>"7717791849"</f>
        <v>7717791849</v>
      </c>
      <c r="B17921" t="s">
        <v>25088</v>
      </c>
      <c r="C17921" t="s">
        <v>7</v>
      </c>
      <c r="D17921" t="s">
        <v>33</v>
      </c>
      <c r="E17921" t="s">
        <v>23161</v>
      </c>
      <c r="F17921" t="s">
        <v>25089</v>
      </c>
    </row>
    <row r="17922" spans="1:6" x14ac:dyDescent="0.25">
      <c r="A17922" t="str">
        <f>"771801547986"</f>
        <v>771801547986</v>
      </c>
      <c r="B17922" t="s">
        <v>25090</v>
      </c>
      <c r="C17922" t="s">
        <v>7</v>
      </c>
      <c r="D17922" t="s">
        <v>14</v>
      </c>
      <c r="E17922" t="s">
        <v>23161</v>
      </c>
    </row>
    <row r="17923" spans="1:6" x14ac:dyDescent="0.25">
      <c r="A17923" t="str">
        <f>"771804805699"</f>
        <v>771804805699</v>
      </c>
      <c r="B17923" t="s">
        <v>25091</v>
      </c>
      <c r="C17923" t="s">
        <v>7</v>
      </c>
      <c r="D17923" t="s">
        <v>14</v>
      </c>
      <c r="E17923" t="s">
        <v>23161</v>
      </c>
    </row>
    <row r="17924" spans="1:6" x14ac:dyDescent="0.25">
      <c r="A17924" t="str">
        <f>"771805868476"</f>
        <v>771805868476</v>
      </c>
      <c r="B17924" t="s">
        <v>25092</v>
      </c>
      <c r="C17924" t="s">
        <v>7</v>
      </c>
      <c r="D17924" t="s">
        <v>12</v>
      </c>
      <c r="E17924" t="s">
        <v>23161</v>
      </c>
    </row>
    <row r="17925" spans="1:6" x14ac:dyDescent="0.25">
      <c r="A17925" t="str">
        <f>"7718215870"</f>
        <v>7718215870</v>
      </c>
      <c r="B17925" t="s">
        <v>25093</v>
      </c>
      <c r="C17925" t="s">
        <v>7</v>
      </c>
      <c r="D17925" t="s">
        <v>674</v>
      </c>
      <c r="E17925" t="s">
        <v>23161</v>
      </c>
      <c r="F17925" t="s">
        <v>25094</v>
      </c>
    </row>
    <row r="17926" spans="1:6" x14ac:dyDescent="0.25">
      <c r="A17926" t="str">
        <f>"771865050406"</f>
        <v>771865050406</v>
      </c>
      <c r="B17926" t="s">
        <v>25095</v>
      </c>
      <c r="C17926" t="s">
        <v>7</v>
      </c>
      <c r="D17926" t="s">
        <v>14</v>
      </c>
      <c r="E17926" t="s">
        <v>23161</v>
      </c>
    </row>
    <row r="17927" spans="1:6" x14ac:dyDescent="0.25">
      <c r="A17927" t="str">
        <f>"771871943983"</f>
        <v>771871943983</v>
      </c>
      <c r="B17927" t="s">
        <v>25096</v>
      </c>
      <c r="C17927" t="s">
        <v>7</v>
      </c>
      <c r="D17927" t="s">
        <v>12</v>
      </c>
      <c r="E17927" t="s">
        <v>23161</v>
      </c>
    </row>
    <row r="17928" spans="1:6" x14ac:dyDescent="0.25">
      <c r="A17928" t="str">
        <f>"771873250014"</f>
        <v>771873250014</v>
      </c>
      <c r="B17928" t="s">
        <v>25097</v>
      </c>
      <c r="C17928" t="s">
        <v>7</v>
      </c>
      <c r="D17928" t="s">
        <v>14</v>
      </c>
      <c r="E17928" t="s">
        <v>23161</v>
      </c>
    </row>
    <row r="17929" spans="1:6" x14ac:dyDescent="0.25">
      <c r="A17929" t="str">
        <f>"7718838793"</f>
        <v>7718838793</v>
      </c>
      <c r="B17929" t="s">
        <v>25098</v>
      </c>
      <c r="C17929" t="s">
        <v>7</v>
      </c>
      <c r="D17929" t="s">
        <v>12</v>
      </c>
      <c r="E17929" t="s">
        <v>23161</v>
      </c>
      <c r="F17929" t="s">
        <v>25099</v>
      </c>
    </row>
    <row r="17930" spans="1:6" x14ac:dyDescent="0.25">
      <c r="A17930" t="str">
        <f>"771887965407"</f>
        <v>771887965407</v>
      </c>
      <c r="B17930" t="s">
        <v>25100</v>
      </c>
      <c r="C17930" t="s">
        <v>7</v>
      </c>
      <c r="D17930" t="s">
        <v>14</v>
      </c>
      <c r="E17930" t="s">
        <v>23161</v>
      </c>
    </row>
    <row r="17931" spans="1:6" x14ac:dyDescent="0.25">
      <c r="A17931" t="str">
        <f>"7718903001"</f>
        <v>7718903001</v>
      </c>
      <c r="B17931" t="s">
        <v>25101</v>
      </c>
      <c r="C17931" t="s">
        <v>7</v>
      </c>
      <c r="D17931" t="s">
        <v>28</v>
      </c>
      <c r="E17931" t="s">
        <v>23161</v>
      </c>
      <c r="F17931" t="s">
        <v>25102</v>
      </c>
    </row>
    <row r="17932" spans="1:6" x14ac:dyDescent="0.25">
      <c r="A17932" t="str">
        <f>"7718948122"</f>
        <v>7718948122</v>
      </c>
      <c r="B17932" t="s">
        <v>25103</v>
      </c>
      <c r="C17932" t="s">
        <v>7</v>
      </c>
      <c r="D17932" t="s">
        <v>8</v>
      </c>
      <c r="E17932" t="s">
        <v>23161</v>
      </c>
      <c r="F17932" t="s">
        <v>25104</v>
      </c>
    </row>
    <row r="17933" spans="1:6" x14ac:dyDescent="0.25">
      <c r="A17933" t="str">
        <f>"771913452193"</f>
        <v>771913452193</v>
      </c>
      <c r="B17933" t="s">
        <v>25105</v>
      </c>
      <c r="C17933" t="s">
        <v>7</v>
      </c>
      <c r="D17933" t="s">
        <v>12</v>
      </c>
      <c r="E17933" t="s">
        <v>23161</v>
      </c>
    </row>
    <row r="17934" spans="1:6" x14ac:dyDescent="0.25">
      <c r="A17934" t="str">
        <f>"7719416184"</f>
        <v>7719416184</v>
      </c>
      <c r="B17934" t="s">
        <v>25106</v>
      </c>
      <c r="C17934" t="s">
        <v>7</v>
      </c>
      <c r="D17934" t="s">
        <v>33</v>
      </c>
      <c r="E17934" t="s">
        <v>23161</v>
      </c>
      <c r="F17934" t="s">
        <v>25107</v>
      </c>
    </row>
    <row r="17935" spans="1:6" x14ac:dyDescent="0.25">
      <c r="A17935" t="str">
        <f>"7719424763"</f>
        <v>7719424763</v>
      </c>
      <c r="B17935" t="s">
        <v>25108</v>
      </c>
      <c r="C17935" t="s">
        <v>7</v>
      </c>
      <c r="D17935" t="s">
        <v>12</v>
      </c>
      <c r="E17935" t="s">
        <v>23161</v>
      </c>
      <c r="F17935" t="s">
        <v>25109</v>
      </c>
    </row>
    <row r="17936" spans="1:6" x14ac:dyDescent="0.25">
      <c r="A17936" t="str">
        <f>"7719445330"</f>
        <v>7719445330</v>
      </c>
      <c r="B17936" t="s">
        <v>25110</v>
      </c>
      <c r="C17936" t="s">
        <v>7</v>
      </c>
      <c r="D17936" t="s">
        <v>12</v>
      </c>
      <c r="E17936" t="s">
        <v>23161</v>
      </c>
      <c r="F17936" t="s">
        <v>25111</v>
      </c>
    </row>
    <row r="17937" spans="1:6" x14ac:dyDescent="0.25">
      <c r="A17937" t="str">
        <f>"7719455708"</f>
        <v>7719455708</v>
      </c>
      <c r="B17937" t="s">
        <v>25112</v>
      </c>
      <c r="C17937" t="s">
        <v>7</v>
      </c>
      <c r="D17937" t="s">
        <v>33</v>
      </c>
      <c r="E17937" t="s">
        <v>23161</v>
      </c>
      <c r="F17937" t="s">
        <v>25113</v>
      </c>
    </row>
    <row r="17938" spans="1:6" x14ac:dyDescent="0.25">
      <c r="A17938" t="str">
        <f>"771976396706"</f>
        <v>771976396706</v>
      </c>
      <c r="B17938" t="s">
        <v>25114</v>
      </c>
      <c r="C17938" t="s">
        <v>7</v>
      </c>
      <c r="D17938" t="s">
        <v>674</v>
      </c>
      <c r="E17938" t="s">
        <v>23161</v>
      </c>
    </row>
    <row r="17939" spans="1:6" x14ac:dyDescent="0.25">
      <c r="A17939" t="str">
        <f>"771988152239"</f>
        <v>771988152239</v>
      </c>
      <c r="B17939" t="s">
        <v>25115</v>
      </c>
      <c r="C17939" t="s">
        <v>7</v>
      </c>
      <c r="D17939" t="s">
        <v>14</v>
      </c>
      <c r="E17939" t="s">
        <v>23161</v>
      </c>
    </row>
    <row r="17940" spans="1:6" x14ac:dyDescent="0.25">
      <c r="A17940" t="str">
        <f>"7720001995"</f>
        <v>7720001995</v>
      </c>
      <c r="B17940" t="s">
        <v>25116</v>
      </c>
      <c r="C17940" t="s">
        <v>7</v>
      </c>
      <c r="D17940" t="s">
        <v>463</v>
      </c>
      <c r="E17940" t="s">
        <v>23161</v>
      </c>
      <c r="F17940" t="s">
        <v>25117</v>
      </c>
    </row>
    <row r="17941" spans="1:6" x14ac:dyDescent="0.25">
      <c r="A17941" t="str">
        <f>"7720017949"</f>
        <v>7720017949</v>
      </c>
      <c r="B17941" t="s">
        <v>25118</v>
      </c>
      <c r="C17941" t="s">
        <v>7</v>
      </c>
      <c r="D17941" t="s">
        <v>98</v>
      </c>
      <c r="E17941" t="s">
        <v>23161</v>
      </c>
      <c r="F17941" t="s">
        <v>25117</v>
      </c>
    </row>
    <row r="17942" spans="1:6" x14ac:dyDescent="0.25">
      <c r="A17942" t="str">
        <f>"772016653940"</f>
        <v>772016653940</v>
      </c>
      <c r="B17942" t="s">
        <v>25119</v>
      </c>
      <c r="C17942" t="s">
        <v>7</v>
      </c>
      <c r="D17942" t="s">
        <v>8</v>
      </c>
      <c r="E17942" t="s">
        <v>23161</v>
      </c>
    </row>
    <row r="17943" spans="1:6" x14ac:dyDescent="0.25">
      <c r="A17943" t="str">
        <f>"7720304968"</f>
        <v>7720304968</v>
      </c>
      <c r="B17943" t="s">
        <v>25120</v>
      </c>
      <c r="C17943" t="s">
        <v>7</v>
      </c>
      <c r="D17943" t="s">
        <v>189</v>
      </c>
      <c r="E17943" t="s">
        <v>23161</v>
      </c>
      <c r="F17943" t="s">
        <v>25121</v>
      </c>
    </row>
    <row r="17944" spans="1:6" x14ac:dyDescent="0.25">
      <c r="A17944" t="str">
        <f>"7720340733"</f>
        <v>7720340733</v>
      </c>
      <c r="B17944" t="s">
        <v>25122</v>
      </c>
      <c r="C17944" t="s">
        <v>7</v>
      </c>
      <c r="D17944" t="s">
        <v>674</v>
      </c>
      <c r="E17944" t="s">
        <v>23161</v>
      </c>
      <c r="F17944" t="s">
        <v>25123</v>
      </c>
    </row>
    <row r="17945" spans="1:6" x14ac:dyDescent="0.25">
      <c r="A17945" t="str">
        <f>"7720486940"</f>
        <v>7720486940</v>
      </c>
      <c r="B17945" t="s">
        <v>25124</v>
      </c>
      <c r="C17945" t="s">
        <v>7</v>
      </c>
      <c r="D17945" t="s">
        <v>8</v>
      </c>
      <c r="E17945" t="s">
        <v>23161</v>
      </c>
      <c r="F17945" t="s">
        <v>25125</v>
      </c>
    </row>
    <row r="17946" spans="1:6" x14ac:dyDescent="0.25">
      <c r="A17946" t="str">
        <f>"7720487373"</f>
        <v>7720487373</v>
      </c>
      <c r="B17946" t="s">
        <v>25126</v>
      </c>
      <c r="C17946" t="s">
        <v>7</v>
      </c>
      <c r="D17946" t="s">
        <v>33</v>
      </c>
      <c r="E17946" t="s">
        <v>23161</v>
      </c>
      <c r="F17946" t="s">
        <v>25127</v>
      </c>
    </row>
    <row r="17947" spans="1:6" x14ac:dyDescent="0.25">
      <c r="A17947" t="str">
        <f>"7720535919"</f>
        <v>7720535919</v>
      </c>
      <c r="B17947" t="s">
        <v>17388</v>
      </c>
      <c r="C17947" t="s">
        <v>7</v>
      </c>
      <c r="D17947" t="s">
        <v>12</v>
      </c>
      <c r="E17947" t="s">
        <v>23161</v>
      </c>
      <c r="F17947" t="s">
        <v>25128</v>
      </c>
    </row>
    <row r="17948" spans="1:6" x14ac:dyDescent="0.25">
      <c r="A17948" t="str">
        <f>"7720652281"</f>
        <v>7720652281</v>
      </c>
      <c r="B17948" t="s">
        <v>25129</v>
      </c>
      <c r="C17948" t="s">
        <v>7</v>
      </c>
      <c r="D17948" t="s">
        <v>12</v>
      </c>
      <c r="E17948" t="s">
        <v>23161</v>
      </c>
      <c r="F17948" t="s">
        <v>25130</v>
      </c>
    </row>
    <row r="17949" spans="1:6" x14ac:dyDescent="0.25">
      <c r="A17949" t="str">
        <f>"772070220085"</f>
        <v>772070220085</v>
      </c>
      <c r="B17949" t="s">
        <v>25131</v>
      </c>
      <c r="C17949" t="s">
        <v>7</v>
      </c>
      <c r="D17949" t="s">
        <v>14</v>
      </c>
      <c r="E17949" t="s">
        <v>23161</v>
      </c>
    </row>
    <row r="17950" spans="1:6" x14ac:dyDescent="0.25">
      <c r="A17950" t="str">
        <f>"772074382070"</f>
        <v>772074382070</v>
      </c>
      <c r="B17950" t="s">
        <v>25132</v>
      </c>
      <c r="C17950" t="s">
        <v>7</v>
      </c>
      <c r="D17950" t="s">
        <v>14</v>
      </c>
      <c r="E17950" t="s">
        <v>23161</v>
      </c>
    </row>
    <row r="17951" spans="1:6" x14ac:dyDescent="0.25">
      <c r="A17951" t="str">
        <f>"7720801399"</f>
        <v>7720801399</v>
      </c>
      <c r="B17951" t="s">
        <v>25133</v>
      </c>
      <c r="C17951" t="s">
        <v>7</v>
      </c>
      <c r="D17951" t="s">
        <v>14</v>
      </c>
      <c r="E17951" t="s">
        <v>23161</v>
      </c>
      <c r="F17951" t="s">
        <v>25134</v>
      </c>
    </row>
    <row r="17952" spans="1:6" x14ac:dyDescent="0.25">
      <c r="A17952" t="str">
        <f>"7720878779"</f>
        <v>7720878779</v>
      </c>
      <c r="B17952" t="s">
        <v>25135</v>
      </c>
      <c r="C17952" t="s">
        <v>7</v>
      </c>
      <c r="D17952" t="s">
        <v>12</v>
      </c>
      <c r="E17952" t="s">
        <v>23161</v>
      </c>
      <c r="F17952" t="s">
        <v>25136</v>
      </c>
    </row>
    <row r="17953" spans="1:6" x14ac:dyDescent="0.25">
      <c r="A17953" t="str">
        <f>"7720903591"</f>
        <v>7720903591</v>
      </c>
      <c r="B17953" t="s">
        <v>25137</v>
      </c>
      <c r="C17953" t="s">
        <v>7</v>
      </c>
      <c r="D17953" t="s">
        <v>33</v>
      </c>
      <c r="E17953" t="s">
        <v>23161</v>
      </c>
      <c r="F17953" t="s">
        <v>25138</v>
      </c>
    </row>
    <row r="17954" spans="1:6" x14ac:dyDescent="0.25">
      <c r="A17954" t="str">
        <f>"7720915325"</f>
        <v>7720915325</v>
      </c>
      <c r="B17954" t="s">
        <v>25139</v>
      </c>
      <c r="C17954" t="s">
        <v>7</v>
      </c>
      <c r="D17954" t="s">
        <v>189</v>
      </c>
      <c r="E17954" t="s">
        <v>23161</v>
      </c>
      <c r="F17954" t="s">
        <v>25140</v>
      </c>
    </row>
    <row r="17955" spans="1:6" x14ac:dyDescent="0.25">
      <c r="A17955" t="str">
        <f>"7720919880"</f>
        <v>7720919880</v>
      </c>
      <c r="B17955" t="s">
        <v>25141</v>
      </c>
      <c r="C17955" t="s">
        <v>7</v>
      </c>
      <c r="D17955" t="s">
        <v>12</v>
      </c>
      <c r="E17955" t="s">
        <v>23161</v>
      </c>
      <c r="F17955" t="s">
        <v>25142</v>
      </c>
    </row>
    <row r="17956" spans="1:6" x14ac:dyDescent="0.25">
      <c r="A17956" t="str">
        <f>"7721144523"</f>
        <v>7721144523</v>
      </c>
      <c r="B17956" t="s">
        <v>25143</v>
      </c>
      <c r="C17956" t="s">
        <v>7</v>
      </c>
      <c r="D17956" t="s">
        <v>98</v>
      </c>
      <c r="E17956" t="s">
        <v>23161</v>
      </c>
      <c r="F17956" t="s">
        <v>25144</v>
      </c>
    </row>
    <row r="17957" spans="1:6" x14ac:dyDescent="0.25">
      <c r="A17957" t="str">
        <f>"772151584041"</f>
        <v>772151584041</v>
      </c>
      <c r="B17957" t="s">
        <v>25145</v>
      </c>
      <c r="C17957" t="s">
        <v>7</v>
      </c>
      <c r="D17957" t="s">
        <v>33</v>
      </c>
      <c r="E17957" t="s">
        <v>23161</v>
      </c>
    </row>
    <row r="17958" spans="1:6" x14ac:dyDescent="0.25">
      <c r="A17958" t="str">
        <f>"772152850320"</f>
        <v>772152850320</v>
      </c>
      <c r="B17958" t="s">
        <v>25146</v>
      </c>
      <c r="C17958" t="s">
        <v>7</v>
      </c>
      <c r="D17958" t="s">
        <v>14</v>
      </c>
      <c r="E17958" t="s">
        <v>23161</v>
      </c>
    </row>
    <row r="17959" spans="1:6" x14ac:dyDescent="0.25">
      <c r="A17959" t="str">
        <f>"3123453912"</f>
        <v>3123453912</v>
      </c>
      <c r="B17959" t="s">
        <v>25147</v>
      </c>
      <c r="C17959" t="s">
        <v>7</v>
      </c>
      <c r="D17959" t="s">
        <v>33</v>
      </c>
      <c r="E17959" t="s">
        <v>23161</v>
      </c>
      <c r="F17959" t="s">
        <v>25148</v>
      </c>
    </row>
    <row r="17960" spans="1:6" x14ac:dyDescent="0.25">
      <c r="A17960" t="str">
        <f>"322400947351"</f>
        <v>322400947351</v>
      </c>
      <c r="B17960" t="s">
        <v>25149</v>
      </c>
      <c r="C17960" t="s">
        <v>7</v>
      </c>
      <c r="D17960" t="s">
        <v>14</v>
      </c>
      <c r="E17960" t="s">
        <v>23161</v>
      </c>
    </row>
    <row r="17961" spans="1:6" x14ac:dyDescent="0.25">
      <c r="A17961" t="str">
        <f>"5079011585"</f>
        <v>5079011585</v>
      </c>
      <c r="B17961" t="s">
        <v>25150</v>
      </c>
      <c r="C17961" t="s">
        <v>7</v>
      </c>
      <c r="D17961" t="s">
        <v>12</v>
      </c>
      <c r="E17961" t="s">
        <v>23161</v>
      </c>
      <c r="F17961" t="s">
        <v>25151</v>
      </c>
    </row>
    <row r="17962" spans="1:6" x14ac:dyDescent="0.25">
      <c r="A17962" t="str">
        <f>"521000151801"</f>
        <v>521000151801</v>
      </c>
      <c r="B17962" t="s">
        <v>25152</v>
      </c>
      <c r="C17962" t="s">
        <v>7</v>
      </c>
      <c r="D17962" t="s">
        <v>14</v>
      </c>
      <c r="E17962" t="s">
        <v>23161</v>
      </c>
    </row>
    <row r="17963" spans="1:6" x14ac:dyDescent="0.25">
      <c r="A17963" t="str">
        <f>"5074069550"</f>
        <v>5074069550</v>
      </c>
      <c r="B17963" t="s">
        <v>25153</v>
      </c>
      <c r="C17963" t="s">
        <v>7</v>
      </c>
      <c r="D17963" t="s">
        <v>33</v>
      </c>
      <c r="E17963" t="s">
        <v>23161</v>
      </c>
      <c r="F17963" t="s">
        <v>25154</v>
      </c>
    </row>
    <row r="17964" spans="1:6" x14ac:dyDescent="0.25">
      <c r="A17964" t="str">
        <f>"771589542389"</f>
        <v>771589542389</v>
      </c>
      <c r="B17964" t="s">
        <v>25155</v>
      </c>
      <c r="C17964" t="s">
        <v>7</v>
      </c>
      <c r="D17964" t="s">
        <v>14</v>
      </c>
      <c r="E17964" t="s">
        <v>23161</v>
      </c>
    </row>
    <row r="17965" spans="1:6" x14ac:dyDescent="0.25">
      <c r="A17965" t="str">
        <f>"7715920760"</f>
        <v>7715920760</v>
      </c>
      <c r="B17965" t="s">
        <v>25156</v>
      </c>
      <c r="C17965" t="s">
        <v>7</v>
      </c>
      <c r="D17965" t="s">
        <v>463</v>
      </c>
      <c r="E17965" t="s">
        <v>23161</v>
      </c>
      <c r="F17965" t="s">
        <v>25157</v>
      </c>
    </row>
    <row r="17966" spans="1:6" x14ac:dyDescent="0.25">
      <c r="A17966" t="str">
        <f>"7716018918"</f>
        <v>7716018918</v>
      </c>
      <c r="B17966" t="s">
        <v>25158</v>
      </c>
      <c r="C17966" t="s">
        <v>7</v>
      </c>
      <c r="D17966" t="s">
        <v>189</v>
      </c>
      <c r="E17966" t="s">
        <v>23161</v>
      </c>
      <c r="F17966" t="s">
        <v>25159</v>
      </c>
    </row>
    <row r="17967" spans="1:6" x14ac:dyDescent="0.25">
      <c r="A17967" t="str">
        <f>"7716227943"</f>
        <v>7716227943</v>
      </c>
      <c r="B17967" t="s">
        <v>25160</v>
      </c>
      <c r="C17967" t="s">
        <v>7</v>
      </c>
      <c r="D17967" t="s">
        <v>33</v>
      </c>
      <c r="E17967" t="s">
        <v>23161</v>
      </c>
      <c r="F17967" t="s">
        <v>25161</v>
      </c>
    </row>
    <row r="17968" spans="1:6" x14ac:dyDescent="0.25">
      <c r="A17968" t="str">
        <f>"7716641537"</f>
        <v>7716641537</v>
      </c>
      <c r="B17968" t="s">
        <v>25162</v>
      </c>
      <c r="C17968" t="s">
        <v>7</v>
      </c>
      <c r="D17968" t="s">
        <v>674</v>
      </c>
      <c r="E17968" t="s">
        <v>23161</v>
      </c>
      <c r="F17968" t="s">
        <v>25163</v>
      </c>
    </row>
    <row r="17969" spans="1:6" x14ac:dyDescent="0.25">
      <c r="A17969" t="str">
        <f>"7716656798"</f>
        <v>7716656798</v>
      </c>
      <c r="B17969" t="s">
        <v>6860</v>
      </c>
      <c r="C17969" t="s">
        <v>7</v>
      </c>
      <c r="D17969" t="s">
        <v>33</v>
      </c>
      <c r="E17969" t="s">
        <v>23161</v>
      </c>
      <c r="F17969" t="s">
        <v>25164</v>
      </c>
    </row>
    <row r="17970" spans="1:6" x14ac:dyDescent="0.25">
      <c r="A17970" t="str">
        <f>"7716677847"</f>
        <v>7716677847</v>
      </c>
      <c r="B17970" t="s">
        <v>25165</v>
      </c>
      <c r="C17970" t="s">
        <v>7</v>
      </c>
      <c r="D17970" t="s">
        <v>28</v>
      </c>
      <c r="E17970" t="s">
        <v>23161</v>
      </c>
      <c r="F17970" t="s">
        <v>25166</v>
      </c>
    </row>
    <row r="17971" spans="1:6" x14ac:dyDescent="0.25">
      <c r="A17971" t="str">
        <f>"7716683640"</f>
        <v>7716683640</v>
      </c>
      <c r="B17971" t="s">
        <v>25167</v>
      </c>
      <c r="C17971" t="s">
        <v>7</v>
      </c>
      <c r="D17971" t="s">
        <v>33</v>
      </c>
      <c r="E17971" t="s">
        <v>23161</v>
      </c>
      <c r="F17971" t="s">
        <v>25168</v>
      </c>
    </row>
    <row r="17972" spans="1:6" x14ac:dyDescent="0.25">
      <c r="A17972" t="str">
        <f>"771675890774"</f>
        <v>771675890774</v>
      </c>
      <c r="B17972" t="s">
        <v>25169</v>
      </c>
      <c r="C17972" t="s">
        <v>7</v>
      </c>
      <c r="D17972" t="s">
        <v>189</v>
      </c>
      <c r="E17972" t="s">
        <v>23161</v>
      </c>
    </row>
    <row r="17973" spans="1:6" x14ac:dyDescent="0.25">
      <c r="A17973" t="str">
        <f>"7716896119"</f>
        <v>7716896119</v>
      </c>
      <c r="B17973" t="s">
        <v>25170</v>
      </c>
      <c r="C17973" t="s">
        <v>7</v>
      </c>
      <c r="D17973" t="s">
        <v>8</v>
      </c>
      <c r="E17973" t="s">
        <v>23161</v>
      </c>
      <c r="F17973" t="s">
        <v>25171</v>
      </c>
    </row>
    <row r="17974" spans="1:6" x14ac:dyDescent="0.25">
      <c r="A17974" t="str">
        <f>"7716918676"</f>
        <v>7716918676</v>
      </c>
      <c r="B17974" t="s">
        <v>25172</v>
      </c>
      <c r="C17974" t="s">
        <v>7</v>
      </c>
      <c r="D17974" t="s">
        <v>189</v>
      </c>
      <c r="E17974" t="s">
        <v>23161</v>
      </c>
      <c r="F17974" t="s">
        <v>25173</v>
      </c>
    </row>
    <row r="17975" spans="1:6" x14ac:dyDescent="0.25">
      <c r="A17975" t="str">
        <f>"771701288946"</f>
        <v>771701288946</v>
      </c>
      <c r="B17975" t="s">
        <v>25174</v>
      </c>
      <c r="C17975" t="s">
        <v>7</v>
      </c>
      <c r="D17975" t="s">
        <v>8</v>
      </c>
      <c r="E17975" t="s">
        <v>23161</v>
      </c>
    </row>
    <row r="17976" spans="1:6" x14ac:dyDescent="0.25">
      <c r="A17976" t="str">
        <f>"7717680296"</f>
        <v>7717680296</v>
      </c>
      <c r="B17976" t="s">
        <v>25079</v>
      </c>
      <c r="C17976" t="s">
        <v>7</v>
      </c>
      <c r="D17976" t="s">
        <v>33</v>
      </c>
      <c r="E17976" t="s">
        <v>23161</v>
      </c>
      <c r="F17976" t="s">
        <v>25175</v>
      </c>
    </row>
    <row r="17977" spans="1:6" x14ac:dyDescent="0.25">
      <c r="A17977" t="str">
        <f>"771772244776"</f>
        <v>771772244776</v>
      </c>
      <c r="B17977" t="s">
        <v>25176</v>
      </c>
      <c r="C17977" t="s">
        <v>7</v>
      </c>
      <c r="D17977" t="s">
        <v>14</v>
      </c>
      <c r="E17977" t="s">
        <v>23161</v>
      </c>
    </row>
    <row r="17978" spans="1:6" x14ac:dyDescent="0.25">
      <c r="A17978" t="str">
        <f>"7718254597"</f>
        <v>7718254597</v>
      </c>
      <c r="B17978" t="s">
        <v>25177</v>
      </c>
      <c r="C17978" t="s">
        <v>7</v>
      </c>
      <c r="D17978" t="s">
        <v>674</v>
      </c>
      <c r="E17978" t="s">
        <v>23161</v>
      </c>
      <c r="F17978" t="s">
        <v>25178</v>
      </c>
    </row>
    <row r="17979" spans="1:6" x14ac:dyDescent="0.25">
      <c r="A17979" t="str">
        <f>"7718261925"</f>
        <v>7718261925</v>
      </c>
      <c r="B17979" t="s">
        <v>25179</v>
      </c>
      <c r="C17979" t="s">
        <v>7</v>
      </c>
      <c r="D17979" t="s">
        <v>14</v>
      </c>
      <c r="E17979" t="s">
        <v>23161</v>
      </c>
      <c r="F17979" t="s">
        <v>25180</v>
      </c>
    </row>
    <row r="17980" spans="1:6" x14ac:dyDescent="0.25">
      <c r="A17980" t="str">
        <f>"7718287433"</f>
        <v>7718287433</v>
      </c>
      <c r="B17980" t="s">
        <v>25181</v>
      </c>
      <c r="C17980" t="s">
        <v>7</v>
      </c>
      <c r="D17980" t="s">
        <v>28</v>
      </c>
      <c r="E17980" t="s">
        <v>23161</v>
      </c>
      <c r="F17980" t="s">
        <v>25182</v>
      </c>
    </row>
    <row r="17981" spans="1:6" x14ac:dyDescent="0.25">
      <c r="A17981" t="str">
        <f>"7718696098"</f>
        <v>7718696098</v>
      </c>
      <c r="B17981" t="s">
        <v>25183</v>
      </c>
      <c r="C17981" t="s">
        <v>7</v>
      </c>
      <c r="D17981" t="s">
        <v>146</v>
      </c>
      <c r="E17981" t="s">
        <v>23161</v>
      </c>
      <c r="F17981" t="s">
        <v>25184</v>
      </c>
    </row>
    <row r="17982" spans="1:6" x14ac:dyDescent="0.25">
      <c r="A17982" t="str">
        <f>"771873256295"</f>
        <v>771873256295</v>
      </c>
      <c r="B17982" t="s">
        <v>25185</v>
      </c>
      <c r="C17982" t="s">
        <v>7</v>
      </c>
      <c r="D17982" t="s">
        <v>14</v>
      </c>
      <c r="E17982" t="s">
        <v>23161</v>
      </c>
    </row>
    <row r="17983" spans="1:6" x14ac:dyDescent="0.25">
      <c r="A17983" t="str">
        <f>"7718752313"</f>
        <v>7718752313</v>
      </c>
      <c r="B17983" t="s">
        <v>25186</v>
      </c>
      <c r="C17983" t="s">
        <v>7</v>
      </c>
      <c r="D17983" t="s">
        <v>12</v>
      </c>
      <c r="E17983" t="s">
        <v>23161</v>
      </c>
      <c r="F17983" t="s">
        <v>25187</v>
      </c>
    </row>
    <row r="17984" spans="1:6" x14ac:dyDescent="0.25">
      <c r="A17984" t="str">
        <f>"7718918167"</f>
        <v>7718918167</v>
      </c>
      <c r="B17984" t="s">
        <v>25188</v>
      </c>
      <c r="C17984" t="s">
        <v>7</v>
      </c>
      <c r="D17984" t="s">
        <v>8</v>
      </c>
      <c r="E17984" t="s">
        <v>23161</v>
      </c>
      <c r="F17984" t="s">
        <v>25189</v>
      </c>
    </row>
    <row r="17985" spans="1:6" x14ac:dyDescent="0.25">
      <c r="A17985" t="str">
        <f>"7718979307"</f>
        <v>7718979307</v>
      </c>
      <c r="B17985" t="s">
        <v>25190</v>
      </c>
      <c r="C17985" t="s">
        <v>7</v>
      </c>
      <c r="D17985" t="s">
        <v>12</v>
      </c>
      <c r="E17985" t="s">
        <v>23161</v>
      </c>
      <c r="F17985" t="s">
        <v>25191</v>
      </c>
    </row>
    <row r="17986" spans="1:6" x14ac:dyDescent="0.25">
      <c r="A17986" t="str">
        <f>"771906733443"</f>
        <v>771906733443</v>
      </c>
      <c r="B17986" t="s">
        <v>25192</v>
      </c>
      <c r="C17986" t="s">
        <v>7</v>
      </c>
      <c r="D17986" t="s">
        <v>33</v>
      </c>
      <c r="E17986" t="s">
        <v>23161</v>
      </c>
    </row>
    <row r="17987" spans="1:6" x14ac:dyDescent="0.25">
      <c r="A17987" t="str">
        <f>"771911206957"</f>
        <v>771911206957</v>
      </c>
      <c r="B17987" t="s">
        <v>25193</v>
      </c>
      <c r="C17987" t="s">
        <v>7</v>
      </c>
      <c r="D17987" t="s">
        <v>14</v>
      </c>
      <c r="E17987" t="s">
        <v>23161</v>
      </c>
    </row>
    <row r="17988" spans="1:6" x14ac:dyDescent="0.25">
      <c r="A17988" t="str">
        <f>"7719146925"</f>
        <v>7719146925</v>
      </c>
      <c r="B17988" t="s">
        <v>25194</v>
      </c>
      <c r="C17988" t="s">
        <v>7</v>
      </c>
      <c r="D17988" t="s">
        <v>33</v>
      </c>
      <c r="E17988" t="s">
        <v>23161</v>
      </c>
      <c r="F17988" t="s">
        <v>25195</v>
      </c>
    </row>
    <row r="17989" spans="1:6" x14ac:dyDescent="0.25">
      <c r="A17989" t="str">
        <f>"7719466474"</f>
        <v>7719466474</v>
      </c>
      <c r="B17989" t="s">
        <v>25196</v>
      </c>
      <c r="C17989" t="s">
        <v>7</v>
      </c>
      <c r="D17989" t="s">
        <v>189</v>
      </c>
      <c r="E17989" t="s">
        <v>23161</v>
      </c>
      <c r="F17989" t="s">
        <v>25197</v>
      </c>
    </row>
    <row r="17990" spans="1:6" x14ac:dyDescent="0.25">
      <c r="A17990" t="str">
        <f>"7719478624"</f>
        <v>7719478624</v>
      </c>
      <c r="B17990" t="s">
        <v>25198</v>
      </c>
      <c r="C17990" t="s">
        <v>7</v>
      </c>
      <c r="D17990" t="s">
        <v>1430</v>
      </c>
      <c r="E17990" t="s">
        <v>23161</v>
      </c>
      <c r="F17990" t="s">
        <v>25199</v>
      </c>
    </row>
    <row r="17991" spans="1:6" x14ac:dyDescent="0.25">
      <c r="A17991" t="str">
        <f>"7719625237"</f>
        <v>7719625237</v>
      </c>
      <c r="B17991" t="s">
        <v>25200</v>
      </c>
      <c r="C17991" t="s">
        <v>7</v>
      </c>
      <c r="D17991" t="s">
        <v>33</v>
      </c>
      <c r="E17991" t="s">
        <v>23161</v>
      </c>
      <c r="F17991" t="s">
        <v>25201</v>
      </c>
    </row>
    <row r="17992" spans="1:6" x14ac:dyDescent="0.25">
      <c r="A17992" t="str">
        <f>"7719815397"</f>
        <v>7719815397</v>
      </c>
      <c r="B17992" t="s">
        <v>25202</v>
      </c>
      <c r="C17992" t="s">
        <v>7</v>
      </c>
      <c r="D17992" t="s">
        <v>33</v>
      </c>
      <c r="E17992" t="s">
        <v>23161</v>
      </c>
      <c r="F17992" t="s">
        <v>25203</v>
      </c>
    </row>
    <row r="17993" spans="1:6" x14ac:dyDescent="0.25">
      <c r="A17993" t="str">
        <f>"7719861869"</f>
        <v>7719861869</v>
      </c>
      <c r="B17993" t="s">
        <v>25204</v>
      </c>
      <c r="C17993" t="s">
        <v>7</v>
      </c>
      <c r="D17993" t="s">
        <v>33</v>
      </c>
      <c r="E17993" t="s">
        <v>23161</v>
      </c>
      <c r="F17993" t="s">
        <v>25205</v>
      </c>
    </row>
    <row r="17994" spans="1:6" x14ac:dyDescent="0.25">
      <c r="A17994" t="str">
        <f>"771988365205"</f>
        <v>771988365205</v>
      </c>
      <c r="B17994" t="s">
        <v>25206</v>
      </c>
      <c r="C17994" t="s">
        <v>7</v>
      </c>
      <c r="D17994" t="s">
        <v>14</v>
      </c>
      <c r="E17994" t="s">
        <v>23161</v>
      </c>
    </row>
    <row r="17995" spans="1:6" x14ac:dyDescent="0.25">
      <c r="A17995" t="str">
        <f>"771991482445"</f>
        <v>771991482445</v>
      </c>
      <c r="B17995" t="s">
        <v>25207</v>
      </c>
      <c r="C17995" t="s">
        <v>7</v>
      </c>
      <c r="D17995" t="s">
        <v>14</v>
      </c>
      <c r="E17995" t="s">
        <v>23161</v>
      </c>
    </row>
    <row r="17996" spans="1:6" x14ac:dyDescent="0.25">
      <c r="A17996" t="str">
        <f>"772001451772"</f>
        <v>772001451772</v>
      </c>
      <c r="B17996" t="s">
        <v>25208</v>
      </c>
      <c r="C17996" t="s">
        <v>7</v>
      </c>
      <c r="D17996" t="s">
        <v>33</v>
      </c>
      <c r="E17996" t="s">
        <v>23161</v>
      </c>
    </row>
    <row r="17997" spans="1:6" x14ac:dyDescent="0.25">
      <c r="A17997" t="str">
        <f>"772001521998"</f>
        <v>772001521998</v>
      </c>
      <c r="B17997" t="s">
        <v>25209</v>
      </c>
      <c r="C17997" t="s">
        <v>7</v>
      </c>
      <c r="D17997" t="s">
        <v>14</v>
      </c>
      <c r="E17997" t="s">
        <v>23161</v>
      </c>
    </row>
    <row r="17998" spans="1:6" x14ac:dyDescent="0.25">
      <c r="A17998" t="str">
        <f>"772024436763"</f>
        <v>772024436763</v>
      </c>
      <c r="B17998" t="s">
        <v>25210</v>
      </c>
      <c r="C17998" t="s">
        <v>7</v>
      </c>
      <c r="D17998" t="s">
        <v>14</v>
      </c>
      <c r="E17998" t="s">
        <v>23161</v>
      </c>
    </row>
    <row r="17999" spans="1:6" x14ac:dyDescent="0.25">
      <c r="A17999" t="str">
        <f>"7720335846"</f>
        <v>7720335846</v>
      </c>
      <c r="B17999" t="s">
        <v>25211</v>
      </c>
      <c r="C17999" t="s">
        <v>7</v>
      </c>
      <c r="D17999" t="s">
        <v>8</v>
      </c>
      <c r="E17999" t="s">
        <v>23161</v>
      </c>
      <c r="F17999" t="s">
        <v>25212</v>
      </c>
    </row>
    <row r="18000" spans="1:6" x14ac:dyDescent="0.25">
      <c r="A18000" t="str">
        <f>"7720341053"</f>
        <v>7720341053</v>
      </c>
      <c r="B18000" t="s">
        <v>25213</v>
      </c>
      <c r="C18000" t="s">
        <v>7</v>
      </c>
      <c r="D18000" t="s">
        <v>14</v>
      </c>
      <c r="E18000" t="s">
        <v>23161</v>
      </c>
      <c r="F18000" t="s">
        <v>25214</v>
      </c>
    </row>
    <row r="18001" spans="1:6" x14ac:dyDescent="0.25">
      <c r="A18001" t="str">
        <f>"7720361807"</f>
        <v>7720361807</v>
      </c>
      <c r="B18001" t="s">
        <v>25215</v>
      </c>
      <c r="C18001" t="s">
        <v>7</v>
      </c>
      <c r="D18001" t="s">
        <v>12</v>
      </c>
      <c r="E18001" t="s">
        <v>23161</v>
      </c>
      <c r="F18001" t="s">
        <v>25216</v>
      </c>
    </row>
    <row r="18002" spans="1:6" x14ac:dyDescent="0.25">
      <c r="A18002" t="str">
        <f>"7720439997"</f>
        <v>7720439997</v>
      </c>
      <c r="B18002" t="s">
        <v>25217</v>
      </c>
      <c r="C18002" t="s">
        <v>7</v>
      </c>
      <c r="D18002" t="s">
        <v>33</v>
      </c>
      <c r="E18002" t="s">
        <v>23161</v>
      </c>
      <c r="F18002" t="s">
        <v>25218</v>
      </c>
    </row>
    <row r="18003" spans="1:6" x14ac:dyDescent="0.25">
      <c r="A18003" t="str">
        <f>"7720449709"</f>
        <v>7720449709</v>
      </c>
      <c r="B18003" t="s">
        <v>25219</v>
      </c>
      <c r="C18003" t="s">
        <v>7</v>
      </c>
      <c r="D18003" t="s">
        <v>33</v>
      </c>
      <c r="E18003" t="s">
        <v>23161</v>
      </c>
      <c r="F18003" t="s">
        <v>25220</v>
      </c>
    </row>
    <row r="18004" spans="1:6" x14ac:dyDescent="0.25">
      <c r="A18004" t="str">
        <f>"7720481075"</f>
        <v>7720481075</v>
      </c>
      <c r="B18004" t="s">
        <v>25221</v>
      </c>
      <c r="C18004" t="s">
        <v>7</v>
      </c>
      <c r="D18004" t="s">
        <v>33</v>
      </c>
      <c r="E18004" t="s">
        <v>23161</v>
      </c>
      <c r="F18004" t="s">
        <v>25222</v>
      </c>
    </row>
    <row r="18005" spans="1:6" x14ac:dyDescent="0.25">
      <c r="A18005" t="str">
        <f>"7720514281"</f>
        <v>7720514281</v>
      </c>
      <c r="B18005" t="s">
        <v>25223</v>
      </c>
      <c r="C18005" t="s">
        <v>7</v>
      </c>
      <c r="D18005" t="s">
        <v>28</v>
      </c>
      <c r="E18005" t="s">
        <v>23161</v>
      </c>
      <c r="F18005" t="s">
        <v>25224</v>
      </c>
    </row>
    <row r="18006" spans="1:6" x14ac:dyDescent="0.25">
      <c r="A18006" t="str">
        <f>"7720573329"</f>
        <v>7720573329</v>
      </c>
      <c r="B18006" t="s">
        <v>25225</v>
      </c>
      <c r="C18006" t="s">
        <v>7</v>
      </c>
      <c r="D18006" t="s">
        <v>12</v>
      </c>
      <c r="E18006" t="s">
        <v>23161</v>
      </c>
      <c r="F18006" t="s">
        <v>25226</v>
      </c>
    </row>
    <row r="18007" spans="1:6" x14ac:dyDescent="0.25">
      <c r="A18007" t="str">
        <f>"7720591367"</f>
        <v>7720591367</v>
      </c>
      <c r="B18007" t="s">
        <v>25227</v>
      </c>
      <c r="C18007" t="s">
        <v>7</v>
      </c>
      <c r="D18007" t="s">
        <v>674</v>
      </c>
      <c r="E18007" t="s">
        <v>23161</v>
      </c>
      <c r="F18007" t="s">
        <v>25228</v>
      </c>
    </row>
    <row r="18008" spans="1:6" x14ac:dyDescent="0.25">
      <c r="A18008" t="str">
        <f>"7720667150"</f>
        <v>7720667150</v>
      </c>
      <c r="B18008" t="s">
        <v>25229</v>
      </c>
      <c r="C18008" t="s">
        <v>7</v>
      </c>
      <c r="D18008" t="s">
        <v>33</v>
      </c>
      <c r="E18008" t="s">
        <v>23161</v>
      </c>
      <c r="F18008" t="s">
        <v>25230</v>
      </c>
    </row>
    <row r="18009" spans="1:6" x14ac:dyDescent="0.25">
      <c r="A18009" t="str">
        <f>"7720734015"</f>
        <v>7720734015</v>
      </c>
      <c r="B18009" t="s">
        <v>25231</v>
      </c>
      <c r="C18009" t="s">
        <v>7</v>
      </c>
      <c r="D18009" t="s">
        <v>12</v>
      </c>
      <c r="E18009" t="s">
        <v>23161</v>
      </c>
      <c r="F18009" t="s">
        <v>25232</v>
      </c>
    </row>
    <row r="18010" spans="1:6" x14ac:dyDescent="0.25">
      <c r="A18010" t="str">
        <f>"7720773504"</f>
        <v>7720773504</v>
      </c>
      <c r="B18010" t="s">
        <v>22991</v>
      </c>
      <c r="C18010" t="s">
        <v>7</v>
      </c>
      <c r="D18010" t="s">
        <v>674</v>
      </c>
      <c r="E18010" t="s">
        <v>23161</v>
      </c>
      <c r="F18010" t="s">
        <v>25233</v>
      </c>
    </row>
    <row r="18011" spans="1:6" x14ac:dyDescent="0.25">
      <c r="A18011" t="str">
        <f>"7720779760"</f>
        <v>7720779760</v>
      </c>
      <c r="B18011" t="s">
        <v>25234</v>
      </c>
      <c r="C18011" t="s">
        <v>7</v>
      </c>
      <c r="D18011" t="s">
        <v>28</v>
      </c>
      <c r="E18011" t="s">
        <v>23161</v>
      </c>
      <c r="F18011" t="s">
        <v>23797</v>
      </c>
    </row>
    <row r="18012" spans="1:6" x14ac:dyDescent="0.25">
      <c r="A18012" t="str">
        <f>"7720794688"</f>
        <v>7720794688</v>
      </c>
      <c r="B18012" t="s">
        <v>268</v>
      </c>
      <c r="C18012" t="s">
        <v>7</v>
      </c>
      <c r="D18012" t="s">
        <v>33</v>
      </c>
      <c r="E18012" t="s">
        <v>23161</v>
      </c>
      <c r="F18012" t="s">
        <v>25235</v>
      </c>
    </row>
    <row r="18013" spans="1:6" x14ac:dyDescent="0.25">
      <c r="A18013" t="str">
        <f>"7720808468"</f>
        <v>7720808468</v>
      </c>
      <c r="B18013" t="s">
        <v>25236</v>
      </c>
      <c r="C18013" t="s">
        <v>7</v>
      </c>
      <c r="D18013" t="s">
        <v>12</v>
      </c>
      <c r="E18013" t="s">
        <v>23161</v>
      </c>
      <c r="F18013" t="s">
        <v>25237</v>
      </c>
    </row>
    <row r="18014" spans="1:6" x14ac:dyDescent="0.25">
      <c r="A18014" t="str">
        <f>"7720809609"</f>
        <v>7720809609</v>
      </c>
      <c r="B18014" t="s">
        <v>16815</v>
      </c>
      <c r="C18014" t="s">
        <v>7</v>
      </c>
      <c r="D18014" t="s">
        <v>12</v>
      </c>
      <c r="E18014" t="s">
        <v>23161</v>
      </c>
      <c r="F18014" t="s">
        <v>25237</v>
      </c>
    </row>
    <row r="18015" spans="1:6" x14ac:dyDescent="0.25">
      <c r="A18015" t="str">
        <f>"772084788209"</f>
        <v>772084788209</v>
      </c>
      <c r="B18015" t="s">
        <v>25238</v>
      </c>
      <c r="C18015" t="s">
        <v>7</v>
      </c>
      <c r="D18015" t="s">
        <v>12</v>
      </c>
      <c r="E18015" t="s">
        <v>23161</v>
      </c>
    </row>
    <row r="18016" spans="1:6" x14ac:dyDescent="0.25">
      <c r="A18016" t="str">
        <f>"7720851128"</f>
        <v>7720851128</v>
      </c>
      <c r="B18016" t="s">
        <v>25239</v>
      </c>
      <c r="C18016" t="s">
        <v>7</v>
      </c>
      <c r="D18016" t="s">
        <v>14</v>
      </c>
      <c r="E18016" t="s">
        <v>23161</v>
      </c>
      <c r="F18016" t="s">
        <v>25240</v>
      </c>
    </row>
    <row r="18017" spans="1:6" x14ac:dyDescent="0.25">
      <c r="A18017" t="str">
        <f>"7720862401"</f>
        <v>7720862401</v>
      </c>
      <c r="B18017" t="s">
        <v>25241</v>
      </c>
      <c r="C18017" t="s">
        <v>7</v>
      </c>
      <c r="D18017" t="s">
        <v>189</v>
      </c>
      <c r="E18017" t="s">
        <v>23161</v>
      </c>
      <c r="F18017" t="s">
        <v>25242</v>
      </c>
    </row>
    <row r="18018" spans="1:6" x14ac:dyDescent="0.25">
      <c r="A18018" t="str">
        <f>"7720867520"</f>
        <v>7720867520</v>
      </c>
      <c r="B18018" t="s">
        <v>25243</v>
      </c>
      <c r="C18018" t="s">
        <v>7</v>
      </c>
      <c r="D18018" t="s">
        <v>189</v>
      </c>
      <c r="E18018" t="s">
        <v>23161</v>
      </c>
      <c r="F18018" t="s">
        <v>25244</v>
      </c>
    </row>
    <row r="18019" spans="1:6" x14ac:dyDescent="0.25">
      <c r="A18019" t="str">
        <f>"320203242214"</f>
        <v>320203242214</v>
      </c>
      <c r="B18019" t="s">
        <v>25245</v>
      </c>
      <c r="C18019" t="s">
        <v>7</v>
      </c>
      <c r="D18019" t="s">
        <v>14</v>
      </c>
      <c r="E18019" t="s">
        <v>23161</v>
      </c>
    </row>
    <row r="18020" spans="1:6" x14ac:dyDescent="0.25">
      <c r="A18020" t="str">
        <f>"4214039838"</f>
        <v>4214039838</v>
      </c>
      <c r="B18020" t="s">
        <v>25246</v>
      </c>
      <c r="C18020" t="s">
        <v>7</v>
      </c>
      <c r="D18020" t="s">
        <v>33</v>
      </c>
      <c r="E18020" t="s">
        <v>23161</v>
      </c>
      <c r="F18020" t="s">
        <v>25247</v>
      </c>
    </row>
    <row r="18021" spans="1:6" x14ac:dyDescent="0.25">
      <c r="A18021" t="str">
        <f>"613200162254"</f>
        <v>613200162254</v>
      </c>
      <c r="B18021" t="s">
        <v>25248</v>
      </c>
      <c r="C18021" t="s">
        <v>7</v>
      </c>
      <c r="D18021" t="s">
        <v>14</v>
      </c>
      <c r="E18021" t="s">
        <v>23161</v>
      </c>
    </row>
    <row r="18022" spans="1:6" x14ac:dyDescent="0.25">
      <c r="A18022" t="str">
        <f>"7707447981"</f>
        <v>7707447981</v>
      </c>
      <c r="B18022" t="s">
        <v>25249</v>
      </c>
      <c r="C18022" t="s">
        <v>7</v>
      </c>
      <c r="D18022" t="s">
        <v>674</v>
      </c>
      <c r="E18022" t="s">
        <v>23161</v>
      </c>
      <c r="F18022" t="s">
        <v>25250</v>
      </c>
    </row>
    <row r="18023" spans="1:6" x14ac:dyDescent="0.25">
      <c r="A18023" t="str">
        <f>"7707458790"</f>
        <v>7707458790</v>
      </c>
      <c r="B18023" t="s">
        <v>25251</v>
      </c>
      <c r="C18023" t="s">
        <v>7</v>
      </c>
      <c r="D18023" t="s">
        <v>33</v>
      </c>
      <c r="E18023" t="s">
        <v>23161</v>
      </c>
      <c r="F18023" t="s">
        <v>25252</v>
      </c>
    </row>
    <row r="18024" spans="1:6" x14ac:dyDescent="0.25">
      <c r="A18024" t="str">
        <f>"7707477785"</f>
        <v>7707477785</v>
      </c>
      <c r="B18024" t="s">
        <v>25253</v>
      </c>
      <c r="C18024" t="s">
        <v>7</v>
      </c>
      <c r="D18024" t="s">
        <v>674</v>
      </c>
      <c r="E18024" t="s">
        <v>23161</v>
      </c>
      <c r="F18024" t="s">
        <v>25254</v>
      </c>
    </row>
    <row r="18025" spans="1:6" x14ac:dyDescent="0.25">
      <c r="A18025" t="str">
        <f>"7707487984"</f>
        <v>7707487984</v>
      </c>
      <c r="B18025" t="s">
        <v>25255</v>
      </c>
      <c r="C18025" t="s">
        <v>7</v>
      </c>
      <c r="D18025" t="s">
        <v>12</v>
      </c>
      <c r="E18025" t="s">
        <v>23161</v>
      </c>
      <c r="F18025" t="s">
        <v>25256</v>
      </c>
    </row>
    <row r="18026" spans="1:6" x14ac:dyDescent="0.25">
      <c r="A18026" t="str">
        <f>"7707606060"</f>
        <v>7707606060</v>
      </c>
      <c r="B18026" t="s">
        <v>25257</v>
      </c>
      <c r="C18026" t="s">
        <v>7</v>
      </c>
      <c r="D18026" t="s">
        <v>33</v>
      </c>
      <c r="E18026" t="s">
        <v>23161</v>
      </c>
      <c r="F18026" t="s">
        <v>25258</v>
      </c>
    </row>
    <row r="18027" spans="1:6" x14ac:dyDescent="0.25">
      <c r="A18027" t="str">
        <f>"7707829772"</f>
        <v>7707829772</v>
      </c>
      <c r="B18027" t="s">
        <v>25259</v>
      </c>
      <c r="C18027" t="s">
        <v>7</v>
      </c>
      <c r="D18027" t="s">
        <v>98</v>
      </c>
      <c r="E18027" t="s">
        <v>23161</v>
      </c>
      <c r="F18027" t="s">
        <v>25260</v>
      </c>
    </row>
    <row r="18028" spans="1:6" x14ac:dyDescent="0.25">
      <c r="A18028" t="str">
        <f>"7708215736"</f>
        <v>7708215736</v>
      </c>
      <c r="B18028" t="s">
        <v>25261</v>
      </c>
      <c r="C18028" t="s">
        <v>7</v>
      </c>
      <c r="D18028" t="s">
        <v>14</v>
      </c>
      <c r="E18028" t="s">
        <v>23161</v>
      </c>
      <c r="F18028" t="s">
        <v>25262</v>
      </c>
    </row>
    <row r="18029" spans="1:6" x14ac:dyDescent="0.25">
      <c r="A18029" t="str">
        <f>"7708281295"</f>
        <v>7708281295</v>
      </c>
      <c r="B18029" t="s">
        <v>25263</v>
      </c>
      <c r="C18029" t="s">
        <v>7</v>
      </c>
      <c r="D18029" t="s">
        <v>189</v>
      </c>
      <c r="E18029" t="s">
        <v>23161</v>
      </c>
      <c r="F18029" t="s">
        <v>25264</v>
      </c>
    </row>
    <row r="18030" spans="1:6" x14ac:dyDescent="0.25">
      <c r="A18030" t="str">
        <f>"7708303397"</f>
        <v>7708303397</v>
      </c>
      <c r="B18030" t="s">
        <v>25265</v>
      </c>
      <c r="C18030" t="s">
        <v>7</v>
      </c>
      <c r="D18030" t="s">
        <v>12</v>
      </c>
      <c r="E18030" t="s">
        <v>23161</v>
      </c>
      <c r="F18030" t="s">
        <v>25266</v>
      </c>
    </row>
    <row r="18031" spans="1:6" x14ac:dyDescent="0.25">
      <c r="A18031" t="str">
        <f>"7708321766"</f>
        <v>7708321766</v>
      </c>
      <c r="B18031" t="s">
        <v>25267</v>
      </c>
      <c r="C18031" t="s">
        <v>7</v>
      </c>
      <c r="D18031" t="s">
        <v>33</v>
      </c>
      <c r="E18031" t="s">
        <v>23161</v>
      </c>
      <c r="F18031" t="s">
        <v>25268</v>
      </c>
    </row>
    <row r="18032" spans="1:6" x14ac:dyDescent="0.25">
      <c r="A18032" t="str">
        <f>"7708390390"</f>
        <v>7708390390</v>
      </c>
      <c r="B18032" t="s">
        <v>25269</v>
      </c>
      <c r="C18032" t="s">
        <v>7</v>
      </c>
      <c r="D18032" t="s">
        <v>8</v>
      </c>
      <c r="E18032" t="s">
        <v>23161</v>
      </c>
      <c r="F18032" t="s">
        <v>25270</v>
      </c>
    </row>
    <row r="18033" spans="1:6" x14ac:dyDescent="0.25">
      <c r="A18033" t="str">
        <f>"7708442961"</f>
        <v>7708442961</v>
      </c>
      <c r="B18033" t="s">
        <v>1380</v>
      </c>
      <c r="C18033" t="s">
        <v>7</v>
      </c>
      <c r="D18033" t="s">
        <v>33</v>
      </c>
      <c r="E18033" t="s">
        <v>23161</v>
      </c>
      <c r="F18033" t="s">
        <v>23181</v>
      </c>
    </row>
    <row r="18034" spans="1:6" x14ac:dyDescent="0.25">
      <c r="A18034" t="str">
        <f>"7708639622"</f>
        <v>7708639622</v>
      </c>
      <c r="B18034" t="s">
        <v>25271</v>
      </c>
      <c r="C18034" t="s">
        <v>7</v>
      </c>
      <c r="D18034" t="s">
        <v>14</v>
      </c>
      <c r="E18034" t="s">
        <v>23161</v>
      </c>
      <c r="F18034" t="s">
        <v>25272</v>
      </c>
    </row>
    <row r="18035" spans="1:6" x14ac:dyDescent="0.25">
      <c r="A18035" t="str">
        <f>"7709259743"</f>
        <v>7709259743</v>
      </c>
      <c r="B18035" t="s">
        <v>25273</v>
      </c>
      <c r="C18035" t="s">
        <v>7</v>
      </c>
      <c r="D18035" t="s">
        <v>33</v>
      </c>
      <c r="E18035" t="s">
        <v>23161</v>
      </c>
      <c r="F18035" t="s">
        <v>25274</v>
      </c>
    </row>
    <row r="18036" spans="1:6" x14ac:dyDescent="0.25">
      <c r="A18036" t="str">
        <f>"7709340842"</f>
        <v>7709340842</v>
      </c>
      <c r="B18036" t="s">
        <v>25275</v>
      </c>
      <c r="C18036" t="s">
        <v>7</v>
      </c>
      <c r="D18036" t="s">
        <v>8</v>
      </c>
      <c r="E18036" t="s">
        <v>23161</v>
      </c>
      <c r="F18036" t="s">
        <v>25276</v>
      </c>
    </row>
    <row r="18037" spans="1:6" x14ac:dyDescent="0.25">
      <c r="A18037" t="str">
        <f>"7709451510"</f>
        <v>7709451510</v>
      </c>
      <c r="B18037" t="s">
        <v>25277</v>
      </c>
      <c r="C18037" t="s">
        <v>7</v>
      </c>
      <c r="D18037" t="s">
        <v>674</v>
      </c>
      <c r="E18037" t="s">
        <v>23161</v>
      </c>
      <c r="F18037" t="s">
        <v>25278</v>
      </c>
    </row>
    <row r="18038" spans="1:6" x14ac:dyDescent="0.25">
      <c r="A18038" t="str">
        <f>"7709564313"</f>
        <v>7709564313</v>
      </c>
      <c r="B18038" t="s">
        <v>25279</v>
      </c>
      <c r="C18038" t="s">
        <v>7</v>
      </c>
      <c r="D18038" t="s">
        <v>12</v>
      </c>
      <c r="E18038" t="s">
        <v>23161</v>
      </c>
      <c r="F18038" t="s">
        <v>25280</v>
      </c>
    </row>
    <row r="18039" spans="1:6" x14ac:dyDescent="0.25">
      <c r="A18039" t="str">
        <f>"7709714791"</f>
        <v>7709714791</v>
      </c>
      <c r="B18039" t="s">
        <v>25281</v>
      </c>
      <c r="C18039" t="s">
        <v>7</v>
      </c>
      <c r="D18039" t="s">
        <v>674</v>
      </c>
      <c r="E18039" t="s">
        <v>23161</v>
      </c>
      <c r="F18039" t="s">
        <v>25282</v>
      </c>
    </row>
    <row r="18040" spans="1:6" x14ac:dyDescent="0.25">
      <c r="A18040" t="str">
        <f>"7709953849"</f>
        <v>7709953849</v>
      </c>
      <c r="B18040" t="s">
        <v>25283</v>
      </c>
      <c r="C18040" t="s">
        <v>7</v>
      </c>
      <c r="D18040" t="s">
        <v>33</v>
      </c>
      <c r="E18040" t="s">
        <v>23161</v>
      </c>
      <c r="F18040" t="s">
        <v>25284</v>
      </c>
    </row>
    <row r="18041" spans="1:6" x14ac:dyDescent="0.25">
      <c r="A18041" t="str">
        <f>"7710935629"</f>
        <v>7710935629</v>
      </c>
      <c r="B18041" t="s">
        <v>25285</v>
      </c>
      <c r="C18041" t="s">
        <v>7</v>
      </c>
      <c r="D18041" t="s">
        <v>33</v>
      </c>
      <c r="E18041" t="s">
        <v>23161</v>
      </c>
      <c r="F18041" t="s">
        <v>25286</v>
      </c>
    </row>
    <row r="18042" spans="1:6" x14ac:dyDescent="0.25">
      <c r="A18042" t="str">
        <f>"7710947053"</f>
        <v>7710947053</v>
      </c>
      <c r="B18042" t="s">
        <v>25287</v>
      </c>
      <c r="C18042" t="s">
        <v>7</v>
      </c>
      <c r="D18042" t="s">
        <v>12</v>
      </c>
      <c r="E18042" t="s">
        <v>23161</v>
      </c>
      <c r="F18042" t="s">
        <v>25288</v>
      </c>
    </row>
    <row r="18043" spans="1:6" x14ac:dyDescent="0.25">
      <c r="A18043" t="str">
        <f>"7712035729"</f>
        <v>7712035729</v>
      </c>
      <c r="B18043" t="s">
        <v>25289</v>
      </c>
      <c r="C18043" t="s">
        <v>7</v>
      </c>
      <c r="D18043" t="s">
        <v>8</v>
      </c>
      <c r="E18043" t="s">
        <v>23161</v>
      </c>
      <c r="F18043" t="s">
        <v>24439</v>
      </c>
    </row>
    <row r="18044" spans="1:6" x14ac:dyDescent="0.25">
      <c r="A18044" t="str">
        <f>"7712107050"</f>
        <v>7712107050</v>
      </c>
      <c r="B18044" t="s">
        <v>25290</v>
      </c>
      <c r="C18044" t="s">
        <v>7</v>
      </c>
      <c r="D18044" t="s">
        <v>8</v>
      </c>
      <c r="E18044" t="s">
        <v>23161</v>
      </c>
      <c r="F18044" t="s">
        <v>25291</v>
      </c>
    </row>
    <row r="18045" spans="1:6" x14ac:dyDescent="0.25">
      <c r="A18045" t="str">
        <f>"771310809527"</f>
        <v>771310809527</v>
      </c>
      <c r="B18045" t="s">
        <v>25292</v>
      </c>
      <c r="C18045" t="s">
        <v>7</v>
      </c>
      <c r="D18045" t="s">
        <v>14</v>
      </c>
      <c r="E18045" t="s">
        <v>23161</v>
      </c>
    </row>
    <row r="18046" spans="1:6" x14ac:dyDescent="0.25">
      <c r="A18046" t="str">
        <f>"7713401030"</f>
        <v>7713401030</v>
      </c>
      <c r="B18046" t="s">
        <v>25293</v>
      </c>
      <c r="C18046" t="s">
        <v>7</v>
      </c>
      <c r="D18046" t="s">
        <v>189</v>
      </c>
      <c r="E18046" t="s">
        <v>23161</v>
      </c>
      <c r="F18046" t="s">
        <v>25294</v>
      </c>
    </row>
    <row r="18047" spans="1:6" x14ac:dyDescent="0.25">
      <c r="A18047" t="str">
        <f>"7713410820"</f>
        <v>7713410820</v>
      </c>
      <c r="B18047" t="s">
        <v>25295</v>
      </c>
      <c r="C18047" t="s">
        <v>7</v>
      </c>
      <c r="D18047" t="s">
        <v>33</v>
      </c>
      <c r="E18047" t="s">
        <v>23161</v>
      </c>
      <c r="F18047" t="s">
        <v>25296</v>
      </c>
    </row>
    <row r="18048" spans="1:6" x14ac:dyDescent="0.25">
      <c r="A18048" t="str">
        <f>"7713429170"</f>
        <v>7713429170</v>
      </c>
      <c r="B18048" t="s">
        <v>25297</v>
      </c>
      <c r="C18048" t="s">
        <v>7</v>
      </c>
      <c r="D18048" t="s">
        <v>33</v>
      </c>
      <c r="E18048" t="s">
        <v>23161</v>
      </c>
      <c r="F18048" t="s">
        <v>25298</v>
      </c>
    </row>
    <row r="18049" spans="1:6" x14ac:dyDescent="0.25">
      <c r="A18049" t="str">
        <f>"7713453334"</f>
        <v>7713453334</v>
      </c>
      <c r="B18049" t="s">
        <v>25299</v>
      </c>
      <c r="C18049" t="s">
        <v>7</v>
      </c>
      <c r="D18049" t="s">
        <v>674</v>
      </c>
      <c r="E18049" t="s">
        <v>23161</v>
      </c>
      <c r="F18049" t="s">
        <v>25300</v>
      </c>
    </row>
    <row r="18050" spans="1:6" x14ac:dyDescent="0.25">
      <c r="A18050" t="str">
        <f>"7713465869"</f>
        <v>7713465869</v>
      </c>
      <c r="B18050" t="s">
        <v>25301</v>
      </c>
      <c r="C18050" t="s">
        <v>7</v>
      </c>
      <c r="D18050" t="s">
        <v>14</v>
      </c>
      <c r="E18050" t="s">
        <v>23161</v>
      </c>
      <c r="F18050" t="s">
        <v>25302</v>
      </c>
    </row>
    <row r="18051" spans="1:6" x14ac:dyDescent="0.25">
      <c r="A18051" t="str">
        <f>"7713466598"</f>
        <v>7713466598</v>
      </c>
      <c r="B18051" t="s">
        <v>25303</v>
      </c>
      <c r="C18051" t="s">
        <v>7</v>
      </c>
      <c r="D18051" t="s">
        <v>14</v>
      </c>
      <c r="E18051" t="s">
        <v>23161</v>
      </c>
      <c r="F18051" t="s">
        <v>25304</v>
      </c>
    </row>
    <row r="18052" spans="1:6" x14ac:dyDescent="0.25">
      <c r="A18052" t="str">
        <f>"7713493168"</f>
        <v>7713493168</v>
      </c>
      <c r="B18052" t="s">
        <v>25305</v>
      </c>
      <c r="C18052" t="s">
        <v>7</v>
      </c>
      <c r="D18052" t="s">
        <v>33</v>
      </c>
      <c r="E18052" t="s">
        <v>23161</v>
      </c>
      <c r="F18052" t="s">
        <v>25306</v>
      </c>
    </row>
    <row r="18053" spans="1:6" x14ac:dyDescent="0.25">
      <c r="A18053" t="str">
        <f>"7713698214"</f>
        <v>7713698214</v>
      </c>
      <c r="B18053" t="s">
        <v>25307</v>
      </c>
      <c r="C18053" t="s">
        <v>7</v>
      </c>
      <c r="D18053" t="s">
        <v>674</v>
      </c>
      <c r="E18053" t="s">
        <v>23161</v>
      </c>
      <c r="F18053" t="s">
        <v>25308</v>
      </c>
    </row>
    <row r="18054" spans="1:6" x14ac:dyDescent="0.25">
      <c r="A18054" t="str">
        <f>"771370398487"</f>
        <v>771370398487</v>
      </c>
      <c r="B18054" t="s">
        <v>25309</v>
      </c>
      <c r="C18054" t="s">
        <v>7</v>
      </c>
      <c r="D18054" t="s">
        <v>14</v>
      </c>
      <c r="E18054" t="s">
        <v>23161</v>
      </c>
    </row>
    <row r="18055" spans="1:6" x14ac:dyDescent="0.25">
      <c r="A18055" t="str">
        <f>"771370974941"</f>
        <v>771370974941</v>
      </c>
      <c r="B18055" t="s">
        <v>25310</v>
      </c>
      <c r="C18055" t="s">
        <v>7</v>
      </c>
      <c r="D18055" t="s">
        <v>14</v>
      </c>
      <c r="E18055" t="s">
        <v>23161</v>
      </c>
    </row>
    <row r="18056" spans="1:6" x14ac:dyDescent="0.25">
      <c r="A18056" t="str">
        <f>"771374424089"</f>
        <v>771374424089</v>
      </c>
      <c r="B18056" t="s">
        <v>25311</v>
      </c>
      <c r="C18056" t="s">
        <v>7</v>
      </c>
      <c r="D18056" t="s">
        <v>12</v>
      </c>
      <c r="E18056" t="s">
        <v>23161</v>
      </c>
    </row>
    <row r="18057" spans="1:6" x14ac:dyDescent="0.25">
      <c r="A18057" t="str">
        <f>"7713769923"</f>
        <v>7713769923</v>
      </c>
      <c r="B18057" t="s">
        <v>25312</v>
      </c>
      <c r="C18057" t="s">
        <v>7</v>
      </c>
      <c r="D18057" t="s">
        <v>1430</v>
      </c>
      <c r="E18057" t="s">
        <v>23161</v>
      </c>
      <c r="F18057" t="s">
        <v>25313</v>
      </c>
    </row>
    <row r="18058" spans="1:6" x14ac:dyDescent="0.25">
      <c r="A18058" t="str">
        <f>"771379090190"</f>
        <v>771379090190</v>
      </c>
      <c r="B18058" t="s">
        <v>25314</v>
      </c>
      <c r="C18058" t="s">
        <v>7</v>
      </c>
      <c r="D18058" t="s">
        <v>14</v>
      </c>
      <c r="E18058" t="s">
        <v>23161</v>
      </c>
    </row>
    <row r="18059" spans="1:6" x14ac:dyDescent="0.25">
      <c r="A18059" t="str">
        <f>"771385585715"</f>
        <v>771385585715</v>
      </c>
      <c r="B18059" t="s">
        <v>25315</v>
      </c>
      <c r="C18059" t="s">
        <v>7</v>
      </c>
      <c r="D18059" t="s">
        <v>8</v>
      </c>
      <c r="E18059" t="s">
        <v>23161</v>
      </c>
    </row>
    <row r="18060" spans="1:6" x14ac:dyDescent="0.25">
      <c r="A18060" t="str">
        <f>"771385667277"</f>
        <v>771385667277</v>
      </c>
      <c r="B18060" t="s">
        <v>25316</v>
      </c>
      <c r="C18060" t="s">
        <v>7</v>
      </c>
      <c r="D18060" t="s">
        <v>14</v>
      </c>
      <c r="E18060" t="s">
        <v>23161</v>
      </c>
    </row>
    <row r="18061" spans="1:6" x14ac:dyDescent="0.25">
      <c r="A18061" t="str">
        <f>"7714451788"</f>
        <v>7714451788</v>
      </c>
      <c r="B18061" t="s">
        <v>25317</v>
      </c>
      <c r="C18061" t="s">
        <v>7</v>
      </c>
      <c r="D18061" t="s">
        <v>33</v>
      </c>
      <c r="E18061" t="s">
        <v>23161</v>
      </c>
      <c r="F18061" t="s">
        <v>25318</v>
      </c>
    </row>
    <row r="18062" spans="1:6" x14ac:dyDescent="0.25">
      <c r="A18062" t="str">
        <f>"7714452291"</f>
        <v>7714452291</v>
      </c>
      <c r="B18062" t="s">
        <v>25319</v>
      </c>
      <c r="C18062" t="s">
        <v>7</v>
      </c>
      <c r="D18062" t="s">
        <v>33</v>
      </c>
      <c r="E18062" t="s">
        <v>23161</v>
      </c>
      <c r="F18062" t="s">
        <v>25320</v>
      </c>
    </row>
    <row r="18063" spans="1:6" x14ac:dyDescent="0.25">
      <c r="A18063" t="str">
        <f>"7714498641"</f>
        <v>7714498641</v>
      </c>
      <c r="B18063" t="s">
        <v>25321</v>
      </c>
      <c r="C18063" t="s">
        <v>7</v>
      </c>
      <c r="D18063" t="s">
        <v>12</v>
      </c>
      <c r="E18063" t="s">
        <v>23161</v>
      </c>
      <c r="F18063" t="s">
        <v>25322</v>
      </c>
    </row>
    <row r="18064" spans="1:6" x14ac:dyDescent="0.25">
      <c r="A18064" t="str">
        <f>"771465141200"</f>
        <v>771465141200</v>
      </c>
      <c r="B18064" t="s">
        <v>25323</v>
      </c>
      <c r="C18064" t="s">
        <v>7</v>
      </c>
      <c r="D18064" t="s">
        <v>14</v>
      </c>
      <c r="E18064" t="s">
        <v>23161</v>
      </c>
    </row>
    <row r="18065" spans="1:6" x14ac:dyDescent="0.25">
      <c r="A18065" t="str">
        <f>"771474293714"</f>
        <v>771474293714</v>
      </c>
      <c r="B18065" t="s">
        <v>25324</v>
      </c>
      <c r="C18065" t="s">
        <v>7</v>
      </c>
      <c r="D18065" t="s">
        <v>14</v>
      </c>
      <c r="E18065" t="s">
        <v>23161</v>
      </c>
    </row>
    <row r="18066" spans="1:6" x14ac:dyDescent="0.25">
      <c r="A18066" t="str">
        <f>"7714946928"</f>
        <v>7714946928</v>
      </c>
      <c r="B18066" t="s">
        <v>25325</v>
      </c>
      <c r="C18066" t="s">
        <v>7</v>
      </c>
      <c r="D18066" t="s">
        <v>14</v>
      </c>
      <c r="E18066" t="s">
        <v>23161</v>
      </c>
      <c r="F18066" t="s">
        <v>25326</v>
      </c>
    </row>
    <row r="18067" spans="1:6" x14ac:dyDescent="0.25">
      <c r="A18067" t="str">
        <f>"7714960930"</f>
        <v>7714960930</v>
      </c>
      <c r="B18067" t="s">
        <v>25327</v>
      </c>
      <c r="C18067" t="s">
        <v>7</v>
      </c>
      <c r="D18067" t="s">
        <v>12</v>
      </c>
      <c r="E18067" t="s">
        <v>23161</v>
      </c>
      <c r="F18067" t="s">
        <v>25328</v>
      </c>
    </row>
    <row r="18068" spans="1:6" x14ac:dyDescent="0.25">
      <c r="A18068" t="str">
        <f>"7714994417"</f>
        <v>7714994417</v>
      </c>
      <c r="B18068" t="s">
        <v>25329</v>
      </c>
      <c r="C18068" t="s">
        <v>7</v>
      </c>
      <c r="D18068" t="s">
        <v>33</v>
      </c>
      <c r="E18068" t="s">
        <v>23161</v>
      </c>
      <c r="F18068" t="s">
        <v>25330</v>
      </c>
    </row>
    <row r="18069" spans="1:6" x14ac:dyDescent="0.25">
      <c r="A18069" t="str">
        <f>"771503118452"</f>
        <v>771503118452</v>
      </c>
      <c r="B18069" t="s">
        <v>25331</v>
      </c>
      <c r="C18069" t="s">
        <v>7</v>
      </c>
      <c r="D18069" t="s">
        <v>14</v>
      </c>
      <c r="E18069" t="s">
        <v>23161</v>
      </c>
    </row>
    <row r="18070" spans="1:6" x14ac:dyDescent="0.25">
      <c r="A18070" t="str">
        <f>"771520336718"</f>
        <v>771520336718</v>
      </c>
      <c r="B18070" t="s">
        <v>25332</v>
      </c>
      <c r="C18070" t="s">
        <v>7</v>
      </c>
      <c r="D18070" t="s">
        <v>12</v>
      </c>
      <c r="E18070" t="s">
        <v>23161</v>
      </c>
    </row>
    <row r="18071" spans="1:6" x14ac:dyDescent="0.25">
      <c r="A18071" t="str">
        <f>"771520396731"</f>
        <v>771520396731</v>
      </c>
      <c r="B18071" t="s">
        <v>25333</v>
      </c>
      <c r="C18071" t="s">
        <v>7</v>
      </c>
      <c r="D18071" t="s">
        <v>12</v>
      </c>
      <c r="E18071" t="s">
        <v>23161</v>
      </c>
    </row>
    <row r="18072" spans="1:6" x14ac:dyDescent="0.25">
      <c r="A18072" t="str">
        <f>"7715307392"</f>
        <v>7715307392</v>
      </c>
      <c r="B18072" t="s">
        <v>25334</v>
      </c>
      <c r="C18072" t="s">
        <v>7</v>
      </c>
      <c r="D18072" t="s">
        <v>674</v>
      </c>
      <c r="E18072" t="s">
        <v>23161</v>
      </c>
      <c r="F18072" t="s">
        <v>25335</v>
      </c>
    </row>
    <row r="18073" spans="1:6" x14ac:dyDescent="0.25">
      <c r="A18073" t="str">
        <f>"771536941453"</f>
        <v>771536941453</v>
      </c>
      <c r="B18073" t="s">
        <v>25336</v>
      </c>
      <c r="C18073" t="s">
        <v>7</v>
      </c>
      <c r="D18073" t="s">
        <v>14</v>
      </c>
      <c r="E18073" t="s">
        <v>23161</v>
      </c>
    </row>
    <row r="18074" spans="1:6" x14ac:dyDescent="0.25">
      <c r="A18074" t="str">
        <f>"7715397999"</f>
        <v>7715397999</v>
      </c>
      <c r="B18074" t="s">
        <v>25337</v>
      </c>
      <c r="C18074" t="s">
        <v>7</v>
      </c>
      <c r="D18074" t="s">
        <v>33</v>
      </c>
      <c r="E18074" t="s">
        <v>23161</v>
      </c>
      <c r="F18074" t="s">
        <v>23594</v>
      </c>
    </row>
    <row r="18075" spans="1:6" x14ac:dyDescent="0.25">
      <c r="A18075" t="str">
        <f>"7715434760"</f>
        <v>7715434760</v>
      </c>
      <c r="B18075" t="s">
        <v>25338</v>
      </c>
      <c r="C18075" t="s">
        <v>7</v>
      </c>
      <c r="D18075" t="s">
        <v>12</v>
      </c>
      <c r="E18075" t="s">
        <v>23161</v>
      </c>
      <c r="F18075" t="s">
        <v>25339</v>
      </c>
    </row>
    <row r="18076" spans="1:6" x14ac:dyDescent="0.25">
      <c r="A18076" t="str">
        <f>"7715680371"</f>
        <v>7715680371</v>
      </c>
      <c r="B18076" t="s">
        <v>25340</v>
      </c>
      <c r="C18076" t="s">
        <v>7</v>
      </c>
      <c r="D18076" t="s">
        <v>189</v>
      </c>
      <c r="E18076" t="s">
        <v>23161</v>
      </c>
      <c r="F18076" t="s">
        <v>25341</v>
      </c>
    </row>
    <row r="18077" spans="1:6" x14ac:dyDescent="0.25">
      <c r="A18077" t="str">
        <f>"771573504980"</f>
        <v>771573504980</v>
      </c>
      <c r="B18077" t="s">
        <v>25342</v>
      </c>
      <c r="C18077" t="s">
        <v>7</v>
      </c>
      <c r="D18077" t="s">
        <v>674</v>
      </c>
      <c r="E18077" t="s">
        <v>23161</v>
      </c>
    </row>
    <row r="18078" spans="1:6" x14ac:dyDescent="0.25">
      <c r="A18078" t="str">
        <f>"790104271523"</f>
        <v>790104271523</v>
      </c>
      <c r="B18078" t="s">
        <v>25343</v>
      </c>
      <c r="C18078" t="s">
        <v>7</v>
      </c>
      <c r="D18078" t="s">
        <v>14</v>
      </c>
      <c r="E18078" t="s">
        <v>23161</v>
      </c>
    </row>
    <row r="18079" spans="1:6" x14ac:dyDescent="0.25">
      <c r="A18079" t="str">
        <f>"680903084633"</f>
        <v>680903084633</v>
      </c>
      <c r="B18079" t="s">
        <v>25344</v>
      </c>
      <c r="C18079" t="s">
        <v>7</v>
      </c>
      <c r="D18079" t="s">
        <v>14</v>
      </c>
      <c r="E18079" t="s">
        <v>23161</v>
      </c>
    </row>
    <row r="18080" spans="1:6" x14ac:dyDescent="0.25">
      <c r="A18080" t="str">
        <f>"7715944056"</f>
        <v>7715944056</v>
      </c>
      <c r="B18080" t="s">
        <v>25345</v>
      </c>
      <c r="C18080" t="s">
        <v>7</v>
      </c>
      <c r="D18080" t="s">
        <v>33</v>
      </c>
      <c r="E18080" t="s">
        <v>23161</v>
      </c>
      <c r="F18080" t="s">
        <v>25346</v>
      </c>
    </row>
    <row r="18081" spans="1:6" x14ac:dyDescent="0.25">
      <c r="A18081" t="str">
        <f>"7715977968"</f>
        <v>7715977968</v>
      </c>
      <c r="B18081" t="s">
        <v>20541</v>
      </c>
      <c r="C18081" t="s">
        <v>7</v>
      </c>
      <c r="D18081" t="s">
        <v>674</v>
      </c>
      <c r="E18081" t="s">
        <v>23161</v>
      </c>
      <c r="F18081" t="s">
        <v>25347</v>
      </c>
    </row>
    <row r="18082" spans="1:6" x14ac:dyDescent="0.25">
      <c r="A18082" t="str">
        <f>"7716118119"</f>
        <v>7716118119</v>
      </c>
      <c r="B18082" t="s">
        <v>3982</v>
      </c>
      <c r="C18082" t="s">
        <v>7</v>
      </c>
      <c r="D18082" t="s">
        <v>674</v>
      </c>
      <c r="E18082" t="s">
        <v>23161</v>
      </c>
      <c r="F18082" t="s">
        <v>25348</v>
      </c>
    </row>
    <row r="18083" spans="1:6" x14ac:dyDescent="0.25">
      <c r="A18083" t="str">
        <f>"7716181093"</f>
        <v>7716181093</v>
      </c>
      <c r="B18083" t="s">
        <v>25349</v>
      </c>
      <c r="C18083" t="s">
        <v>7</v>
      </c>
      <c r="D18083" t="s">
        <v>14</v>
      </c>
      <c r="E18083" t="s">
        <v>23161</v>
      </c>
      <c r="F18083" t="s">
        <v>25350</v>
      </c>
    </row>
    <row r="18084" spans="1:6" x14ac:dyDescent="0.25">
      <c r="A18084" t="str">
        <f>"7716655674"</f>
        <v>7716655674</v>
      </c>
      <c r="B18084" t="s">
        <v>25351</v>
      </c>
      <c r="C18084" t="s">
        <v>7</v>
      </c>
      <c r="D18084" t="s">
        <v>33</v>
      </c>
      <c r="E18084" t="s">
        <v>23161</v>
      </c>
      <c r="F18084" t="s">
        <v>25352</v>
      </c>
    </row>
    <row r="18085" spans="1:6" x14ac:dyDescent="0.25">
      <c r="A18085" t="str">
        <f>"771670174640"</f>
        <v>771670174640</v>
      </c>
      <c r="B18085" t="s">
        <v>25353</v>
      </c>
      <c r="C18085" t="s">
        <v>7</v>
      </c>
      <c r="D18085" t="s">
        <v>12</v>
      </c>
      <c r="E18085" t="s">
        <v>23161</v>
      </c>
    </row>
    <row r="18086" spans="1:6" x14ac:dyDescent="0.25">
      <c r="A18086" t="str">
        <f>"771670478077"</f>
        <v>771670478077</v>
      </c>
      <c r="B18086" t="s">
        <v>25354</v>
      </c>
      <c r="C18086" t="s">
        <v>7</v>
      </c>
      <c r="D18086" t="s">
        <v>12</v>
      </c>
      <c r="E18086" t="s">
        <v>23161</v>
      </c>
    </row>
    <row r="18087" spans="1:6" x14ac:dyDescent="0.25">
      <c r="A18087" t="str">
        <f>"771670983827"</f>
        <v>771670983827</v>
      </c>
      <c r="B18087" t="s">
        <v>25355</v>
      </c>
      <c r="C18087" t="s">
        <v>7</v>
      </c>
      <c r="D18087" t="s">
        <v>14</v>
      </c>
      <c r="E18087" t="s">
        <v>23161</v>
      </c>
    </row>
    <row r="18088" spans="1:6" x14ac:dyDescent="0.25">
      <c r="A18088" t="str">
        <f>"7716714520"</f>
        <v>7716714520</v>
      </c>
      <c r="B18088" t="s">
        <v>25356</v>
      </c>
      <c r="C18088" t="s">
        <v>7</v>
      </c>
      <c r="D18088" t="s">
        <v>12</v>
      </c>
      <c r="E18088" t="s">
        <v>23161</v>
      </c>
      <c r="F18088" t="s">
        <v>25357</v>
      </c>
    </row>
    <row r="18089" spans="1:6" x14ac:dyDescent="0.25">
      <c r="A18089" t="str">
        <f>"7716732008"</f>
        <v>7716732008</v>
      </c>
      <c r="B18089" t="s">
        <v>25358</v>
      </c>
      <c r="C18089" t="s">
        <v>7</v>
      </c>
      <c r="D18089" t="s">
        <v>146</v>
      </c>
      <c r="E18089" t="s">
        <v>23161</v>
      </c>
      <c r="F18089" t="s">
        <v>25359</v>
      </c>
    </row>
    <row r="18090" spans="1:6" x14ac:dyDescent="0.25">
      <c r="A18090" t="str">
        <f>"771673574533"</f>
        <v>771673574533</v>
      </c>
      <c r="B18090" t="s">
        <v>25360</v>
      </c>
      <c r="C18090" t="s">
        <v>7</v>
      </c>
      <c r="D18090" t="s">
        <v>12</v>
      </c>
      <c r="E18090" t="s">
        <v>23161</v>
      </c>
    </row>
    <row r="18091" spans="1:6" x14ac:dyDescent="0.25">
      <c r="A18091" t="str">
        <f>"7716746314"</f>
        <v>7716746314</v>
      </c>
      <c r="B18091" t="s">
        <v>25361</v>
      </c>
      <c r="C18091" t="s">
        <v>7</v>
      </c>
      <c r="D18091" t="s">
        <v>12</v>
      </c>
      <c r="E18091" t="s">
        <v>23161</v>
      </c>
      <c r="F18091" t="s">
        <v>25362</v>
      </c>
    </row>
    <row r="18092" spans="1:6" x14ac:dyDescent="0.25">
      <c r="A18092" t="str">
        <f>"7716789822"</f>
        <v>7716789822</v>
      </c>
      <c r="B18092" t="s">
        <v>25363</v>
      </c>
      <c r="C18092" t="s">
        <v>7</v>
      </c>
      <c r="D18092" t="s">
        <v>33</v>
      </c>
      <c r="E18092" t="s">
        <v>23161</v>
      </c>
      <c r="F18092" t="s">
        <v>25364</v>
      </c>
    </row>
    <row r="18093" spans="1:6" x14ac:dyDescent="0.25">
      <c r="A18093" t="str">
        <f>"771680850336"</f>
        <v>771680850336</v>
      </c>
      <c r="B18093" t="s">
        <v>25365</v>
      </c>
      <c r="C18093" t="s">
        <v>7</v>
      </c>
      <c r="D18093" t="s">
        <v>14</v>
      </c>
      <c r="E18093" t="s">
        <v>23161</v>
      </c>
    </row>
    <row r="18094" spans="1:6" x14ac:dyDescent="0.25">
      <c r="A18094" t="str">
        <f>"7716815776"</f>
        <v>7716815776</v>
      </c>
      <c r="B18094" t="s">
        <v>25366</v>
      </c>
      <c r="C18094" t="s">
        <v>7</v>
      </c>
      <c r="D18094" t="s">
        <v>1430</v>
      </c>
      <c r="E18094" t="s">
        <v>23161</v>
      </c>
      <c r="F18094" t="s">
        <v>25367</v>
      </c>
    </row>
    <row r="18095" spans="1:6" x14ac:dyDescent="0.25">
      <c r="A18095" t="str">
        <f>"7716835571"</f>
        <v>7716835571</v>
      </c>
      <c r="B18095" t="s">
        <v>25368</v>
      </c>
      <c r="C18095" t="s">
        <v>7</v>
      </c>
      <c r="D18095" t="s">
        <v>674</v>
      </c>
      <c r="E18095" t="s">
        <v>23161</v>
      </c>
      <c r="F18095" t="s">
        <v>25369</v>
      </c>
    </row>
    <row r="18096" spans="1:6" x14ac:dyDescent="0.25">
      <c r="A18096" t="str">
        <f>"771685293914"</f>
        <v>771685293914</v>
      </c>
      <c r="B18096" t="s">
        <v>25370</v>
      </c>
      <c r="C18096" t="s">
        <v>7</v>
      </c>
      <c r="D18096" t="s">
        <v>463</v>
      </c>
      <c r="E18096" t="s">
        <v>23161</v>
      </c>
    </row>
    <row r="18097" spans="1:6" x14ac:dyDescent="0.25">
      <c r="A18097" t="str">
        <f>"7716914110"</f>
        <v>7716914110</v>
      </c>
      <c r="B18097" t="s">
        <v>25371</v>
      </c>
      <c r="C18097" t="s">
        <v>7</v>
      </c>
      <c r="D18097" t="s">
        <v>12</v>
      </c>
      <c r="E18097" t="s">
        <v>23161</v>
      </c>
      <c r="F18097" t="s">
        <v>25372</v>
      </c>
    </row>
    <row r="18098" spans="1:6" x14ac:dyDescent="0.25">
      <c r="A18098" t="str">
        <f>"7716950535"</f>
        <v>7716950535</v>
      </c>
      <c r="B18098" t="s">
        <v>25373</v>
      </c>
      <c r="C18098" t="s">
        <v>7</v>
      </c>
      <c r="D18098" t="s">
        <v>189</v>
      </c>
      <c r="E18098" t="s">
        <v>23161</v>
      </c>
      <c r="F18098" t="s">
        <v>25374</v>
      </c>
    </row>
    <row r="18099" spans="1:6" x14ac:dyDescent="0.25">
      <c r="A18099" t="str">
        <f>"7716960205"</f>
        <v>7716960205</v>
      </c>
      <c r="B18099" t="s">
        <v>25375</v>
      </c>
      <c r="C18099" t="s">
        <v>7</v>
      </c>
      <c r="D18099" t="s">
        <v>674</v>
      </c>
      <c r="E18099" t="s">
        <v>23161</v>
      </c>
      <c r="F18099" t="s">
        <v>25376</v>
      </c>
    </row>
    <row r="18100" spans="1:6" x14ac:dyDescent="0.25">
      <c r="A18100" t="str">
        <f>"7716983474"</f>
        <v>7716983474</v>
      </c>
      <c r="B18100" t="s">
        <v>25377</v>
      </c>
      <c r="C18100" t="s">
        <v>7</v>
      </c>
      <c r="D18100" t="s">
        <v>33</v>
      </c>
      <c r="E18100" t="s">
        <v>23161</v>
      </c>
      <c r="F18100" t="s">
        <v>25378</v>
      </c>
    </row>
    <row r="18101" spans="1:6" x14ac:dyDescent="0.25">
      <c r="A18101" t="str">
        <f>"7716985880"</f>
        <v>7716985880</v>
      </c>
      <c r="B18101" t="s">
        <v>25379</v>
      </c>
      <c r="C18101" t="s">
        <v>7</v>
      </c>
      <c r="D18101" t="s">
        <v>1430</v>
      </c>
      <c r="E18101" t="s">
        <v>23161</v>
      </c>
      <c r="F18101" t="s">
        <v>25380</v>
      </c>
    </row>
    <row r="18102" spans="1:6" x14ac:dyDescent="0.25">
      <c r="A18102" t="str">
        <f>"7716993803"</f>
        <v>7716993803</v>
      </c>
      <c r="B18102" t="s">
        <v>25381</v>
      </c>
      <c r="C18102" t="s">
        <v>7</v>
      </c>
      <c r="D18102" t="s">
        <v>33</v>
      </c>
      <c r="E18102" t="s">
        <v>23161</v>
      </c>
      <c r="F18102" t="s">
        <v>25382</v>
      </c>
    </row>
    <row r="18103" spans="1:6" x14ac:dyDescent="0.25">
      <c r="A18103" t="str">
        <f>"7717298672"</f>
        <v>7717298672</v>
      </c>
      <c r="B18103" t="s">
        <v>25383</v>
      </c>
      <c r="C18103" t="s">
        <v>7</v>
      </c>
      <c r="D18103" t="s">
        <v>33</v>
      </c>
      <c r="E18103" t="s">
        <v>23161</v>
      </c>
      <c r="F18103" t="s">
        <v>25384</v>
      </c>
    </row>
    <row r="18104" spans="1:6" x14ac:dyDescent="0.25">
      <c r="A18104" t="str">
        <f>"771771484800"</f>
        <v>771771484800</v>
      </c>
      <c r="B18104" t="s">
        <v>25385</v>
      </c>
      <c r="C18104" t="s">
        <v>7</v>
      </c>
      <c r="D18104" t="s">
        <v>14</v>
      </c>
      <c r="E18104" t="s">
        <v>23161</v>
      </c>
    </row>
    <row r="18105" spans="1:6" x14ac:dyDescent="0.25">
      <c r="A18105" t="str">
        <f>"7718058433"</f>
        <v>7718058433</v>
      </c>
      <c r="B18105" t="s">
        <v>25386</v>
      </c>
      <c r="C18105" t="s">
        <v>7</v>
      </c>
      <c r="D18105" t="s">
        <v>14</v>
      </c>
      <c r="E18105" t="s">
        <v>23161</v>
      </c>
      <c r="F18105" t="s">
        <v>25387</v>
      </c>
    </row>
    <row r="18106" spans="1:6" x14ac:dyDescent="0.25">
      <c r="A18106" t="str">
        <f>"771806787389"</f>
        <v>771806787389</v>
      </c>
      <c r="B18106" t="s">
        <v>25388</v>
      </c>
      <c r="C18106" t="s">
        <v>7</v>
      </c>
      <c r="D18106" t="s">
        <v>14</v>
      </c>
      <c r="E18106" t="s">
        <v>23161</v>
      </c>
    </row>
    <row r="18107" spans="1:6" x14ac:dyDescent="0.25">
      <c r="A18107" t="str">
        <f>"7718171622"</f>
        <v>7718171622</v>
      </c>
      <c r="B18107" t="s">
        <v>25389</v>
      </c>
      <c r="C18107" t="s">
        <v>7</v>
      </c>
      <c r="D18107" t="s">
        <v>33</v>
      </c>
      <c r="E18107" t="s">
        <v>23161</v>
      </c>
      <c r="F18107" t="s">
        <v>25390</v>
      </c>
    </row>
    <row r="18108" spans="1:6" x14ac:dyDescent="0.25">
      <c r="A18108" t="str">
        <f>"7718278630"</f>
        <v>7718278630</v>
      </c>
      <c r="B18108" t="s">
        <v>25391</v>
      </c>
      <c r="C18108" t="s">
        <v>7</v>
      </c>
      <c r="D18108" t="s">
        <v>33</v>
      </c>
      <c r="E18108" t="s">
        <v>23161</v>
      </c>
      <c r="F18108" t="s">
        <v>25392</v>
      </c>
    </row>
    <row r="18109" spans="1:6" x14ac:dyDescent="0.25">
      <c r="A18109" t="str">
        <f>"771870095427"</f>
        <v>771870095427</v>
      </c>
      <c r="B18109" t="s">
        <v>25393</v>
      </c>
      <c r="C18109" t="s">
        <v>7</v>
      </c>
      <c r="D18109" t="s">
        <v>463</v>
      </c>
      <c r="E18109" t="s">
        <v>23161</v>
      </c>
    </row>
    <row r="18110" spans="1:6" x14ac:dyDescent="0.25">
      <c r="A18110" t="str">
        <f>"771873397666"</f>
        <v>771873397666</v>
      </c>
      <c r="B18110" t="s">
        <v>25394</v>
      </c>
      <c r="C18110" t="s">
        <v>7</v>
      </c>
      <c r="D18110" t="s">
        <v>14</v>
      </c>
      <c r="E18110" t="s">
        <v>23161</v>
      </c>
    </row>
    <row r="18111" spans="1:6" x14ac:dyDescent="0.25">
      <c r="A18111" t="str">
        <f>"771874176934"</f>
        <v>771874176934</v>
      </c>
      <c r="B18111" t="s">
        <v>25395</v>
      </c>
      <c r="C18111" t="s">
        <v>7</v>
      </c>
      <c r="D18111" t="s">
        <v>14</v>
      </c>
      <c r="E18111" t="s">
        <v>23161</v>
      </c>
    </row>
    <row r="18112" spans="1:6" x14ac:dyDescent="0.25">
      <c r="A18112" t="str">
        <f>"7718901942"</f>
        <v>7718901942</v>
      </c>
      <c r="B18112" t="s">
        <v>25396</v>
      </c>
      <c r="C18112" t="s">
        <v>7</v>
      </c>
      <c r="D18112" t="s">
        <v>12</v>
      </c>
      <c r="E18112" t="s">
        <v>23161</v>
      </c>
      <c r="F18112" t="s">
        <v>25397</v>
      </c>
    </row>
    <row r="18113" spans="1:6" x14ac:dyDescent="0.25">
      <c r="A18113" t="str">
        <f>"7718996528"</f>
        <v>7718996528</v>
      </c>
      <c r="B18113" t="s">
        <v>11537</v>
      </c>
      <c r="C18113" t="s">
        <v>7</v>
      </c>
      <c r="D18113" t="s">
        <v>33</v>
      </c>
      <c r="E18113" t="s">
        <v>23161</v>
      </c>
      <c r="F18113" t="s">
        <v>25398</v>
      </c>
    </row>
    <row r="18114" spans="1:6" x14ac:dyDescent="0.25">
      <c r="A18114" t="str">
        <f>"7719152929"</f>
        <v>7719152929</v>
      </c>
      <c r="B18114" t="s">
        <v>25399</v>
      </c>
      <c r="C18114" t="s">
        <v>7</v>
      </c>
      <c r="D18114" t="s">
        <v>146</v>
      </c>
      <c r="E18114" t="s">
        <v>23161</v>
      </c>
      <c r="F18114" t="s">
        <v>25400</v>
      </c>
    </row>
    <row r="18115" spans="1:6" x14ac:dyDescent="0.25">
      <c r="A18115" t="str">
        <f>"7719434803"</f>
        <v>7719434803</v>
      </c>
      <c r="B18115" t="s">
        <v>25401</v>
      </c>
      <c r="C18115" t="s">
        <v>7</v>
      </c>
      <c r="D18115" t="s">
        <v>1430</v>
      </c>
      <c r="E18115" t="s">
        <v>23161</v>
      </c>
      <c r="F18115" t="s">
        <v>25402</v>
      </c>
    </row>
    <row r="18116" spans="1:6" x14ac:dyDescent="0.25">
      <c r="A18116" t="str">
        <f>"7719464170"</f>
        <v>7719464170</v>
      </c>
      <c r="B18116" t="s">
        <v>25403</v>
      </c>
      <c r="C18116" t="s">
        <v>7</v>
      </c>
      <c r="D18116" t="s">
        <v>33</v>
      </c>
      <c r="E18116" t="s">
        <v>23161</v>
      </c>
      <c r="F18116" t="s">
        <v>25404</v>
      </c>
    </row>
    <row r="18117" spans="1:6" x14ac:dyDescent="0.25">
      <c r="A18117" t="str">
        <f>"7719588698"</f>
        <v>7719588698</v>
      </c>
      <c r="B18117" t="s">
        <v>25405</v>
      </c>
      <c r="C18117" t="s">
        <v>7</v>
      </c>
      <c r="D18117" t="s">
        <v>14</v>
      </c>
      <c r="E18117" t="s">
        <v>23161</v>
      </c>
      <c r="F18117" t="s">
        <v>25406</v>
      </c>
    </row>
    <row r="18118" spans="1:6" x14ac:dyDescent="0.25">
      <c r="A18118" t="str">
        <f>"7719654654"</f>
        <v>7719654654</v>
      </c>
      <c r="B18118" t="s">
        <v>25407</v>
      </c>
      <c r="C18118" t="s">
        <v>7</v>
      </c>
      <c r="D18118" t="s">
        <v>33</v>
      </c>
      <c r="E18118" t="s">
        <v>23161</v>
      </c>
      <c r="F18118" t="s">
        <v>25408</v>
      </c>
    </row>
    <row r="18119" spans="1:6" x14ac:dyDescent="0.25">
      <c r="A18119" t="str">
        <f>"771975314838"</f>
        <v>771975314838</v>
      </c>
      <c r="B18119" t="s">
        <v>25409</v>
      </c>
      <c r="C18119" t="s">
        <v>7</v>
      </c>
      <c r="D18119" t="s">
        <v>12</v>
      </c>
      <c r="E18119" t="s">
        <v>23161</v>
      </c>
    </row>
    <row r="18120" spans="1:6" x14ac:dyDescent="0.25">
      <c r="A18120" t="str">
        <f>"7719868092"</f>
        <v>7719868092</v>
      </c>
      <c r="B18120" t="s">
        <v>25410</v>
      </c>
      <c r="C18120" t="s">
        <v>7</v>
      </c>
      <c r="D18120" t="s">
        <v>674</v>
      </c>
      <c r="E18120" t="s">
        <v>23161</v>
      </c>
      <c r="F18120" t="s">
        <v>25411</v>
      </c>
    </row>
    <row r="18121" spans="1:6" x14ac:dyDescent="0.25">
      <c r="A18121" t="str">
        <f>"772000246555"</f>
        <v>772000246555</v>
      </c>
      <c r="B18121" t="s">
        <v>25412</v>
      </c>
      <c r="C18121" t="s">
        <v>7</v>
      </c>
      <c r="D18121" t="s">
        <v>33</v>
      </c>
      <c r="E18121" t="s">
        <v>23161</v>
      </c>
    </row>
    <row r="18122" spans="1:6" x14ac:dyDescent="0.25">
      <c r="A18122" t="str">
        <f>"7720065580"</f>
        <v>7720065580</v>
      </c>
      <c r="B18122" t="s">
        <v>25413</v>
      </c>
      <c r="C18122" t="s">
        <v>7</v>
      </c>
      <c r="D18122" t="s">
        <v>28</v>
      </c>
      <c r="E18122" t="s">
        <v>23161</v>
      </c>
      <c r="F18122" t="s">
        <v>25414</v>
      </c>
    </row>
    <row r="18123" spans="1:6" x14ac:dyDescent="0.25">
      <c r="A18123" t="str">
        <f>"772021975196"</f>
        <v>772021975196</v>
      </c>
      <c r="B18123" t="s">
        <v>25415</v>
      </c>
      <c r="C18123" t="s">
        <v>7</v>
      </c>
      <c r="D18123" t="s">
        <v>14</v>
      </c>
      <c r="E18123" t="s">
        <v>23161</v>
      </c>
    </row>
    <row r="18124" spans="1:6" x14ac:dyDescent="0.25">
      <c r="A18124" t="str">
        <f>"7720396101"</f>
        <v>7720396101</v>
      </c>
      <c r="B18124" t="s">
        <v>25416</v>
      </c>
      <c r="C18124" t="s">
        <v>7</v>
      </c>
      <c r="D18124" t="s">
        <v>14</v>
      </c>
      <c r="E18124" t="s">
        <v>23161</v>
      </c>
      <c r="F18124" t="s">
        <v>25417</v>
      </c>
    </row>
    <row r="18125" spans="1:6" x14ac:dyDescent="0.25">
      <c r="A18125" t="str">
        <f>"7720458750"</f>
        <v>7720458750</v>
      </c>
      <c r="B18125" t="s">
        <v>25418</v>
      </c>
      <c r="C18125" t="s">
        <v>7</v>
      </c>
      <c r="D18125" t="s">
        <v>189</v>
      </c>
      <c r="E18125" t="s">
        <v>23161</v>
      </c>
      <c r="F18125" t="s">
        <v>25419</v>
      </c>
    </row>
    <row r="18126" spans="1:6" x14ac:dyDescent="0.25">
      <c r="A18126" t="str">
        <f>"7720643512"</f>
        <v>7720643512</v>
      </c>
      <c r="B18126" t="s">
        <v>25420</v>
      </c>
      <c r="C18126" t="s">
        <v>7</v>
      </c>
      <c r="D18126" t="s">
        <v>14</v>
      </c>
      <c r="E18126" t="s">
        <v>23161</v>
      </c>
      <c r="F18126" t="s">
        <v>25421</v>
      </c>
    </row>
    <row r="18127" spans="1:6" x14ac:dyDescent="0.25">
      <c r="A18127" t="str">
        <f>"772065041436"</f>
        <v>772065041436</v>
      </c>
      <c r="B18127" t="s">
        <v>25422</v>
      </c>
      <c r="C18127" t="s">
        <v>7</v>
      </c>
      <c r="D18127" t="s">
        <v>12</v>
      </c>
      <c r="E18127" t="s">
        <v>23161</v>
      </c>
    </row>
    <row r="18128" spans="1:6" x14ac:dyDescent="0.25">
      <c r="A18128" t="str">
        <f>"7720654673"</f>
        <v>7720654673</v>
      </c>
      <c r="B18128" t="s">
        <v>25423</v>
      </c>
      <c r="C18128" t="s">
        <v>7</v>
      </c>
      <c r="D18128" t="s">
        <v>189</v>
      </c>
      <c r="E18128" t="s">
        <v>23161</v>
      </c>
      <c r="F18128" t="s">
        <v>25424</v>
      </c>
    </row>
    <row r="18129" spans="1:6" x14ac:dyDescent="0.25">
      <c r="A18129" t="str">
        <f>"7720670322"</f>
        <v>7720670322</v>
      </c>
      <c r="B18129" t="s">
        <v>25425</v>
      </c>
      <c r="C18129" t="s">
        <v>7</v>
      </c>
      <c r="D18129" t="s">
        <v>8</v>
      </c>
      <c r="E18129" t="s">
        <v>23161</v>
      </c>
      <c r="F18129" t="s">
        <v>25426</v>
      </c>
    </row>
    <row r="18130" spans="1:6" x14ac:dyDescent="0.25">
      <c r="A18130" t="str">
        <f>"7720698053"</f>
        <v>7720698053</v>
      </c>
      <c r="B18130" t="s">
        <v>25427</v>
      </c>
      <c r="C18130" t="s">
        <v>7</v>
      </c>
      <c r="D18130" t="s">
        <v>14</v>
      </c>
      <c r="E18130" t="s">
        <v>23161</v>
      </c>
      <c r="F18130" t="s">
        <v>25428</v>
      </c>
    </row>
    <row r="18131" spans="1:6" x14ac:dyDescent="0.25">
      <c r="A18131" t="str">
        <f>"7720705568"</f>
        <v>7720705568</v>
      </c>
      <c r="B18131" t="s">
        <v>25429</v>
      </c>
      <c r="C18131" t="s">
        <v>7</v>
      </c>
      <c r="D18131" t="s">
        <v>189</v>
      </c>
      <c r="E18131" t="s">
        <v>23161</v>
      </c>
      <c r="F18131" t="s">
        <v>25430</v>
      </c>
    </row>
    <row r="18132" spans="1:6" x14ac:dyDescent="0.25">
      <c r="A18132" t="str">
        <f>"772070909608"</f>
        <v>772070909608</v>
      </c>
      <c r="B18132" t="s">
        <v>25431</v>
      </c>
      <c r="C18132" t="s">
        <v>7</v>
      </c>
      <c r="D18132" t="s">
        <v>12</v>
      </c>
      <c r="E18132" t="s">
        <v>23161</v>
      </c>
    </row>
    <row r="18133" spans="1:6" x14ac:dyDescent="0.25">
      <c r="A18133" t="str">
        <f>"7720712533"</f>
        <v>7720712533</v>
      </c>
      <c r="B18133" t="s">
        <v>25432</v>
      </c>
      <c r="C18133" t="s">
        <v>7</v>
      </c>
      <c r="D18133" t="s">
        <v>33</v>
      </c>
      <c r="E18133" t="s">
        <v>23161</v>
      </c>
      <c r="F18133" t="s">
        <v>25433</v>
      </c>
    </row>
    <row r="18134" spans="1:6" x14ac:dyDescent="0.25">
      <c r="A18134" t="str">
        <f>"7720718447"</f>
        <v>7720718447</v>
      </c>
      <c r="B18134" t="s">
        <v>25434</v>
      </c>
      <c r="C18134" t="s">
        <v>7</v>
      </c>
      <c r="D18134" t="s">
        <v>189</v>
      </c>
      <c r="E18134" t="s">
        <v>23161</v>
      </c>
      <c r="F18134" t="s">
        <v>25435</v>
      </c>
    </row>
    <row r="18135" spans="1:6" x14ac:dyDescent="0.25">
      <c r="A18135" t="str">
        <f>"7720865755"</f>
        <v>7720865755</v>
      </c>
      <c r="B18135" t="s">
        <v>25436</v>
      </c>
      <c r="C18135" t="s">
        <v>7</v>
      </c>
      <c r="D18135" t="s">
        <v>33</v>
      </c>
      <c r="E18135" t="s">
        <v>23161</v>
      </c>
      <c r="F18135" t="s">
        <v>25437</v>
      </c>
    </row>
    <row r="18136" spans="1:6" x14ac:dyDescent="0.25">
      <c r="A18136" t="str">
        <f>"772088509992"</f>
        <v>772088509992</v>
      </c>
      <c r="B18136" t="s">
        <v>25438</v>
      </c>
      <c r="C18136" t="s">
        <v>7</v>
      </c>
      <c r="D18136" t="s">
        <v>8</v>
      </c>
      <c r="E18136" t="s">
        <v>23161</v>
      </c>
    </row>
    <row r="18137" spans="1:6" x14ac:dyDescent="0.25">
      <c r="A18137" t="str">
        <f>"7720888858"</f>
        <v>7720888858</v>
      </c>
      <c r="B18137" t="s">
        <v>25439</v>
      </c>
      <c r="C18137" t="s">
        <v>7</v>
      </c>
      <c r="D18137" t="s">
        <v>33</v>
      </c>
      <c r="E18137" t="s">
        <v>23161</v>
      </c>
      <c r="F18137" t="s">
        <v>25440</v>
      </c>
    </row>
    <row r="18138" spans="1:6" x14ac:dyDescent="0.25">
      <c r="A18138" t="str">
        <f>"7720890952"</f>
        <v>7720890952</v>
      </c>
      <c r="B18138" t="s">
        <v>25441</v>
      </c>
      <c r="C18138" t="s">
        <v>7</v>
      </c>
      <c r="D18138" t="s">
        <v>12</v>
      </c>
      <c r="E18138" t="s">
        <v>23161</v>
      </c>
      <c r="F18138" t="s">
        <v>25442</v>
      </c>
    </row>
    <row r="18139" spans="1:6" x14ac:dyDescent="0.25">
      <c r="A18139" t="str">
        <f>"9701296970"</f>
        <v>9701296970</v>
      </c>
      <c r="B18139" t="s">
        <v>14678</v>
      </c>
      <c r="C18139" t="s">
        <v>7</v>
      </c>
      <c r="D18139" t="s">
        <v>12</v>
      </c>
      <c r="E18139" t="s">
        <v>23161</v>
      </c>
      <c r="F18139" t="s">
        <v>25443</v>
      </c>
    </row>
    <row r="18140" spans="1:6" x14ac:dyDescent="0.25">
      <c r="A18140" t="str">
        <f>"9701308463"</f>
        <v>9701308463</v>
      </c>
      <c r="B18140" t="s">
        <v>25444</v>
      </c>
      <c r="C18140" t="s">
        <v>7</v>
      </c>
      <c r="D18140" t="s">
        <v>98</v>
      </c>
      <c r="E18140" t="s">
        <v>23161</v>
      </c>
      <c r="F18140" t="s">
        <v>25445</v>
      </c>
    </row>
    <row r="18141" spans="1:6" x14ac:dyDescent="0.25">
      <c r="A18141" t="str">
        <f>"9705152680"</f>
        <v>9705152680</v>
      </c>
      <c r="B18141" t="s">
        <v>25446</v>
      </c>
      <c r="C18141" t="s">
        <v>7</v>
      </c>
      <c r="D18141" t="s">
        <v>674</v>
      </c>
      <c r="E18141" t="s">
        <v>23161</v>
      </c>
      <c r="F18141" t="s">
        <v>25447</v>
      </c>
    </row>
    <row r="18142" spans="1:6" x14ac:dyDescent="0.25">
      <c r="A18142" t="str">
        <f>"9706032025"</f>
        <v>9706032025</v>
      </c>
      <c r="B18142" t="s">
        <v>25448</v>
      </c>
      <c r="C18142" t="s">
        <v>7</v>
      </c>
      <c r="D18142" t="s">
        <v>1430</v>
      </c>
      <c r="E18142" t="s">
        <v>23161</v>
      </c>
      <c r="F18142" t="s">
        <v>25449</v>
      </c>
    </row>
    <row r="18143" spans="1:6" x14ac:dyDescent="0.25">
      <c r="A18143" t="str">
        <f>"9709095640"</f>
        <v>9709095640</v>
      </c>
      <c r="B18143" t="s">
        <v>25450</v>
      </c>
      <c r="C18143" t="s">
        <v>7</v>
      </c>
      <c r="D18143" t="s">
        <v>14</v>
      </c>
      <c r="E18143" t="s">
        <v>23161</v>
      </c>
      <c r="F18143" t="s">
        <v>25451</v>
      </c>
    </row>
    <row r="18144" spans="1:6" x14ac:dyDescent="0.25">
      <c r="A18144" t="str">
        <f>"9715456327"</f>
        <v>9715456327</v>
      </c>
      <c r="B18144" t="s">
        <v>25452</v>
      </c>
      <c r="C18144" t="s">
        <v>7</v>
      </c>
      <c r="D18144" t="s">
        <v>33</v>
      </c>
      <c r="E18144" t="s">
        <v>23161</v>
      </c>
      <c r="F18144" t="s">
        <v>25453</v>
      </c>
    </row>
    <row r="18145" spans="1:6" x14ac:dyDescent="0.25">
      <c r="A18145" t="str">
        <f>"9715472167"</f>
        <v>9715472167</v>
      </c>
      <c r="B18145" t="s">
        <v>25454</v>
      </c>
      <c r="C18145" t="s">
        <v>7</v>
      </c>
      <c r="D18145" t="s">
        <v>146</v>
      </c>
      <c r="E18145" t="s">
        <v>23161</v>
      </c>
      <c r="F18145" t="s">
        <v>25455</v>
      </c>
    </row>
    <row r="18146" spans="1:6" x14ac:dyDescent="0.25">
      <c r="A18146" t="str">
        <f>"9716005493"</f>
        <v>9716005493</v>
      </c>
      <c r="B18146" t="s">
        <v>25456</v>
      </c>
      <c r="C18146" t="s">
        <v>7</v>
      </c>
      <c r="D18146" t="s">
        <v>12</v>
      </c>
      <c r="E18146" t="s">
        <v>23161</v>
      </c>
      <c r="F18146" t="s">
        <v>25457</v>
      </c>
    </row>
    <row r="18147" spans="1:6" x14ac:dyDescent="0.25">
      <c r="A18147" t="str">
        <f>"9717106840"</f>
        <v>9717106840</v>
      </c>
      <c r="B18147" t="s">
        <v>25458</v>
      </c>
      <c r="C18147" t="s">
        <v>7</v>
      </c>
      <c r="D18147" t="s">
        <v>33</v>
      </c>
      <c r="E18147" t="s">
        <v>23161</v>
      </c>
      <c r="F18147" t="s">
        <v>25459</v>
      </c>
    </row>
    <row r="18148" spans="1:6" x14ac:dyDescent="0.25">
      <c r="A18148" t="str">
        <f>"9717130360"</f>
        <v>9717130360</v>
      </c>
      <c r="B18148" t="s">
        <v>25460</v>
      </c>
      <c r="C18148" t="s">
        <v>7</v>
      </c>
      <c r="D18148" t="s">
        <v>8</v>
      </c>
      <c r="E18148" t="s">
        <v>23161</v>
      </c>
      <c r="F18148" t="s">
        <v>25461</v>
      </c>
    </row>
    <row r="18149" spans="1:6" x14ac:dyDescent="0.25">
      <c r="A18149" t="str">
        <f>"9718012337"</f>
        <v>9718012337</v>
      </c>
      <c r="B18149" t="s">
        <v>25462</v>
      </c>
      <c r="C18149" t="s">
        <v>7</v>
      </c>
      <c r="D18149" t="s">
        <v>14</v>
      </c>
      <c r="E18149" t="s">
        <v>23161</v>
      </c>
      <c r="F18149" t="s">
        <v>25463</v>
      </c>
    </row>
    <row r="18150" spans="1:6" x14ac:dyDescent="0.25">
      <c r="A18150" t="str">
        <f>"9721159971"</f>
        <v>9721159971</v>
      </c>
      <c r="B18150" t="s">
        <v>5585</v>
      </c>
      <c r="C18150" t="s">
        <v>7</v>
      </c>
      <c r="D18150" t="s">
        <v>14</v>
      </c>
      <c r="E18150" t="s">
        <v>23161</v>
      </c>
      <c r="F18150" t="s">
        <v>25464</v>
      </c>
    </row>
    <row r="18151" spans="1:6" x14ac:dyDescent="0.25">
      <c r="A18151" t="str">
        <f>"9721170301"</f>
        <v>9721170301</v>
      </c>
      <c r="B18151" t="s">
        <v>25465</v>
      </c>
      <c r="C18151" t="s">
        <v>7</v>
      </c>
      <c r="D18151" t="s">
        <v>12</v>
      </c>
      <c r="E18151" t="s">
        <v>23161</v>
      </c>
      <c r="F18151" t="s">
        <v>25466</v>
      </c>
    </row>
    <row r="18152" spans="1:6" x14ac:dyDescent="0.25">
      <c r="A18152" t="str">
        <f>"9721208202"</f>
        <v>9721208202</v>
      </c>
      <c r="B18152" t="s">
        <v>25467</v>
      </c>
      <c r="C18152" t="s">
        <v>7</v>
      </c>
      <c r="D18152" t="s">
        <v>146</v>
      </c>
      <c r="E18152" t="s">
        <v>23161</v>
      </c>
      <c r="F18152" t="s">
        <v>25468</v>
      </c>
    </row>
    <row r="18153" spans="1:6" x14ac:dyDescent="0.25">
      <c r="A18153" t="str">
        <f>"9721233230"</f>
        <v>9721233230</v>
      </c>
      <c r="B18153" t="s">
        <v>25469</v>
      </c>
      <c r="C18153" t="s">
        <v>7</v>
      </c>
      <c r="D18153" t="s">
        <v>12</v>
      </c>
      <c r="E18153" t="s">
        <v>23161</v>
      </c>
      <c r="F18153" t="s">
        <v>25470</v>
      </c>
    </row>
    <row r="18154" spans="1:6" x14ac:dyDescent="0.25">
      <c r="A18154" t="str">
        <f>"9721239828"</f>
        <v>9721239828</v>
      </c>
      <c r="B18154" t="s">
        <v>10311</v>
      </c>
      <c r="C18154" t="s">
        <v>7</v>
      </c>
      <c r="D18154" t="s">
        <v>14</v>
      </c>
      <c r="E18154" t="s">
        <v>23161</v>
      </c>
      <c r="F18154" t="s">
        <v>25471</v>
      </c>
    </row>
    <row r="18155" spans="1:6" x14ac:dyDescent="0.25">
      <c r="A18155" t="str">
        <f>"9722043627"</f>
        <v>9722043627</v>
      </c>
      <c r="B18155" t="s">
        <v>25472</v>
      </c>
      <c r="C18155" t="s">
        <v>7</v>
      </c>
      <c r="D18155" t="s">
        <v>8</v>
      </c>
      <c r="E18155" t="s">
        <v>23161</v>
      </c>
      <c r="F18155" t="s">
        <v>25473</v>
      </c>
    </row>
    <row r="18156" spans="1:6" x14ac:dyDescent="0.25">
      <c r="A18156" t="str">
        <f>"9723208617"</f>
        <v>9723208617</v>
      </c>
      <c r="B18156" t="s">
        <v>25474</v>
      </c>
      <c r="C18156" t="s">
        <v>7</v>
      </c>
      <c r="D18156" t="s">
        <v>14</v>
      </c>
      <c r="E18156" t="s">
        <v>23161</v>
      </c>
      <c r="F18156" t="s">
        <v>25475</v>
      </c>
    </row>
    <row r="18157" spans="1:6" x14ac:dyDescent="0.25">
      <c r="A18157" t="str">
        <f>"9724053660"</f>
        <v>9724053660</v>
      </c>
      <c r="B18157" t="s">
        <v>8492</v>
      </c>
      <c r="C18157" t="s">
        <v>7</v>
      </c>
      <c r="D18157" t="s">
        <v>460</v>
      </c>
      <c r="E18157" t="s">
        <v>23161</v>
      </c>
      <c r="F18157" t="s">
        <v>25476</v>
      </c>
    </row>
    <row r="18158" spans="1:6" x14ac:dyDescent="0.25">
      <c r="A18158" t="str">
        <f>"9724099270"</f>
        <v>9724099270</v>
      </c>
      <c r="B18158" t="s">
        <v>25477</v>
      </c>
      <c r="C18158" t="s">
        <v>7</v>
      </c>
      <c r="D18158" t="s">
        <v>14</v>
      </c>
      <c r="E18158" t="s">
        <v>23161</v>
      </c>
      <c r="F18158" t="s">
        <v>25478</v>
      </c>
    </row>
    <row r="18159" spans="1:6" x14ac:dyDescent="0.25">
      <c r="A18159" t="str">
        <f>"9725107903"</f>
        <v>9725107903</v>
      </c>
      <c r="B18159" t="s">
        <v>25479</v>
      </c>
      <c r="C18159" t="s">
        <v>7</v>
      </c>
      <c r="D18159" t="s">
        <v>674</v>
      </c>
      <c r="E18159" t="s">
        <v>23161</v>
      </c>
      <c r="F18159" t="s">
        <v>25480</v>
      </c>
    </row>
    <row r="18160" spans="1:6" x14ac:dyDescent="0.25">
      <c r="A18160" t="str">
        <f>"9725160865"</f>
        <v>9725160865</v>
      </c>
      <c r="B18160" t="s">
        <v>25481</v>
      </c>
      <c r="C18160" t="s">
        <v>7</v>
      </c>
      <c r="D18160" t="s">
        <v>8</v>
      </c>
      <c r="E18160" t="s">
        <v>23161</v>
      </c>
      <c r="F18160" t="s">
        <v>25482</v>
      </c>
    </row>
    <row r="18161" spans="1:6" x14ac:dyDescent="0.25">
      <c r="A18161" t="str">
        <f>"9728030600"</f>
        <v>9728030600</v>
      </c>
      <c r="B18161" t="s">
        <v>25483</v>
      </c>
      <c r="C18161" t="s">
        <v>7</v>
      </c>
      <c r="D18161" t="s">
        <v>6745</v>
      </c>
      <c r="E18161" t="s">
        <v>23161</v>
      </c>
      <c r="F18161" t="s">
        <v>25484</v>
      </c>
    </row>
    <row r="18162" spans="1:6" x14ac:dyDescent="0.25">
      <c r="A18162" t="str">
        <f>"9729210267"</f>
        <v>9729210267</v>
      </c>
      <c r="B18162" t="s">
        <v>25485</v>
      </c>
      <c r="C18162" t="s">
        <v>7</v>
      </c>
      <c r="D18162" t="s">
        <v>98</v>
      </c>
      <c r="E18162" t="s">
        <v>23161</v>
      </c>
      <c r="F18162" t="s">
        <v>25486</v>
      </c>
    </row>
    <row r="18163" spans="1:6" x14ac:dyDescent="0.25">
      <c r="A18163" t="str">
        <f>"9731107186"</f>
        <v>9731107186</v>
      </c>
      <c r="B18163" t="s">
        <v>25487</v>
      </c>
      <c r="C18163" t="s">
        <v>7</v>
      </c>
      <c r="D18163" t="s">
        <v>33</v>
      </c>
      <c r="E18163" t="s">
        <v>23161</v>
      </c>
      <c r="F18163" t="s">
        <v>25488</v>
      </c>
    </row>
    <row r="18164" spans="1:6" x14ac:dyDescent="0.25">
      <c r="A18164" t="str">
        <f>"9403024515"</f>
        <v>9403024515</v>
      </c>
      <c r="B18164" t="s">
        <v>25489</v>
      </c>
      <c r="C18164" t="s">
        <v>7</v>
      </c>
      <c r="D18164" t="s">
        <v>189</v>
      </c>
      <c r="E18164" t="s">
        <v>23161</v>
      </c>
      <c r="F18164" t="s">
        <v>25490</v>
      </c>
    </row>
    <row r="18165" spans="1:6" x14ac:dyDescent="0.25">
      <c r="A18165" t="str">
        <f>"9701009262"</f>
        <v>9701009262</v>
      </c>
      <c r="B18165" t="s">
        <v>25491</v>
      </c>
      <c r="C18165" t="s">
        <v>7</v>
      </c>
      <c r="D18165" t="s">
        <v>33</v>
      </c>
      <c r="E18165" t="s">
        <v>23161</v>
      </c>
      <c r="F18165" t="s">
        <v>25492</v>
      </c>
    </row>
    <row r="18166" spans="1:6" x14ac:dyDescent="0.25">
      <c r="A18166" t="str">
        <f>"9701078957"</f>
        <v>9701078957</v>
      </c>
      <c r="B18166" t="s">
        <v>25493</v>
      </c>
      <c r="C18166" t="s">
        <v>7</v>
      </c>
      <c r="D18166" t="s">
        <v>14</v>
      </c>
      <c r="E18166" t="s">
        <v>23161</v>
      </c>
      <c r="F18166" t="s">
        <v>25494</v>
      </c>
    </row>
    <row r="18167" spans="1:6" x14ac:dyDescent="0.25">
      <c r="A18167" t="str">
        <f>"9701093070"</f>
        <v>9701093070</v>
      </c>
      <c r="B18167" t="s">
        <v>25495</v>
      </c>
      <c r="C18167" t="s">
        <v>7</v>
      </c>
      <c r="D18167" t="s">
        <v>12</v>
      </c>
      <c r="E18167" t="s">
        <v>23161</v>
      </c>
      <c r="F18167" t="s">
        <v>25496</v>
      </c>
    </row>
    <row r="18168" spans="1:6" x14ac:dyDescent="0.25">
      <c r="A18168" t="str">
        <f>"9701138733"</f>
        <v>9701138733</v>
      </c>
      <c r="B18168" t="s">
        <v>25497</v>
      </c>
      <c r="C18168" t="s">
        <v>7</v>
      </c>
      <c r="D18168" t="s">
        <v>33</v>
      </c>
      <c r="E18168" t="s">
        <v>23161</v>
      </c>
      <c r="F18168" t="s">
        <v>25498</v>
      </c>
    </row>
    <row r="18169" spans="1:6" x14ac:dyDescent="0.25">
      <c r="A18169" t="str">
        <f>"9701262410"</f>
        <v>9701262410</v>
      </c>
      <c r="B18169" t="s">
        <v>9249</v>
      </c>
      <c r="C18169" t="s">
        <v>7</v>
      </c>
      <c r="D18169" t="s">
        <v>463</v>
      </c>
      <c r="E18169" t="s">
        <v>23161</v>
      </c>
      <c r="F18169" t="s">
        <v>25499</v>
      </c>
    </row>
    <row r="18170" spans="1:6" x14ac:dyDescent="0.25">
      <c r="A18170" t="str">
        <f>"9701289010"</f>
        <v>9701289010</v>
      </c>
      <c r="B18170" t="s">
        <v>25500</v>
      </c>
      <c r="C18170" t="s">
        <v>7</v>
      </c>
      <c r="D18170" t="s">
        <v>8</v>
      </c>
      <c r="E18170" t="s">
        <v>23161</v>
      </c>
      <c r="F18170" t="s">
        <v>25501</v>
      </c>
    </row>
    <row r="18171" spans="1:6" x14ac:dyDescent="0.25">
      <c r="A18171" t="str">
        <f>"9702006000"</f>
        <v>9702006000</v>
      </c>
      <c r="B18171" t="s">
        <v>25502</v>
      </c>
      <c r="C18171" t="s">
        <v>7</v>
      </c>
      <c r="D18171" t="s">
        <v>12</v>
      </c>
      <c r="E18171" t="s">
        <v>23161</v>
      </c>
      <c r="F18171" t="s">
        <v>25503</v>
      </c>
    </row>
    <row r="18172" spans="1:6" x14ac:dyDescent="0.25">
      <c r="A18172" t="str">
        <f>"9702051718"</f>
        <v>9702051718</v>
      </c>
      <c r="B18172" t="s">
        <v>25504</v>
      </c>
      <c r="C18172" t="s">
        <v>7</v>
      </c>
      <c r="D18172" t="s">
        <v>674</v>
      </c>
      <c r="E18172" t="s">
        <v>23161</v>
      </c>
      <c r="F18172" t="s">
        <v>25505</v>
      </c>
    </row>
    <row r="18173" spans="1:6" x14ac:dyDescent="0.25">
      <c r="A18173" t="str">
        <f>"9702069352"</f>
        <v>9702069352</v>
      </c>
      <c r="B18173" t="s">
        <v>25506</v>
      </c>
      <c r="C18173" t="s">
        <v>7</v>
      </c>
      <c r="D18173" t="s">
        <v>674</v>
      </c>
      <c r="E18173" t="s">
        <v>23161</v>
      </c>
      <c r="F18173" t="s">
        <v>25507</v>
      </c>
    </row>
    <row r="18174" spans="1:6" x14ac:dyDescent="0.25">
      <c r="A18174" t="str">
        <f>"9703163446"</f>
        <v>9703163446</v>
      </c>
      <c r="B18174" t="s">
        <v>25508</v>
      </c>
      <c r="C18174" t="s">
        <v>7</v>
      </c>
      <c r="D18174" t="s">
        <v>33</v>
      </c>
      <c r="E18174" t="s">
        <v>23161</v>
      </c>
      <c r="F18174" t="s">
        <v>25509</v>
      </c>
    </row>
    <row r="18175" spans="1:6" x14ac:dyDescent="0.25">
      <c r="A18175" t="str">
        <f>"9703207679"</f>
        <v>9703207679</v>
      </c>
      <c r="B18175" t="s">
        <v>25510</v>
      </c>
      <c r="C18175" t="s">
        <v>7</v>
      </c>
      <c r="D18175" t="s">
        <v>674</v>
      </c>
      <c r="E18175" t="s">
        <v>23161</v>
      </c>
      <c r="F18175" t="s">
        <v>25511</v>
      </c>
    </row>
    <row r="18176" spans="1:6" x14ac:dyDescent="0.25">
      <c r="A18176" t="str">
        <f>"9703214595"</f>
        <v>9703214595</v>
      </c>
      <c r="B18176" t="s">
        <v>25512</v>
      </c>
      <c r="C18176" t="s">
        <v>7</v>
      </c>
      <c r="D18176" t="s">
        <v>189</v>
      </c>
      <c r="E18176" t="s">
        <v>23161</v>
      </c>
      <c r="F18176" t="s">
        <v>25513</v>
      </c>
    </row>
    <row r="18177" spans="1:6" x14ac:dyDescent="0.25">
      <c r="A18177" t="str">
        <f>"9704036144"</f>
        <v>9704036144</v>
      </c>
      <c r="B18177" t="s">
        <v>25514</v>
      </c>
      <c r="C18177" t="s">
        <v>7</v>
      </c>
      <c r="D18177" t="s">
        <v>8</v>
      </c>
      <c r="E18177" t="s">
        <v>23161</v>
      </c>
      <c r="F18177" t="s">
        <v>25515</v>
      </c>
    </row>
    <row r="18178" spans="1:6" x14ac:dyDescent="0.25">
      <c r="A18178" t="str">
        <f>"9704091064"</f>
        <v>9704091064</v>
      </c>
      <c r="B18178" t="s">
        <v>25516</v>
      </c>
      <c r="C18178" t="s">
        <v>7</v>
      </c>
      <c r="D18178" t="s">
        <v>28</v>
      </c>
      <c r="E18178" t="s">
        <v>23161</v>
      </c>
      <c r="F18178" t="s">
        <v>25517</v>
      </c>
    </row>
    <row r="18179" spans="1:6" x14ac:dyDescent="0.25">
      <c r="A18179" t="str">
        <f>"9704095950"</f>
        <v>9704095950</v>
      </c>
      <c r="B18179" t="s">
        <v>25518</v>
      </c>
      <c r="C18179" t="s">
        <v>7</v>
      </c>
      <c r="D18179" t="s">
        <v>12</v>
      </c>
      <c r="E18179" t="s">
        <v>23161</v>
      </c>
      <c r="F18179" t="s">
        <v>25519</v>
      </c>
    </row>
    <row r="18180" spans="1:6" x14ac:dyDescent="0.25">
      <c r="A18180" t="str">
        <f>"9704205508"</f>
        <v>9704205508</v>
      </c>
      <c r="B18180" t="s">
        <v>25520</v>
      </c>
      <c r="C18180" t="s">
        <v>7</v>
      </c>
      <c r="D18180" t="s">
        <v>189</v>
      </c>
      <c r="E18180" t="s">
        <v>23161</v>
      </c>
      <c r="F18180" t="s">
        <v>25521</v>
      </c>
    </row>
    <row r="18181" spans="1:6" x14ac:dyDescent="0.25">
      <c r="A18181" t="str">
        <f>"9704212304"</f>
        <v>9704212304</v>
      </c>
      <c r="B18181" t="s">
        <v>25522</v>
      </c>
      <c r="C18181" t="s">
        <v>7</v>
      </c>
      <c r="D18181" t="s">
        <v>674</v>
      </c>
      <c r="E18181" t="s">
        <v>23161</v>
      </c>
      <c r="F18181" t="s">
        <v>25523</v>
      </c>
    </row>
    <row r="18182" spans="1:6" x14ac:dyDescent="0.25">
      <c r="A18182" t="str">
        <f>"9704255795"</f>
        <v>9704255795</v>
      </c>
      <c r="B18182" t="s">
        <v>25524</v>
      </c>
      <c r="C18182" t="s">
        <v>7</v>
      </c>
      <c r="D18182" t="s">
        <v>674</v>
      </c>
      <c r="E18182" t="s">
        <v>23161</v>
      </c>
      <c r="F18182" t="s">
        <v>25525</v>
      </c>
    </row>
    <row r="18183" spans="1:6" x14ac:dyDescent="0.25">
      <c r="A18183" t="str">
        <f>"9705073011"</f>
        <v>9705073011</v>
      </c>
      <c r="B18183" t="s">
        <v>6782</v>
      </c>
      <c r="C18183" t="s">
        <v>7</v>
      </c>
      <c r="D18183" t="s">
        <v>8</v>
      </c>
      <c r="E18183" t="s">
        <v>23161</v>
      </c>
      <c r="F18183" t="s">
        <v>25526</v>
      </c>
    </row>
    <row r="18184" spans="1:6" x14ac:dyDescent="0.25">
      <c r="A18184" t="str">
        <f>"9705125238"</f>
        <v>9705125238</v>
      </c>
      <c r="B18184" t="s">
        <v>25527</v>
      </c>
      <c r="C18184" t="s">
        <v>7</v>
      </c>
      <c r="D18184" t="s">
        <v>6745</v>
      </c>
      <c r="E18184" t="s">
        <v>23161</v>
      </c>
      <c r="F18184" t="s">
        <v>25528</v>
      </c>
    </row>
    <row r="18185" spans="1:6" x14ac:dyDescent="0.25">
      <c r="A18185" t="str">
        <f>"9705208068"</f>
        <v>9705208068</v>
      </c>
      <c r="B18185" t="s">
        <v>25529</v>
      </c>
      <c r="C18185" t="s">
        <v>7</v>
      </c>
      <c r="D18185" t="s">
        <v>189</v>
      </c>
      <c r="E18185" t="s">
        <v>23161</v>
      </c>
      <c r="F18185" t="s">
        <v>25530</v>
      </c>
    </row>
    <row r="18186" spans="1:6" x14ac:dyDescent="0.25">
      <c r="A18186" t="str">
        <f>"9705226250"</f>
        <v>9705226250</v>
      </c>
      <c r="B18186" t="s">
        <v>25531</v>
      </c>
      <c r="C18186" t="s">
        <v>7</v>
      </c>
      <c r="D18186" t="s">
        <v>8</v>
      </c>
      <c r="E18186" t="s">
        <v>23161</v>
      </c>
      <c r="F18186" t="s">
        <v>25532</v>
      </c>
    </row>
    <row r="18187" spans="1:6" x14ac:dyDescent="0.25">
      <c r="A18187" t="str">
        <f>"9705233378"</f>
        <v>9705233378</v>
      </c>
      <c r="B18187" t="s">
        <v>25533</v>
      </c>
      <c r="C18187" t="s">
        <v>7</v>
      </c>
      <c r="D18187" t="s">
        <v>189</v>
      </c>
      <c r="E18187" t="s">
        <v>23161</v>
      </c>
      <c r="F18187" t="s">
        <v>25534</v>
      </c>
    </row>
    <row r="18188" spans="1:6" x14ac:dyDescent="0.25">
      <c r="A18188" t="str">
        <f>"9705241636"</f>
        <v>9705241636</v>
      </c>
      <c r="B18188" t="s">
        <v>25535</v>
      </c>
      <c r="C18188" t="s">
        <v>7</v>
      </c>
      <c r="D18188" t="s">
        <v>674</v>
      </c>
      <c r="E18188" t="s">
        <v>23161</v>
      </c>
      <c r="F18188" t="s">
        <v>25536</v>
      </c>
    </row>
    <row r="18189" spans="1:6" x14ac:dyDescent="0.25">
      <c r="A18189" t="str">
        <f>"9706032995"</f>
        <v>9706032995</v>
      </c>
      <c r="B18189" t="s">
        <v>25537</v>
      </c>
      <c r="C18189" t="s">
        <v>7</v>
      </c>
      <c r="D18189" t="s">
        <v>33</v>
      </c>
      <c r="E18189" t="s">
        <v>23161</v>
      </c>
      <c r="F18189" t="s">
        <v>25538</v>
      </c>
    </row>
    <row r="18190" spans="1:6" x14ac:dyDescent="0.25">
      <c r="A18190" t="str">
        <f>"9706045049"</f>
        <v>9706045049</v>
      </c>
      <c r="B18190" t="s">
        <v>25539</v>
      </c>
      <c r="C18190" t="s">
        <v>7</v>
      </c>
      <c r="D18190" t="s">
        <v>8</v>
      </c>
      <c r="E18190" t="s">
        <v>23161</v>
      </c>
      <c r="F18190" t="s">
        <v>25540</v>
      </c>
    </row>
    <row r="18191" spans="1:6" x14ac:dyDescent="0.25">
      <c r="A18191" t="str">
        <f>"9709035472"</f>
        <v>9709035472</v>
      </c>
      <c r="B18191" t="s">
        <v>25541</v>
      </c>
      <c r="C18191" t="s">
        <v>7</v>
      </c>
      <c r="D18191" t="s">
        <v>14</v>
      </c>
      <c r="E18191" t="s">
        <v>23161</v>
      </c>
      <c r="F18191" t="s">
        <v>25542</v>
      </c>
    </row>
    <row r="18192" spans="1:6" x14ac:dyDescent="0.25">
      <c r="A18192" t="str">
        <f>"9709040338"</f>
        <v>9709040338</v>
      </c>
      <c r="B18192" t="s">
        <v>25543</v>
      </c>
      <c r="C18192" t="s">
        <v>7</v>
      </c>
      <c r="D18192" t="s">
        <v>674</v>
      </c>
      <c r="E18192" t="s">
        <v>23161</v>
      </c>
      <c r="F18192" t="s">
        <v>25544</v>
      </c>
    </row>
    <row r="18193" spans="1:6" x14ac:dyDescent="0.25">
      <c r="A18193" t="str">
        <f>"9709089284"</f>
        <v>9709089284</v>
      </c>
      <c r="B18193" t="s">
        <v>25545</v>
      </c>
      <c r="C18193" t="s">
        <v>7</v>
      </c>
      <c r="D18193" t="s">
        <v>189</v>
      </c>
      <c r="E18193" t="s">
        <v>23161</v>
      </c>
      <c r="F18193" t="s">
        <v>25546</v>
      </c>
    </row>
    <row r="18194" spans="1:6" x14ac:dyDescent="0.25">
      <c r="A18194" t="str">
        <f>"9709097824"</f>
        <v>9709097824</v>
      </c>
      <c r="B18194" t="s">
        <v>25547</v>
      </c>
      <c r="C18194" t="s">
        <v>7</v>
      </c>
      <c r="D18194" t="s">
        <v>1430</v>
      </c>
      <c r="E18194" t="s">
        <v>23161</v>
      </c>
      <c r="F18194" t="s">
        <v>25548</v>
      </c>
    </row>
    <row r="18195" spans="1:6" x14ac:dyDescent="0.25">
      <c r="A18195" t="str">
        <f>"9701048328"</f>
        <v>9701048328</v>
      </c>
      <c r="B18195" t="s">
        <v>25549</v>
      </c>
      <c r="C18195" t="s">
        <v>7</v>
      </c>
      <c r="D18195" t="s">
        <v>12</v>
      </c>
      <c r="E18195" t="s">
        <v>23161</v>
      </c>
      <c r="F18195" t="s">
        <v>25040</v>
      </c>
    </row>
    <row r="18196" spans="1:6" x14ac:dyDescent="0.25">
      <c r="A18196" t="str">
        <f>"9701127481"</f>
        <v>9701127481</v>
      </c>
      <c r="B18196" t="s">
        <v>25550</v>
      </c>
      <c r="C18196" t="s">
        <v>7</v>
      </c>
      <c r="D18196" t="s">
        <v>12</v>
      </c>
      <c r="E18196" t="s">
        <v>23161</v>
      </c>
      <c r="F18196" t="s">
        <v>25551</v>
      </c>
    </row>
    <row r="18197" spans="1:6" x14ac:dyDescent="0.25">
      <c r="A18197" t="str">
        <f>"9701167420"</f>
        <v>9701167420</v>
      </c>
      <c r="B18197" t="s">
        <v>25552</v>
      </c>
      <c r="C18197" t="s">
        <v>7</v>
      </c>
      <c r="D18197" t="s">
        <v>14</v>
      </c>
      <c r="E18197" t="s">
        <v>23161</v>
      </c>
      <c r="F18197" t="s">
        <v>25553</v>
      </c>
    </row>
    <row r="18198" spans="1:6" x14ac:dyDescent="0.25">
      <c r="A18198" t="str">
        <f>"9701203414"</f>
        <v>9701203414</v>
      </c>
      <c r="B18198" t="s">
        <v>23688</v>
      </c>
      <c r="C18198" t="s">
        <v>7</v>
      </c>
      <c r="D18198" t="s">
        <v>8</v>
      </c>
      <c r="E18198" t="s">
        <v>23161</v>
      </c>
      <c r="F18198" t="s">
        <v>25554</v>
      </c>
    </row>
    <row r="18199" spans="1:6" x14ac:dyDescent="0.25">
      <c r="A18199" t="str">
        <f>"9701247429"</f>
        <v>9701247429</v>
      </c>
      <c r="B18199" t="s">
        <v>3879</v>
      </c>
      <c r="C18199" t="s">
        <v>7</v>
      </c>
      <c r="D18199" t="s">
        <v>33</v>
      </c>
      <c r="E18199" t="s">
        <v>23161</v>
      </c>
      <c r="F18199" t="s">
        <v>25509</v>
      </c>
    </row>
    <row r="18200" spans="1:6" x14ac:dyDescent="0.25">
      <c r="A18200" t="str">
        <f>"9701307766"</f>
        <v>9701307766</v>
      </c>
      <c r="B18200" t="s">
        <v>25555</v>
      </c>
      <c r="C18200" t="s">
        <v>7</v>
      </c>
      <c r="D18200" t="s">
        <v>189</v>
      </c>
      <c r="E18200" t="s">
        <v>23161</v>
      </c>
      <c r="F18200" t="s">
        <v>25556</v>
      </c>
    </row>
    <row r="18201" spans="1:6" x14ac:dyDescent="0.25">
      <c r="A18201" t="str">
        <f>"9702028116"</f>
        <v>9702028116</v>
      </c>
      <c r="B18201" t="s">
        <v>25557</v>
      </c>
      <c r="C18201" t="s">
        <v>7</v>
      </c>
      <c r="D18201" t="s">
        <v>12</v>
      </c>
      <c r="E18201" t="s">
        <v>23161</v>
      </c>
      <c r="F18201" t="s">
        <v>25558</v>
      </c>
    </row>
    <row r="18202" spans="1:6" x14ac:dyDescent="0.25">
      <c r="A18202" t="str">
        <f>"9702037760"</f>
        <v>9702037760</v>
      </c>
      <c r="B18202" t="s">
        <v>25559</v>
      </c>
      <c r="C18202" t="s">
        <v>7</v>
      </c>
      <c r="D18202" t="s">
        <v>33</v>
      </c>
      <c r="E18202" t="s">
        <v>23161</v>
      </c>
      <c r="F18202" t="s">
        <v>25507</v>
      </c>
    </row>
    <row r="18203" spans="1:6" x14ac:dyDescent="0.25">
      <c r="A18203" t="str">
        <f>"9702067820"</f>
        <v>9702067820</v>
      </c>
      <c r="B18203" t="s">
        <v>25560</v>
      </c>
      <c r="C18203" t="s">
        <v>7</v>
      </c>
      <c r="D18203" t="s">
        <v>8</v>
      </c>
      <c r="E18203" t="s">
        <v>23161</v>
      </c>
      <c r="F18203" t="s">
        <v>25561</v>
      </c>
    </row>
    <row r="18204" spans="1:6" x14ac:dyDescent="0.25">
      <c r="A18204" t="str">
        <f>"9703148222"</f>
        <v>9703148222</v>
      </c>
      <c r="B18204" t="s">
        <v>25562</v>
      </c>
      <c r="C18204" t="s">
        <v>7</v>
      </c>
      <c r="D18204" t="s">
        <v>98</v>
      </c>
      <c r="E18204" t="s">
        <v>23161</v>
      </c>
      <c r="F18204" t="s">
        <v>24170</v>
      </c>
    </row>
    <row r="18205" spans="1:6" x14ac:dyDescent="0.25">
      <c r="A18205" t="str">
        <f>"9703151151"</f>
        <v>9703151151</v>
      </c>
      <c r="B18205" t="s">
        <v>14171</v>
      </c>
      <c r="C18205" t="s">
        <v>7</v>
      </c>
      <c r="D18205" t="s">
        <v>14</v>
      </c>
      <c r="E18205" t="s">
        <v>23161</v>
      </c>
      <c r="F18205" t="s">
        <v>25563</v>
      </c>
    </row>
    <row r="18206" spans="1:6" x14ac:dyDescent="0.25">
      <c r="A18206" t="str">
        <f>"9703151391"</f>
        <v>9703151391</v>
      </c>
      <c r="B18206" t="s">
        <v>25564</v>
      </c>
      <c r="C18206" t="s">
        <v>7</v>
      </c>
      <c r="D18206" t="s">
        <v>8</v>
      </c>
      <c r="E18206" t="s">
        <v>23161</v>
      </c>
      <c r="F18206" t="s">
        <v>25565</v>
      </c>
    </row>
    <row r="18207" spans="1:6" x14ac:dyDescent="0.25">
      <c r="A18207" t="str">
        <f>"9703151793"</f>
        <v>9703151793</v>
      </c>
      <c r="B18207" t="s">
        <v>25566</v>
      </c>
      <c r="C18207" t="s">
        <v>7</v>
      </c>
      <c r="D18207" t="s">
        <v>8</v>
      </c>
      <c r="E18207" t="s">
        <v>23161</v>
      </c>
      <c r="F18207" t="s">
        <v>25567</v>
      </c>
    </row>
    <row r="18208" spans="1:6" x14ac:dyDescent="0.25">
      <c r="A18208" t="str">
        <f>"9704119087"</f>
        <v>9704119087</v>
      </c>
      <c r="B18208" t="s">
        <v>25568</v>
      </c>
      <c r="C18208" t="s">
        <v>7</v>
      </c>
      <c r="D18208" t="s">
        <v>33</v>
      </c>
      <c r="E18208" t="s">
        <v>23161</v>
      </c>
      <c r="F18208" t="s">
        <v>25569</v>
      </c>
    </row>
    <row r="18209" spans="1:6" x14ac:dyDescent="0.25">
      <c r="A18209" t="str">
        <f>"9704134261"</f>
        <v>9704134261</v>
      </c>
      <c r="B18209" t="s">
        <v>25570</v>
      </c>
      <c r="C18209" t="s">
        <v>7</v>
      </c>
      <c r="D18209" t="s">
        <v>674</v>
      </c>
      <c r="E18209" t="s">
        <v>23161</v>
      </c>
      <c r="F18209" t="s">
        <v>25571</v>
      </c>
    </row>
    <row r="18210" spans="1:6" x14ac:dyDescent="0.25">
      <c r="A18210" t="str">
        <f>"9704150200"</f>
        <v>9704150200</v>
      </c>
      <c r="B18210" t="s">
        <v>25572</v>
      </c>
      <c r="C18210" t="s">
        <v>7</v>
      </c>
      <c r="D18210" t="s">
        <v>33</v>
      </c>
      <c r="E18210" t="s">
        <v>23161</v>
      </c>
      <c r="F18210" t="s">
        <v>25573</v>
      </c>
    </row>
    <row r="18211" spans="1:6" x14ac:dyDescent="0.25">
      <c r="A18211" t="str">
        <f>"9704204416"</f>
        <v>9704204416</v>
      </c>
      <c r="B18211" t="s">
        <v>25574</v>
      </c>
      <c r="C18211" t="s">
        <v>7</v>
      </c>
      <c r="D18211" t="s">
        <v>33</v>
      </c>
      <c r="E18211" t="s">
        <v>23161</v>
      </c>
      <c r="F18211" t="s">
        <v>25575</v>
      </c>
    </row>
    <row r="18212" spans="1:6" x14ac:dyDescent="0.25">
      <c r="A18212" t="str">
        <f>"9705037662"</f>
        <v>9705037662</v>
      </c>
      <c r="B18212" t="s">
        <v>25576</v>
      </c>
      <c r="C18212" t="s">
        <v>7</v>
      </c>
      <c r="D18212" t="s">
        <v>674</v>
      </c>
      <c r="E18212" t="s">
        <v>23161</v>
      </c>
      <c r="F18212" t="s">
        <v>25577</v>
      </c>
    </row>
    <row r="18213" spans="1:6" x14ac:dyDescent="0.25">
      <c r="A18213" t="str">
        <f>"9705059137"</f>
        <v>9705059137</v>
      </c>
      <c r="B18213" t="s">
        <v>25578</v>
      </c>
      <c r="C18213" t="s">
        <v>7</v>
      </c>
      <c r="D18213" t="s">
        <v>1430</v>
      </c>
      <c r="E18213" t="s">
        <v>23161</v>
      </c>
      <c r="F18213" t="s">
        <v>25579</v>
      </c>
    </row>
    <row r="18214" spans="1:6" x14ac:dyDescent="0.25">
      <c r="A18214" t="str">
        <f>"9705128937"</f>
        <v>9705128937</v>
      </c>
      <c r="B18214" t="s">
        <v>8708</v>
      </c>
      <c r="C18214" t="s">
        <v>7</v>
      </c>
      <c r="D18214" t="s">
        <v>12</v>
      </c>
      <c r="E18214" t="s">
        <v>23161</v>
      </c>
      <c r="F18214" t="s">
        <v>25580</v>
      </c>
    </row>
    <row r="18215" spans="1:6" x14ac:dyDescent="0.25">
      <c r="A18215" t="str">
        <f>"9705181240"</f>
        <v>9705181240</v>
      </c>
      <c r="B18215" t="s">
        <v>25581</v>
      </c>
      <c r="C18215" t="s">
        <v>7</v>
      </c>
      <c r="D18215" t="s">
        <v>33</v>
      </c>
      <c r="E18215" t="s">
        <v>23161</v>
      </c>
      <c r="F18215" t="s">
        <v>25582</v>
      </c>
    </row>
    <row r="18216" spans="1:6" x14ac:dyDescent="0.25">
      <c r="A18216" t="str">
        <f>"9705214512"</f>
        <v>9705214512</v>
      </c>
      <c r="B18216" t="s">
        <v>25583</v>
      </c>
      <c r="C18216" t="s">
        <v>7</v>
      </c>
      <c r="D18216" t="s">
        <v>1430</v>
      </c>
      <c r="E18216" t="s">
        <v>23161</v>
      </c>
      <c r="F18216" t="s">
        <v>25584</v>
      </c>
    </row>
    <row r="18217" spans="1:6" x14ac:dyDescent="0.25">
      <c r="A18217" t="str">
        <f>"9705222922"</f>
        <v>9705222922</v>
      </c>
      <c r="B18217" t="s">
        <v>25585</v>
      </c>
      <c r="C18217" t="s">
        <v>7</v>
      </c>
      <c r="D18217" t="s">
        <v>33</v>
      </c>
      <c r="E18217" t="s">
        <v>23161</v>
      </c>
      <c r="F18217" t="s">
        <v>25582</v>
      </c>
    </row>
    <row r="18218" spans="1:6" x14ac:dyDescent="0.25">
      <c r="A18218" t="str">
        <f>"9705228787"</f>
        <v>9705228787</v>
      </c>
      <c r="B18218" t="s">
        <v>25586</v>
      </c>
      <c r="C18218" t="s">
        <v>7</v>
      </c>
      <c r="D18218" t="s">
        <v>189</v>
      </c>
      <c r="E18218" t="s">
        <v>23161</v>
      </c>
      <c r="F18218" t="s">
        <v>25534</v>
      </c>
    </row>
    <row r="18219" spans="1:6" x14ac:dyDescent="0.25">
      <c r="A18219" t="str">
        <f>"9706022891"</f>
        <v>9706022891</v>
      </c>
      <c r="B18219" t="s">
        <v>25587</v>
      </c>
      <c r="C18219" t="s">
        <v>7</v>
      </c>
      <c r="D18219" t="s">
        <v>33</v>
      </c>
      <c r="E18219" t="s">
        <v>23161</v>
      </c>
      <c r="F18219" t="s">
        <v>25588</v>
      </c>
    </row>
    <row r="18220" spans="1:6" x14ac:dyDescent="0.25">
      <c r="A18220" t="str">
        <f>"9707013804"</f>
        <v>9707013804</v>
      </c>
      <c r="B18220" t="s">
        <v>4526</v>
      </c>
      <c r="C18220" t="s">
        <v>7</v>
      </c>
      <c r="D18220" t="s">
        <v>33</v>
      </c>
      <c r="E18220" t="s">
        <v>23161</v>
      </c>
      <c r="F18220" t="s">
        <v>25589</v>
      </c>
    </row>
    <row r="18221" spans="1:6" x14ac:dyDescent="0.25">
      <c r="A18221" t="str">
        <f>"9709026534"</f>
        <v>9709026534</v>
      </c>
      <c r="B18221" t="s">
        <v>25590</v>
      </c>
      <c r="C18221" t="s">
        <v>7</v>
      </c>
      <c r="D18221" t="s">
        <v>189</v>
      </c>
      <c r="E18221" t="s">
        <v>23161</v>
      </c>
      <c r="F18221" t="s">
        <v>25591</v>
      </c>
    </row>
    <row r="18222" spans="1:6" x14ac:dyDescent="0.25">
      <c r="A18222" t="str">
        <f>"9710022069"</f>
        <v>9710022069</v>
      </c>
      <c r="B18222" t="s">
        <v>25592</v>
      </c>
      <c r="C18222" t="s">
        <v>7</v>
      </c>
      <c r="D18222" t="s">
        <v>33</v>
      </c>
      <c r="E18222" t="s">
        <v>23161</v>
      </c>
      <c r="F18222" t="s">
        <v>25593</v>
      </c>
    </row>
    <row r="18223" spans="1:6" x14ac:dyDescent="0.25">
      <c r="A18223" t="str">
        <f>"9710143899"</f>
        <v>9710143899</v>
      </c>
      <c r="B18223" t="s">
        <v>25594</v>
      </c>
      <c r="C18223" t="s">
        <v>7</v>
      </c>
      <c r="D18223" t="s">
        <v>14</v>
      </c>
      <c r="E18223" t="s">
        <v>23161</v>
      </c>
      <c r="F18223" t="s">
        <v>25595</v>
      </c>
    </row>
    <row r="18224" spans="1:6" x14ac:dyDescent="0.25">
      <c r="A18224" t="str">
        <f>"9710147325"</f>
        <v>9710147325</v>
      </c>
      <c r="B18224" t="s">
        <v>25596</v>
      </c>
      <c r="C18224" t="s">
        <v>7</v>
      </c>
      <c r="D18224" t="s">
        <v>463</v>
      </c>
      <c r="E18224" t="s">
        <v>23161</v>
      </c>
      <c r="F18224" t="s">
        <v>25597</v>
      </c>
    </row>
    <row r="18225" spans="1:6" x14ac:dyDescent="0.25">
      <c r="A18225" t="str">
        <f>"9714005579"</f>
        <v>9714005579</v>
      </c>
      <c r="B18225" t="s">
        <v>25598</v>
      </c>
      <c r="C18225" t="s">
        <v>7</v>
      </c>
      <c r="D18225" t="s">
        <v>189</v>
      </c>
      <c r="E18225" t="s">
        <v>23161</v>
      </c>
      <c r="F18225" t="s">
        <v>25599</v>
      </c>
    </row>
    <row r="18226" spans="1:6" x14ac:dyDescent="0.25">
      <c r="A18226" t="str">
        <f>"9715004120"</f>
        <v>9715004120</v>
      </c>
      <c r="B18226" t="s">
        <v>25600</v>
      </c>
      <c r="C18226" t="s">
        <v>7</v>
      </c>
      <c r="D18226" t="s">
        <v>33</v>
      </c>
      <c r="E18226" t="s">
        <v>23161</v>
      </c>
      <c r="F18226" t="s">
        <v>25601</v>
      </c>
    </row>
    <row r="18227" spans="1:6" x14ac:dyDescent="0.25">
      <c r="A18227" t="str">
        <f>"9701018700"</f>
        <v>9701018700</v>
      </c>
      <c r="B18227" t="s">
        <v>25602</v>
      </c>
      <c r="C18227" t="s">
        <v>7</v>
      </c>
      <c r="D18227" t="s">
        <v>98</v>
      </c>
      <c r="E18227" t="s">
        <v>23161</v>
      </c>
      <c r="F18227" t="s">
        <v>25603</v>
      </c>
    </row>
    <row r="18228" spans="1:6" x14ac:dyDescent="0.25">
      <c r="A18228" t="str">
        <f>"9701077015"</f>
        <v>9701077015</v>
      </c>
      <c r="B18228" t="s">
        <v>25604</v>
      </c>
      <c r="C18228" t="s">
        <v>7</v>
      </c>
      <c r="D18228" t="s">
        <v>674</v>
      </c>
      <c r="E18228" t="s">
        <v>23161</v>
      </c>
      <c r="F18228" t="s">
        <v>25605</v>
      </c>
    </row>
    <row r="18229" spans="1:6" x14ac:dyDescent="0.25">
      <c r="A18229" t="str">
        <f>"9701106354"</f>
        <v>9701106354</v>
      </c>
      <c r="B18229" t="s">
        <v>25606</v>
      </c>
      <c r="C18229" t="s">
        <v>7</v>
      </c>
      <c r="D18229" t="s">
        <v>33</v>
      </c>
      <c r="E18229" t="s">
        <v>23161</v>
      </c>
      <c r="F18229" t="s">
        <v>25607</v>
      </c>
    </row>
    <row r="18230" spans="1:6" x14ac:dyDescent="0.25">
      <c r="A18230" t="str">
        <f>"9701127185"</f>
        <v>9701127185</v>
      </c>
      <c r="B18230" t="s">
        <v>25608</v>
      </c>
      <c r="C18230" t="s">
        <v>7</v>
      </c>
      <c r="D18230" t="s">
        <v>12</v>
      </c>
      <c r="E18230" t="s">
        <v>23161</v>
      </c>
      <c r="F18230" t="s">
        <v>25609</v>
      </c>
    </row>
    <row r="18231" spans="1:6" x14ac:dyDescent="0.25">
      <c r="A18231" t="str">
        <f>"9701127234"</f>
        <v>9701127234</v>
      </c>
      <c r="B18231" t="s">
        <v>25610</v>
      </c>
      <c r="C18231" t="s">
        <v>7</v>
      </c>
      <c r="D18231" t="s">
        <v>14</v>
      </c>
      <c r="E18231" t="s">
        <v>23161</v>
      </c>
      <c r="F18231" t="s">
        <v>25611</v>
      </c>
    </row>
    <row r="18232" spans="1:6" x14ac:dyDescent="0.25">
      <c r="A18232" t="str">
        <f>"9701147960"</f>
        <v>9701147960</v>
      </c>
      <c r="B18232" t="s">
        <v>25612</v>
      </c>
      <c r="C18232" t="s">
        <v>7</v>
      </c>
      <c r="D18232" t="s">
        <v>33</v>
      </c>
      <c r="E18232" t="s">
        <v>23161</v>
      </c>
      <c r="F18232" t="s">
        <v>23928</v>
      </c>
    </row>
    <row r="18233" spans="1:6" x14ac:dyDescent="0.25">
      <c r="A18233" t="str">
        <f>"9701248091"</f>
        <v>9701248091</v>
      </c>
      <c r="B18233" t="s">
        <v>25613</v>
      </c>
      <c r="C18233" t="s">
        <v>7</v>
      </c>
      <c r="D18233" t="s">
        <v>14</v>
      </c>
      <c r="E18233" t="s">
        <v>23161</v>
      </c>
      <c r="F18233" t="s">
        <v>25614</v>
      </c>
    </row>
    <row r="18234" spans="1:6" x14ac:dyDescent="0.25">
      <c r="A18234" t="str">
        <f>"9701249592"</f>
        <v>9701249592</v>
      </c>
      <c r="B18234" t="s">
        <v>25615</v>
      </c>
      <c r="C18234" t="s">
        <v>7</v>
      </c>
      <c r="D18234" t="s">
        <v>33</v>
      </c>
      <c r="E18234" t="s">
        <v>23161</v>
      </c>
      <c r="F18234" t="s">
        <v>25616</v>
      </c>
    </row>
    <row r="18235" spans="1:6" x14ac:dyDescent="0.25">
      <c r="A18235" t="str">
        <f>"9702024150"</f>
        <v>9702024150</v>
      </c>
      <c r="B18235" t="s">
        <v>25617</v>
      </c>
      <c r="C18235" t="s">
        <v>7</v>
      </c>
      <c r="D18235" t="s">
        <v>98</v>
      </c>
      <c r="E18235" t="s">
        <v>23161</v>
      </c>
      <c r="F18235" t="s">
        <v>25618</v>
      </c>
    </row>
    <row r="18236" spans="1:6" x14ac:dyDescent="0.25">
      <c r="A18236" t="str">
        <f>"9702051443"</f>
        <v>9702051443</v>
      </c>
      <c r="B18236" t="s">
        <v>25619</v>
      </c>
      <c r="C18236" t="s">
        <v>7</v>
      </c>
      <c r="D18236" t="s">
        <v>33</v>
      </c>
      <c r="E18236" t="s">
        <v>23161</v>
      </c>
      <c r="F18236" t="s">
        <v>25620</v>
      </c>
    </row>
    <row r="18237" spans="1:6" x14ac:dyDescent="0.25">
      <c r="A18237" t="str">
        <f>"9702073052"</f>
        <v>9702073052</v>
      </c>
      <c r="B18237" t="s">
        <v>25621</v>
      </c>
      <c r="C18237" t="s">
        <v>7</v>
      </c>
      <c r="D18237" t="s">
        <v>14</v>
      </c>
      <c r="E18237" t="s">
        <v>23161</v>
      </c>
      <c r="F18237" t="s">
        <v>25622</v>
      </c>
    </row>
    <row r="18238" spans="1:6" x14ac:dyDescent="0.25">
      <c r="A18238" t="str">
        <f>"9703019072"</f>
        <v>9703019072</v>
      </c>
      <c r="B18238" t="s">
        <v>25623</v>
      </c>
      <c r="C18238" t="s">
        <v>7</v>
      </c>
      <c r="D18238" t="s">
        <v>674</v>
      </c>
      <c r="E18238" t="s">
        <v>23161</v>
      </c>
      <c r="F18238" t="s">
        <v>25624</v>
      </c>
    </row>
    <row r="18239" spans="1:6" x14ac:dyDescent="0.25">
      <c r="A18239" t="str">
        <f>"9703157957"</f>
        <v>9703157957</v>
      </c>
      <c r="B18239" t="s">
        <v>25625</v>
      </c>
      <c r="C18239" t="s">
        <v>7</v>
      </c>
      <c r="D18239" t="s">
        <v>98</v>
      </c>
      <c r="E18239" t="s">
        <v>23161</v>
      </c>
      <c r="F18239" t="s">
        <v>25626</v>
      </c>
    </row>
    <row r="18240" spans="1:6" x14ac:dyDescent="0.25">
      <c r="A18240" t="str">
        <f>"9703164143"</f>
        <v>9703164143</v>
      </c>
      <c r="B18240" t="s">
        <v>25627</v>
      </c>
      <c r="C18240" t="s">
        <v>7</v>
      </c>
      <c r="D18240" t="s">
        <v>33</v>
      </c>
      <c r="E18240" t="s">
        <v>23161</v>
      </c>
      <c r="F18240" t="s">
        <v>25628</v>
      </c>
    </row>
    <row r="18241" spans="1:6" x14ac:dyDescent="0.25">
      <c r="A18241" t="str">
        <f>"9703210512"</f>
        <v>9703210512</v>
      </c>
      <c r="B18241" t="s">
        <v>25629</v>
      </c>
      <c r="C18241" t="s">
        <v>7</v>
      </c>
      <c r="D18241" t="s">
        <v>14</v>
      </c>
      <c r="E18241" t="s">
        <v>23161</v>
      </c>
      <c r="F18241" t="s">
        <v>25630</v>
      </c>
    </row>
    <row r="18242" spans="1:6" x14ac:dyDescent="0.25">
      <c r="A18242" t="str">
        <f>"9704011598"</f>
        <v>9704011598</v>
      </c>
      <c r="B18242" t="s">
        <v>25631</v>
      </c>
      <c r="C18242" t="s">
        <v>7</v>
      </c>
      <c r="D18242" t="s">
        <v>189</v>
      </c>
      <c r="E18242" t="s">
        <v>23161</v>
      </c>
      <c r="F18242" t="s">
        <v>25632</v>
      </c>
    </row>
    <row r="18243" spans="1:6" x14ac:dyDescent="0.25">
      <c r="A18243" t="str">
        <f>"9704070177"</f>
        <v>9704070177</v>
      </c>
      <c r="B18243" t="s">
        <v>25633</v>
      </c>
      <c r="C18243" t="s">
        <v>7</v>
      </c>
      <c r="D18243" t="s">
        <v>12</v>
      </c>
      <c r="E18243" t="s">
        <v>23161</v>
      </c>
      <c r="F18243" t="s">
        <v>25634</v>
      </c>
    </row>
    <row r="18244" spans="1:6" x14ac:dyDescent="0.25">
      <c r="A18244" t="str">
        <f>"9705047614"</f>
        <v>9705047614</v>
      </c>
      <c r="B18244" t="s">
        <v>25635</v>
      </c>
      <c r="C18244" t="s">
        <v>7</v>
      </c>
      <c r="D18244" t="s">
        <v>33</v>
      </c>
      <c r="E18244" t="s">
        <v>23161</v>
      </c>
      <c r="F18244" t="s">
        <v>25636</v>
      </c>
    </row>
    <row r="18245" spans="1:6" x14ac:dyDescent="0.25">
      <c r="A18245" t="str">
        <f>"9705102760"</f>
        <v>9705102760</v>
      </c>
      <c r="B18245" t="s">
        <v>25637</v>
      </c>
      <c r="C18245" t="s">
        <v>7</v>
      </c>
      <c r="D18245" t="s">
        <v>8</v>
      </c>
      <c r="E18245" t="s">
        <v>23161</v>
      </c>
      <c r="F18245" t="s">
        <v>25638</v>
      </c>
    </row>
    <row r="18246" spans="1:6" x14ac:dyDescent="0.25">
      <c r="A18246" t="str">
        <f>"9705118142"</f>
        <v>9705118142</v>
      </c>
      <c r="B18246" t="s">
        <v>25639</v>
      </c>
      <c r="C18246" t="s">
        <v>7</v>
      </c>
      <c r="D18246" t="s">
        <v>12</v>
      </c>
      <c r="E18246" t="s">
        <v>23161</v>
      </c>
      <c r="F18246" t="s">
        <v>25040</v>
      </c>
    </row>
    <row r="18247" spans="1:6" x14ac:dyDescent="0.25">
      <c r="A18247" t="str">
        <f>"9705122854"</f>
        <v>9705122854</v>
      </c>
      <c r="B18247" t="s">
        <v>25640</v>
      </c>
      <c r="C18247" t="s">
        <v>7</v>
      </c>
      <c r="D18247" t="s">
        <v>12</v>
      </c>
      <c r="E18247" t="s">
        <v>23161</v>
      </c>
      <c r="F18247" t="s">
        <v>25641</v>
      </c>
    </row>
    <row r="18248" spans="1:6" x14ac:dyDescent="0.25">
      <c r="A18248" t="str">
        <f>"9705131143"</f>
        <v>9705131143</v>
      </c>
      <c r="B18248" t="s">
        <v>25642</v>
      </c>
      <c r="C18248" t="s">
        <v>7</v>
      </c>
      <c r="D18248" t="s">
        <v>14</v>
      </c>
      <c r="E18248" t="s">
        <v>23161</v>
      </c>
      <c r="F18248" t="s">
        <v>25643</v>
      </c>
    </row>
    <row r="18249" spans="1:6" x14ac:dyDescent="0.25">
      <c r="A18249" t="str">
        <f>"9705212963"</f>
        <v>9705212963</v>
      </c>
      <c r="B18249" t="s">
        <v>25644</v>
      </c>
      <c r="C18249" t="s">
        <v>7</v>
      </c>
      <c r="D18249" t="s">
        <v>33</v>
      </c>
      <c r="E18249" t="s">
        <v>23161</v>
      </c>
      <c r="F18249" t="s">
        <v>25536</v>
      </c>
    </row>
    <row r="18250" spans="1:6" x14ac:dyDescent="0.25">
      <c r="A18250" t="str">
        <f>"9707000675"</f>
        <v>9707000675</v>
      </c>
      <c r="B18250" t="s">
        <v>491</v>
      </c>
      <c r="C18250" t="s">
        <v>7</v>
      </c>
      <c r="D18250" t="s">
        <v>33</v>
      </c>
      <c r="E18250" t="s">
        <v>23161</v>
      </c>
      <c r="F18250" t="s">
        <v>25645</v>
      </c>
    </row>
    <row r="18251" spans="1:6" x14ac:dyDescent="0.25">
      <c r="A18251" t="str">
        <f>"9709011009"</f>
        <v>9709011009</v>
      </c>
      <c r="B18251" t="s">
        <v>20962</v>
      </c>
      <c r="C18251" t="s">
        <v>7</v>
      </c>
      <c r="D18251" t="s">
        <v>14</v>
      </c>
      <c r="E18251" t="s">
        <v>23161</v>
      </c>
      <c r="F18251" t="s">
        <v>25646</v>
      </c>
    </row>
    <row r="18252" spans="1:6" x14ac:dyDescent="0.25">
      <c r="A18252" t="str">
        <f>"9709021208"</f>
        <v>9709021208</v>
      </c>
      <c r="B18252" t="s">
        <v>25647</v>
      </c>
      <c r="C18252" t="s">
        <v>7</v>
      </c>
      <c r="D18252" t="s">
        <v>189</v>
      </c>
      <c r="E18252" t="s">
        <v>23161</v>
      </c>
      <c r="F18252" t="s">
        <v>25648</v>
      </c>
    </row>
    <row r="18253" spans="1:6" x14ac:dyDescent="0.25">
      <c r="A18253" t="str">
        <f>"9710091376"</f>
        <v>9710091376</v>
      </c>
      <c r="B18253" t="s">
        <v>25649</v>
      </c>
      <c r="C18253" t="s">
        <v>7</v>
      </c>
      <c r="D18253" t="s">
        <v>28</v>
      </c>
      <c r="E18253" t="s">
        <v>23161</v>
      </c>
      <c r="F18253" t="s">
        <v>25650</v>
      </c>
    </row>
    <row r="18254" spans="1:6" x14ac:dyDescent="0.25">
      <c r="A18254" t="str">
        <f>"9710100976"</f>
        <v>9710100976</v>
      </c>
      <c r="B18254" t="s">
        <v>25651</v>
      </c>
      <c r="C18254" t="s">
        <v>7</v>
      </c>
      <c r="D18254" t="s">
        <v>33</v>
      </c>
      <c r="E18254" t="s">
        <v>23161</v>
      </c>
      <c r="F18254" t="s">
        <v>25652</v>
      </c>
    </row>
    <row r="18255" spans="1:6" x14ac:dyDescent="0.25">
      <c r="A18255" t="str">
        <f>"9710110237"</f>
        <v>9710110237</v>
      </c>
      <c r="B18255" t="s">
        <v>25653</v>
      </c>
      <c r="C18255" t="s">
        <v>7</v>
      </c>
      <c r="D18255" t="s">
        <v>98</v>
      </c>
      <c r="E18255" t="s">
        <v>23161</v>
      </c>
      <c r="F18255" t="s">
        <v>25654</v>
      </c>
    </row>
    <row r="18256" spans="1:6" x14ac:dyDescent="0.25">
      <c r="A18256" t="str">
        <f>"9714016732"</f>
        <v>9714016732</v>
      </c>
      <c r="B18256" t="s">
        <v>25655</v>
      </c>
      <c r="C18256" t="s">
        <v>7</v>
      </c>
      <c r="D18256" t="s">
        <v>14</v>
      </c>
      <c r="E18256" t="s">
        <v>23161</v>
      </c>
      <c r="F18256" t="s">
        <v>25656</v>
      </c>
    </row>
    <row r="18257" spans="1:6" x14ac:dyDescent="0.25">
      <c r="A18257" t="str">
        <f>"9715005130"</f>
        <v>9715005130</v>
      </c>
      <c r="B18257" t="s">
        <v>25657</v>
      </c>
      <c r="C18257" t="s">
        <v>7</v>
      </c>
      <c r="D18257" t="s">
        <v>14</v>
      </c>
      <c r="E18257" t="s">
        <v>23161</v>
      </c>
      <c r="F18257" t="s">
        <v>25658</v>
      </c>
    </row>
    <row r="18258" spans="1:6" x14ac:dyDescent="0.25">
      <c r="A18258" t="str">
        <f>"9715268281"</f>
        <v>9715268281</v>
      </c>
      <c r="B18258" t="s">
        <v>25659</v>
      </c>
      <c r="C18258" t="s">
        <v>7</v>
      </c>
      <c r="D18258" t="s">
        <v>12</v>
      </c>
      <c r="E18258" t="s">
        <v>23161</v>
      </c>
      <c r="F18258" t="s">
        <v>25660</v>
      </c>
    </row>
    <row r="18259" spans="1:6" x14ac:dyDescent="0.25">
      <c r="A18259" t="str">
        <f>"9715292076"</f>
        <v>9715292076</v>
      </c>
      <c r="B18259" t="s">
        <v>25661</v>
      </c>
      <c r="C18259" t="s">
        <v>7</v>
      </c>
      <c r="D18259" t="s">
        <v>33</v>
      </c>
      <c r="E18259" t="s">
        <v>23161</v>
      </c>
      <c r="F18259" t="s">
        <v>25662</v>
      </c>
    </row>
    <row r="18260" spans="1:6" x14ac:dyDescent="0.25">
      <c r="A18260" t="str">
        <f>"9715298920"</f>
        <v>9715298920</v>
      </c>
      <c r="B18260" t="s">
        <v>25663</v>
      </c>
      <c r="C18260" t="s">
        <v>7</v>
      </c>
      <c r="D18260" t="s">
        <v>33</v>
      </c>
      <c r="E18260" t="s">
        <v>23161</v>
      </c>
      <c r="F18260" t="s">
        <v>25664</v>
      </c>
    </row>
    <row r="18261" spans="1:6" x14ac:dyDescent="0.25">
      <c r="A18261" t="str">
        <f>"9715306339"</f>
        <v>9715306339</v>
      </c>
      <c r="B18261" t="s">
        <v>25665</v>
      </c>
      <c r="C18261" t="s">
        <v>7</v>
      </c>
      <c r="D18261" t="s">
        <v>33</v>
      </c>
      <c r="E18261" t="s">
        <v>23161</v>
      </c>
      <c r="F18261" t="s">
        <v>25666</v>
      </c>
    </row>
    <row r="18262" spans="1:6" x14ac:dyDescent="0.25">
      <c r="A18262" t="str">
        <f>"9715311385"</f>
        <v>9715311385</v>
      </c>
      <c r="B18262" t="s">
        <v>25667</v>
      </c>
      <c r="C18262" t="s">
        <v>7</v>
      </c>
      <c r="D18262" t="s">
        <v>12</v>
      </c>
      <c r="E18262" t="s">
        <v>23161</v>
      </c>
      <c r="F18262" t="s">
        <v>25668</v>
      </c>
    </row>
    <row r="18263" spans="1:6" x14ac:dyDescent="0.25">
      <c r="A18263" t="str">
        <f>"9715319708"</f>
        <v>9715319708</v>
      </c>
      <c r="B18263" t="s">
        <v>25669</v>
      </c>
      <c r="C18263" t="s">
        <v>7</v>
      </c>
      <c r="D18263" t="s">
        <v>189</v>
      </c>
      <c r="E18263" t="s">
        <v>23161</v>
      </c>
      <c r="F18263" t="s">
        <v>25670</v>
      </c>
    </row>
    <row r="18264" spans="1:6" x14ac:dyDescent="0.25">
      <c r="A18264" t="str">
        <f>"9715333974"</f>
        <v>9715333974</v>
      </c>
      <c r="B18264" t="s">
        <v>25671</v>
      </c>
      <c r="C18264" t="s">
        <v>7</v>
      </c>
      <c r="D18264" t="s">
        <v>33</v>
      </c>
      <c r="E18264" t="s">
        <v>23161</v>
      </c>
      <c r="F18264" t="s">
        <v>24043</v>
      </c>
    </row>
    <row r="18265" spans="1:6" x14ac:dyDescent="0.25">
      <c r="A18265" t="str">
        <f>"9715359588"</f>
        <v>9715359588</v>
      </c>
      <c r="B18265" t="s">
        <v>25672</v>
      </c>
      <c r="C18265" t="s">
        <v>7</v>
      </c>
      <c r="D18265" t="s">
        <v>12</v>
      </c>
      <c r="E18265" t="s">
        <v>23161</v>
      </c>
      <c r="F18265" t="s">
        <v>25673</v>
      </c>
    </row>
    <row r="18266" spans="1:6" x14ac:dyDescent="0.25">
      <c r="A18266" t="str">
        <f>"9715384898"</f>
        <v>9715384898</v>
      </c>
      <c r="B18266" t="s">
        <v>25674</v>
      </c>
      <c r="C18266" t="s">
        <v>7</v>
      </c>
      <c r="D18266" t="s">
        <v>674</v>
      </c>
      <c r="E18266" t="s">
        <v>23161</v>
      </c>
      <c r="F18266" t="s">
        <v>25675</v>
      </c>
    </row>
    <row r="18267" spans="1:6" x14ac:dyDescent="0.25">
      <c r="A18267" t="str">
        <f>"9715427301"</f>
        <v>9715427301</v>
      </c>
      <c r="B18267" t="s">
        <v>25676</v>
      </c>
      <c r="C18267" t="s">
        <v>7</v>
      </c>
      <c r="D18267" t="s">
        <v>14</v>
      </c>
      <c r="E18267" t="s">
        <v>23161</v>
      </c>
      <c r="F18267" t="s">
        <v>25677</v>
      </c>
    </row>
    <row r="18268" spans="1:6" x14ac:dyDescent="0.25">
      <c r="A18268" t="str">
        <f>"9715443335"</f>
        <v>9715443335</v>
      </c>
      <c r="B18268" t="s">
        <v>25678</v>
      </c>
      <c r="C18268" t="s">
        <v>7</v>
      </c>
      <c r="D18268" t="s">
        <v>33</v>
      </c>
      <c r="E18268" t="s">
        <v>23161</v>
      </c>
      <c r="F18268" t="s">
        <v>25679</v>
      </c>
    </row>
    <row r="18269" spans="1:6" x14ac:dyDescent="0.25">
      <c r="A18269" t="str">
        <f>"9715447266"</f>
        <v>9715447266</v>
      </c>
      <c r="B18269" t="s">
        <v>25680</v>
      </c>
      <c r="C18269" t="s">
        <v>7</v>
      </c>
      <c r="D18269" t="s">
        <v>674</v>
      </c>
      <c r="E18269" t="s">
        <v>23161</v>
      </c>
      <c r="F18269" t="s">
        <v>25681</v>
      </c>
    </row>
    <row r="18270" spans="1:6" x14ac:dyDescent="0.25">
      <c r="A18270" t="str">
        <f>"9715477863"</f>
        <v>9715477863</v>
      </c>
      <c r="B18270" t="s">
        <v>25682</v>
      </c>
      <c r="C18270" t="s">
        <v>7</v>
      </c>
      <c r="D18270" t="s">
        <v>12</v>
      </c>
      <c r="E18270" t="s">
        <v>23161</v>
      </c>
      <c r="F18270" t="s">
        <v>25683</v>
      </c>
    </row>
    <row r="18271" spans="1:6" x14ac:dyDescent="0.25">
      <c r="A18271" t="str">
        <f>"9715478514"</f>
        <v>9715478514</v>
      </c>
      <c r="B18271" t="s">
        <v>25684</v>
      </c>
      <c r="C18271" t="s">
        <v>7</v>
      </c>
      <c r="D18271" t="s">
        <v>12</v>
      </c>
      <c r="E18271" t="s">
        <v>23161</v>
      </c>
      <c r="F18271" t="s">
        <v>25685</v>
      </c>
    </row>
    <row r="18272" spans="1:6" x14ac:dyDescent="0.25">
      <c r="A18272" t="str">
        <f>"9715502630"</f>
        <v>9715502630</v>
      </c>
      <c r="B18272" t="s">
        <v>25686</v>
      </c>
      <c r="C18272" t="s">
        <v>7</v>
      </c>
      <c r="D18272" t="s">
        <v>189</v>
      </c>
      <c r="E18272" t="s">
        <v>23161</v>
      </c>
      <c r="F18272" t="s">
        <v>25687</v>
      </c>
    </row>
    <row r="18273" spans="1:6" x14ac:dyDescent="0.25">
      <c r="A18273" t="str">
        <f>"9715513952"</f>
        <v>9715513952</v>
      </c>
      <c r="B18273" t="s">
        <v>25688</v>
      </c>
      <c r="C18273" t="s">
        <v>7</v>
      </c>
      <c r="D18273" t="s">
        <v>14</v>
      </c>
      <c r="E18273" t="s">
        <v>23161</v>
      </c>
      <c r="F18273" t="s">
        <v>25689</v>
      </c>
    </row>
    <row r="18274" spans="1:6" x14ac:dyDescent="0.25">
      <c r="A18274" t="str">
        <f>"9717046365"</f>
        <v>9717046365</v>
      </c>
      <c r="B18274" t="s">
        <v>25690</v>
      </c>
      <c r="C18274" t="s">
        <v>7</v>
      </c>
      <c r="D18274" t="s">
        <v>146</v>
      </c>
      <c r="E18274" t="s">
        <v>23161</v>
      </c>
      <c r="F18274" t="s">
        <v>25691</v>
      </c>
    </row>
    <row r="18275" spans="1:6" x14ac:dyDescent="0.25">
      <c r="A18275" t="str">
        <f>"9717065248"</f>
        <v>9717065248</v>
      </c>
      <c r="B18275" t="s">
        <v>25692</v>
      </c>
      <c r="C18275" t="s">
        <v>7</v>
      </c>
      <c r="D18275" t="s">
        <v>33</v>
      </c>
      <c r="E18275" t="s">
        <v>23161</v>
      </c>
      <c r="F18275" t="s">
        <v>25693</v>
      </c>
    </row>
    <row r="18276" spans="1:6" x14ac:dyDescent="0.25">
      <c r="A18276" t="str">
        <f>"9717176004"</f>
        <v>9717176004</v>
      </c>
      <c r="B18276" t="s">
        <v>25694</v>
      </c>
      <c r="C18276" t="s">
        <v>7</v>
      </c>
      <c r="D18276" t="s">
        <v>146</v>
      </c>
      <c r="E18276" t="s">
        <v>23161</v>
      </c>
      <c r="F18276" t="s">
        <v>25695</v>
      </c>
    </row>
    <row r="18277" spans="1:6" x14ac:dyDescent="0.25">
      <c r="A18277" t="str">
        <f>"9718026548"</f>
        <v>9718026548</v>
      </c>
      <c r="B18277" t="s">
        <v>25696</v>
      </c>
      <c r="C18277" t="s">
        <v>7</v>
      </c>
      <c r="D18277" t="s">
        <v>8</v>
      </c>
      <c r="E18277" t="s">
        <v>23161</v>
      </c>
      <c r="F18277" t="s">
        <v>25697</v>
      </c>
    </row>
    <row r="18278" spans="1:6" x14ac:dyDescent="0.25">
      <c r="A18278" t="str">
        <f>"9718055002"</f>
        <v>9718055002</v>
      </c>
      <c r="B18278" t="s">
        <v>25698</v>
      </c>
      <c r="C18278" t="s">
        <v>7</v>
      </c>
      <c r="D18278" t="s">
        <v>189</v>
      </c>
      <c r="E18278" t="s">
        <v>23161</v>
      </c>
      <c r="F18278" t="s">
        <v>24544</v>
      </c>
    </row>
    <row r="18279" spans="1:6" x14ac:dyDescent="0.25">
      <c r="A18279" t="str">
        <f>"9718096249"</f>
        <v>9718096249</v>
      </c>
      <c r="B18279" t="s">
        <v>25699</v>
      </c>
      <c r="C18279" t="s">
        <v>7</v>
      </c>
      <c r="D18279" t="s">
        <v>14</v>
      </c>
      <c r="E18279" t="s">
        <v>23161</v>
      </c>
      <c r="F18279" t="s">
        <v>25700</v>
      </c>
    </row>
    <row r="18280" spans="1:6" x14ac:dyDescent="0.25">
      <c r="A18280" t="str">
        <f>"9718176110"</f>
        <v>9718176110</v>
      </c>
      <c r="B18280" t="s">
        <v>25701</v>
      </c>
      <c r="C18280" t="s">
        <v>7</v>
      </c>
      <c r="D18280" t="s">
        <v>674</v>
      </c>
      <c r="E18280" t="s">
        <v>23161</v>
      </c>
      <c r="F18280" t="s">
        <v>25702</v>
      </c>
    </row>
    <row r="18281" spans="1:6" x14ac:dyDescent="0.25">
      <c r="A18281" t="str">
        <f>"9718185682"</f>
        <v>9718185682</v>
      </c>
      <c r="B18281" t="s">
        <v>25703</v>
      </c>
      <c r="C18281" t="s">
        <v>7</v>
      </c>
      <c r="D18281" t="s">
        <v>33</v>
      </c>
      <c r="E18281" t="s">
        <v>23161</v>
      </c>
      <c r="F18281" t="s">
        <v>25704</v>
      </c>
    </row>
    <row r="18282" spans="1:6" x14ac:dyDescent="0.25">
      <c r="A18282" t="str">
        <f>"9718227734"</f>
        <v>9718227734</v>
      </c>
      <c r="B18282" t="s">
        <v>25705</v>
      </c>
      <c r="C18282" t="s">
        <v>7</v>
      </c>
      <c r="D18282" t="s">
        <v>674</v>
      </c>
      <c r="E18282" t="s">
        <v>23161</v>
      </c>
      <c r="F18282" t="s">
        <v>25706</v>
      </c>
    </row>
    <row r="18283" spans="1:6" x14ac:dyDescent="0.25">
      <c r="A18283" t="str">
        <f>"9718255756"</f>
        <v>9718255756</v>
      </c>
      <c r="B18283" t="s">
        <v>25707</v>
      </c>
      <c r="C18283" t="s">
        <v>7</v>
      </c>
      <c r="D18283" t="s">
        <v>98</v>
      </c>
      <c r="E18283" t="s">
        <v>23161</v>
      </c>
      <c r="F18283" t="s">
        <v>25708</v>
      </c>
    </row>
    <row r="18284" spans="1:6" x14ac:dyDescent="0.25">
      <c r="A18284" t="str">
        <f>"9718268723"</f>
        <v>9718268723</v>
      </c>
      <c r="B18284" t="s">
        <v>23854</v>
      </c>
      <c r="C18284" t="s">
        <v>7</v>
      </c>
      <c r="D18284" t="s">
        <v>33</v>
      </c>
      <c r="E18284" t="s">
        <v>23161</v>
      </c>
      <c r="F18284" t="s">
        <v>25709</v>
      </c>
    </row>
    <row r="18285" spans="1:6" x14ac:dyDescent="0.25">
      <c r="A18285" t="str">
        <f>"9718277333"</f>
        <v>9718277333</v>
      </c>
      <c r="B18285" t="s">
        <v>25710</v>
      </c>
      <c r="C18285" t="s">
        <v>7</v>
      </c>
      <c r="D18285" t="s">
        <v>98</v>
      </c>
      <c r="E18285" t="s">
        <v>23161</v>
      </c>
      <c r="F18285" t="s">
        <v>25711</v>
      </c>
    </row>
    <row r="18286" spans="1:6" x14ac:dyDescent="0.25">
      <c r="A18286" t="str">
        <f>"9719027350"</f>
        <v>9719027350</v>
      </c>
      <c r="B18286" t="s">
        <v>25712</v>
      </c>
      <c r="C18286" t="s">
        <v>7</v>
      </c>
      <c r="D18286" t="s">
        <v>146</v>
      </c>
      <c r="E18286" t="s">
        <v>23161</v>
      </c>
      <c r="F18286" t="s">
        <v>25713</v>
      </c>
    </row>
    <row r="18287" spans="1:6" x14ac:dyDescent="0.25">
      <c r="A18287" t="str">
        <f>"9719028210"</f>
        <v>9719028210</v>
      </c>
      <c r="B18287" t="s">
        <v>25714</v>
      </c>
      <c r="C18287" t="s">
        <v>7</v>
      </c>
      <c r="D18287" t="s">
        <v>146</v>
      </c>
      <c r="E18287" t="s">
        <v>23161</v>
      </c>
      <c r="F18287" t="s">
        <v>25713</v>
      </c>
    </row>
    <row r="18288" spans="1:6" x14ac:dyDescent="0.25">
      <c r="A18288" t="str">
        <f>"9721018593"</f>
        <v>9721018593</v>
      </c>
      <c r="B18288" t="s">
        <v>9201</v>
      </c>
      <c r="C18288" t="s">
        <v>7</v>
      </c>
      <c r="D18288" t="s">
        <v>33</v>
      </c>
      <c r="E18288" t="s">
        <v>23161</v>
      </c>
      <c r="F18288" t="s">
        <v>25715</v>
      </c>
    </row>
    <row r="18289" spans="1:6" x14ac:dyDescent="0.25">
      <c r="A18289" t="str">
        <f>"9721023931"</f>
        <v>9721023931</v>
      </c>
      <c r="B18289" t="s">
        <v>25716</v>
      </c>
      <c r="C18289" t="s">
        <v>7</v>
      </c>
      <c r="D18289" t="s">
        <v>33</v>
      </c>
      <c r="E18289" t="s">
        <v>23161</v>
      </c>
      <c r="F18289" t="s">
        <v>25717</v>
      </c>
    </row>
    <row r="18290" spans="1:6" x14ac:dyDescent="0.25">
      <c r="A18290" t="str">
        <f>"9721104958"</f>
        <v>9721104958</v>
      </c>
      <c r="B18290" t="s">
        <v>25718</v>
      </c>
      <c r="C18290" t="s">
        <v>7</v>
      </c>
      <c r="D18290" t="s">
        <v>33</v>
      </c>
      <c r="E18290" t="s">
        <v>23161</v>
      </c>
      <c r="F18290" t="s">
        <v>25719</v>
      </c>
    </row>
    <row r="18291" spans="1:6" x14ac:dyDescent="0.25">
      <c r="A18291" t="str">
        <f>"9721143876"</f>
        <v>9721143876</v>
      </c>
      <c r="B18291" t="s">
        <v>25720</v>
      </c>
      <c r="C18291" t="s">
        <v>7</v>
      </c>
      <c r="D18291" t="s">
        <v>28</v>
      </c>
      <c r="E18291" t="s">
        <v>23161</v>
      </c>
      <c r="F18291" t="s">
        <v>25721</v>
      </c>
    </row>
    <row r="18292" spans="1:6" x14ac:dyDescent="0.25">
      <c r="A18292" t="str">
        <f>"9721152670"</f>
        <v>9721152670</v>
      </c>
      <c r="B18292" t="s">
        <v>7358</v>
      </c>
      <c r="C18292" t="s">
        <v>7</v>
      </c>
      <c r="D18292" t="s">
        <v>33</v>
      </c>
      <c r="E18292" t="s">
        <v>23161</v>
      </c>
      <c r="F18292" t="s">
        <v>25722</v>
      </c>
    </row>
    <row r="18293" spans="1:6" x14ac:dyDescent="0.25">
      <c r="A18293" t="str">
        <f>"9721174899"</f>
        <v>9721174899</v>
      </c>
      <c r="B18293" t="s">
        <v>25723</v>
      </c>
      <c r="C18293" t="s">
        <v>7</v>
      </c>
      <c r="D18293" t="s">
        <v>463</v>
      </c>
      <c r="E18293" t="s">
        <v>23161</v>
      </c>
      <c r="F18293" t="s">
        <v>25724</v>
      </c>
    </row>
    <row r="18294" spans="1:6" x14ac:dyDescent="0.25">
      <c r="A18294" t="str">
        <f>"9721189398"</f>
        <v>9721189398</v>
      </c>
      <c r="B18294" t="s">
        <v>25725</v>
      </c>
      <c r="C18294" t="s">
        <v>7</v>
      </c>
      <c r="D18294" t="s">
        <v>189</v>
      </c>
      <c r="E18294" t="s">
        <v>23161</v>
      </c>
      <c r="F18294" t="s">
        <v>25726</v>
      </c>
    </row>
    <row r="18295" spans="1:6" x14ac:dyDescent="0.25">
      <c r="A18295" t="str">
        <f>"9721249632"</f>
        <v>9721249632</v>
      </c>
      <c r="B18295" t="s">
        <v>25727</v>
      </c>
      <c r="C18295" t="s">
        <v>7</v>
      </c>
      <c r="D18295" t="s">
        <v>189</v>
      </c>
      <c r="E18295" t="s">
        <v>23161</v>
      </c>
      <c r="F18295" t="s">
        <v>25728</v>
      </c>
    </row>
    <row r="18296" spans="1:6" x14ac:dyDescent="0.25">
      <c r="A18296" t="str">
        <f>"9722025064"</f>
        <v>9722025064</v>
      </c>
      <c r="B18296" t="s">
        <v>25729</v>
      </c>
      <c r="C18296" t="s">
        <v>7</v>
      </c>
      <c r="D18296" t="s">
        <v>14</v>
      </c>
      <c r="E18296" t="s">
        <v>23161</v>
      </c>
      <c r="F18296" t="s">
        <v>25730</v>
      </c>
    </row>
    <row r="18297" spans="1:6" x14ac:dyDescent="0.25">
      <c r="A18297" t="str">
        <f>"9722052276"</f>
        <v>9722052276</v>
      </c>
      <c r="B18297" t="s">
        <v>25731</v>
      </c>
      <c r="C18297" t="s">
        <v>7</v>
      </c>
      <c r="D18297" t="s">
        <v>189</v>
      </c>
      <c r="E18297" t="s">
        <v>23161</v>
      </c>
      <c r="F18297" t="s">
        <v>25732</v>
      </c>
    </row>
    <row r="18298" spans="1:6" x14ac:dyDescent="0.25">
      <c r="A18298" t="str">
        <f>"9722071550"</f>
        <v>9722071550</v>
      </c>
      <c r="B18298" t="s">
        <v>25733</v>
      </c>
      <c r="C18298" t="s">
        <v>7</v>
      </c>
      <c r="D18298" t="s">
        <v>12</v>
      </c>
      <c r="E18298" t="s">
        <v>23161</v>
      </c>
      <c r="F18298" t="s">
        <v>25734</v>
      </c>
    </row>
    <row r="18299" spans="1:6" x14ac:dyDescent="0.25">
      <c r="A18299" t="str">
        <f>"9722088650"</f>
        <v>9722088650</v>
      </c>
      <c r="B18299" t="s">
        <v>25735</v>
      </c>
      <c r="C18299" t="s">
        <v>7</v>
      </c>
      <c r="D18299" t="s">
        <v>33</v>
      </c>
      <c r="E18299" t="s">
        <v>23161</v>
      </c>
      <c r="F18299" t="s">
        <v>25736</v>
      </c>
    </row>
    <row r="18300" spans="1:6" x14ac:dyDescent="0.25">
      <c r="A18300" t="str">
        <f>"9723108563"</f>
        <v>9723108563</v>
      </c>
      <c r="B18300" t="s">
        <v>25737</v>
      </c>
      <c r="C18300" t="s">
        <v>7</v>
      </c>
      <c r="D18300" t="s">
        <v>189</v>
      </c>
      <c r="E18300" t="s">
        <v>23161</v>
      </c>
      <c r="F18300" t="s">
        <v>25738</v>
      </c>
    </row>
    <row r="18301" spans="1:6" x14ac:dyDescent="0.25">
      <c r="A18301" t="str">
        <f>"9723202710"</f>
        <v>9723202710</v>
      </c>
      <c r="B18301" t="s">
        <v>25739</v>
      </c>
      <c r="C18301" t="s">
        <v>7</v>
      </c>
      <c r="D18301" t="s">
        <v>8</v>
      </c>
      <c r="E18301" t="s">
        <v>23161</v>
      </c>
      <c r="F18301" t="s">
        <v>25475</v>
      </c>
    </row>
    <row r="18302" spans="1:6" x14ac:dyDescent="0.25">
      <c r="A18302" t="str">
        <f>"9723248909"</f>
        <v>9723248909</v>
      </c>
      <c r="B18302" t="s">
        <v>25740</v>
      </c>
      <c r="C18302" t="s">
        <v>7</v>
      </c>
      <c r="D18302" t="s">
        <v>14</v>
      </c>
      <c r="E18302" t="s">
        <v>23161</v>
      </c>
      <c r="F18302" t="s">
        <v>25475</v>
      </c>
    </row>
    <row r="18303" spans="1:6" x14ac:dyDescent="0.25">
      <c r="A18303" t="str">
        <f>"9724006067"</f>
        <v>9724006067</v>
      </c>
      <c r="B18303" t="s">
        <v>25741</v>
      </c>
      <c r="C18303" t="s">
        <v>7</v>
      </c>
      <c r="D18303" t="s">
        <v>189</v>
      </c>
      <c r="E18303" t="s">
        <v>23161</v>
      </c>
      <c r="F18303" t="s">
        <v>25742</v>
      </c>
    </row>
    <row r="18304" spans="1:6" x14ac:dyDescent="0.25">
      <c r="A18304" t="str">
        <f>"9724016259"</f>
        <v>9724016259</v>
      </c>
      <c r="B18304" t="s">
        <v>25743</v>
      </c>
      <c r="C18304" t="s">
        <v>7</v>
      </c>
      <c r="D18304" t="s">
        <v>14</v>
      </c>
      <c r="E18304" t="s">
        <v>23161</v>
      </c>
      <c r="F18304" t="s">
        <v>25744</v>
      </c>
    </row>
    <row r="18305" spans="1:6" x14ac:dyDescent="0.25">
      <c r="A18305" t="str">
        <f>"9724023721"</f>
        <v>9724023721</v>
      </c>
      <c r="B18305" t="s">
        <v>25745</v>
      </c>
      <c r="C18305" t="s">
        <v>7</v>
      </c>
      <c r="D18305" t="s">
        <v>14</v>
      </c>
      <c r="E18305" t="s">
        <v>23161</v>
      </c>
      <c r="F18305" t="s">
        <v>25746</v>
      </c>
    </row>
    <row r="18306" spans="1:6" x14ac:dyDescent="0.25">
      <c r="A18306" t="str">
        <f>"9724068200"</f>
        <v>9724068200</v>
      </c>
      <c r="B18306" t="s">
        <v>4131</v>
      </c>
      <c r="C18306" t="s">
        <v>7</v>
      </c>
      <c r="D18306" t="s">
        <v>674</v>
      </c>
      <c r="E18306" t="s">
        <v>23161</v>
      </c>
      <c r="F18306" t="s">
        <v>25747</v>
      </c>
    </row>
    <row r="18307" spans="1:6" x14ac:dyDescent="0.25">
      <c r="A18307" t="str">
        <f>"9724131357"</f>
        <v>9724131357</v>
      </c>
      <c r="B18307" t="s">
        <v>25748</v>
      </c>
      <c r="C18307" t="s">
        <v>7</v>
      </c>
      <c r="D18307" t="s">
        <v>189</v>
      </c>
      <c r="E18307" t="s">
        <v>23161</v>
      </c>
      <c r="F18307" t="s">
        <v>25749</v>
      </c>
    </row>
    <row r="18308" spans="1:6" x14ac:dyDescent="0.25">
      <c r="A18308" t="str">
        <f>"9724209814"</f>
        <v>9724209814</v>
      </c>
      <c r="B18308" t="s">
        <v>25750</v>
      </c>
      <c r="C18308" t="s">
        <v>7</v>
      </c>
      <c r="D18308" t="s">
        <v>14</v>
      </c>
      <c r="E18308" t="s">
        <v>23161</v>
      </c>
      <c r="F18308" t="s">
        <v>25751</v>
      </c>
    </row>
    <row r="18309" spans="1:6" x14ac:dyDescent="0.25">
      <c r="A18309" t="str">
        <f>"9725001008"</f>
        <v>9725001008</v>
      </c>
      <c r="B18309" t="s">
        <v>25752</v>
      </c>
      <c r="C18309" t="s">
        <v>7</v>
      </c>
      <c r="D18309" t="s">
        <v>12</v>
      </c>
      <c r="E18309" t="s">
        <v>23161</v>
      </c>
      <c r="F18309" t="s">
        <v>25753</v>
      </c>
    </row>
    <row r="18310" spans="1:6" x14ac:dyDescent="0.25">
      <c r="A18310" t="str">
        <f>"9725039298"</f>
        <v>9725039298</v>
      </c>
      <c r="B18310" t="s">
        <v>25754</v>
      </c>
      <c r="C18310" t="s">
        <v>7</v>
      </c>
      <c r="D18310" t="s">
        <v>189</v>
      </c>
      <c r="E18310" t="s">
        <v>23161</v>
      </c>
      <c r="F18310" t="s">
        <v>25755</v>
      </c>
    </row>
    <row r="18311" spans="1:6" x14ac:dyDescent="0.25">
      <c r="A18311" t="str">
        <f>"9725065347"</f>
        <v>9725065347</v>
      </c>
      <c r="B18311" t="s">
        <v>2919</v>
      </c>
      <c r="C18311" t="s">
        <v>7</v>
      </c>
      <c r="D18311" t="s">
        <v>14</v>
      </c>
      <c r="E18311" t="s">
        <v>23161</v>
      </c>
      <c r="F18311" t="s">
        <v>25756</v>
      </c>
    </row>
    <row r="18312" spans="1:6" x14ac:dyDescent="0.25">
      <c r="A18312" t="str">
        <f>"9725097211"</f>
        <v>9725097211</v>
      </c>
      <c r="B18312" t="s">
        <v>25757</v>
      </c>
      <c r="C18312" t="s">
        <v>7</v>
      </c>
      <c r="D18312" t="s">
        <v>14</v>
      </c>
      <c r="E18312" t="s">
        <v>23161</v>
      </c>
      <c r="F18312" t="s">
        <v>25758</v>
      </c>
    </row>
    <row r="18313" spans="1:6" x14ac:dyDescent="0.25">
      <c r="A18313" t="str">
        <f>"9725098310"</f>
        <v>9725098310</v>
      </c>
      <c r="B18313" t="s">
        <v>25759</v>
      </c>
      <c r="C18313" t="s">
        <v>7</v>
      </c>
      <c r="D18313" t="s">
        <v>674</v>
      </c>
      <c r="E18313" t="s">
        <v>23161</v>
      </c>
      <c r="F18313" t="s">
        <v>25760</v>
      </c>
    </row>
    <row r="18314" spans="1:6" x14ac:dyDescent="0.25">
      <c r="A18314" t="str">
        <f>"9725160640"</f>
        <v>9725160640</v>
      </c>
      <c r="B18314" t="s">
        <v>25761</v>
      </c>
      <c r="C18314" t="s">
        <v>7</v>
      </c>
      <c r="D18314" t="s">
        <v>14</v>
      </c>
      <c r="E18314" t="s">
        <v>23161</v>
      </c>
      <c r="F18314" t="s">
        <v>25762</v>
      </c>
    </row>
    <row r="18315" spans="1:6" x14ac:dyDescent="0.25">
      <c r="A18315" t="str">
        <f>"9726001184"</f>
        <v>9726001184</v>
      </c>
      <c r="B18315" t="s">
        <v>25763</v>
      </c>
      <c r="C18315" t="s">
        <v>7</v>
      </c>
      <c r="D18315" t="s">
        <v>674</v>
      </c>
      <c r="E18315" t="s">
        <v>23161</v>
      </c>
      <c r="F18315" t="s">
        <v>25764</v>
      </c>
    </row>
    <row r="18316" spans="1:6" x14ac:dyDescent="0.25">
      <c r="A18316" t="str">
        <f>"9726009240"</f>
        <v>9726009240</v>
      </c>
      <c r="B18316" t="s">
        <v>25765</v>
      </c>
      <c r="C18316" t="s">
        <v>7</v>
      </c>
      <c r="D18316" t="s">
        <v>33</v>
      </c>
      <c r="E18316" t="s">
        <v>23161</v>
      </c>
      <c r="F18316" t="s">
        <v>25766</v>
      </c>
    </row>
    <row r="18317" spans="1:6" x14ac:dyDescent="0.25">
      <c r="A18317" t="str">
        <f>"9726035419"</f>
        <v>9726035419</v>
      </c>
      <c r="B18317" t="s">
        <v>25767</v>
      </c>
      <c r="C18317" t="s">
        <v>7</v>
      </c>
      <c r="D18317" t="s">
        <v>1430</v>
      </c>
      <c r="E18317" t="s">
        <v>23161</v>
      </c>
      <c r="F18317" t="s">
        <v>25768</v>
      </c>
    </row>
    <row r="18318" spans="1:6" x14ac:dyDescent="0.25">
      <c r="A18318" t="str">
        <f>"9726041099"</f>
        <v>9726041099</v>
      </c>
      <c r="B18318" t="s">
        <v>25769</v>
      </c>
      <c r="C18318" t="s">
        <v>7</v>
      </c>
      <c r="D18318" t="s">
        <v>189</v>
      </c>
      <c r="E18318" t="s">
        <v>23161</v>
      </c>
      <c r="F18318" t="s">
        <v>25770</v>
      </c>
    </row>
    <row r="18319" spans="1:6" x14ac:dyDescent="0.25">
      <c r="A18319" t="str">
        <f>"9726053048"</f>
        <v>9726053048</v>
      </c>
      <c r="B18319" t="s">
        <v>25771</v>
      </c>
      <c r="C18319" t="s">
        <v>7</v>
      </c>
      <c r="D18319" t="s">
        <v>33</v>
      </c>
      <c r="E18319" t="s">
        <v>23161</v>
      </c>
      <c r="F18319" t="s">
        <v>25772</v>
      </c>
    </row>
    <row r="18320" spans="1:6" x14ac:dyDescent="0.25">
      <c r="A18320" t="str">
        <f>"9727002166"</f>
        <v>9727002166</v>
      </c>
      <c r="B18320" t="s">
        <v>3703</v>
      </c>
      <c r="C18320" t="s">
        <v>7</v>
      </c>
      <c r="D18320" t="s">
        <v>12</v>
      </c>
      <c r="E18320" t="s">
        <v>23161</v>
      </c>
      <c r="F18320" t="s">
        <v>25773</v>
      </c>
    </row>
    <row r="18321" spans="1:6" x14ac:dyDescent="0.25">
      <c r="A18321" t="str">
        <f>"9727015662"</f>
        <v>9727015662</v>
      </c>
      <c r="B18321" t="s">
        <v>25774</v>
      </c>
      <c r="C18321" t="s">
        <v>7</v>
      </c>
      <c r="D18321" t="s">
        <v>1430</v>
      </c>
      <c r="E18321" t="s">
        <v>23161</v>
      </c>
      <c r="F18321" t="s">
        <v>25775</v>
      </c>
    </row>
    <row r="18322" spans="1:6" x14ac:dyDescent="0.25">
      <c r="A18322" t="str">
        <f>"9727022853"</f>
        <v>9727022853</v>
      </c>
      <c r="B18322" t="s">
        <v>14009</v>
      </c>
      <c r="C18322" t="s">
        <v>7</v>
      </c>
      <c r="D18322" t="s">
        <v>33</v>
      </c>
      <c r="E18322" t="s">
        <v>23161</v>
      </c>
      <c r="F18322" t="s">
        <v>25776</v>
      </c>
    </row>
    <row r="18323" spans="1:6" x14ac:dyDescent="0.25">
      <c r="A18323" t="str">
        <f>"9727024138"</f>
        <v>9727024138</v>
      </c>
      <c r="B18323" t="s">
        <v>25777</v>
      </c>
      <c r="C18323" t="s">
        <v>7</v>
      </c>
      <c r="D18323" t="s">
        <v>33</v>
      </c>
      <c r="E18323" t="s">
        <v>23161</v>
      </c>
      <c r="F18323" t="s">
        <v>25778</v>
      </c>
    </row>
    <row r="18324" spans="1:6" x14ac:dyDescent="0.25">
      <c r="A18324" t="str">
        <f>"9727071716"</f>
        <v>9727071716</v>
      </c>
      <c r="B18324" t="s">
        <v>25779</v>
      </c>
      <c r="C18324" t="s">
        <v>7</v>
      </c>
      <c r="D18324" t="s">
        <v>12</v>
      </c>
      <c r="E18324" t="s">
        <v>23161</v>
      </c>
      <c r="F18324" t="s">
        <v>25780</v>
      </c>
    </row>
    <row r="18325" spans="1:6" x14ac:dyDescent="0.25">
      <c r="A18325" t="str">
        <f>"9727083140"</f>
        <v>9727083140</v>
      </c>
      <c r="B18325" t="s">
        <v>25781</v>
      </c>
      <c r="C18325" t="s">
        <v>7</v>
      </c>
      <c r="D18325" t="s">
        <v>33</v>
      </c>
      <c r="E18325" t="s">
        <v>23161</v>
      </c>
      <c r="F18325" t="s">
        <v>25782</v>
      </c>
    </row>
    <row r="18326" spans="1:6" x14ac:dyDescent="0.25">
      <c r="A18326" t="str">
        <f>"971508764078"</f>
        <v>971508764078</v>
      </c>
      <c r="B18326" t="s">
        <v>25783</v>
      </c>
      <c r="C18326" t="s">
        <v>7</v>
      </c>
      <c r="D18326" t="s">
        <v>14</v>
      </c>
      <c r="E18326" t="s">
        <v>23161</v>
      </c>
    </row>
    <row r="18327" spans="1:6" x14ac:dyDescent="0.25">
      <c r="A18327" t="str">
        <f>"9715275384"</f>
        <v>9715275384</v>
      </c>
      <c r="B18327" t="s">
        <v>25784</v>
      </c>
      <c r="C18327" t="s">
        <v>7</v>
      </c>
      <c r="D18327" t="s">
        <v>189</v>
      </c>
      <c r="E18327" t="s">
        <v>23161</v>
      </c>
      <c r="F18327" t="s">
        <v>25785</v>
      </c>
    </row>
    <row r="18328" spans="1:6" x14ac:dyDescent="0.25">
      <c r="A18328" t="str">
        <f>"9715294235"</f>
        <v>9715294235</v>
      </c>
      <c r="B18328" t="s">
        <v>25786</v>
      </c>
      <c r="C18328" t="s">
        <v>7</v>
      </c>
      <c r="D18328" t="s">
        <v>12</v>
      </c>
      <c r="E18328" t="s">
        <v>23161</v>
      </c>
      <c r="F18328" t="s">
        <v>25787</v>
      </c>
    </row>
    <row r="18329" spans="1:6" x14ac:dyDescent="0.25">
      <c r="A18329" t="str">
        <f>"9715365486"</f>
        <v>9715365486</v>
      </c>
      <c r="B18329" t="s">
        <v>25788</v>
      </c>
      <c r="C18329" t="s">
        <v>7</v>
      </c>
      <c r="D18329" t="s">
        <v>33</v>
      </c>
      <c r="E18329" t="s">
        <v>23161</v>
      </c>
      <c r="F18329" t="s">
        <v>25789</v>
      </c>
    </row>
    <row r="18330" spans="1:6" x14ac:dyDescent="0.25">
      <c r="A18330" t="str">
        <f>"9715389920"</f>
        <v>9715389920</v>
      </c>
      <c r="B18330" t="s">
        <v>25790</v>
      </c>
      <c r="C18330" t="s">
        <v>7</v>
      </c>
      <c r="D18330" t="s">
        <v>33</v>
      </c>
      <c r="E18330" t="s">
        <v>23161</v>
      </c>
      <c r="F18330" t="s">
        <v>25791</v>
      </c>
    </row>
    <row r="18331" spans="1:6" x14ac:dyDescent="0.25">
      <c r="A18331" t="str">
        <f>"9715410763"</f>
        <v>9715410763</v>
      </c>
      <c r="B18331" t="s">
        <v>25792</v>
      </c>
      <c r="C18331" t="s">
        <v>7</v>
      </c>
      <c r="D18331" t="s">
        <v>33</v>
      </c>
      <c r="E18331" t="s">
        <v>23161</v>
      </c>
      <c r="F18331" t="s">
        <v>25793</v>
      </c>
    </row>
    <row r="18332" spans="1:6" x14ac:dyDescent="0.25">
      <c r="A18332" t="str">
        <f>"9715445572"</f>
        <v>9715445572</v>
      </c>
      <c r="B18332" t="s">
        <v>25794</v>
      </c>
      <c r="C18332" t="s">
        <v>7</v>
      </c>
      <c r="D18332" t="s">
        <v>33</v>
      </c>
      <c r="E18332" t="s">
        <v>23161</v>
      </c>
      <c r="F18332" t="s">
        <v>25795</v>
      </c>
    </row>
    <row r="18333" spans="1:6" x14ac:dyDescent="0.25">
      <c r="A18333" t="str">
        <f>"9715480753"</f>
        <v>9715480753</v>
      </c>
      <c r="B18333" t="s">
        <v>25796</v>
      </c>
      <c r="C18333" t="s">
        <v>7</v>
      </c>
      <c r="D18333" t="s">
        <v>28</v>
      </c>
      <c r="E18333" t="s">
        <v>23161</v>
      </c>
      <c r="F18333" t="s">
        <v>25797</v>
      </c>
    </row>
    <row r="18334" spans="1:6" x14ac:dyDescent="0.25">
      <c r="A18334" t="str">
        <f>"9715485960"</f>
        <v>9715485960</v>
      </c>
      <c r="B18334" t="s">
        <v>25798</v>
      </c>
      <c r="C18334" t="s">
        <v>7</v>
      </c>
      <c r="D18334" t="s">
        <v>12</v>
      </c>
      <c r="E18334" t="s">
        <v>23161</v>
      </c>
      <c r="F18334" t="s">
        <v>25799</v>
      </c>
    </row>
    <row r="18335" spans="1:6" x14ac:dyDescent="0.25">
      <c r="A18335" t="str">
        <f>"9715486113"</f>
        <v>9715486113</v>
      </c>
      <c r="B18335" t="s">
        <v>7675</v>
      </c>
      <c r="C18335" t="s">
        <v>7</v>
      </c>
      <c r="D18335" t="s">
        <v>33</v>
      </c>
      <c r="E18335" t="s">
        <v>23161</v>
      </c>
      <c r="F18335" t="s">
        <v>25800</v>
      </c>
    </row>
    <row r="18336" spans="1:6" x14ac:dyDescent="0.25">
      <c r="A18336" t="str">
        <f>"9715490504"</f>
        <v>9715490504</v>
      </c>
      <c r="B18336" t="s">
        <v>25801</v>
      </c>
      <c r="C18336" t="s">
        <v>7</v>
      </c>
      <c r="D18336" t="s">
        <v>14</v>
      </c>
      <c r="E18336" t="s">
        <v>23161</v>
      </c>
      <c r="F18336" t="s">
        <v>25802</v>
      </c>
    </row>
    <row r="18337" spans="1:6" x14ac:dyDescent="0.25">
      <c r="A18337" t="str">
        <f>"9715504764"</f>
        <v>9715504764</v>
      </c>
      <c r="B18337" t="s">
        <v>25803</v>
      </c>
      <c r="C18337" t="s">
        <v>7</v>
      </c>
      <c r="D18337" t="s">
        <v>12</v>
      </c>
      <c r="E18337" t="s">
        <v>23161</v>
      </c>
      <c r="F18337" t="s">
        <v>25804</v>
      </c>
    </row>
    <row r="18338" spans="1:6" x14ac:dyDescent="0.25">
      <c r="A18338" t="str">
        <f>"9717051076"</f>
        <v>9717051076</v>
      </c>
      <c r="B18338" t="s">
        <v>25805</v>
      </c>
      <c r="C18338" t="s">
        <v>7</v>
      </c>
      <c r="D18338" t="s">
        <v>14</v>
      </c>
      <c r="E18338" t="s">
        <v>23161</v>
      </c>
      <c r="F18338" t="s">
        <v>25806</v>
      </c>
    </row>
    <row r="18339" spans="1:6" x14ac:dyDescent="0.25">
      <c r="A18339" t="str">
        <f>"9717065696"</f>
        <v>9717065696</v>
      </c>
      <c r="B18339" t="s">
        <v>25807</v>
      </c>
      <c r="C18339" t="s">
        <v>7</v>
      </c>
      <c r="D18339" t="s">
        <v>674</v>
      </c>
      <c r="E18339" t="s">
        <v>23161</v>
      </c>
      <c r="F18339" t="s">
        <v>25808</v>
      </c>
    </row>
    <row r="18340" spans="1:6" x14ac:dyDescent="0.25">
      <c r="A18340" t="str">
        <f>"9717108646"</f>
        <v>9717108646</v>
      </c>
      <c r="B18340" t="s">
        <v>25809</v>
      </c>
      <c r="C18340" t="s">
        <v>7</v>
      </c>
      <c r="D18340" t="s">
        <v>189</v>
      </c>
      <c r="E18340" t="s">
        <v>23161</v>
      </c>
      <c r="F18340" t="s">
        <v>25810</v>
      </c>
    </row>
    <row r="18341" spans="1:6" x14ac:dyDescent="0.25">
      <c r="A18341" t="str">
        <f>"9717168780"</f>
        <v>9717168780</v>
      </c>
      <c r="B18341" t="s">
        <v>25811</v>
      </c>
      <c r="C18341" t="s">
        <v>7</v>
      </c>
      <c r="D18341" t="s">
        <v>12</v>
      </c>
      <c r="E18341" t="s">
        <v>23161</v>
      </c>
      <c r="F18341" t="s">
        <v>25812</v>
      </c>
    </row>
    <row r="18342" spans="1:6" x14ac:dyDescent="0.25">
      <c r="A18342" t="str">
        <f>"9718025424"</f>
        <v>9718025424</v>
      </c>
      <c r="B18342" t="s">
        <v>25813</v>
      </c>
      <c r="C18342" t="s">
        <v>7</v>
      </c>
      <c r="D18342" t="s">
        <v>12</v>
      </c>
      <c r="E18342" t="s">
        <v>23161</v>
      </c>
      <c r="F18342" t="s">
        <v>23489</v>
      </c>
    </row>
    <row r="18343" spans="1:6" x14ac:dyDescent="0.25">
      <c r="A18343" t="str">
        <f>"9718034813"</f>
        <v>9718034813</v>
      </c>
      <c r="B18343" t="s">
        <v>25814</v>
      </c>
      <c r="C18343" t="s">
        <v>7</v>
      </c>
      <c r="D18343" t="s">
        <v>33</v>
      </c>
      <c r="E18343" t="s">
        <v>23161</v>
      </c>
      <c r="F18343" t="s">
        <v>25815</v>
      </c>
    </row>
    <row r="18344" spans="1:6" x14ac:dyDescent="0.25">
      <c r="A18344" t="str">
        <f>"9718043600"</f>
        <v>9718043600</v>
      </c>
      <c r="B18344" t="s">
        <v>25816</v>
      </c>
      <c r="C18344" t="s">
        <v>7</v>
      </c>
      <c r="D18344" t="s">
        <v>1430</v>
      </c>
      <c r="E18344" t="s">
        <v>23161</v>
      </c>
      <c r="F18344" t="s">
        <v>25817</v>
      </c>
    </row>
    <row r="18345" spans="1:6" x14ac:dyDescent="0.25">
      <c r="A18345" t="str">
        <f>"9718077197"</f>
        <v>9718077197</v>
      </c>
      <c r="B18345" t="s">
        <v>18177</v>
      </c>
      <c r="C18345" t="s">
        <v>7</v>
      </c>
      <c r="D18345" t="s">
        <v>33</v>
      </c>
      <c r="E18345" t="s">
        <v>23161</v>
      </c>
      <c r="F18345" t="s">
        <v>25818</v>
      </c>
    </row>
    <row r="18346" spans="1:6" x14ac:dyDescent="0.25">
      <c r="A18346" t="str">
        <f>"9718124908"</f>
        <v>9718124908</v>
      </c>
      <c r="B18346" t="s">
        <v>25819</v>
      </c>
      <c r="C18346" t="s">
        <v>7</v>
      </c>
      <c r="D18346" t="s">
        <v>12</v>
      </c>
      <c r="E18346" t="s">
        <v>23161</v>
      </c>
      <c r="F18346" t="s">
        <v>25820</v>
      </c>
    </row>
    <row r="18347" spans="1:6" x14ac:dyDescent="0.25">
      <c r="A18347" t="str">
        <f>"9718136205"</f>
        <v>9718136205</v>
      </c>
      <c r="B18347" t="s">
        <v>25821</v>
      </c>
      <c r="C18347" t="s">
        <v>7</v>
      </c>
      <c r="D18347" t="s">
        <v>33</v>
      </c>
      <c r="E18347" t="s">
        <v>23161</v>
      </c>
      <c r="F18347" t="s">
        <v>25822</v>
      </c>
    </row>
    <row r="18348" spans="1:6" x14ac:dyDescent="0.25">
      <c r="A18348" t="str">
        <f>"9718162646"</f>
        <v>9718162646</v>
      </c>
      <c r="B18348" t="s">
        <v>25823</v>
      </c>
      <c r="C18348" t="s">
        <v>7</v>
      </c>
      <c r="D18348" t="s">
        <v>33</v>
      </c>
      <c r="E18348" t="s">
        <v>23161</v>
      </c>
      <c r="F18348" t="s">
        <v>25824</v>
      </c>
    </row>
    <row r="18349" spans="1:6" x14ac:dyDescent="0.25">
      <c r="A18349" t="str">
        <f>"9718237845"</f>
        <v>9718237845</v>
      </c>
      <c r="B18349" t="s">
        <v>25825</v>
      </c>
      <c r="C18349" t="s">
        <v>7</v>
      </c>
      <c r="D18349" t="s">
        <v>98</v>
      </c>
      <c r="E18349" t="s">
        <v>23161</v>
      </c>
      <c r="F18349" t="s">
        <v>25826</v>
      </c>
    </row>
    <row r="18350" spans="1:6" x14ac:dyDescent="0.25">
      <c r="A18350" t="str">
        <f>"9718250187"</f>
        <v>9718250187</v>
      </c>
      <c r="B18350" t="s">
        <v>25827</v>
      </c>
      <c r="C18350" t="s">
        <v>7</v>
      </c>
      <c r="D18350" t="s">
        <v>1430</v>
      </c>
      <c r="E18350" t="s">
        <v>23161</v>
      </c>
      <c r="F18350" t="s">
        <v>25828</v>
      </c>
    </row>
    <row r="18351" spans="1:6" x14ac:dyDescent="0.25">
      <c r="A18351" t="str">
        <f>"9718270000"</f>
        <v>9718270000</v>
      </c>
      <c r="B18351" t="s">
        <v>25829</v>
      </c>
      <c r="C18351" t="s">
        <v>7</v>
      </c>
      <c r="D18351" t="s">
        <v>8</v>
      </c>
      <c r="E18351" t="s">
        <v>23161</v>
      </c>
      <c r="F18351" t="s">
        <v>25830</v>
      </c>
    </row>
    <row r="18352" spans="1:6" x14ac:dyDescent="0.25">
      <c r="A18352" t="str">
        <f>"9719001190"</f>
        <v>9719001190</v>
      </c>
      <c r="B18352" t="s">
        <v>25831</v>
      </c>
      <c r="C18352" t="s">
        <v>7</v>
      </c>
      <c r="D18352" t="s">
        <v>674</v>
      </c>
      <c r="E18352" t="s">
        <v>23161</v>
      </c>
      <c r="F18352" t="s">
        <v>25832</v>
      </c>
    </row>
    <row r="18353" spans="1:6" x14ac:dyDescent="0.25">
      <c r="A18353" t="str">
        <f>"9719012227"</f>
        <v>9719012227</v>
      </c>
      <c r="B18353" t="s">
        <v>25833</v>
      </c>
      <c r="C18353" t="s">
        <v>7</v>
      </c>
      <c r="D18353" t="s">
        <v>8</v>
      </c>
      <c r="E18353" t="s">
        <v>23161</v>
      </c>
      <c r="F18353" t="s">
        <v>25834</v>
      </c>
    </row>
    <row r="18354" spans="1:6" x14ac:dyDescent="0.25">
      <c r="A18354" t="str">
        <f>"9719028192"</f>
        <v>9719028192</v>
      </c>
      <c r="B18354" t="s">
        <v>25835</v>
      </c>
      <c r="C18354" t="s">
        <v>7</v>
      </c>
      <c r="D18354" t="s">
        <v>146</v>
      </c>
      <c r="E18354" t="s">
        <v>23161</v>
      </c>
      <c r="F18354" t="s">
        <v>25713</v>
      </c>
    </row>
    <row r="18355" spans="1:6" x14ac:dyDescent="0.25">
      <c r="A18355" t="str">
        <f>"9719051900"</f>
        <v>9719051900</v>
      </c>
      <c r="B18355" t="s">
        <v>10470</v>
      </c>
      <c r="C18355" t="s">
        <v>7</v>
      </c>
      <c r="D18355" t="s">
        <v>14</v>
      </c>
      <c r="E18355" t="s">
        <v>23161</v>
      </c>
      <c r="F18355" t="s">
        <v>25836</v>
      </c>
    </row>
    <row r="18356" spans="1:6" x14ac:dyDescent="0.25">
      <c r="A18356" t="str">
        <f>"9721203420"</f>
        <v>9721203420</v>
      </c>
      <c r="B18356" t="s">
        <v>25837</v>
      </c>
      <c r="C18356" t="s">
        <v>7</v>
      </c>
      <c r="D18356" t="s">
        <v>33</v>
      </c>
      <c r="E18356" t="s">
        <v>23161</v>
      </c>
      <c r="F18356" t="s">
        <v>25838</v>
      </c>
    </row>
    <row r="18357" spans="1:6" x14ac:dyDescent="0.25">
      <c r="A18357" t="str">
        <f>"9721242203"</f>
        <v>9721242203</v>
      </c>
      <c r="B18357" t="s">
        <v>25839</v>
      </c>
      <c r="C18357" t="s">
        <v>7</v>
      </c>
      <c r="D18357" t="s">
        <v>33</v>
      </c>
      <c r="E18357" t="s">
        <v>23161</v>
      </c>
      <c r="F18357" t="s">
        <v>25840</v>
      </c>
    </row>
    <row r="18358" spans="1:6" x14ac:dyDescent="0.25">
      <c r="A18358" t="str">
        <f>"9722007026"</f>
        <v>9722007026</v>
      </c>
      <c r="B18358" t="s">
        <v>25841</v>
      </c>
      <c r="C18358" t="s">
        <v>7</v>
      </c>
      <c r="D18358" t="s">
        <v>460</v>
      </c>
      <c r="E18358" t="s">
        <v>23161</v>
      </c>
      <c r="F18358" t="s">
        <v>25842</v>
      </c>
    </row>
    <row r="18359" spans="1:6" x14ac:dyDescent="0.25">
      <c r="A18359" t="str">
        <f>"9723027610"</f>
        <v>9723027610</v>
      </c>
      <c r="B18359" t="s">
        <v>25843</v>
      </c>
      <c r="C18359" t="s">
        <v>7</v>
      </c>
      <c r="D18359" t="s">
        <v>33</v>
      </c>
      <c r="E18359" t="s">
        <v>23161</v>
      </c>
      <c r="F18359" t="s">
        <v>25844</v>
      </c>
    </row>
    <row r="18360" spans="1:6" x14ac:dyDescent="0.25">
      <c r="A18360" t="str">
        <f>"9723029625"</f>
        <v>9723029625</v>
      </c>
      <c r="B18360" t="s">
        <v>25845</v>
      </c>
      <c r="C18360" t="s">
        <v>7</v>
      </c>
      <c r="D18360" t="s">
        <v>14</v>
      </c>
      <c r="E18360" t="s">
        <v>23161</v>
      </c>
      <c r="F18360" t="s">
        <v>25846</v>
      </c>
    </row>
    <row r="18361" spans="1:6" x14ac:dyDescent="0.25">
      <c r="A18361" t="str">
        <f>"9723038901"</f>
        <v>9723038901</v>
      </c>
      <c r="B18361" t="s">
        <v>25847</v>
      </c>
      <c r="C18361" t="s">
        <v>7</v>
      </c>
      <c r="D18361" t="s">
        <v>12</v>
      </c>
      <c r="E18361" t="s">
        <v>23161</v>
      </c>
      <c r="F18361" t="s">
        <v>23321</v>
      </c>
    </row>
    <row r="18362" spans="1:6" x14ac:dyDescent="0.25">
      <c r="A18362" t="str">
        <f>"9723052279"</f>
        <v>9723052279</v>
      </c>
      <c r="B18362" t="s">
        <v>25848</v>
      </c>
      <c r="C18362" t="s">
        <v>7</v>
      </c>
      <c r="D18362" t="s">
        <v>33</v>
      </c>
      <c r="E18362" t="s">
        <v>23161</v>
      </c>
      <c r="F18362" t="s">
        <v>25849</v>
      </c>
    </row>
    <row r="18363" spans="1:6" x14ac:dyDescent="0.25">
      <c r="A18363" t="str">
        <f>"9723096773"</f>
        <v>9723096773</v>
      </c>
      <c r="B18363" t="s">
        <v>25850</v>
      </c>
      <c r="C18363" t="s">
        <v>7</v>
      </c>
      <c r="D18363" t="s">
        <v>33</v>
      </c>
      <c r="E18363" t="s">
        <v>23161</v>
      </c>
      <c r="F18363" t="s">
        <v>25851</v>
      </c>
    </row>
    <row r="18364" spans="1:6" x14ac:dyDescent="0.25">
      <c r="A18364" t="str">
        <f>"9723097720"</f>
        <v>9723097720</v>
      </c>
      <c r="B18364" t="s">
        <v>25852</v>
      </c>
      <c r="C18364" t="s">
        <v>7</v>
      </c>
      <c r="D18364" t="s">
        <v>12</v>
      </c>
      <c r="E18364" t="s">
        <v>23161</v>
      </c>
      <c r="F18364" t="s">
        <v>25853</v>
      </c>
    </row>
    <row r="18365" spans="1:6" x14ac:dyDescent="0.25">
      <c r="A18365" t="str">
        <f>"9723098330"</f>
        <v>9723098330</v>
      </c>
      <c r="B18365" t="s">
        <v>25854</v>
      </c>
      <c r="C18365" t="s">
        <v>7</v>
      </c>
      <c r="D18365" t="s">
        <v>14</v>
      </c>
      <c r="E18365" t="s">
        <v>23161</v>
      </c>
      <c r="F18365" t="s">
        <v>25855</v>
      </c>
    </row>
    <row r="18366" spans="1:6" x14ac:dyDescent="0.25">
      <c r="A18366" t="str">
        <f>"9723114013"</f>
        <v>9723114013</v>
      </c>
      <c r="B18366" t="s">
        <v>25856</v>
      </c>
      <c r="C18366" t="s">
        <v>7</v>
      </c>
      <c r="D18366" t="s">
        <v>146</v>
      </c>
      <c r="E18366" t="s">
        <v>23161</v>
      </c>
      <c r="F18366" t="s">
        <v>25857</v>
      </c>
    </row>
    <row r="18367" spans="1:6" x14ac:dyDescent="0.25">
      <c r="A18367" t="str">
        <f>"9723120828"</f>
        <v>9723120828</v>
      </c>
      <c r="B18367" t="s">
        <v>25858</v>
      </c>
      <c r="C18367" t="s">
        <v>7</v>
      </c>
      <c r="D18367" t="s">
        <v>460</v>
      </c>
      <c r="E18367" t="s">
        <v>23161</v>
      </c>
      <c r="F18367" t="s">
        <v>25859</v>
      </c>
    </row>
    <row r="18368" spans="1:6" x14ac:dyDescent="0.25">
      <c r="A18368" t="str">
        <f>"9723125632"</f>
        <v>9723125632</v>
      </c>
      <c r="B18368" t="s">
        <v>25860</v>
      </c>
      <c r="C18368" t="s">
        <v>7</v>
      </c>
      <c r="D18368" t="s">
        <v>33</v>
      </c>
      <c r="E18368" t="s">
        <v>23161</v>
      </c>
      <c r="F18368" t="s">
        <v>25861</v>
      </c>
    </row>
    <row r="18369" spans="1:6" x14ac:dyDescent="0.25">
      <c r="A18369" t="str">
        <f>"9723160500"</f>
        <v>9723160500</v>
      </c>
      <c r="B18369" t="s">
        <v>25862</v>
      </c>
      <c r="C18369" t="s">
        <v>7</v>
      </c>
      <c r="D18369" t="s">
        <v>189</v>
      </c>
      <c r="E18369" t="s">
        <v>23161</v>
      </c>
      <c r="F18369" t="s">
        <v>25863</v>
      </c>
    </row>
    <row r="18370" spans="1:6" x14ac:dyDescent="0.25">
      <c r="A18370" t="str">
        <f>"9723161574"</f>
        <v>9723161574</v>
      </c>
      <c r="B18370" t="s">
        <v>24315</v>
      </c>
      <c r="C18370" t="s">
        <v>7</v>
      </c>
      <c r="D18370" t="s">
        <v>14</v>
      </c>
      <c r="E18370" t="s">
        <v>23161</v>
      </c>
      <c r="F18370" t="s">
        <v>25864</v>
      </c>
    </row>
    <row r="18371" spans="1:6" x14ac:dyDescent="0.25">
      <c r="A18371" t="str">
        <f>"9723168700"</f>
        <v>9723168700</v>
      </c>
      <c r="B18371" t="s">
        <v>25865</v>
      </c>
      <c r="C18371" t="s">
        <v>7</v>
      </c>
      <c r="D18371" t="s">
        <v>33</v>
      </c>
      <c r="E18371" t="s">
        <v>23161</v>
      </c>
      <c r="F18371" t="s">
        <v>25866</v>
      </c>
    </row>
    <row r="18372" spans="1:6" x14ac:dyDescent="0.25">
      <c r="A18372" t="str">
        <f>"9723197845"</f>
        <v>9723197845</v>
      </c>
      <c r="B18372" t="s">
        <v>25867</v>
      </c>
      <c r="C18372" t="s">
        <v>7</v>
      </c>
      <c r="D18372" t="s">
        <v>14</v>
      </c>
      <c r="E18372" t="s">
        <v>23161</v>
      </c>
      <c r="F18372" t="s">
        <v>25868</v>
      </c>
    </row>
    <row r="18373" spans="1:6" x14ac:dyDescent="0.25">
      <c r="A18373" t="str">
        <f>"9723230524"</f>
        <v>9723230524</v>
      </c>
      <c r="B18373" t="s">
        <v>25869</v>
      </c>
      <c r="C18373" t="s">
        <v>7</v>
      </c>
      <c r="D18373" t="s">
        <v>14</v>
      </c>
      <c r="E18373" t="s">
        <v>23161</v>
      </c>
      <c r="F18373" t="s">
        <v>25870</v>
      </c>
    </row>
    <row r="18374" spans="1:6" x14ac:dyDescent="0.25">
      <c r="A18374" t="str">
        <f>"9723249300"</f>
        <v>9723249300</v>
      </c>
      <c r="B18374" t="s">
        <v>25871</v>
      </c>
      <c r="C18374" t="s">
        <v>7</v>
      </c>
      <c r="D18374" t="s">
        <v>1430</v>
      </c>
      <c r="E18374" t="s">
        <v>23161</v>
      </c>
      <c r="F18374" t="s">
        <v>25872</v>
      </c>
    </row>
    <row r="18375" spans="1:6" x14ac:dyDescent="0.25">
      <c r="A18375" t="str">
        <f>"9724001090"</f>
        <v>9724001090</v>
      </c>
      <c r="B18375" t="s">
        <v>25873</v>
      </c>
      <c r="C18375" t="s">
        <v>7</v>
      </c>
      <c r="D18375" t="s">
        <v>8</v>
      </c>
      <c r="E18375" t="s">
        <v>23161</v>
      </c>
      <c r="F18375" t="s">
        <v>25874</v>
      </c>
    </row>
    <row r="18376" spans="1:6" x14ac:dyDescent="0.25">
      <c r="A18376" t="str">
        <f>"9724050725"</f>
        <v>9724050725</v>
      </c>
      <c r="B18376" t="s">
        <v>25875</v>
      </c>
      <c r="C18376" t="s">
        <v>7</v>
      </c>
      <c r="D18376" t="s">
        <v>33</v>
      </c>
      <c r="E18376" t="s">
        <v>23161</v>
      </c>
      <c r="F18376" t="s">
        <v>25876</v>
      </c>
    </row>
    <row r="18377" spans="1:6" x14ac:dyDescent="0.25">
      <c r="A18377" t="str">
        <f>"9724215247"</f>
        <v>9724215247</v>
      </c>
      <c r="B18377" t="s">
        <v>25877</v>
      </c>
      <c r="C18377" t="s">
        <v>7</v>
      </c>
      <c r="D18377" t="s">
        <v>14</v>
      </c>
      <c r="E18377" t="s">
        <v>23161</v>
      </c>
      <c r="F18377" t="s">
        <v>25878</v>
      </c>
    </row>
    <row r="18378" spans="1:6" x14ac:dyDescent="0.25">
      <c r="A18378" t="str">
        <f>"9724222727"</f>
        <v>9724222727</v>
      </c>
      <c r="B18378" t="s">
        <v>6496</v>
      </c>
      <c r="C18378" t="s">
        <v>7</v>
      </c>
      <c r="D18378" t="s">
        <v>33</v>
      </c>
      <c r="E18378" t="s">
        <v>23161</v>
      </c>
      <c r="F18378" t="s">
        <v>25879</v>
      </c>
    </row>
    <row r="18379" spans="1:6" x14ac:dyDescent="0.25">
      <c r="A18379" t="str">
        <f>"9725067062"</f>
        <v>9725067062</v>
      </c>
      <c r="B18379" t="s">
        <v>25880</v>
      </c>
      <c r="C18379" t="s">
        <v>7</v>
      </c>
      <c r="D18379" t="s">
        <v>14</v>
      </c>
      <c r="E18379" t="s">
        <v>23161</v>
      </c>
      <c r="F18379" t="s">
        <v>25881</v>
      </c>
    </row>
    <row r="18380" spans="1:6" x14ac:dyDescent="0.25">
      <c r="A18380" t="str">
        <f>"9725090061"</f>
        <v>9725090061</v>
      </c>
      <c r="B18380" t="s">
        <v>25882</v>
      </c>
      <c r="C18380" t="s">
        <v>7</v>
      </c>
      <c r="D18380" t="s">
        <v>674</v>
      </c>
      <c r="E18380" t="s">
        <v>23161</v>
      </c>
      <c r="F18380" t="s">
        <v>25883</v>
      </c>
    </row>
    <row r="18381" spans="1:6" x14ac:dyDescent="0.25">
      <c r="A18381" t="str">
        <f>"9725091467"</f>
        <v>9725091467</v>
      </c>
      <c r="B18381" t="s">
        <v>25884</v>
      </c>
      <c r="C18381" t="s">
        <v>7</v>
      </c>
      <c r="D18381" t="s">
        <v>189</v>
      </c>
      <c r="E18381" t="s">
        <v>23161</v>
      </c>
      <c r="F18381" t="s">
        <v>25885</v>
      </c>
    </row>
    <row r="18382" spans="1:6" x14ac:dyDescent="0.25">
      <c r="A18382" t="str">
        <f>"9725125282"</f>
        <v>9725125282</v>
      </c>
      <c r="B18382" t="s">
        <v>25886</v>
      </c>
      <c r="C18382" t="s">
        <v>7</v>
      </c>
      <c r="D18382" t="s">
        <v>146</v>
      </c>
      <c r="E18382" t="s">
        <v>23161</v>
      </c>
      <c r="F18382" t="s">
        <v>25887</v>
      </c>
    </row>
    <row r="18383" spans="1:6" x14ac:dyDescent="0.25">
      <c r="A18383" t="str">
        <f>"9725178809"</f>
        <v>9725178809</v>
      </c>
      <c r="B18383" t="s">
        <v>25888</v>
      </c>
      <c r="C18383" t="s">
        <v>7</v>
      </c>
      <c r="D18383" t="s">
        <v>674</v>
      </c>
      <c r="E18383" t="s">
        <v>23161</v>
      </c>
      <c r="F18383" t="s">
        <v>25704</v>
      </c>
    </row>
    <row r="18384" spans="1:6" x14ac:dyDescent="0.25">
      <c r="A18384" t="str">
        <f>"9726013119"</f>
        <v>9726013119</v>
      </c>
      <c r="B18384" t="s">
        <v>25889</v>
      </c>
      <c r="C18384" t="s">
        <v>7</v>
      </c>
      <c r="D18384" t="s">
        <v>14</v>
      </c>
      <c r="E18384" t="s">
        <v>23161</v>
      </c>
      <c r="F18384" t="s">
        <v>25890</v>
      </c>
    </row>
    <row r="18385" spans="1:6" x14ac:dyDescent="0.25">
      <c r="A18385" t="str">
        <f>"9726026421"</f>
        <v>9726026421</v>
      </c>
      <c r="B18385" t="s">
        <v>25891</v>
      </c>
      <c r="C18385" t="s">
        <v>7</v>
      </c>
      <c r="D18385" t="s">
        <v>463</v>
      </c>
      <c r="E18385" t="s">
        <v>23161</v>
      </c>
      <c r="F18385" t="s">
        <v>25892</v>
      </c>
    </row>
    <row r="18386" spans="1:6" x14ac:dyDescent="0.25">
      <c r="A18386" t="str">
        <f>"9726036740"</f>
        <v>9726036740</v>
      </c>
      <c r="B18386" t="s">
        <v>25893</v>
      </c>
      <c r="C18386" t="s">
        <v>7</v>
      </c>
      <c r="D18386" t="s">
        <v>1430</v>
      </c>
      <c r="E18386" t="s">
        <v>23161</v>
      </c>
      <c r="F18386" t="s">
        <v>25894</v>
      </c>
    </row>
    <row r="18387" spans="1:6" x14ac:dyDescent="0.25">
      <c r="A18387" t="str">
        <f>"9726043064"</f>
        <v>9726043064</v>
      </c>
      <c r="B18387" t="s">
        <v>25895</v>
      </c>
      <c r="C18387" t="s">
        <v>7</v>
      </c>
      <c r="D18387" t="s">
        <v>12</v>
      </c>
      <c r="E18387" t="s">
        <v>23161</v>
      </c>
      <c r="F18387" t="s">
        <v>25896</v>
      </c>
    </row>
    <row r="18388" spans="1:6" x14ac:dyDescent="0.25">
      <c r="A18388" t="str">
        <f>"9726071368"</f>
        <v>9726071368</v>
      </c>
      <c r="B18388" t="s">
        <v>5649</v>
      </c>
      <c r="C18388" t="s">
        <v>7</v>
      </c>
      <c r="D18388" t="s">
        <v>189</v>
      </c>
      <c r="E18388" t="s">
        <v>23161</v>
      </c>
      <c r="F18388" t="s">
        <v>25897</v>
      </c>
    </row>
    <row r="18389" spans="1:6" x14ac:dyDescent="0.25">
      <c r="A18389" t="str">
        <f>"9726100467"</f>
        <v>9726100467</v>
      </c>
      <c r="B18389" t="s">
        <v>25898</v>
      </c>
      <c r="C18389" t="s">
        <v>7</v>
      </c>
      <c r="D18389" t="s">
        <v>674</v>
      </c>
      <c r="E18389" t="s">
        <v>23161</v>
      </c>
      <c r="F18389" t="s">
        <v>25899</v>
      </c>
    </row>
    <row r="18390" spans="1:6" x14ac:dyDescent="0.25">
      <c r="A18390" t="str">
        <f>"9727010953"</f>
        <v>9727010953</v>
      </c>
      <c r="B18390" t="s">
        <v>25900</v>
      </c>
      <c r="C18390" t="s">
        <v>7</v>
      </c>
      <c r="D18390" t="s">
        <v>33</v>
      </c>
      <c r="E18390" t="s">
        <v>23161</v>
      </c>
      <c r="F18390" t="s">
        <v>25901</v>
      </c>
    </row>
    <row r="18391" spans="1:6" x14ac:dyDescent="0.25">
      <c r="A18391" t="str">
        <f>"9728005353"</f>
        <v>9728005353</v>
      </c>
      <c r="B18391" t="s">
        <v>5795</v>
      </c>
      <c r="C18391" t="s">
        <v>7</v>
      </c>
      <c r="D18391" t="s">
        <v>14</v>
      </c>
      <c r="E18391" t="s">
        <v>23161</v>
      </c>
      <c r="F18391" t="s">
        <v>25902</v>
      </c>
    </row>
    <row r="18392" spans="1:6" x14ac:dyDescent="0.25">
      <c r="A18392" t="str">
        <f>"9728008227"</f>
        <v>9728008227</v>
      </c>
      <c r="B18392" t="s">
        <v>25903</v>
      </c>
      <c r="C18392" t="s">
        <v>7</v>
      </c>
      <c r="D18392" t="s">
        <v>12</v>
      </c>
      <c r="E18392" t="s">
        <v>23161</v>
      </c>
      <c r="F18392" t="s">
        <v>25904</v>
      </c>
    </row>
    <row r="18393" spans="1:6" x14ac:dyDescent="0.25">
      <c r="A18393" t="str">
        <f>"9728091842"</f>
        <v>9728091842</v>
      </c>
      <c r="B18393" t="s">
        <v>25905</v>
      </c>
      <c r="C18393" t="s">
        <v>7</v>
      </c>
      <c r="D18393" t="s">
        <v>14</v>
      </c>
      <c r="E18393" t="s">
        <v>23161</v>
      </c>
      <c r="F18393" t="s">
        <v>23763</v>
      </c>
    </row>
    <row r="18394" spans="1:6" x14ac:dyDescent="0.25">
      <c r="A18394" t="str">
        <f>"9728095340"</f>
        <v>9728095340</v>
      </c>
      <c r="B18394" t="s">
        <v>25906</v>
      </c>
      <c r="C18394" t="s">
        <v>7</v>
      </c>
      <c r="D18394" t="s">
        <v>33</v>
      </c>
      <c r="E18394" t="s">
        <v>23161</v>
      </c>
      <c r="F18394" t="s">
        <v>25907</v>
      </c>
    </row>
    <row r="18395" spans="1:6" x14ac:dyDescent="0.25">
      <c r="A18395" t="str">
        <f>"9728121159"</f>
        <v>9728121159</v>
      </c>
      <c r="B18395" t="s">
        <v>25908</v>
      </c>
      <c r="C18395" t="s">
        <v>7</v>
      </c>
      <c r="D18395" t="s">
        <v>33</v>
      </c>
      <c r="E18395" t="s">
        <v>23161</v>
      </c>
      <c r="F18395" t="s">
        <v>25909</v>
      </c>
    </row>
    <row r="18396" spans="1:6" x14ac:dyDescent="0.25">
      <c r="A18396" t="str">
        <f>"9728145671"</f>
        <v>9728145671</v>
      </c>
      <c r="B18396" t="s">
        <v>10463</v>
      </c>
      <c r="C18396" t="s">
        <v>7</v>
      </c>
      <c r="D18396" t="s">
        <v>14</v>
      </c>
      <c r="E18396" t="s">
        <v>23161</v>
      </c>
      <c r="F18396" t="s">
        <v>25910</v>
      </c>
    </row>
    <row r="18397" spans="1:6" x14ac:dyDescent="0.25">
      <c r="A18397" t="str">
        <f>"9728148168"</f>
        <v>9728148168</v>
      </c>
      <c r="B18397" t="s">
        <v>25911</v>
      </c>
      <c r="C18397" t="s">
        <v>7</v>
      </c>
      <c r="D18397" t="s">
        <v>12</v>
      </c>
      <c r="E18397" t="s">
        <v>23161</v>
      </c>
      <c r="F18397" t="s">
        <v>25912</v>
      </c>
    </row>
    <row r="18398" spans="1:6" x14ac:dyDescent="0.25">
      <c r="A18398" t="str">
        <f>"9729031797"</f>
        <v>9729031797</v>
      </c>
      <c r="B18398" t="s">
        <v>25913</v>
      </c>
      <c r="C18398" t="s">
        <v>7</v>
      </c>
      <c r="D18398" t="s">
        <v>33</v>
      </c>
      <c r="E18398" t="s">
        <v>23161</v>
      </c>
      <c r="F18398" t="s">
        <v>25914</v>
      </c>
    </row>
    <row r="18399" spans="1:6" x14ac:dyDescent="0.25">
      <c r="A18399" t="str">
        <f>"9729033931"</f>
        <v>9729033931</v>
      </c>
      <c r="B18399" t="s">
        <v>25915</v>
      </c>
      <c r="C18399" t="s">
        <v>7</v>
      </c>
      <c r="D18399" t="s">
        <v>12</v>
      </c>
      <c r="E18399" t="s">
        <v>23161</v>
      </c>
      <c r="F18399" t="s">
        <v>25916</v>
      </c>
    </row>
    <row r="18400" spans="1:6" x14ac:dyDescent="0.25">
      <c r="A18400" t="str">
        <f>"9729067240"</f>
        <v>9729067240</v>
      </c>
      <c r="B18400" t="s">
        <v>25917</v>
      </c>
      <c r="C18400" t="s">
        <v>7</v>
      </c>
      <c r="D18400" t="s">
        <v>12</v>
      </c>
      <c r="E18400" t="s">
        <v>23161</v>
      </c>
      <c r="F18400" t="s">
        <v>25918</v>
      </c>
    </row>
    <row r="18401" spans="1:6" x14ac:dyDescent="0.25">
      <c r="A18401" t="str">
        <f>"9729075000"</f>
        <v>9729075000</v>
      </c>
      <c r="B18401" t="s">
        <v>25919</v>
      </c>
      <c r="C18401" t="s">
        <v>7</v>
      </c>
      <c r="D18401" t="s">
        <v>8</v>
      </c>
      <c r="E18401" t="s">
        <v>23161</v>
      </c>
      <c r="F18401" t="s">
        <v>25920</v>
      </c>
    </row>
    <row r="18402" spans="1:6" x14ac:dyDescent="0.25">
      <c r="A18402" t="str">
        <f>"9729168255"</f>
        <v>9729168255</v>
      </c>
      <c r="B18402" t="s">
        <v>25921</v>
      </c>
      <c r="C18402" t="s">
        <v>7</v>
      </c>
      <c r="D18402" t="s">
        <v>12</v>
      </c>
      <c r="E18402" t="s">
        <v>23161</v>
      </c>
      <c r="F18402" t="s">
        <v>23814</v>
      </c>
    </row>
    <row r="18403" spans="1:6" x14ac:dyDescent="0.25">
      <c r="A18403" t="str">
        <f>"9729184909"</f>
        <v>9729184909</v>
      </c>
      <c r="B18403" t="s">
        <v>25922</v>
      </c>
      <c r="C18403" t="s">
        <v>7</v>
      </c>
      <c r="D18403" t="s">
        <v>33</v>
      </c>
      <c r="E18403" t="s">
        <v>23161</v>
      </c>
      <c r="F18403" t="s">
        <v>25923</v>
      </c>
    </row>
    <row r="18404" spans="1:6" x14ac:dyDescent="0.25">
      <c r="A18404" t="str">
        <f>"9729273210"</f>
        <v>9729273210</v>
      </c>
      <c r="B18404" t="s">
        <v>25924</v>
      </c>
      <c r="C18404" t="s">
        <v>7</v>
      </c>
      <c r="D18404" t="s">
        <v>674</v>
      </c>
      <c r="E18404" t="s">
        <v>23161</v>
      </c>
      <c r="F18404" t="s">
        <v>25925</v>
      </c>
    </row>
    <row r="18405" spans="1:6" x14ac:dyDescent="0.25">
      <c r="A18405" t="str">
        <f>"9709072611"</f>
        <v>9709072611</v>
      </c>
      <c r="B18405" t="s">
        <v>25926</v>
      </c>
      <c r="C18405" t="s">
        <v>7</v>
      </c>
      <c r="D18405" t="s">
        <v>674</v>
      </c>
      <c r="E18405" t="s">
        <v>23161</v>
      </c>
      <c r="F18405" t="s">
        <v>25927</v>
      </c>
    </row>
    <row r="18406" spans="1:6" x14ac:dyDescent="0.25">
      <c r="A18406" t="str">
        <f>"9709076990"</f>
        <v>9709076990</v>
      </c>
      <c r="B18406" t="s">
        <v>25928</v>
      </c>
      <c r="C18406" t="s">
        <v>7</v>
      </c>
      <c r="D18406" t="s">
        <v>674</v>
      </c>
      <c r="E18406" t="s">
        <v>23161</v>
      </c>
      <c r="F18406" t="s">
        <v>25929</v>
      </c>
    </row>
    <row r="18407" spans="1:6" x14ac:dyDescent="0.25">
      <c r="A18407" t="str">
        <f>"9710113125"</f>
        <v>9710113125</v>
      </c>
      <c r="B18407" t="s">
        <v>25930</v>
      </c>
      <c r="C18407" t="s">
        <v>7</v>
      </c>
      <c r="D18407" t="s">
        <v>33</v>
      </c>
      <c r="E18407" t="s">
        <v>23161</v>
      </c>
      <c r="F18407" t="s">
        <v>25931</v>
      </c>
    </row>
    <row r="18408" spans="1:6" x14ac:dyDescent="0.25">
      <c r="A18408" t="str">
        <f>"9710136034"</f>
        <v>9710136034</v>
      </c>
      <c r="B18408" t="s">
        <v>25932</v>
      </c>
      <c r="C18408" t="s">
        <v>7</v>
      </c>
      <c r="D18408" t="s">
        <v>28</v>
      </c>
      <c r="E18408" t="s">
        <v>23161</v>
      </c>
      <c r="F18408" t="s">
        <v>25933</v>
      </c>
    </row>
    <row r="18409" spans="1:6" x14ac:dyDescent="0.25">
      <c r="A18409" t="str">
        <f>"9713015172"</f>
        <v>9713015172</v>
      </c>
      <c r="B18409" t="s">
        <v>25934</v>
      </c>
      <c r="C18409" t="s">
        <v>7</v>
      </c>
      <c r="D18409" t="s">
        <v>14</v>
      </c>
      <c r="E18409" t="s">
        <v>23161</v>
      </c>
      <c r="F18409" t="s">
        <v>25935</v>
      </c>
    </row>
    <row r="18410" spans="1:6" x14ac:dyDescent="0.25">
      <c r="A18410" t="str">
        <f>"9713022275"</f>
        <v>9713022275</v>
      </c>
      <c r="B18410" t="s">
        <v>25936</v>
      </c>
      <c r="C18410" t="s">
        <v>7</v>
      </c>
      <c r="D18410" t="s">
        <v>14</v>
      </c>
      <c r="E18410" t="s">
        <v>23161</v>
      </c>
      <c r="F18410" t="s">
        <v>25937</v>
      </c>
    </row>
    <row r="18411" spans="1:6" x14ac:dyDescent="0.25">
      <c r="A18411" t="str">
        <f>"9714073152"</f>
        <v>9714073152</v>
      </c>
      <c r="B18411" t="s">
        <v>25938</v>
      </c>
      <c r="C18411" t="s">
        <v>7</v>
      </c>
      <c r="D18411" t="s">
        <v>674</v>
      </c>
      <c r="E18411" t="s">
        <v>23161</v>
      </c>
      <c r="F18411" t="s">
        <v>25939</v>
      </c>
    </row>
    <row r="18412" spans="1:6" x14ac:dyDescent="0.25">
      <c r="A18412" t="str">
        <f>"971509367690"</f>
        <v>971509367690</v>
      </c>
      <c r="B18412" t="s">
        <v>25940</v>
      </c>
      <c r="C18412" t="s">
        <v>7</v>
      </c>
      <c r="D18412" t="s">
        <v>14</v>
      </c>
      <c r="E18412" t="s">
        <v>23161</v>
      </c>
    </row>
    <row r="18413" spans="1:6" x14ac:dyDescent="0.25">
      <c r="A18413" t="str">
        <f>"9715284766"</f>
        <v>9715284766</v>
      </c>
      <c r="B18413" t="s">
        <v>25941</v>
      </c>
      <c r="C18413" t="s">
        <v>7</v>
      </c>
      <c r="D18413" t="s">
        <v>12</v>
      </c>
      <c r="E18413" t="s">
        <v>23161</v>
      </c>
      <c r="F18413" t="s">
        <v>25942</v>
      </c>
    </row>
    <row r="18414" spans="1:6" x14ac:dyDescent="0.25">
      <c r="A18414" t="str">
        <f>"9715310198"</f>
        <v>9715310198</v>
      </c>
      <c r="B18414" t="s">
        <v>25943</v>
      </c>
      <c r="C18414" t="s">
        <v>7</v>
      </c>
      <c r="D18414" t="s">
        <v>189</v>
      </c>
      <c r="E18414" t="s">
        <v>23161</v>
      </c>
      <c r="F18414" t="s">
        <v>25944</v>
      </c>
    </row>
    <row r="18415" spans="1:6" x14ac:dyDescent="0.25">
      <c r="A18415" t="str">
        <f>"9715337129"</f>
        <v>9715337129</v>
      </c>
      <c r="B18415" t="s">
        <v>25945</v>
      </c>
      <c r="C18415" t="s">
        <v>7</v>
      </c>
      <c r="D18415" t="s">
        <v>33</v>
      </c>
      <c r="E18415" t="s">
        <v>23161</v>
      </c>
      <c r="F18415" t="s">
        <v>25946</v>
      </c>
    </row>
    <row r="18416" spans="1:6" x14ac:dyDescent="0.25">
      <c r="A18416" t="str">
        <f>"9715399975"</f>
        <v>9715399975</v>
      </c>
      <c r="B18416" t="s">
        <v>25947</v>
      </c>
      <c r="C18416" t="s">
        <v>7</v>
      </c>
      <c r="D18416" t="s">
        <v>146</v>
      </c>
      <c r="E18416" t="s">
        <v>23161</v>
      </c>
      <c r="F18416" t="s">
        <v>25948</v>
      </c>
    </row>
    <row r="18417" spans="1:6" x14ac:dyDescent="0.25">
      <c r="A18417" t="str">
        <f>"9715408958"</f>
        <v>9715408958</v>
      </c>
      <c r="B18417" t="s">
        <v>9575</v>
      </c>
      <c r="C18417" t="s">
        <v>7</v>
      </c>
      <c r="D18417" t="s">
        <v>189</v>
      </c>
      <c r="E18417" t="s">
        <v>23161</v>
      </c>
      <c r="F18417" t="s">
        <v>25949</v>
      </c>
    </row>
    <row r="18418" spans="1:6" x14ac:dyDescent="0.25">
      <c r="A18418" t="str">
        <f>"9715423561"</f>
        <v>9715423561</v>
      </c>
      <c r="B18418" t="s">
        <v>25950</v>
      </c>
      <c r="C18418" t="s">
        <v>7</v>
      </c>
      <c r="D18418" t="s">
        <v>8</v>
      </c>
      <c r="E18418" t="s">
        <v>23161</v>
      </c>
      <c r="F18418" t="s">
        <v>25951</v>
      </c>
    </row>
    <row r="18419" spans="1:6" x14ac:dyDescent="0.25">
      <c r="A18419" t="str">
        <f>"9715438906"</f>
        <v>9715438906</v>
      </c>
      <c r="B18419" t="s">
        <v>25952</v>
      </c>
      <c r="C18419" t="s">
        <v>7</v>
      </c>
      <c r="D18419" t="s">
        <v>674</v>
      </c>
      <c r="E18419" t="s">
        <v>23161</v>
      </c>
      <c r="F18419" t="s">
        <v>25953</v>
      </c>
    </row>
    <row r="18420" spans="1:6" x14ac:dyDescent="0.25">
      <c r="A18420" t="str">
        <f>"9715466734"</f>
        <v>9715466734</v>
      </c>
      <c r="B18420" t="s">
        <v>25954</v>
      </c>
      <c r="C18420" t="s">
        <v>7</v>
      </c>
      <c r="D18420" t="s">
        <v>8</v>
      </c>
      <c r="E18420" t="s">
        <v>23161</v>
      </c>
      <c r="F18420" t="s">
        <v>25955</v>
      </c>
    </row>
    <row r="18421" spans="1:6" x14ac:dyDescent="0.25">
      <c r="A18421" t="str">
        <f>"9715474453"</f>
        <v>9715474453</v>
      </c>
      <c r="B18421" t="s">
        <v>25956</v>
      </c>
      <c r="C18421" t="s">
        <v>7</v>
      </c>
      <c r="D18421" t="s">
        <v>14</v>
      </c>
      <c r="E18421" t="s">
        <v>23161</v>
      </c>
      <c r="F18421" t="s">
        <v>25957</v>
      </c>
    </row>
    <row r="18422" spans="1:6" x14ac:dyDescent="0.25">
      <c r="A18422" t="str">
        <f>"9717087604"</f>
        <v>9717087604</v>
      </c>
      <c r="B18422" t="s">
        <v>25958</v>
      </c>
      <c r="C18422" t="s">
        <v>7</v>
      </c>
      <c r="D18422" t="s">
        <v>12</v>
      </c>
      <c r="E18422" t="s">
        <v>23161</v>
      </c>
      <c r="F18422" t="s">
        <v>25959</v>
      </c>
    </row>
    <row r="18423" spans="1:6" x14ac:dyDescent="0.25">
      <c r="A18423" t="str">
        <f>"9717171750"</f>
        <v>9717171750</v>
      </c>
      <c r="B18423" t="s">
        <v>25960</v>
      </c>
      <c r="C18423" t="s">
        <v>7</v>
      </c>
      <c r="D18423" t="s">
        <v>14</v>
      </c>
      <c r="E18423" t="s">
        <v>23161</v>
      </c>
      <c r="F18423" t="s">
        <v>25961</v>
      </c>
    </row>
    <row r="18424" spans="1:6" x14ac:dyDescent="0.25">
      <c r="A18424" t="str">
        <f>"9717174487"</f>
        <v>9717174487</v>
      </c>
      <c r="B18424" t="s">
        <v>25962</v>
      </c>
      <c r="C18424" t="s">
        <v>7</v>
      </c>
      <c r="D18424" t="s">
        <v>14</v>
      </c>
      <c r="E18424" t="s">
        <v>23161</v>
      </c>
      <c r="F18424" t="s">
        <v>25812</v>
      </c>
    </row>
    <row r="18425" spans="1:6" x14ac:dyDescent="0.25">
      <c r="A18425" t="str">
        <f>"9718001511"</f>
        <v>9718001511</v>
      </c>
      <c r="B18425" t="s">
        <v>25963</v>
      </c>
      <c r="C18425" t="s">
        <v>7</v>
      </c>
      <c r="D18425" t="s">
        <v>8</v>
      </c>
      <c r="E18425" t="s">
        <v>23161</v>
      </c>
      <c r="F18425" t="s">
        <v>25964</v>
      </c>
    </row>
    <row r="18426" spans="1:6" x14ac:dyDescent="0.25">
      <c r="A18426" t="str">
        <f>"9718082140"</f>
        <v>9718082140</v>
      </c>
      <c r="B18426" t="s">
        <v>25965</v>
      </c>
      <c r="C18426" t="s">
        <v>7</v>
      </c>
      <c r="D18426" t="s">
        <v>14</v>
      </c>
      <c r="E18426" t="s">
        <v>23161</v>
      </c>
      <c r="F18426" t="s">
        <v>25966</v>
      </c>
    </row>
    <row r="18427" spans="1:6" x14ac:dyDescent="0.25">
      <c r="A18427" t="str">
        <f>"9718112317"</f>
        <v>9718112317</v>
      </c>
      <c r="B18427" t="s">
        <v>25967</v>
      </c>
      <c r="C18427" t="s">
        <v>7</v>
      </c>
      <c r="D18427" t="s">
        <v>33</v>
      </c>
      <c r="E18427" t="s">
        <v>23161</v>
      </c>
      <c r="F18427" t="s">
        <v>25968</v>
      </c>
    </row>
    <row r="18428" spans="1:6" x14ac:dyDescent="0.25">
      <c r="A18428" t="str">
        <f>"9718123485"</f>
        <v>9718123485</v>
      </c>
      <c r="B18428" t="s">
        <v>6097</v>
      </c>
      <c r="C18428" t="s">
        <v>7</v>
      </c>
      <c r="D18428" t="s">
        <v>12</v>
      </c>
      <c r="E18428" t="s">
        <v>23161</v>
      </c>
      <c r="F18428" t="s">
        <v>25969</v>
      </c>
    </row>
    <row r="18429" spans="1:6" x14ac:dyDescent="0.25">
      <c r="A18429" t="str">
        <f>"9718180363"</f>
        <v>9718180363</v>
      </c>
      <c r="B18429" t="s">
        <v>25970</v>
      </c>
      <c r="C18429" t="s">
        <v>7</v>
      </c>
      <c r="D18429" t="s">
        <v>189</v>
      </c>
      <c r="E18429" t="s">
        <v>23161</v>
      </c>
      <c r="F18429" t="s">
        <v>25971</v>
      </c>
    </row>
    <row r="18430" spans="1:6" x14ac:dyDescent="0.25">
      <c r="A18430" t="str">
        <f>"9718183773"</f>
        <v>9718183773</v>
      </c>
      <c r="B18430" t="s">
        <v>25972</v>
      </c>
      <c r="C18430" t="s">
        <v>7</v>
      </c>
      <c r="D18430" t="s">
        <v>146</v>
      </c>
      <c r="E18430" t="s">
        <v>23161</v>
      </c>
      <c r="F18430" t="s">
        <v>25973</v>
      </c>
    </row>
    <row r="18431" spans="1:6" x14ac:dyDescent="0.25">
      <c r="A18431" t="str">
        <f>"9718188549"</f>
        <v>9718188549</v>
      </c>
      <c r="B18431" t="s">
        <v>25974</v>
      </c>
      <c r="C18431" t="s">
        <v>7</v>
      </c>
      <c r="D18431" t="s">
        <v>12</v>
      </c>
      <c r="E18431" t="s">
        <v>23161</v>
      </c>
      <c r="F18431" t="s">
        <v>25975</v>
      </c>
    </row>
    <row r="18432" spans="1:6" x14ac:dyDescent="0.25">
      <c r="A18432" t="str">
        <f>"9718212801"</f>
        <v>9718212801</v>
      </c>
      <c r="B18432" t="s">
        <v>25976</v>
      </c>
      <c r="C18432" t="s">
        <v>7</v>
      </c>
      <c r="D18432" t="s">
        <v>33</v>
      </c>
      <c r="E18432" t="s">
        <v>23161</v>
      </c>
      <c r="F18432" t="s">
        <v>25256</v>
      </c>
    </row>
    <row r="18433" spans="1:6" x14ac:dyDescent="0.25">
      <c r="A18433" t="str">
        <f>"9718270698"</f>
        <v>9718270698</v>
      </c>
      <c r="B18433" t="s">
        <v>25977</v>
      </c>
      <c r="C18433" t="s">
        <v>7</v>
      </c>
      <c r="D18433" t="s">
        <v>14</v>
      </c>
      <c r="E18433" t="s">
        <v>23161</v>
      </c>
      <c r="F18433" t="s">
        <v>25978</v>
      </c>
    </row>
    <row r="18434" spans="1:6" x14ac:dyDescent="0.25">
      <c r="A18434" t="str">
        <f>"9718279549"</f>
        <v>9718279549</v>
      </c>
      <c r="B18434" t="s">
        <v>25979</v>
      </c>
      <c r="C18434" t="s">
        <v>7</v>
      </c>
      <c r="D18434" t="s">
        <v>33</v>
      </c>
      <c r="E18434" t="s">
        <v>23161</v>
      </c>
      <c r="F18434" t="s">
        <v>25711</v>
      </c>
    </row>
    <row r="18435" spans="1:6" x14ac:dyDescent="0.25">
      <c r="A18435" t="str">
        <f>"9719026004"</f>
        <v>9719026004</v>
      </c>
      <c r="B18435" t="s">
        <v>7293</v>
      </c>
      <c r="C18435" t="s">
        <v>7</v>
      </c>
      <c r="D18435" t="s">
        <v>14</v>
      </c>
      <c r="E18435" t="s">
        <v>23161</v>
      </c>
      <c r="F18435" t="s">
        <v>25980</v>
      </c>
    </row>
    <row r="18436" spans="1:6" x14ac:dyDescent="0.25">
      <c r="A18436" t="str">
        <f>"9719027551"</f>
        <v>9719027551</v>
      </c>
      <c r="B18436" t="s">
        <v>25981</v>
      </c>
      <c r="C18436" t="s">
        <v>7</v>
      </c>
      <c r="D18436" t="s">
        <v>1430</v>
      </c>
      <c r="E18436" t="s">
        <v>23161</v>
      </c>
      <c r="F18436" t="s">
        <v>25982</v>
      </c>
    </row>
    <row r="18437" spans="1:6" x14ac:dyDescent="0.25">
      <c r="A18437" t="str">
        <f>"9719028202"</f>
        <v>9719028202</v>
      </c>
      <c r="B18437" t="s">
        <v>25983</v>
      </c>
      <c r="C18437" t="s">
        <v>7</v>
      </c>
      <c r="D18437" t="s">
        <v>146</v>
      </c>
      <c r="E18437" t="s">
        <v>23161</v>
      </c>
      <c r="F18437" t="s">
        <v>25713</v>
      </c>
    </row>
    <row r="18438" spans="1:6" x14ac:dyDescent="0.25">
      <c r="A18438" t="str">
        <f>"9721003830"</f>
        <v>9721003830</v>
      </c>
      <c r="B18438" t="s">
        <v>25984</v>
      </c>
      <c r="C18438" t="s">
        <v>7</v>
      </c>
      <c r="D18438" t="s">
        <v>12</v>
      </c>
      <c r="E18438" t="s">
        <v>23161</v>
      </c>
      <c r="F18438" t="s">
        <v>25985</v>
      </c>
    </row>
    <row r="18439" spans="1:6" x14ac:dyDescent="0.25">
      <c r="A18439" t="str">
        <f>"9721065681"</f>
        <v>9721065681</v>
      </c>
      <c r="B18439" t="s">
        <v>25986</v>
      </c>
      <c r="C18439" t="s">
        <v>7</v>
      </c>
      <c r="D18439" t="s">
        <v>674</v>
      </c>
      <c r="E18439" t="s">
        <v>23161</v>
      </c>
      <c r="F18439" t="s">
        <v>25987</v>
      </c>
    </row>
    <row r="18440" spans="1:6" x14ac:dyDescent="0.25">
      <c r="A18440" t="str">
        <f>"9721083909"</f>
        <v>9721083909</v>
      </c>
      <c r="B18440" t="s">
        <v>2913</v>
      </c>
      <c r="C18440" t="s">
        <v>7</v>
      </c>
      <c r="D18440" t="s">
        <v>14</v>
      </c>
      <c r="E18440" t="s">
        <v>23161</v>
      </c>
      <c r="F18440" t="s">
        <v>25988</v>
      </c>
    </row>
    <row r="18441" spans="1:6" x14ac:dyDescent="0.25">
      <c r="A18441" t="str">
        <f>"9722009464"</f>
        <v>9722009464</v>
      </c>
      <c r="B18441" t="s">
        <v>25989</v>
      </c>
      <c r="C18441" t="s">
        <v>7</v>
      </c>
      <c r="D18441" t="s">
        <v>33</v>
      </c>
      <c r="E18441" t="s">
        <v>23161</v>
      </c>
      <c r="F18441" t="s">
        <v>25990</v>
      </c>
    </row>
    <row r="18442" spans="1:6" x14ac:dyDescent="0.25">
      <c r="A18442" t="str">
        <f>"9722036764"</f>
        <v>9722036764</v>
      </c>
      <c r="B18442" t="s">
        <v>25991</v>
      </c>
      <c r="C18442" t="s">
        <v>7</v>
      </c>
      <c r="D18442" t="s">
        <v>189</v>
      </c>
      <c r="E18442" t="s">
        <v>23161</v>
      </c>
      <c r="F18442" t="s">
        <v>25992</v>
      </c>
    </row>
    <row r="18443" spans="1:6" x14ac:dyDescent="0.25">
      <c r="A18443" t="str">
        <f>"9722056658"</f>
        <v>9722056658</v>
      </c>
      <c r="B18443" t="s">
        <v>25993</v>
      </c>
      <c r="C18443" t="s">
        <v>7</v>
      </c>
      <c r="D18443" t="s">
        <v>8</v>
      </c>
      <c r="E18443" t="s">
        <v>23161</v>
      </c>
      <c r="F18443" t="s">
        <v>25994</v>
      </c>
    </row>
    <row r="18444" spans="1:6" x14ac:dyDescent="0.25">
      <c r="A18444" t="str">
        <f>"9722076414"</f>
        <v>9722076414</v>
      </c>
      <c r="B18444" t="s">
        <v>25995</v>
      </c>
      <c r="C18444" t="s">
        <v>7</v>
      </c>
      <c r="D18444" t="s">
        <v>12</v>
      </c>
      <c r="E18444" t="s">
        <v>23161</v>
      </c>
      <c r="F18444" t="s">
        <v>25996</v>
      </c>
    </row>
    <row r="18445" spans="1:6" x14ac:dyDescent="0.25">
      <c r="A18445" t="str">
        <f>"9722082136"</f>
        <v>9722082136</v>
      </c>
      <c r="B18445" t="s">
        <v>25997</v>
      </c>
      <c r="C18445" t="s">
        <v>7</v>
      </c>
      <c r="D18445" t="s">
        <v>674</v>
      </c>
      <c r="E18445" t="s">
        <v>23161</v>
      </c>
      <c r="F18445" t="s">
        <v>25998</v>
      </c>
    </row>
    <row r="18446" spans="1:6" x14ac:dyDescent="0.25">
      <c r="A18446" t="str">
        <f>"9722084567"</f>
        <v>9722084567</v>
      </c>
      <c r="B18446" t="s">
        <v>25999</v>
      </c>
      <c r="C18446" t="s">
        <v>7</v>
      </c>
      <c r="D18446" t="s">
        <v>14</v>
      </c>
      <c r="E18446" t="s">
        <v>23161</v>
      </c>
      <c r="F18446" t="s">
        <v>26000</v>
      </c>
    </row>
    <row r="18447" spans="1:6" x14ac:dyDescent="0.25">
      <c r="A18447" t="str">
        <f>"9722090828"</f>
        <v>9722090828</v>
      </c>
      <c r="B18447" t="s">
        <v>26001</v>
      </c>
      <c r="C18447" t="s">
        <v>7</v>
      </c>
      <c r="D18447" t="s">
        <v>8</v>
      </c>
      <c r="E18447" t="s">
        <v>23161</v>
      </c>
      <c r="F18447" t="s">
        <v>26002</v>
      </c>
    </row>
    <row r="18448" spans="1:6" x14ac:dyDescent="0.25">
      <c r="A18448" t="str">
        <f>"9722091148"</f>
        <v>9722091148</v>
      </c>
      <c r="B18448" t="s">
        <v>26003</v>
      </c>
      <c r="C18448" t="s">
        <v>7</v>
      </c>
      <c r="D18448" t="s">
        <v>8</v>
      </c>
      <c r="E18448" t="s">
        <v>23161</v>
      </c>
      <c r="F18448" t="s">
        <v>26004</v>
      </c>
    </row>
    <row r="18449" spans="1:6" x14ac:dyDescent="0.25">
      <c r="A18449" t="str">
        <f>"9722100762"</f>
        <v>9722100762</v>
      </c>
      <c r="B18449" t="s">
        <v>26005</v>
      </c>
      <c r="C18449" t="s">
        <v>7</v>
      </c>
      <c r="D18449" t="s">
        <v>189</v>
      </c>
      <c r="E18449" t="s">
        <v>23161</v>
      </c>
      <c r="F18449" t="s">
        <v>26006</v>
      </c>
    </row>
    <row r="18450" spans="1:6" x14ac:dyDescent="0.25">
      <c r="A18450" t="str">
        <f>"9723027829"</f>
        <v>9723027829</v>
      </c>
      <c r="B18450" t="s">
        <v>26007</v>
      </c>
      <c r="C18450" t="s">
        <v>7</v>
      </c>
      <c r="D18450" t="s">
        <v>1430</v>
      </c>
      <c r="E18450" t="s">
        <v>23161</v>
      </c>
      <c r="F18450" t="s">
        <v>26008</v>
      </c>
    </row>
    <row r="18451" spans="1:6" x14ac:dyDescent="0.25">
      <c r="A18451" t="str">
        <f>"9723032089"</f>
        <v>9723032089</v>
      </c>
      <c r="B18451" t="s">
        <v>26009</v>
      </c>
      <c r="C18451" t="s">
        <v>7</v>
      </c>
      <c r="D18451" t="s">
        <v>12</v>
      </c>
      <c r="E18451" t="s">
        <v>23161</v>
      </c>
      <c r="F18451" t="s">
        <v>26010</v>
      </c>
    </row>
    <row r="18452" spans="1:6" x14ac:dyDescent="0.25">
      <c r="A18452" t="str">
        <f>"9723088684"</f>
        <v>9723088684</v>
      </c>
      <c r="B18452" t="s">
        <v>26011</v>
      </c>
      <c r="C18452" t="s">
        <v>7</v>
      </c>
      <c r="D18452" t="s">
        <v>674</v>
      </c>
      <c r="E18452" t="s">
        <v>23161</v>
      </c>
      <c r="F18452" t="s">
        <v>24764</v>
      </c>
    </row>
    <row r="18453" spans="1:6" x14ac:dyDescent="0.25">
      <c r="A18453" t="str">
        <f>"9723095473"</f>
        <v>9723095473</v>
      </c>
      <c r="B18453" t="s">
        <v>26012</v>
      </c>
      <c r="C18453" t="s">
        <v>7</v>
      </c>
      <c r="D18453" t="s">
        <v>12</v>
      </c>
      <c r="E18453" t="s">
        <v>23161</v>
      </c>
      <c r="F18453" t="s">
        <v>26013</v>
      </c>
    </row>
    <row r="18454" spans="1:6" x14ac:dyDescent="0.25">
      <c r="A18454" t="str">
        <f>"9723099333"</f>
        <v>9723099333</v>
      </c>
      <c r="B18454" t="s">
        <v>26014</v>
      </c>
      <c r="C18454" t="s">
        <v>7</v>
      </c>
      <c r="D18454" t="s">
        <v>33</v>
      </c>
      <c r="E18454" t="s">
        <v>23161</v>
      </c>
      <c r="F18454" t="s">
        <v>26015</v>
      </c>
    </row>
    <row r="18455" spans="1:6" x14ac:dyDescent="0.25">
      <c r="A18455" t="str">
        <f>"9723107560"</f>
        <v>9723107560</v>
      </c>
      <c r="B18455" t="s">
        <v>26016</v>
      </c>
      <c r="C18455" t="s">
        <v>7</v>
      </c>
      <c r="D18455" t="s">
        <v>33</v>
      </c>
      <c r="E18455" t="s">
        <v>23161</v>
      </c>
      <c r="F18455" t="s">
        <v>26017</v>
      </c>
    </row>
    <row r="18456" spans="1:6" x14ac:dyDescent="0.25">
      <c r="A18456" t="str">
        <f>"9723111502"</f>
        <v>9723111502</v>
      </c>
      <c r="B18456" t="s">
        <v>13283</v>
      </c>
      <c r="C18456" t="s">
        <v>7</v>
      </c>
      <c r="D18456" t="s">
        <v>674</v>
      </c>
      <c r="E18456" t="s">
        <v>23161</v>
      </c>
      <c r="F18456" t="s">
        <v>26018</v>
      </c>
    </row>
    <row r="18457" spans="1:6" x14ac:dyDescent="0.25">
      <c r="A18457" t="str">
        <f>"9723111887"</f>
        <v>9723111887</v>
      </c>
      <c r="B18457" t="s">
        <v>26019</v>
      </c>
      <c r="C18457" t="s">
        <v>7</v>
      </c>
      <c r="D18457" t="s">
        <v>189</v>
      </c>
      <c r="E18457" t="s">
        <v>23161</v>
      </c>
      <c r="F18457" t="s">
        <v>26020</v>
      </c>
    </row>
    <row r="18458" spans="1:6" x14ac:dyDescent="0.25">
      <c r="A18458" t="str">
        <f>"9723120786"</f>
        <v>9723120786</v>
      </c>
      <c r="B18458" t="s">
        <v>10470</v>
      </c>
      <c r="C18458" t="s">
        <v>7</v>
      </c>
      <c r="D18458" t="s">
        <v>460</v>
      </c>
      <c r="E18458" t="s">
        <v>23161</v>
      </c>
      <c r="F18458" t="s">
        <v>26021</v>
      </c>
    </row>
    <row r="18459" spans="1:6" x14ac:dyDescent="0.25">
      <c r="A18459" t="str">
        <f>"9723141391"</f>
        <v>9723141391</v>
      </c>
      <c r="B18459" t="s">
        <v>21508</v>
      </c>
      <c r="C18459" t="s">
        <v>7</v>
      </c>
      <c r="D18459" t="s">
        <v>12</v>
      </c>
      <c r="E18459" t="s">
        <v>23161</v>
      </c>
      <c r="F18459" t="s">
        <v>26022</v>
      </c>
    </row>
    <row r="18460" spans="1:6" x14ac:dyDescent="0.25">
      <c r="A18460" t="str">
        <f>"9723146417"</f>
        <v>9723146417</v>
      </c>
      <c r="B18460" t="s">
        <v>26023</v>
      </c>
      <c r="C18460" t="s">
        <v>7</v>
      </c>
      <c r="D18460" t="s">
        <v>674</v>
      </c>
      <c r="E18460" t="s">
        <v>23161</v>
      </c>
      <c r="F18460" t="s">
        <v>26024</v>
      </c>
    </row>
    <row r="18461" spans="1:6" x14ac:dyDescent="0.25">
      <c r="A18461" t="str">
        <f>"9723148848"</f>
        <v>9723148848</v>
      </c>
      <c r="B18461" t="s">
        <v>26025</v>
      </c>
      <c r="C18461" t="s">
        <v>7</v>
      </c>
      <c r="D18461" t="s">
        <v>189</v>
      </c>
      <c r="E18461" t="s">
        <v>23161</v>
      </c>
      <c r="F18461" t="s">
        <v>26026</v>
      </c>
    </row>
    <row r="18462" spans="1:6" x14ac:dyDescent="0.25">
      <c r="A18462" t="str">
        <f>"9723162578"</f>
        <v>9723162578</v>
      </c>
      <c r="B18462" t="s">
        <v>26027</v>
      </c>
      <c r="C18462" t="s">
        <v>7</v>
      </c>
      <c r="D18462" t="s">
        <v>33</v>
      </c>
      <c r="E18462" t="s">
        <v>23161</v>
      </c>
      <c r="F18462" t="s">
        <v>26028</v>
      </c>
    </row>
    <row r="18463" spans="1:6" x14ac:dyDescent="0.25">
      <c r="A18463" t="str">
        <f>"9723163518"</f>
        <v>9723163518</v>
      </c>
      <c r="B18463" t="s">
        <v>26029</v>
      </c>
      <c r="C18463" t="s">
        <v>7</v>
      </c>
      <c r="D18463" t="s">
        <v>189</v>
      </c>
      <c r="E18463" t="s">
        <v>23161</v>
      </c>
      <c r="F18463" t="s">
        <v>26030</v>
      </c>
    </row>
    <row r="18464" spans="1:6" x14ac:dyDescent="0.25">
      <c r="A18464" t="str">
        <f>"9723194509"</f>
        <v>9723194509</v>
      </c>
      <c r="B18464" t="s">
        <v>26031</v>
      </c>
      <c r="C18464" t="s">
        <v>7</v>
      </c>
      <c r="D18464" t="s">
        <v>674</v>
      </c>
      <c r="E18464" t="s">
        <v>23161</v>
      </c>
      <c r="F18464" t="s">
        <v>26032</v>
      </c>
    </row>
    <row r="18465" spans="1:6" x14ac:dyDescent="0.25">
      <c r="A18465" t="str">
        <f>"9723210422"</f>
        <v>9723210422</v>
      </c>
      <c r="B18465" t="s">
        <v>26033</v>
      </c>
      <c r="C18465" t="s">
        <v>7</v>
      </c>
      <c r="D18465" t="s">
        <v>12</v>
      </c>
      <c r="E18465" t="s">
        <v>23161</v>
      </c>
      <c r="F18465" t="s">
        <v>26034</v>
      </c>
    </row>
    <row r="18466" spans="1:6" x14ac:dyDescent="0.25">
      <c r="A18466" t="str">
        <f>"9723250288"</f>
        <v>9723250288</v>
      </c>
      <c r="B18466" t="s">
        <v>26035</v>
      </c>
      <c r="C18466" t="s">
        <v>7</v>
      </c>
      <c r="D18466" t="s">
        <v>8</v>
      </c>
      <c r="E18466" t="s">
        <v>23161</v>
      </c>
      <c r="F18466" t="s">
        <v>26036</v>
      </c>
    </row>
    <row r="18467" spans="1:6" x14ac:dyDescent="0.25">
      <c r="A18467" t="str">
        <f>"9724000474"</f>
        <v>9724000474</v>
      </c>
      <c r="B18467" t="s">
        <v>26037</v>
      </c>
      <c r="C18467" t="s">
        <v>7</v>
      </c>
      <c r="D18467" t="s">
        <v>12</v>
      </c>
      <c r="E18467" t="s">
        <v>23161</v>
      </c>
      <c r="F18467" t="s">
        <v>26038</v>
      </c>
    </row>
    <row r="18468" spans="1:6" x14ac:dyDescent="0.25">
      <c r="A18468" t="str">
        <f>"9724012198"</f>
        <v>9724012198</v>
      </c>
      <c r="B18468" t="s">
        <v>26039</v>
      </c>
      <c r="C18468" t="s">
        <v>7</v>
      </c>
      <c r="D18468" t="s">
        <v>463</v>
      </c>
      <c r="E18468" t="s">
        <v>23161</v>
      </c>
      <c r="F18468" t="s">
        <v>26040</v>
      </c>
    </row>
    <row r="18469" spans="1:6" x14ac:dyDescent="0.25">
      <c r="A18469" t="str">
        <f>"9724063259"</f>
        <v>9724063259</v>
      </c>
      <c r="B18469" t="s">
        <v>709</v>
      </c>
      <c r="C18469" t="s">
        <v>7</v>
      </c>
      <c r="D18469" t="s">
        <v>33</v>
      </c>
      <c r="E18469" t="s">
        <v>23161</v>
      </c>
      <c r="F18469" t="s">
        <v>26041</v>
      </c>
    </row>
    <row r="18470" spans="1:6" x14ac:dyDescent="0.25">
      <c r="A18470" t="str">
        <f>"9724096543"</f>
        <v>9724096543</v>
      </c>
      <c r="B18470" t="s">
        <v>6782</v>
      </c>
      <c r="C18470" t="s">
        <v>7</v>
      </c>
      <c r="D18470" t="s">
        <v>12</v>
      </c>
      <c r="E18470" t="s">
        <v>23161</v>
      </c>
      <c r="F18470" t="s">
        <v>26042</v>
      </c>
    </row>
    <row r="18471" spans="1:6" x14ac:dyDescent="0.25">
      <c r="A18471" t="str">
        <f>"9724120309"</f>
        <v>9724120309</v>
      </c>
      <c r="B18471" t="s">
        <v>17736</v>
      </c>
      <c r="C18471" t="s">
        <v>7</v>
      </c>
      <c r="D18471" t="s">
        <v>14</v>
      </c>
      <c r="E18471" t="s">
        <v>23161</v>
      </c>
      <c r="F18471" t="s">
        <v>25478</v>
      </c>
    </row>
    <row r="18472" spans="1:6" x14ac:dyDescent="0.25">
      <c r="A18472" t="str">
        <f>"9724124945"</f>
        <v>9724124945</v>
      </c>
      <c r="B18472" t="s">
        <v>26043</v>
      </c>
      <c r="C18472" t="s">
        <v>7</v>
      </c>
      <c r="D18472" t="s">
        <v>98</v>
      </c>
      <c r="E18472" t="s">
        <v>23161</v>
      </c>
      <c r="F18472" t="s">
        <v>26044</v>
      </c>
    </row>
    <row r="18473" spans="1:6" x14ac:dyDescent="0.25">
      <c r="A18473" t="str">
        <f>"9724129703"</f>
        <v>9724129703</v>
      </c>
      <c r="B18473" t="s">
        <v>26045</v>
      </c>
      <c r="C18473" t="s">
        <v>7</v>
      </c>
      <c r="D18473" t="s">
        <v>674</v>
      </c>
      <c r="E18473" t="s">
        <v>23161</v>
      </c>
      <c r="F18473" t="s">
        <v>26046</v>
      </c>
    </row>
    <row r="18474" spans="1:6" x14ac:dyDescent="0.25">
      <c r="A18474" t="str">
        <f>"9724153030"</f>
        <v>9724153030</v>
      </c>
      <c r="B18474" t="s">
        <v>26047</v>
      </c>
      <c r="C18474" t="s">
        <v>7</v>
      </c>
      <c r="D18474" t="s">
        <v>12</v>
      </c>
      <c r="E18474" t="s">
        <v>23161</v>
      </c>
      <c r="F18474" t="s">
        <v>26048</v>
      </c>
    </row>
    <row r="18475" spans="1:6" x14ac:dyDescent="0.25">
      <c r="A18475" t="str">
        <f>"9724198048"</f>
        <v>9724198048</v>
      </c>
      <c r="B18475" t="s">
        <v>4131</v>
      </c>
      <c r="C18475" t="s">
        <v>7</v>
      </c>
      <c r="D18475" t="s">
        <v>33</v>
      </c>
      <c r="E18475" t="s">
        <v>23161</v>
      </c>
      <c r="F18475" t="s">
        <v>26049</v>
      </c>
    </row>
    <row r="18476" spans="1:6" x14ac:dyDescent="0.25">
      <c r="A18476" t="str">
        <f>"9725017047"</f>
        <v>9725017047</v>
      </c>
      <c r="B18476" t="s">
        <v>26050</v>
      </c>
      <c r="C18476" t="s">
        <v>7</v>
      </c>
      <c r="D18476" t="s">
        <v>674</v>
      </c>
      <c r="E18476" t="s">
        <v>23161</v>
      </c>
      <c r="F18476" t="s">
        <v>26051</v>
      </c>
    </row>
    <row r="18477" spans="1:6" x14ac:dyDescent="0.25">
      <c r="A18477" t="str">
        <f>"9725027133"</f>
        <v>9725027133</v>
      </c>
      <c r="B18477" t="s">
        <v>26052</v>
      </c>
      <c r="C18477" t="s">
        <v>7</v>
      </c>
      <c r="D18477" t="s">
        <v>12</v>
      </c>
      <c r="E18477" t="s">
        <v>23161</v>
      </c>
      <c r="F18477" t="s">
        <v>26053</v>
      </c>
    </row>
    <row r="18478" spans="1:6" x14ac:dyDescent="0.25">
      <c r="A18478" t="str">
        <f>"9725035350"</f>
        <v>9725035350</v>
      </c>
      <c r="B18478" t="s">
        <v>26054</v>
      </c>
      <c r="C18478" t="s">
        <v>7</v>
      </c>
      <c r="D18478" t="s">
        <v>674</v>
      </c>
      <c r="E18478" t="s">
        <v>23161</v>
      </c>
      <c r="F18478" t="s">
        <v>26055</v>
      </c>
    </row>
    <row r="18479" spans="1:6" x14ac:dyDescent="0.25">
      <c r="A18479" t="str">
        <f>"9725045238"</f>
        <v>9725045238</v>
      </c>
      <c r="B18479" t="s">
        <v>26056</v>
      </c>
      <c r="C18479" t="s">
        <v>7</v>
      </c>
      <c r="D18479" t="s">
        <v>33</v>
      </c>
      <c r="E18479" t="s">
        <v>23161</v>
      </c>
      <c r="F18479" t="s">
        <v>26057</v>
      </c>
    </row>
    <row r="18480" spans="1:6" x14ac:dyDescent="0.25">
      <c r="A18480" t="str">
        <f>"9725088915"</f>
        <v>9725088915</v>
      </c>
      <c r="B18480" t="s">
        <v>871</v>
      </c>
      <c r="C18480" t="s">
        <v>7</v>
      </c>
      <c r="D18480" t="s">
        <v>12</v>
      </c>
      <c r="E18480" t="s">
        <v>23161</v>
      </c>
      <c r="F18480" t="s">
        <v>26058</v>
      </c>
    </row>
    <row r="18481" spans="1:6" x14ac:dyDescent="0.25">
      <c r="A18481" t="str">
        <f>"9725177266"</f>
        <v>9725177266</v>
      </c>
      <c r="B18481" t="s">
        <v>20930</v>
      </c>
      <c r="C18481" t="s">
        <v>7</v>
      </c>
      <c r="D18481" t="s">
        <v>8</v>
      </c>
      <c r="E18481" t="s">
        <v>23161</v>
      </c>
      <c r="F18481" t="s">
        <v>25482</v>
      </c>
    </row>
    <row r="18482" spans="1:6" x14ac:dyDescent="0.25">
      <c r="A18482" t="str">
        <f>"9725186038"</f>
        <v>9725186038</v>
      </c>
      <c r="B18482" t="s">
        <v>26059</v>
      </c>
      <c r="C18482" t="s">
        <v>7</v>
      </c>
      <c r="D18482" t="s">
        <v>33</v>
      </c>
      <c r="E18482" t="s">
        <v>23161</v>
      </c>
      <c r="F18482" t="s">
        <v>26060</v>
      </c>
    </row>
    <row r="18483" spans="1:6" x14ac:dyDescent="0.25">
      <c r="A18483" t="str">
        <f>"9726098144"</f>
        <v>9726098144</v>
      </c>
      <c r="B18483" t="s">
        <v>26061</v>
      </c>
      <c r="C18483" t="s">
        <v>7</v>
      </c>
      <c r="D18483" t="s">
        <v>14</v>
      </c>
      <c r="E18483" t="s">
        <v>23161</v>
      </c>
      <c r="F18483" t="s">
        <v>26062</v>
      </c>
    </row>
    <row r="18484" spans="1:6" x14ac:dyDescent="0.25">
      <c r="A18484" t="str">
        <f>"9726100393"</f>
        <v>9726100393</v>
      </c>
      <c r="B18484" t="s">
        <v>26063</v>
      </c>
      <c r="C18484" t="s">
        <v>7</v>
      </c>
      <c r="D18484" t="s">
        <v>674</v>
      </c>
      <c r="E18484" t="s">
        <v>23161</v>
      </c>
      <c r="F18484" t="s">
        <v>26064</v>
      </c>
    </row>
    <row r="18485" spans="1:6" x14ac:dyDescent="0.25">
      <c r="A18485" t="str">
        <f>"9728034467"</f>
        <v>9728034467</v>
      </c>
      <c r="B18485" t="s">
        <v>26065</v>
      </c>
      <c r="C18485" t="s">
        <v>7</v>
      </c>
      <c r="D18485" t="s">
        <v>14</v>
      </c>
      <c r="E18485" t="s">
        <v>23161</v>
      </c>
      <c r="F18485" t="s">
        <v>25910</v>
      </c>
    </row>
    <row r="18486" spans="1:6" x14ac:dyDescent="0.25">
      <c r="A18486" t="str">
        <f>"9728141878"</f>
        <v>9728141878</v>
      </c>
      <c r="B18486" t="s">
        <v>26066</v>
      </c>
      <c r="C18486" t="s">
        <v>7</v>
      </c>
      <c r="D18486" t="s">
        <v>33</v>
      </c>
      <c r="E18486" t="s">
        <v>23161</v>
      </c>
      <c r="F18486" t="s">
        <v>26067</v>
      </c>
    </row>
    <row r="18487" spans="1:6" x14ac:dyDescent="0.25">
      <c r="A18487" t="str">
        <f>"9728151611"</f>
        <v>9728151611</v>
      </c>
      <c r="B18487" t="s">
        <v>26068</v>
      </c>
      <c r="C18487" t="s">
        <v>7</v>
      </c>
      <c r="D18487" t="s">
        <v>12</v>
      </c>
      <c r="E18487" t="s">
        <v>23161</v>
      </c>
      <c r="F18487" t="s">
        <v>26069</v>
      </c>
    </row>
    <row r="18488" spans="1:6" x14ac:dyDescent="0.25">
      <c r="A18488" t="str">
        <f>"9728152693"</f>
        <v>9728152693</v>
      </c>
      <c r="B18488" t="s">
        <v>26070</v>
      </c>
      <c r="C18488" t="s">
        <v>7</v>
      </c>
      <c r="D18488" t="s">
        <v>8</v>
      </c>
      <c r="E18488" t="s">
        <v>23161</v>
      </c>
      <c r="F18488" t="s">
        <v>26071</v>
      </c>
    </row>
    <row r="18489" spans="1:6" x14ac:dyDescent="0.25">
      <c r="A18489" t="str">
        <f>"9729110135"</f>
        <v>9729110135</v>
      </c>
      <c r="B18489" t="s">
        <v>26072</v>
      </c>
      <c r="C18489" t="s">
        <v>7</v>
      </c>
      <c r="D18489" t="s">
        <v>12</v>
      </c>
      <c r="E18489" t="s">
        <v>23161</v>
      </c>
      <c r="F18489" t="s">
        <v>26073</v>
      </c>
    </row>
    <row r="18490" spans="1:6" x14ac:dyDescent="0.25">
      <c r="A18490" t="str">
        <f>"9729128446"</f>
        <v>9729128446</v>
      </c>
      <c r="B18490" t="s">
        <v>26074</v>
      </c>
      <c r="C18490" t="s">
        <v>7</v>
      </c>
      <c r="D18490" t="s">
        <v>674</v>
      </c>
      <c r="E18490" t="s">
        <v>23161</v>
      </c>
      <c r="F18490" t="s">
        <v>26075</v>
      </c>
    </row>
    <row r="18491" spans="1:6" x14ac:dyDescent="0.25">
      <c r="A18491" t="str">
        <f>"9729165984"</f>
        <v>9729165984</v>
      </c>
      <c r="B18491" t="s">
        <v>6185</v>
      </c>
      <c r="C18491" t="s">
        <v>7</v>
      </c>
      <c r="D18491" t="s">
        <v>12</v>
      </c>
      <c r="E18491" t="s">
        <v>23161</v>
      </c>
      <c r="F18491" t="s">
        <v>26076</v>
      </c>
    </row>
    <row r="18492" spans="1:6" x14ac:dyDescent="0.25">
      <c r="A18492" t="str">
        <f>"9729230418"</f>
        <v>9729230418</v>
      </c>
      <c r="B18492" t="s">
        <v>26077</v>
      </c>
      <c r="C18492" t="s">
        <v>7</v>
      </c>
      <c r="D18492" t="s">
        <v>33</v>
      </c>
      <c r="E18492" t="s">
        <v>23161</v>
      </c>
      <c r="F18492" t="s">
        <v>26078</v>
      </c>
    </row>
    <row r="18493" spans="1:6" x14ac:dyDescent="0.25">
      <c r="A18493" t="str">
        <f>"9729282328"</f>
        <v>9729282328</v>
      </c>
      <c r="B18493" t="s">
        <v>26079</v>
      </c>
      <c r="C18493" t="s">
        <v>7</v>
      </c>
      <c r="D18493" t="s">
        <v>12</v>
      </c>
      <c r="E18493" t="s">
        <v>23161</v>
      </c>
      <c r="F18493" t="s">
        <v>26080</v>
      </c>
    </row>
    <row r="18494" spans="1:6" x14ac:dyDescent="0.25">
      <c r="A18494" t="str">
        <f>"9729283709"</f>
        <v>9729283709</v>
      </c>
      <c r="B18494" t="s">
        <v>26081</v>
      </c>
      <c r="C18494" t="s">
        <v>7</v>
      </c>
      <c r="D18494" t="s">
        <v>14</v>
      </c>
      <c r="E18494" t="s">
        <v>23161</v>
      </c>
      <c r="F18494" t="s">
        <v>26082</v>
      </c>
    </row>
    <row r="18495" spans="1:6" x14ac:dyDescent="0.25">
      <c r="A18495" t="str">
        <f>"9729297010"</f>
        <v>9729297010</v>
      </c>
      <c r="B18495" t="s">
        <v>26083</v>
      </c>
      <c r="C18495" t="s">
        <v>7</v>
      </c>
      <c r="D18495" t="s">
        <v>33</v>
      </c>
      <c r="E18495" t="s">
        <v>23161</v>
      </c>
      <c r="F18495" t="s">
        <v>26084</v>
      </c>
    </row>
    <row r="18496" spans="1:6" x14ac:dyDescent="0.25">
      <c r="A18496" t="str">
        <f>"9729328942"</f>
        <v>9729328942</v>
      </c>
      <c r="B18496" t="s">
        <v>26085</v>
      </c>
      <c r="C18496" t="s">
        <v>7</v>
      </c>
      <c r="D18496" t="s">
        <v>674</v>
      </c>
      <c r="E18496" t="s">
        <v>23161</v>
      </c>
      <c r="F18496" t="s">
        <v>26086</v>
      </c>
    </row>
    <row r="18497" spans="1:6" x14ac:dyDescent="0.25">
      <c r="A18497" t="str">
        <f>"9729329625"</f>
        <v>9729329625</v>
      </c>
      <c r="B18497" t="s">
        <v>26087</v>
      </c>
      <c r="C18497" t="s">
        <v>7</v>
      </c>
      <c r="D18497" t="s">
        <v>8</v>
      </c>
      <c r="E18497" t="s">
        <v>23161</v>
      </c>
      <c r="F18497" t="s">
        <v>26088</v>
      </c>
    </row>
    <row r="18498" spans="1:6" x14ac:dyDescent="0.25">
      <c r="A18498" t="str">
        <f>"9729337320"</f>
        <v>9729337320</v>
      </c>
      <c r="B18498" t="s">
        <v>26089</v>
      </c>
      <c r="C18498" t="s">
        <v>7</v>
      </c>
      <c r="D18498" t="s">
        <v>14</v>
      </c>
      <c r="E18498" t="s">
        <v>23161</v>
      </c>
      <c r="F18498" t="s">
        <v>26090</v>
      </c>
    </row>
    <row r="18499" spans="1:6" x14ac:dyDescent="0.25">
      <c r="A18499" t="str">
        <f>"9729345338"</f>
        <v>9729345338</v>
      </c>
      <c r="B18499" t="s">
        <v>13938</v>
      </c>
      <c r="C18499" t="s">
        <v>7</v>
      </c>
      <c r="D18499" t="s">
        <v>33</v>
      </c>
      <c r="E18499" t="s">
        <v>23161</v>
      </c>
      <c r="F18499" t="s">
        <v>26091</v>
      </c>
    </row>
    <row r="18500" spans="1:6" x14ac:dyDescent="0.25">
      <c r="A18500" t="str">
        <f>"9729372331"</f>
        <v>9729372331</v>
      </c>
      <c r="B18500" t="s">
        <v>17379</v>
      </c>
      <c r="C18500" t="s">
        <v>7</v>
      </c>
      <c r="D18500" t="s">
        <v>33</v>
      </c>
      <c r="E18500" t="s">
        <v>23161</v>
      </c>
      <c r="F18500" t="s">
        <v>26092</v>
      </c>
    </row>
    <row r="18501" spans="1:6" x14ac:dyDescent="0.25">
      <c r="A18501" t="str">
        <f>"9729400243"</f>
        <v>9729400243</v>
      </c>
      <c r="B18501" t="s">
        <v>26093</v>
      </c>
      <c r="C18501" t="s">
        <v>7</v>
      </c>
      <c r="D18501" t="s">
        <v>28</v>
      </c>
      <c r="E18501" t="s">
        <v>23161</v>
      </c>
      <c r="F18501" t="s">
        <v>26094</v>
      </c>
    </row>
    <row r="18502" spans="1:6" x14ac:dyDescent="0.25">
      <c r="A18502" t="str">
        <f>"9731053212"</f>
        <v>9731053212</v>
      </c>
      <c r="B18502" t="s">
        <v>26095</v>
      </c>
      <c r="C18502" t="s">
        <v>7</v>
      </c>
      <c r="D18502" t="s">
        <v>189</v>
      </c>
      <c r="E18502" t="s">
        <v>23161</v>
      </c>
      <c r="F18502" t="s">
        <v>26096</v>
      </c>
    </row>
    <row r="18503" spans="1:6" x14ac:dyDescent="0.25">
      <c r="A18503" t="str">
        <f>"9731069653"</f>
        <v>9731069653</v>
      </c>
      <c r="B18503" t="s">
        <v>26097</v>
      </c>
      <c r="C18503" t="s">
        <v>7</v>
      </c>
      <c r="D18503" t="s">
        <v>12</v>
      </c>
      <c r="E18503" t="s">
        <v>23161</v>
      </c>
      <c r="F18503" t="s">
        <v>26098</v>
      </c>
    </row>
    <row r="18504" spans="1:6" x14ac:dyDescent="0.25">
      <c r="A18504" t="str">
        <f>"9731082446"</f>
        <v>9731082446</v>
      </c>
      <c r="B18504" t="s">
        <v>26099</v>
      </c>
      <c r="C18504" t="s">
        <v>7</v>
      </c>
      <c r="D18504" t="s">
        <v>14</v>
      </c>
      <c r="E18504" t="s">
        <v>23161</v>
      </c>
      <c r="F18504" t="s">
        <v>26100</v>
      </c>
    </row>
    <row r="18505" spans="1:6" x14ac:dyDescent="0.25">
      <c r="A18505" t="str">
        <f>"9731142617"</f>
        <v>9731142617</v>
      </c>
      <c r="B18505" t="s">
        <v>18824</v>
      </c>
      <c r="C18505" t="s">
        <v>7</v>
      </c>
      <c r="D18505" t="s">
        <v>33</v>
      </c>
      <c r="E18505" t="s">
        <v>23161</v>
      </c>
      <c r="F18505" t="s">
        <v>26101</v>
      </c>
    </row>
    <row r="18506" spans="1:6" x14ac:dyDescent="0.25">
      <c r="A18506" t="str">
        <f>"9731144727"</f>
        <v>9731144727</v>
      </c>
      <c r="B18506" t="s">
        <v>26102</v>
      </c>
      <c r="C18506" t="s">
        <v>7</v>
      </c>
      <c r="D18506" t="s">
        <v>14</v>
      </c>
      <c r="E18506" t="s">
        <v>23161</v>
      </c>
      <c r="F18506" t="s">
        <v>26103</v>
      </c>
    </row>
    <row r="18507" spans="1:6" x14ac:dyDescent="0.25">
      <c r="A18507" t="str">
        <f>"9909366489"</f>
        <v>9909366489</v>
      </c>
      <c r="B18507" t="s">
        <v>26104</v>
      </c>
      <c r="C18507" t="s">
        <v>7</v>
      </c>
      <c r="D18507" t="s">
        <v>98</v>
      </c>
      <c r="E18507" t="s">
        <v>23161</v>
      </c>
    </row>
    <row r="18508" spans="1:6" x14ac:dyDescent="0.25">
      <c r="A18508" t="str">
        <f>"9729304035"</f>
        <v>9729304035</v>
      </c>
      <c r="B18508" t="s">
        <v>26105</v>
      </c>
      <c r="C18508" t="s">
        <v>7</v>
      </c>
      <c r="D18508" t="s">
        <v>463</v>
      </c>
      <c r="E18508" t="s">
        <v>23161</v>
      </c>
      <c r="F18508" t="s">
        <v>26106</v>
      </c>
    </row>
    <row r="18509" spans="1:6" x14ac:dyDescent="0.25">
      <c r="A18509" t="str">
        <f>"9729311191"</f>
        <v>9729311191</v>
      </c>
      <c r="B18509" t="s">
        <v>26107</v>
      </c>
      <c r="C18509" t="s">
        <v>7</v>
      </c>
      <c r="D18509" t="s">
        <v>12</v>
      </c>
      <c r="E18509" t="s">
        <v>23161</v>
      </c>
      <c r="F18509" t="s">
        <v>26108</v>
      </c>
    </row>
    <row r="18510" spans="1:6" x14ac:dyDescent="0.25">
      <c r="A18510" t="str">
        <f>"9729777779"</f>
        <v>9729777779</v>
      </c>
      <c r="B18510" t="s">
        <v>26109</v>
      </c>
      <c r="C18510" t="s">
        <v>7</v>
      </c>
      <c r="D18510" t="s">
        <v>8</v>
      </c>
      <c r="E18510" t="s">
        <v>23161</v>
      </c>
      <c r="F18510" t="s">
        <v>26110</v>
      </c>
    </row>
    <row r="18511" spans="1:6" x14ac:dyDescent="0.25">
      <c r="A18511" t="str">
        <f>"9731000997"</f>
        <v>9731000997</v>
      </c>
      <c r="B18511" t="s">
        <v>26111</v>
      </c>
      <c r="C18511" t="s">
        <v>7</v>
      </c>
      <c r="D18511" t="s">
        <v>33</v>
      </c>
      <c r="E18511" t="s">
        <v>23161</v>
      </c>
      <c r="F18511" t="s">
        <v>26112</v>
      </c>
    </row>
    <row r="18512" spans="1:6" x14ac:dyDescent="0.25">
      <c r="A18512" t="str">
        <f>"9731065377"</f>
        <v>9731065377</v>
      </c>
      <c r="B18512" t="s">
        <v>26113</v>
      </c>
      <c r="C18512" t="s">
        <v>7</v>
      </c>
      <c r="D18512" t="s">
        <v>33</v>
      </c>
      <c r="E18512" t="s">
        <v>23161</v>
      </c>
      <c r="F18512" t="s">
        <v>26114</v>
      </c>
    </row>
    <row r="18513" spans="1:6" x14ac:dyDescent="0.25">
      <c r="A18513" t="str">
        <f>"9731072751"</f>
        <v>9731072751</v>
      </c>
      <c r="B18513" t="s">
        <v>26115</v>
      </c>
      <c r="C18513" t="s">
        <v>7</v>
      </c>
      <c r="D18513" t="s">
        <v>12</v>
      </c>
      <c r="E18513" t="s">
        <v>23161</v>
      </c>
      <c r="F18513" t="s">
        <v>26116</v>
      </c>
    </row>
    <row r="18514" spans="1:6" x14ac:dyDescent="0.25">
      <c r="A18514" t="str">
        <f>"9731098936"</f>
        <v>9731098936</v>
      </c>
      <c r="B18514" t="s">
        <v>26117</v>
      </c>
      <c r="C18514" t="s">
        <v>7</v>
      </c>
      <c r="D18514" t="s">
        <v>12</v>
      </c>
      <c r="E18514" t="s">
        <v>23161</v>
      </c>
      <c r="F18514" t="s">
        <v>26118</v>
      </c>
    </row>
    <row r="18515" spans="1:6" x14ac:dyDescent="0.25">
      <c r="A18515" t="str">
        <f>"9731099320"</f>
        <v>9731099320</v>
      </c>
      <c r="B18515" t="s">
        <v>26119</v>
      </c>
      <c r="C18515" t="s">
        <v>7</v>
      </c>
      <c r="D18515" t="s">
        <v>12</v>
      </c>
      <c r="E18515" t="s">
        <v>23161</v>
      </c>
      <c r="F18515" t="s">
        <v>26120</v>
      </c>
    </row>
    <row r="18516" spans="1:6" x14ac:dyDescent="0.25">
      <c r="A18516" t="str">
        <f>"9731109881"</f>
        <v>9731109881</v>
      </c>
      <c r="B18516" t="s">
        <v>12849</v>
      </c>
      <c r="C18516" t="s">
        <v>7</v>
      </c>
      <c r="D18516" t="s">
        <v>674</v>
      </c>
      <c r="E18516" t="s">
        <v>23161</v>
      </c>
      <c r="F18516" t="s">
        <v>26121</v>
      </c>
    </row>
    <row r="18517" spans="1:6" x14ac:dyDescent="0.25">
      <c r="A18517" t="str">
        <f>"9727034217"</f>
        <v>9727034217</v>
      </c>
      <c r="B18517" t="s">
        <v>26122</v>
      </c>
      <c r="C18517" t="s">
        <v>7</v>
      </c>
      <c r="D18517" t="s">
        <v>12</v>
      </c>
      <c r="E18517" t="s">
        <v>23161</v>
      </c>
      <c r="F18517" t="s">
        <v>26123</v>
      </c>
    </row>
    <row r="18518" spans="1:6" x14ac:dyDescent="0.25">
      <c r="A18518" t="str">
        <f>"9727086455"</f>
        <v>9727086455</v>
      </c>
      <c r="B18518" t="s">
        <v>26124</v>
      </c>
      <c r="C18518" t="s">
        <v>7</v>
      </c>
      <c r="D18518" t="s">
        <v>33</v>
      </c>
      <c r="E18518" t="s">
        <v>23161</v>
      </c>
      <c r="F18518" t="s">
        <v>26125</v>
      </c>
    </row>
    <row r="18519" spans="1:6" x14ac:dyDescent="0.25">
      <c r="A18519" t="str">
        <f>"9727097552"</f>
        <v>9727097552</v>
      </c>
      <c r="B18519" t="s">
        <v>26126</v>
      </c>
      <c r="C18519" t="s">
        <v>7</v>
      </c>
      <c r="D18519" t="s">
        <v>14</v>
      </c>
      <c r="E18519" t="s">
        <v>23161</v>
      </c>
      <c r="F18519" t="s">
        <v>26127</v>
      </c>
    </row>
    <row r="18520" spans="1:6" x14ac:dyDescent="0.25">
      <c r="A18520" t="str">
        <f>"9728011692"</f>
        <v>9728011692</v>
      </c>
      <c r="B18520" t="s">
        <v>26128</v>
      </c>
      <c r="C18520" t="s">
        <v>7</v>
      </c>
      <c r="D18520" t="s">
        <v>14</v>
      </c>
      <c r="E18520" t="s">
        <v>23161</v>
      </c>
      <c r="F18520" t="s">
        <v>26129</v>
      </c>
    </row>
    <row r="18521" spans="1:6" x14ac:dyDescent="0.25">
      <c r="A18521" t="str">
        <f>"9728043214"</f>
        <v>9728043214</v>
      </c>
      <c r="B18521" t="s">
        <v>26130</v>
      </c>
      <c r="C18521" t="s">
        <v>7</v>
      </c>
      <c r="D18521" t="s">
        <v>674</v>
      </c>
      <c r="E18521" t="s">
        <v>23161</v>
      </c>
      <c r="F18521" t="s">
        <v>26131</v>
      </c>
    </row>
    <row r="18522" spans="1:6" x14ac:dyDescent="0.25">
      <c r="A18522" t="str">
        <f>"9728045003"</f>
        <v>9728045003</v>
      </c>
      <c r="B18522" t="s">
        <v>26132</v>
      </c>
      <c r="C18522" t="s">
        <v>7</v>
      </c>
      <c r="D18522" t="s">
        <v>12</v>
      </c>
      <c r="E18522" t="s">
        <v>23161</v>
      </c>
      <c r="F18522" t="s">
        <v>26133</v>
      </c>
    </row>
    <row r="18523" spans="1:6" x14ac:dyDescent="0.25">
      <c r="A18523" t="str">
        <f>"9728102082"</f>
        <v>9728102082</v>
      </c>
      <c r="B18523" t="s">
        <v>26134</v>
      </c>
      <c r="C18523" t="s">
        <v>7</v>
      </c>
      <c r="D18523" t="s">
        <v>8</v>
      </c>
      <c r="E18523" t="s">
        <v>23161</v>
      </c>
      <c r="F18523" t="s">
        <v>26135</v>
      </c>
    </row>
    <row r="18524" spans="1:6" x14ac:dyDescent="0.25">
      <c r="A18524" t="str">
        <f>"9728118910"</f>
        <v>9728118910</v>
      </c>
      <c r="B18524" t="s">
        <v>26136</v>
      </c>
      <c r="C18524" t="s">
        <v>7</v>
      </c>
      <c r="D18524" t="s">
        <v>189</v>
      </c>
      <c r="E18524" t="s">
        <v>23161</v>
      </c>
      <c r="F18524" t="s">
        <v>25478</v>
      </c>
    </row>
    <row r="18525" spans="1:6" x14ac:dyDescent="0.25">
      <c r="A18525" t="str">
        <f>"9728122057"</f>
        <v>9728122057</v>
      </c>
      <c r="B18525" t="s">
        <v>26137</v>
      </c>
      <c r="C18525" t="s">
        <v>7</v>
      </c>
      <c r="D18525" t="s">
        <v>28</v>
      </c>
      <c r="E18525" t="s">
        <v>23161</v>
      </c>
      <c r="F18525" t="s">
        <v>26138</v>
      </c>
    </row>
    <row r="18526" spans="1:6" x14ac:dyDescent="0.25">
      <c r="A18526" t="str">
        <f>"9728126252"</f>
        <v>9728126252</v>
      </c>
      <c r="B18526" t="s">
        <v>26139</v>
      </c>
      <c r="C18526" t="s">
        <v>7</v>
      </c>
      <c r="D18526" t="s">
        <v>12</v>
      </c>
      <c r="E18526" t="s">
        <v>23161</v>
      </c>
      <c r="F18526" t="s">
        <v>26140</v>
      </c>
    </row>
    <row r="18527" spans="1:6" x14ac:dyDescent="0.25">
      <c r="A18527" t="str">
        <f>"9728129180"</f>
        <v>9728129180</v>
      </c>
      <c r="B18527" t="s">
        <v>26141</v>
      </c>
      <c r="C18527" t="s">
        <v>7</v>
      </c>
      <c r="D18527" t="s">
        <v>33</v>
      </c>
      <c r="E18527" t="s">
        <v>23161</v>
      </c>
      <c r="F18527" t="s">
        <v>25909</v>
      </c>
    </row>
    <row r="18528" spans="1:6" x14ac:dyDescent="0.25">
      <c r="A18528" t="str">
        <f>"9728141405"</f>
        <v>9728141405</v>
      </c>
      <c r="B18528" t="s">
        <v>26142</v>
      </c>
      <c r="C18528" t="s">
        <v>7</v>
      </c>
      <c r="D18528" t="s">
        <v>8</v>
      </c>
      <c r="E18528" t="s">
        <v>23161</v>
      </c>
      <c r="F18528" t="s">
        <v>26143</v>
      </c>
    </row>
    <row r="18529" spans="1:6" x14ac:dyDescent="0.25">
      <c r="A18529" t="str">
        <f>"9728145400"</f>
        <v>9728145400</v>
      </c>
      <c r="B18529" t="s">
        <v>26144</v>
      </c>
      <c r="C18529" t="s">
        <v>7</v>
      </c>
      <c r="D18529" t="s">
        <v>14</v>
      </c>
      <c r="E18529" t="s">
        <v>23161</v>
      </c>
      <c r="F18529" t="s">
        <v>25910</v>
      </c>
    </row>
    <row r="18530" spans="1:6" x14ac:dyDescent="0.25">
      <c r="A18530" t="str">
        <f>"9728157814"</f>
        <v>9728157814</v>
      </c>
      <c r="B18530" t="s">
        <v>26145</v>
      </c>
      <c r="C18530" t="s">
        <v>7</v>
      </c>
      <c r="D18530" t="s">
        <v>674</v>
      </c>
      <c r="E18530" t="s">
        <v>23161</v>
      </c>
      <c r="F18530" t="s">
        <v>26146</v>
      </c>
    </row>
    <row r="18531" spans="1:6" x14ac:dyDescent="0.25">
      <c r="A18531" t="str">
        <f>"9729022016"</f>
        <v>9729022016</v>
      </c>
      <c r="B18531" t="s">
        <v>26147</v>
      </c>
      <c r="C18531" t="s">
        <v>7</v>
      </c>
      <c r="D18531" t="s">
        <v>14</v>
      </c>
      <c r="E18531" t="s">
        <v>23161</v>
      </c>
      <c r="F18531" t="s">
        <v>26148</v>
      </c>
    </row>
    <row r="18532" spans="1:6" x14ac:dyDescent="0.25">
      <c r="A18532" t="str">
        <f>"9729264618"</f>
        <v>9729264618</v>
      </c>
      <c r="B18532" t="s">
        <v>26149</v>
      </c>
      <c r="C18532" t="s">
        <v>7</v>
      </c>
      <c r="D18532" t="s">
        <v>33</v>
      </c>
      <c r="E18532" t="s">
        <v>23161</v>
      </c>
      <c r="F18532" t="s">
        <v>26150</v>
      </c>
    </row>
    <row r="18533" spans="1:6" x14ac:dyDescent="0.25">
      <c r="A18533" t="str">
        <f>"9729327924"</f>
        <v>9729327924</v>
      </c>
      <c r="B18533" t="s">
        <v>26151</v>
      </c>
      <c r="C18533" t="s">
        <v>7</v>
      </c>
      <c r="D18533" t="s">
        <v>33</v>
      </c>
      <c r="E18533" t="s">
        <v>23161</v>
      </c>
      <c r="F18533" t="s">
        <v>26152</v>
      </c>
    </row>
    <row r="18534" spans="1:6" x14ac:dyDescent="0.25">
      <c r="A18534" t="str">
        <f>"9729369138"</f>
        <v>9729369138</v>
      </c>
      <c r="B18534" t="s">
        <v>26153</v>
      </c>
      <c r="C18534" t="s">
        <v>7</v>
      </c>
      <c r="D18534" t="s">
        <v>33</v>
      </c>
      <c r="E18534" t="s">
        <v>23161</v>
      </c>
      <c r="F18534" t="s">
        <v>26154</v>
      </c>
    </row>
    <row r="18535" spans="1:6" x14ac:dyDescent="0.25">
      <c r="A18535" t="str">
        <f>"9731000468"</f>
        <v>9731000468</v>
      </c>
      <c r="B18535" t="s">
        <v>24357</v>
      </c>
      <c r="C18535" t="s">
        <v>7</v>
      </c>
      <c r="D18535" t="s">
        <v>33</v>
      </c>
      <c r="E18535" t="s">
        <v>23161</v>
      </c>
      <c r="F18535" t="s">
        <v>26155</v>
      </c>
    </row>
    <row r="18536" spans="1:6" x14ac:dyDescent="0.25">
      <c r="A18536" t="str">
        <f>"9731001824"</f>
        <v>9731001824</v>
      </c>
      <c r="B18536" t="s">
        <v>26156</v>
      </c>
      <c r="C18536" t="s">
        <v>7</v>
      </c>
      <c r="D18536" t="s">
        <v>8</v>
      </c>
      <c r="E18536" t="s">
        <v>23161</v>
      </c>
      <c r="F18536" t="s">
        <v>26157</v>
      </c>
    </row>
    <row r="18537" spans="1:6" x14ac:dyDescent="0.25">
      <c r="A18537" t="str">
        <f>"9731027741"</f>
        <v>9731027741</v>
      </c>
      <c r="B18537" t="s">
        <v>26158</v>
      </c>
      <c r="C18537" t="s">
        <v>7</v>
      </c>
      <c r="D18537" t="s">
        <v>674</v>
      </c>
      <c r="E18537" t="s">
        <v>23161</v>
      </c>
      <c r="F18537" t="s">
        <v>26159</v>
      </c>
    </row>
    <row r="18538" spans="1:6" x14ac:dyDescent="0.25">
      <c r="A18538" t="str">
        <f>"9731034308"</f>
        <v>9731034308</v>
      </c>
      <c r="B18538" t="s">
        <v>26160</v>
      </c>
      <c r="C18538" t="s">
        <v>7</v>
      </c>
      <c r="D18538" t="s">
        <v>189</v>
      </c>
      <c r="E18538" t="s">
        <v>23161</v>
      </c>
      <c r="F18538" t="s">
        <v>26161</v>
      </c>
    </row>
    <row r="18539" spans="1:6" x14ac:dyDescent="0.25">
      <c r="A18539" t="str">
        <f>"9731055668"</f>
        <v>9731055668</v>
      </c>
      <c r="B18539" t="s">
        <v>26162</v>
      </c>
      <c r="C18539" t="s">
        <v>7</v>
      </c>
      <c r="D18539" t="s">
        <v>33</v>
      </c>
      <c r="E18539" t="s">
        <v>23161</v>
      </c>
      <c r="F18539" t="s">
        <v>26163</v>
      </c>
    </row>
    <row r="18540" spans="1:6" x14ac:dyDescent="0.25">
      <c r="A18540" t="str">
        <f>"9731061118"</f>
        <v>9731061118</v>
      </c>
      <c r="B18540" t="s">
        <v>7045</v>
      </c>
      <c r="C18540" t="s">
        <v>7</v>
      </c>
      <c r="D18540" t="s">
        <v>33</v>
      </c>
      <c r="E18540" t="s">
        <v>23161</v>
      </c>
      <c r="F18540" t="s">
        <v>26164</v>
      </c>
    </row>
    <row r="18541" spans="1:6" x14ac:dyDescent="0.25">
      <c r="A18541" t="str">
        <f>"9731077750"</f>
        <v>9731077750</v>
      </c>
      <c r="B18541" t="s">
        <v>26165</v>
      </c>
      <c r="C18541" t="s">
        <v>7</v>
      </c>
      <c r="D18541" t="s">
        <v>33</v>
      </c>
      <c r="E18541" t="s">
        <v>23161</v>
      </c>
      <c r="F18541" t="s">
        <v>26166</v>
      </c>
    </row>
    <row r="18542" spans="1:6" x14ac:dyDescent="0.25">
      <c r="A18542" t="str">
        <f>"9731080336"</f>
        <v>9731080336</v>
      </c>
      <c r="B18542" t="s">
        <v>26167</v>
      </c>
      <c r="C18542" t="s">
        <v>7</v>
      </c>
      <c r="D18542" t="s">
        <v>28</v>
      </c>
      <c r="E18542" t="s">
        <v>23161</v>
      </c>
      <c r="F18542" t="s">
        <v>26168</v>
      </c>
    </row>
    <row r="18543" spans="1:6" x14ac:dyDescent="0.25">
      <c r="A18543" t="str">
        <f>"9731082100"</f>
        <v>9731082100</v>
      </c>
      <c r="B18543" t="s">
        <v>26169</v>
      </c>
      <c r="C18543" t="s">
        <v>7</v>
      </c>
      <c r="D18543" t="s">
        <v>8</v>
      </c>
      <c r="E18543" t="s">
        <v>23161</v>
      </c>
      <c r="F18543" t="s">
        <v>26170</v>
      </c>
    </row>
    <row r="18544" spans="1:6" x14ac:dyDescent="0.25">
      <c r="A18544" t="str">
        <f>"9731082365"</f>
        <v>9731082365</v>
      </c>
      <c r="B18544" t="s">
        <v>26171</v>
      </c>
      <c r="C18544" t="s">
        <v>7</v>
      </c>
      <c r="D18544" t="s">
        <v>12</v>
      </c>
      <c r="E18544" t="s">
        <v>23161</v>
      </c>
      <c r="F18544" t="s">
        <v>26172</v>
      </c>
    </row>
    <row r="18545" spans="1:6" x14ac:dyDescent="0.25">
      <c r="A18545" t="str">
        <f>"9731085863"</f>
        <v>9731085863</v>
      </c>
      <c r="B18545" t="s">
        <v>26173</v>
      </c>
      <c r="C18545" t="s">
        <v>7</v>
      </c>
      <c r="D18545" t="s">
        <v>189</v>
      </c>
      <c r="E18545" t="s">
        <v>23161</v>
      </c>
      <c r="F18545" t="s">
        <v>26174</v>
      </c>
    </row>
    <row r="18546" spans="1:6" x14ac:dyDescent="0.25">
      <c r="A18546" t="str">
        <f>"9731120282"</f>
        <v>9731120282</v>
      </c>
      <c r="B18546" t="s">
        <v>26175</v>
      </c>
      <c r="C18546" t="s">
        <v>7</v>
      </c>
      <c r="D18546" t="s">
        <v>33</v>
      </c>
      <c r="E18546" t="s">
        <v>23161</v>
      </c>
      <c r="F18546" t="s">
        <v>26176</v>
      </c>
    </row>
    <row r="18547" spans="1:6" x14ac:dyDescent="0.25">
      <c r="A18547" t="str">
        <f>"9909736323"</f>
        <v>9909736323</v>
      </c>
      <c r="B18547" t="s">
        <v>26177</v>
      </c>
      <c r="C18547" t="s">
        <v>7</v>
      </c>
      <c r="D18547" t="s">
        <v>6745</v>
      </c>
      <c r="E18547" t="s">
        <v>23161</v>
      </c>
    </row>
    <row r="18548" spans="1:6" x14ac:dyDescent="0.25">
      <c r="A18548" t="str">
        <f>"183102596920"</f>
        <v>183102596920</v>
      </c>
      <c r="B18548" t="s">
        <v>26178</v>
      </c>
      <c r="C18548" t="s">
        <v>7</v>
      </c>
      <c r="D18548" t="s">
        <v>14</v>
      </c>
      <c r="E18548" t="s">
        <v>26179</v>
      </c>
    </row>
    <row r="18549" spans="1:6" x14ac:dyDescent="0.25">
      <c r="A18549" t="str">
        <f>"325500723618"</f>
        <v>325500723618</v>
      </c>
      <c r="B18549" t="s">
        <v>26180</v>
      </c>
      <c r="C18549" t="s">
        <v>7</v>
      </c>
      <c r="D18549" t="s">
        <v>28</v>
      </c>
      <c r="E18549" t="s">
        <v>26179</v>
      </c>
    </row>
    <row r="18550" spans="1:6" x14ac:dyDescent="0.25">
      <c r="A18550" t="str">
        <f>"245730170365"</f>
        <v>245730170365</v>
      </c>
      <c r="B18550" t="s">
        <v>26181</v>
      </c>
      <c r="C18550" t="s">
        <v>7</v>
      </c>
      <c r="D18550" t="s">
        <v>12</v>
      </c>
      <c r="E18550" t="s">
        <v>26179</v>
      </c>
    </row>
    <row r="18551" spans="1:6" x14ac:dyDescent="0.25">
      <c r="A18551" t="str">
        <f>"182905239177"</f>
        <v>182905239177</v>
      </c>
      <c r="B18551" t="s">
        <v>26182</v>
      </c>
      <c r="C18551" t="s">
        <v>7</v>
      </c>
      <c r="D18551" t="s">
        <v>12</v>
      </c>
      <c r="E18551" t="s">
        <v>26179</v>
      </c>
    </row>
    <row r="18552" spans="1:6" x14ac:dyDescent="0.25">
      <c r="A18552" t="str">
        <f>"4221017793"</f>
        <v>4221017793</v>
      </c>
      <c r="B18552" t="s">
        <v>26183</v>
      </c>
      <c r="C18552" t="s">
        <v>7</v>
      </c>
      <c r="D18552" t="s">
        <v>28</v>
      </c>
      <c r="E18552" t="s">
        <v>26179</v>
      </c>
      <c r="F18552" t="s">
        <v>26184</v>
      </c>
    </row>
    <row r="18553" spans="1:6" x14ac:dyDescent="0.25">
      <c r="A18553" t="str">
        <f>"422400222301"</f>
        <v>422400222301</v>
      </c>
      <c r="B18553" t="s">
        <v>26185</v>
      </c>
      <c r="C18553" t="s">
        <v>7</v>
      </c>
      <c r="D18553" t="s">
        <v>14</v>
      </c>
      <c r="E18553" t="s">
        <v>26179</v>
      </c>
    </row>
    <row r="18554" spans="1:6" x14ac:dyDescent="0.25">
      <c r="A18554" t="str">
        <f>"245407087686"</f>
        <v>245407087686</v>
      </c>
      <c r="B18554" t="s">
        <v>26186</v>
      </c>
      <c r="C18554" t="s">
        <v>7</v>
      </c>
      <c r="D18554" t="s">
        <v>14</v>
      </c>
      <c r="E18554" t="s">
        <v>26179</v>
      </c>
    </row>
    <row r="18555" spans="1:6" x14ac:dyDescent="0.25">
      <c r="A18555" t="str">
        <f>"245723623688"</f>
        <v>245723623688</v>
      </c>
      <c r="B18555" t="s">
        <v>26187</v>
      </c>
      <c r="C18555" t="s">
        <v>7</v>
      </c>
      <c r="D18555" t="s">
        <v>8</v>
      </c>
      <c r="E18555" t="s">
        <v>26179</v>
      </c>
    </row>
    <row r="18556" spans="1:6" x14ac:dyDescent="0.25">
      <c r="A18556" t="str">
        <f>"615522557772"</f>
        <v>615522557772</v>
      </c>
      <c r="B18556" t="s">
        <v>26188</v>
      </c>
      <c r="C18556" t="s">
        <v>7</v>
      </c>
      <c r="D18556" t="s">
        <v>14</v>
      </c>
      <c r="E18556" t="s">
        <v>26179</v>
      </c>
    </row>
    <row r="18557" spans="1:6" x14ac:dyDescent="0.25">
      <c r="A18557" t="str">
        <f>"026106406861"</f>
        <v>026106406861</v>
      </c>
      <c r="B18557" t="s">
        <v>26189</v>
      </c>
      <c r="C18557" t="s">
        <v>7</v>
      </c>
      <c r="D18557" t="s">
        <v>14</v>
      </c>
      <c r="E18557" t="s">
        <v>26179</v>
      </c>
    </row>
    <row r="18558" spans="1:6" x14ac:dyDescent="0.25">
      <c r="A18558" t="str">
        <f>"026609090501"</f>
        <v>026609090501</v>
      </c>
      <c r="B18558" t="s">
        <v>26190</v>
      </c>
      <c r="C18558" t="s">
        <v>7</v>
      </c>
      <c r="D18558" t="s">
        <v>12</v>
      </c>
      <c r="E18558" t="s">
        <v>26179</v>
      </c>
    </row>
    <row r="18559" spans="1:6" x14ac:dyDescent="0.25">
      <c r="A18559" t="str">
        <f>"525633105060"</f>
        <v>525633105060</v>
      </c>
      <c r="B18559" t="s">
        <v>26191</v>
      </c>
      <c r="C18559" t="s">
        <v>7</v>
      </c>
      <c r="D18559" t="s">
        <v>14</v>
      </c>
      <c r="E18559" t="s">
        <v>26179</v>
      </c>
    </row>
    <row r="18560" spans="1:6" x14ac:dyDescent="0.25">
      <c r="A18560" t="str">
        <f>"025704119050"</f>
        <v>025704119050</v>
      </c>
      <c r="B18560" t="s">
        <v>26192</v>
      </c>
      <c r="C18560" t="s">
        <v>7</v>
      </c>
      <c r="D18560" t="s">
        <v>14</v>
      </c>
      <c r="E18560" t="s">
        <v>26179</v>
      </c>
    </row>
    <row r="18561" spans="1:6" x14ac:dyDescent="0.25">
      <c r="A18561" t="str">
        <f>"4345117208"</f>
        <v>4345117208</v>
      </c>
      <c r="B18561" t="s">
        <v>26193</v>
      </c>
      <c r="C18561" t="s">
        <v>7</v>
      </c>
      <c r="D18561" t="s">
        <v>14</v>
      </c>
      <c r="E18561" t="s">
        <v>26179</v>
      </c>
      <c r="F18561" t="s">
        <v>26194</v>
      </c>
    </row>
    <row r="18562" spans="1:6" x14ac:dyDescent="0.25">
      <c r="A18562" t="str">
        <f>"772816578308"</f>
        <v>772816578308</v>
      </c>
      <c r="B18562" t="s">
        <v>26195</v>
      </c>
      <c r="C18562" t="s">
        <v>7</v>
      </c>
      <c r="D18562" t="s">
        <v>14</v>
      </c>
      <c r="E18562" t="s">
        <v>26179</v>
      </c>
    </row>
    <row r="18563" spans="1:6" x14ac:dyDescent="0.25">
      <c r="A18563" t="str">
        <f>"4345081311"</f>
        <v>4345081311</v>
      </c>
      <c r="B18563" t="s">
        <v>26196</v>
      </c>
      <c r="C18563" t="s">
        <v>7</v>
      </c>
      <c r="D18563" t="s">
        <v>12</v>
      </c>
      <c r="E18563" t="s">
        <v>26179</v>
      </c>
      <c r="F18563" t="s">
        <v>26197</v>
      </c>
    </row>
    <row r="18564" spans="1:6" x14ac:dyDescent="0.25">
      <c r="A18564" t="str">
        <f>"246501216901"</f>
        <v>246501216901</v>
      </c>
      <c r="B18564" t="s">
        <v>26198</v>
      </c>
      <c r="C18564" t="s">
        <v>7</v>
      </c>
      <c r="D18564" t="s">
        <v>12</v>
      </c>
      <c r="E18564" t="s">
        <v>26179</v>
      </c>
    </row>
    <row r="18565" spans="1:6" x14ac:dyDescent="0.25">
      <c r="A18565" t="str">
        <f>"523999918056"</f>
        <v>523999918056</v>
      </c>
      <c r="B18565" t="s">
        <v>26199</v>
      </c>
      <c r="C18565" t="s">
        <v>7</v>
      </c>
      <c r="D18565" t="s">
        <v>14</v>
      </c>
      <c r="E18565" t="s">
        <v>26179</v>
      </c>
    </row>
    <row r="18566" spans="1:6" x14ac:dyDescent="0.25">
      <c r="A18566" t="str">
        <f>"530800041320"</f>
        <v>530800041320</v>
      </c>
      <c r="B18566" t="s">
        <v>26200</v>
      </c>
      <c r="C18566" t="s">
        <v>7</v>
      </c>
      <c r="D18566" t="s">
        <v>14</v>
      </c>
      <c r="E18566" t="s">
        <v>26179</v>
      </c>
    </row>
    <row r="18567" spans="1:6" x14ac:dyDescent="0.25">
      <c r="A18567" t="str">
        <f>"532000218236"</f>
        <v>532000218236</v>
      </c>
      <c r="B18567" t="s">
        <v>26201</v>
      </c>
      <c r="C18567" t="s">
        <v>7</v>
      </c>
      <c r="D18567" t="s">
        <v>14</v>
      </c>
      <c r="E18567" t="s">
        <v>26179</v>
      </c>
    </row>
    <row r="18568" spans="1:6" x14ac:dyDescent="0.25">
      <c r="A18568" t="str">
        <f>"615425072564"</f>
        <v>615425072564</v>
      </c>
      <c r="B18568" t="s">
        <v>26202</v>
      </c>
      <c r="C18568" t="s">
        <v>7</v>
      </c>
      <c r="D18568" t="s">
        <v>14</v>
      </c>
      <c r="E18568" t="s">
        <v>26179</v>
      </c>
    </row>
    <row r="18569" spans="1:6" x14ac:dyDescent="0.25">
      <c r="A18569" t="str">
        <f>"026611190550"</f>
        <v>026611190550</v>
      </c>
      <c r="B18569" t="s">
        <v>26203</v>
      </c>
      <c r="C18569" t="s">
        <v>7</v>
      </c>
      <c r="D18569" t="s">
        <v>33</v>
      </c>
      <c r="E18569" t="s">
        <v>26179</v>
      </c>
    </row>
    <row r="18570" spans="1:6" x14ac:dyDescent="0.25">
      <c r="A18570" t="str">
        <f>"532107859232"</f>
        <v>532107859232</v>
      </c>
      <c r="B18570" t="s">
        <v>26204</v>
      </c>
      <c r="C18570" t="s">
        <v>7</v>
      </c>
      <c r="D18570" t="s">
        <v>12</v>
      </c>
      <c r="E18570" t="s">
        <v>26179</v>
      </c>
    </row>
    <row r="18571" spans="1:6" x14ac:dyDescent="0.25">
      <c r="A18571" t="str">
        <f>"252203374676"</f>
        <v>252203374676</v>
      </c>
      <c r="B18571" t="s">
        <v>26205</v>
      </c>
      <c r="C18571" t="s">
        <v>7</v>
      </c>
      <c r="D18571" t="s">
        <v>14</v>
      </c>
      <c r="E18571" t="s">
        <v>26179</v>
      </c>
    </row>
    <row r="18572" spans="1:6" x14ac:dyDescent="0.25">
      <c r="A18572" t="str">
        <f>"530600663958"</f>
        <v>530600663958</v>
      </c>
      <c r="B18572" t="s">
        <v>26206</v>
      </c>
      <c r="C18572" t="s">
        <v>7</v>
      </c>
      <c r="D18572" t="s">
        <v>14</v>
      </c>
      <c r="E18572" t="s">
        <v>26179</v>
      </c>
    </row>
    <row r="18573" spans="1:6" x14ac:dyDescent="0.25">
      <c r="A18573" t="str">
        <f>"530701386595"</f>
        <v>530701386595</v>
      </c>
      <c r="B18573" t="s">
        <v>26207</v>
      </c>
      <c r="C18573" t="s">
        <v>7</v>
      </c>
      <c r="D18573" t="s">
        <v>12</v>
      </c>
      <c r="E18573" t="s">
        <v>26179</v>
      </c>
    </row>
    <row r="18574" spans="1:6" x14ac:dyDescent="0.25">
      <c r="A18574" t="str">
        <f>"251134931339"</f>
        <v>251134931339</v>
      </c>
      <c r="B18574" t="s">
        <v>26208</v>
      </c>
      <c r="C18574" t="s">
        <v>7</v>
      </c>
      <c r="D18574" t="s">
        <v>14</v>
      </c>
      <c r="E18574" t="s">
        <v>26179</v>
      </c>
    </row>
    <row r="18575" spans="1:6" x14ac:dyDescent="0.25">
      <c r="A18575" t="str">
        <f>"222400144055"</f>
        <v>222400144055</v>
      </c>
      <c r="B18575" t="s">
        <v>26209</v>
      </c>
      <c r="C18575" t="s">
        <v>7</v>
      </c>
      <c r="D18575" t="s">
        <v>14</v>
      </c>
      <c r="E18575" t="s">
        <v>26179</v>
      </c>
    </row>
    <row r="18576" spans="1:6" x14ac:dyDescent="0.25">
      <c r="A18576" t="str">
        <f>"027313653074"</f>
        <v>027313653074</v>
      </c>
      <c r="B18576" t="s">
        <v>26210</v>
      </c>
      <c r="C18576" t="s">
        <v>7</v>
      </c>
      <c r="D18576" t="s">
        <v>12</v>
      </c>
      <c r="E18576" t="s">
        <v>26179</v>
      </c>
    </row>
    <row r="18577" spans="1:6" x14ac:dyDescent="0.25">
      <c r="A18577" t="str">
        <f>"344402018295"</f>
        <v>344402018295</v>
      </c>
      <c r="B18577" t="s">
        <v>26211</v>
      </c>
      <c r="C18577" t="s">
        <v>7</v>
      </c>
      <c r="D18577" t="s">
        <v>14</v>
      </c>
      <c r="E18577" t="s">
        <v>26179</v>
      </c>
    </row>
    <row r="18578" spans="1:6" x14ac:dyDescent="0.25">
      <c r="A18578" t="str">
        <f>"532000028450"</f>
        <v>532000028450</v>
      </c>
      <c r="B18578" t="s">
        <v>26212</v>
      </c>
      <c r="C18578" t="s">
        <v>7</v>
      </c>
      <c r="D18578" t="s">
        <v>14</v>
      </c>
      <c r="E18578" t="s">
        <v>26179</v>
      </c>
    </row>
    <row r="18579" spans="1:6" x14ac:dyDescent="0.25">
      <c r="A18579" t="str">
        <f>"623301846306"</f>
        <v>623301846306</v>
      </c>
      <c r="B18579" t="s">
        <v>26213</v>
      </c>
      <c r="C18579" t="s">
        <v>7</v>
      </c>
      <c r="D18579" t="s">
        <v>12</v>
      </c>
      <c r="E18579" t="s">
        <v>26179</v>
      </c>
    </row>
    <row r="18580" spans="1:6" x14ac:dyDescent="0.25">
      <c r="A18580" t="str">
        <f>"360407228848"</f>
        <v>360407228848</v>
      </c>
      <c r="B18580" t="s">
        <v>26214</v>
      </c>
      <c r="C18580" t="s">
        <v>7</v>
      </c>
      <c r="D18580" t="s">
        <v>33</v>
      </c>
      <c r="E18580" t="s">
        <v>26179</v>
      </c>
    </row>
    <row r="18581" spans="1:6" x14ac:dyDescent="0.25">
      <c r="A18581" t="str">
        <f>"253607759828"</f>
        <v>253607759828</v>
      </c>
      <c r="B18581" t="s">
        <v>26215</v>
      </c>
      <c r="C18581" t="s">
        <v>7</v>
      </c>
      <c r="D18581" t="s">
        <v>14</v>
      </c>
      <c r="E18581" t="s">
        <v>26179</v>
      </c>
    </row>
    <row r="18582" spans="1:6" x14ac:dyDescent="0.25">
      <c r="A18582" t="str">
        <f>"2537070574"</f>
        <v>2537070574</v>
      </c>
      <c r="B18582" t="s">
        <v>26216</v>
      </c>
      <c r="C18582" t="s">
        <v>7</v>
      </c>
      <c r="D18582" t="s">
        <v>674</v>
      </c>
      <c r="E18582" t="s">
        <v>26179</v>
      </c>
      <c r="F18582" t="s">
        <v>26217</v>
      </c>
    </row>
    <row r="18583" spans="1:6" x14ac:dyDescent="0.25">
      <c r="A18583" t="str">
        <f>"780100166401"</f>
        <v>780100166401</v>
      </c>
      <c r="B18583" t="s">
        <v>26218</v>
      </c>
      <c r="C18583" t="s">
        <v>7</v>
      </c>
      <c r="D18583" t="s">
        <v>14</v>
      </c>
      <c r="E18583" t="s">
        <v>26179</v>
      </c>
    </row>
    <row r="18584" spans="1:6" x14ac:dyDescent="0.25">
      <c r="A18584" t="str">
        <f>"7801225231"</f>
        <v>7801225231</v>
      </c>
      <c r="B18584" t="s">
        <v>26219</v>
      </c>
      <c r="C18584" t="s">
        <v>7</v>
      </c>
      <c r="D18584" t="s">
        <v>14</v>
      </c>
      <c r="E18584" t="s">
        <v>26179</v>
      </c>
      <c r="F18584" t="s">
        <v>26220</v>
      </c>
    </row>
    <row r="18585" spans="1:6" x14ac:dyDescent="0.25">
      <c r="A18585" t="str">
        <f>"7801168047"</f>
        <v>7801168047</v>
      </c>
      <c r="B18585" t="s">
        <v>26221</v>
      </c>
      <c r="C18585" t="s">
        <v>7</v>
      </c>
      <c r="D18585" t="s">
        <v>33</v>
      </c>
      <c r="E18585" t="s">
        <v>26179</v>
      </c>
      <c r="F18585" t="s">
        <v>26222</v>
      </c>
    </row>
    <row r="18586" spans="1:6" x14ac:dyDescent="0.25">
      <c r="A18586" t="str">
        <f>"7801214737"</f>
        <v>7801214737</v>
      </c>
      <c r="B18586" t="s">
        <v>26223</v>
      </c>
      <c r="C18586" t="s">
        <v>7</v>
      </c>
      <c r="D18586" t="s">
        <v>8</v>
      </c>
      <c r="E18586" t="s">
        <v>26179</v>
      </c>
      <c r="F18586" t="s">
        <v>26224</v>
      </c>
    </row>
    <row r="18587" spans="1:6" x14ac:dyDescent="0.25">
      <c r="A18587" t="str">
        <f>"7801290431"</f>
        <v>7801290431</v>
      </c>
      <c r="B18587" t="s">
        <v>26225</v>
      </c>
      <c r="C18587" t="s">
        <v>7</v>
      </c>
      <c r="D18587" t="s">
        <v>189</v>
      </c>
      <c r="E18587" t="s">
        <v>26179</v>
      </c>
      <c r="F18587" t="s">
        <v>26226</v>
      </c>
    </row>
    <row r="18588" spans="1:6" x14ac:dyDescent="0.25">
      <c r="A18588" t="str">
        <f>"7801329135"</f>
        <v>7801329135</v>
      </c>
      <c r="B18588" t="s">
        <v>26227</v>
      </c>
      <c r="C18588" t="s">
        <v>7</v>
      </c>
      <c r="D18588" t="s">
        <v>463</v>
      </c>
      <c r="E18588" t="s">
        <v>26179</v>
      </c>
      <c r="F18588" t="s">
        <v>26228</v>
      </c>
    </row>
    <row r="18589" spans="1:6" x14ac:dyDescent="0.25">
      <c r="A18589" t="str">
        <f>"7801445371"</f>
        <v>7801445371</v>
      </c>
      <c r="B18589" t="s">
        <v>26229</v>
      </c>
      <c r="C18589" t="s">
        <v>7</v>
      </c>
      <c r="D18589" t="s">
        <v>12</v>
      </c>
      <c r="E18589" t="s">
        <v>26179</v>
      </c>
      <c r="F18589" t="s">
        <v>26230</v>
      </c>
    </row>
    <row r="18590" spans="1:6" x14ac:dyDescent="0.25">
      <c r="A18590" t="str">
        <f>"780151202295"</f>
        <v>780151202295</v>
      </c>
      <c r="B18590" t="s">
        <v>26231</v>
      </c>
      <c r="C18590" t="s">
        <v>7</v>
      </c>
      <c r="D18590" t="s">
        <v>33</v>
      </c>
      <c r="E18590" t="s">
        <v>26179</v>
      </c>
    </row>
    <row r="18591" spans="1:6" x14ac:dyDescent="0.25">
      <c r="A18591" t="str">
        <f>"7801532391"</f>
        <v>7801532391</v>
      </c>
      <c r="B18591" t="s">
        <v>26232</v>
      </c>
      <c r="C18591" t="s">
        <v>7</v>
      </c>
      <c r="D18591" t="s">
        <v>12</v>
      </c>
      <c r="E18591" t="s">
        <v>26179</v>
      </c>
      <c r="F18591" t="s">
        <v>26233</v>
      </c>
    </row>
    <row r="18592" spans="1:6" x14ac:dyDescent="0.25">
      <c r="A18592" t="str">
        <f>"780155081179"</f>
        <v>780155081179</v>
      </c>
      <c r="B18592" t="s">
        <v>26234</v>
      </c>
      <c r="C18592" t="s">
        <v>7</v>
      </c>
      <c r="D18592" t="s">
        <v>14</v>
      </c>
      <c r="E18592" t="s">
        <v>26179</v>
      </c>
    </row>
    <row r="18593" spans="1:6" x14ac:dyDescent="0.25">
      <c r="A18593" t="str">
        <f>"7801603194"</f>
        <v>7801603194</v>
      </c>
      <c r="B18593" t="s">
        <v>26235</v>
      </c>
      <c r="C18593" t="s">
        <v>7</v>
      </c>
      <c r="D18593" t="s">
        <v>1430</v>
      </c>
      <c r="E18593" t="s">
        <v>26179</v>
      </c>
      <c r="F18593" t="s">
        <v>26236</v>
      </c>
    </row>
    <row r="18594" spans="1:6" x14ac:dyDescent="0.25">
      <c r="A18594" t="str">
        <f>"7801721889"</f>
        <v>7801721889</v>
      </c>
      <c r="B18594" t="s">
        <v>17804</v>
      </c>
      <c r="C18594" t="s">
        <v>7</v>
      </c>
      <c r="D18594" t="s">
        <v>33</v>
      </c>
      <c r="E18594" t="s">
        <v>26179</v>
      </c>
      <c r="F18594" t="s">
        <v>26237</v>
      </c>
    </row>
    <row r="18595" spans="1:6" x14ac:dyDescent="0.25">
      <c r="A18595" t="str">
        <f>"253600810144"</f>
        <v>253600810144</v>
      </c>
      <c r="B18595" t="s">
        <v>26238</v>
      </c>
      <c r="C18595" t="s">
        <v>7</v>
      </c>
      <c r="D18595" t="s">
        <v>14</v>
      </c>
      <c r="E18595" t="s">
        <v>26179</v>
      </c>
    </row>
    <row r="18596" spans="1:6" x14ac:dyDescent="0.25">
      <c r="A18596" t="str">
        <f>"780100219477"</f>
        <v>780100219477</v>
      </c>
      <c r="B18596" t="s">
        <v>26239</v>
      </c>
      <c r="C18596" t="s">
        <v>7</v>
      </c>
      <c r="D18596" t="s">
        <v>14</v>
      </c>
      <c r="E18596" t="s">
        <v>26179</v>
      </c>
    </row>
    <row r="18597" spans="1:6" x14ac:dyDescent="0.25">
      <c r="A18597" t="str">
        <f>"780105483958"</f>
        <v>780105483958</v>
      </c>
      <c r="B18597" t="s">
        <v>26240</v>
      </c>
      <c r="C18597" t="s">
        <v>7</v>
      </c>
      <c r="D18597" t="s">
        <v>12</v>
      </c>
      <c r="E18597" t="s">
        <v>26179</v>
      </c>
    </row>
    <row r="18598" spans="1:6" x14ac:dyDescent="0.25">
      <c r="A18598" t="str">
        <f>"780106850953"</f>
        <v>780106850953</v>
      </c>
      <c r="B18598" t="s">
        <v>26241</v>
      </c>
      <c r="C18598" t="s">
        <v>7</v>
      </c>
      <c r="D18598" t="s">
        <v>12</v>
      </c>
      <c r="E18598" t="s">
        <v>26179</v>
      </c>
    </row>
    <row r="18599" spans="1:6" x14ac:dyDescent="0.25">
      <c r="A18599" t="str">
        <f>"7801288506"</f>
        <v>7801288506</v>
      </c>
      <c r="B18599" t="s">
        <v>26242</v>
      </c>
      <c r="C18599" t="s">
        <v>7</v>
      </c>
      <c r="D18599" t="s">
        <v>12</v>
      </c>
      <c r="E18599" t="s">
        <v>26179</v>
      </c>
      <c r="F18599" t="s">
        <v>26243</v>
      </c>
    </row>
    <row r="18600" spans="1:6" x14ac:dyDescent="0.25">
      <c r="A18600" t="str">
        <f>"7801301299"</f>
        <v>7801301299</v>
      </c>
      <c r="B18600" t="s">
        <v>26244</v>
      </c>
      <c r="C18600" t="s">
        <v>7</v>
      </c>
      <c r="D18600" t="s">
        <v>189</v>
      </c>
      <c r="E18600" t="s">
        <v>26179</v>
      </c>
      <c r="F18600" t="s">
        <v>26245</v>
      </c>
    </row>
    <row r="18601" spans="1:6" x14ac:dyDescent="0.25">
      <c r="A18601" t="str">
        <f>"350801235646"</f>
        <v>350801235646</v>
      </c>
      <c r="B18601" t="s">
        <v>26246</v>
      </c>
      <c r="C18601" t="s">
        <v>7</v>
      </c>
      <c r="D18601" t="s">
        <v>14</v>
      </c>
      <c r="E18601" t="s">
        <v>26179</v>
      </c>
    </row>
    <row r="18602" spans="1:6" x14ac:dyDescent="0.25">
      <c r="A18602" t="str">
        <f>"352526963135"</f>
        <v>352526963135</v>
      </c>
      <c r="B18602" t="s">
        <v>26247</v>
      </c>
      <c r="C18602" t="s">
        <v>7</v>
      </c>
      <c r="D18602" t="s">
        <v>12</v>
      </c>
      <c r="E18602" t="s">
        <v>26179</v>
      </c>
    </row>
    <row r="18603" spans="1:6" x14ac:dyDescent="0.25">
      <c r="A18603" t="str">
        <f>"5406595414"</f>
        <v>5406595414</v>
      </c>
      <c r="B18603" t="s">
        <v>26248</v>
      </c>
      <c r="C18603" t="s">
        <v>7</v>
      </c>
      <c r="D18603" t="s">
        <v>189</v>
      </c>
      <c r="E18603" t="s">
        <v>26179</v>
      </c>
      <c r="F18603" t="s">
        <v>26249</v>
      </c>
    </row>
    <row r="18604" spans="1:6" x14ac:dyDescent="0.25">
      <c r="A18604" t="str">
        <f>"632411199769"</f>
        <v>632411199769</v>
      </c>
      <c r="B18604" t="s">
        <v>26250</v>
      </c>
      <c r="C18604" t="s">
        <v>7</v>
      </c>
      <c r="D18604" t="s">
        <v>674</v>
      </c>
      <c r="E18604" t="s">
        <v>26179</v>
      </c>
    </row>
    <row r="18605" spans="1:6" x14ac:dyDescent="0.25">
      <c r="A18605" t="str">
        <f>"4703105075"</f>
        <v>4703105075</v>
      </c>
      <c r="B18605" t="s">
        <v>26251</v>
      </c>
      <c r="C18605" t="s">
        <v>7</v>
      </c>
      <c r="D18605" t="s">
        <v>33</v>
      </c>
      <c r="E18605" t="s">
        <v>26179</v>
      </c>
      <c r="F18605" t="s">
        <v>26252</v>
      </c>
    </row>
    <row r="18606" spans="1:6" x14ac:dyDescent="0.25">
      <c r="A18606" t="str">
        <f>"470329256241"</f>
        <v>470329256241</v>
      </c>
      <c r="B18606" t="s">
        <v>26253</v>
      </c>
      <c r="C18606" t="s">
        <v>7</v>
      </c>
      <c r="D18606" t="s">
        <v>674</v>
      </c>
      <c r="E18606" t="s">
        <v>26179</v>
      </c>
    </row>
    <row r="18607" spans="1:6" x14ac:dyDescent="0.25">
      <c r="A18607" t="str">
        <f>"470601392380"</f>
        <v>470601392380</v>
      </c>
      <c r="B18607" t="s">
        <v>26254</v>
      </c>
      <c r="C18607" t="s">
        <v>7</v>
      </c>
      <c r="D18607" t="s">
        <v>12</v>
      </c>
      <c r="E18607" t="s">
        <v>26179</v>
      </c>
    </row>
    <row r="18608" spans="1:6" x14ac:dyDescent="0.25">
      <c r="A18608" t="str">
        <f>"471009408881"</f>
        <v>471009408881</v>
      </c>
      <c r="B18608" t="s">
        <v>26255</v>
      </c>
      <c r="C18608" t="s">
        <v>7</v>
      </c>
      <c r="D18608" t="s">
        <v>14</v>
      </c>
      <c r="E18608" t="s">
        <v>26179</v>
      </c>
    </row>
    <row r="18609" spans="1:6" x14ac:dyDescent="0.25">
      <c r="A18609" t="str">
        <f>"471403174470"</f>
        <v>471403174470</v>
      </c>
      <c r="B18609" t="s">
        <v>26256</v>
      </c>
      <c r="C18609" t="s">
        <v>7</v>
      </c>
      <c r="D18609" t="s">
        <v>12</v>
      </c>
      <c r="E18609" t="s">
        <v>26179</v>
      </c>
    </row>
    <row r="18610" spans="1:6" x14ac:dyDescent="0.25">
      <c r="A18610" t="str">
        <f>"780158189124"</f>
        <v>780158189124</v>
      </c>
      <c r="B18610" t="s">
        <v>26257</v>
      </c>
      <c r="C18610" t="s">
        <v>7</v>
      </c>
      <c r="D18610" t="s">
        <v>14</v>
      </c>
      <c r="E18610" t="s">
        <v>26179</v>
      </c>
    </row>
    <row r="18611" spans="1:6" x14ac:dyDescent="0.25">
      <c r="A18611" t="str">
        <f>"780161243533"</f>
        <v>780161243533</v>
      </c>
      <c r="B18611" t="s">
        <v>26258</v>
      </c>
      <c r="C18611" t="s">
        <v>7</v>
      </c>
      <c r="D18611" t="s">
        <v>14</v>
      </c>
      <c r="E18611" t="s">
        <v>26179</v>
      </c>
    </row>
    <row r="18612" spans="1:6" x14ac:dyDescent="0.25">
      <c r="A18612" t="str">
        <f>"780164059003"</f>
        <v>780164059003</v>
      </c>
      <c r="B18612" t="s">
        <v>26259</v>
      </c>
      <c r="C18612" t="s">
        <v>7</v>
      </c>
      <c r="D18612" t="s">
        <v>28</v>
      </c>
      <c r="E18612" t="s">
        <v>26179</v>
      </c>
    </row>
    <row r="18613" spans="1:6" x14ac:dyDescent="0.25">
      <c r="A18613" t="str">
        <f>"7801699070"</f>
        <v>7801699070</v>
      </c>
      <c r="B18613" t="s">
        <v>26260</v>
      </c>
      <c r="C18613" t="s">
        <v>7</v>
      </c>
      <c r="D18613" t="s">
        <v>1430</v>
      </c>
      <c r="E18613" t="s">
        <v>26179</v>
      </c>
      <c r="F18613" t="s">
        <v>26261</v>
      </c>
    </row>
    <row r="18614" spans="1:6" x14ac:dyDescent="0.25">
      <c r="A18614" t="str">
        <f>"7801707965"</f>
        <v>7801707965</v>
      </c>
      <c r="B18614" t="s">
        <v>26262</v>
      </c>
      <c r="C18614" t="s">
        <v>7</v>
      </c>
      <c r="D18614" t="s">
        <v>12</v>
      </c>
      <c r="E18614" t="s">
        <v>26179</v>
      </c>
      <c r="F18614" t="s">
        <v>26263</v>
      </c>
    </row>
    <row r="18615" spans="1:6" x14ac:dyDescent="0.25">
      <c r="A18615" t="str">
        <f>"7801726855"</f>
        <v>7801726855</v>
      </c>
      <c r="B18615" t="s">
        <v>26264</v>
      </c>
      <c r="C18615" t="s">
        <v>7</v>
      </c>
      <c r="D18615" t="s">
        <v>189</v>
      </c>
      <c r="E18615" t="s">
        <v>26179</v>
      </c>
      <c r="F18615" t="s">
        <v>26265</v>
      </c>
    </row>
    <row r="18616" spans="1:6" x14ac:dyDescent="0.25">
      <c r="A18616" t="str">
        <f>"7801739445"</f>
        <v>7801739445</v>
      </c>
      <c r="B18616" t="s">
        <v>26266</v>
      </c>
      <c r="C18616" t="s">
        <v>7</v>
      </c>
      <c r="D18616" t="s">
        <v>189</v>
      </c>
      <c r="E18616" t="s">
        <v>26179</v>
      </c>
      <c r="F18616" t="s">
        <v>26267</v>
      </c>
    </row>
    <row r="18617" spans="1:6" x14ac:dyDescent="0.25">
      <c r="A18617" t="str">
        <f>"7801742952"</f>
        <v>7801742952</v>
      </c>
      <c r="B18617" t="s">
        <v>26268</v>
      </c>
      <c r="C18617" t="s">
        <v>7</v>
      </c>
      <c r="D18617" t="s">
        <v>674</v>
      </c>
      <c r="E18617" t="s">
        <v>26179</v>
      </c>
      <c r="F18617" t="s">
        <v>26269</v>
      </c>
    </row>
    <row r="18618" spans="1:6" x14ac:dyDescent="0.25">
      <c r="A18618" t="str">
        <f>"780206300008"</f>
        <v>780206300008</v>
      </c>
      <c r="B18618" t="s">
        <v>26270</v>
      </c>
      <c r="C18618" t="s">
        <v>7</v>
      </c>
      <c r="D18618" t="s">
        <v>12</v>
      </c>
      <c r="E18618" t="s">
        <v>26179</v>
      </c>
    </row>
    <row r="18619" spans="1:6" x14ac:dyDescent="0.25">
      <c r="A18619" t="str">
        <f>"780214054620"</f>
        <v>780214054620</v>
      </c>
      <c r="B18619" t="s">
        <v>26271</v>
      </c>
      <c r="C18619" t="s">
        <v>7</v>
      </c>
      <c r="D18619" t="s">
        <v>14</v>
      </c>
      <c r="E18619" t="s">
        <v>26179</v>
      </c>
    </row>
    <row r="18620" spans="1:6" x14ac:dyDescent="0.25">
      <c r="A18620" t="str">
        <f>"7802160971"</f>
        <v>7802160971</v>
      </c>
      <c r="B18620" t="s">
        <v>26272</v>
      </c>
      <c r="C18620" t="s">
        <v>7</v>
      </c>
      <c r="D18620" t="s">
        <v>189</v>
      </c>
      <c r="E18620" t="s">
        <v>26179</v>
      </c>
      <c r="F18620" t="s">
        <v>26273</v>
      </c>
    </row>
    <row r="18621" spans="1:6" x14ac:dyDescent="0.25">
      <c r="A18621" t="str">
        <f>"780217287849"</f>
        <v>780217287849</v>
      </c>
      <c r="B18621" t="s">
        <v>26274</v>
      </c>
      <c r="C18621" t="s">
        <v>7</v>
      </c>
      <c r="D18621" t="s">
        <v>14</v>
      </c>
      <c r="E18621" t="s">
        <v>26179</v>
      </c>
    </row>
    <row r="18622" spans="1:6" x14ac:dyDescent="0.25">
      <c r="A18622" t="str">
        <f>"780218888440"</f>
        <v>780218888440</v>
      </c>
      <c r="B18622" t="s">
        <v>26275</v>
      </c>
      <c r="C18622" t="s">
        <v>7</v>
      </c>
      <c r="D18622" t="s">
        <v>14</v>
      </c>
      <c r="E18622" t="s">
        <v>26179</v>
      </c>
    </row>
    <row r="18623" spans="1:6" x14ac:dyDescent="0.25">
      <c r="A18623" t="str">
        <f>"7802205686"</f>
        <v>7802205686</v>
      </c>
      <c r="B18623" t="s">
        <v>26276</v>
      </c>
      <c r="C18623" t="s">
        <v>7</v>
      </c>
      <c r="D18623" t="s">
        <v>33</v>
      </c>
      <c r="E18623" t="s">
        <v>26179</v>
      </c>
      <c r="F18623" t="s">
        <v>26277</v>
      </c>
    </row>
    <row r="18624" spans="1:6" x14ac:dyDescent="0.25">
      <c r="A18624" t="str">
        <f>"7802215003"</f>
        <v>7802215003</v>
      </c>
      <c r="B18624" t="s">
        <v>8445</v>
      </c>
      <c r="C18624" t="s">
        <v>7</v>
      </c>
      <c r="D18624" t="s">
        <v>189</v>
      </c>
      <c r="E18624" t="s">
        <v>26179</v>
      </c>
      <c r="F18624" t="s">
        <v>26278</v>
      </c>
    </row>
    <row r="18625" spans="1:6" x14ac:dyDescent="0.25">
      <c r="A18625" t="str">
        <f>"7802344810"</f>
        <v>7802344810</v>
      </c>
      <c r="B18625" t="s">
        <v>26279</v>
      </c>
      <c r="C18625" t="s">
        <v>7</v>
      </c>
      <c r="D18625" t="s">
        <v>463</v>
      </c>
      <c r="E18625" t="s">
        <v>26179</v>
      </c>
      <c r="F18625" t="s">
        <v>26280</v>
      </c>
    </row>
    <row r="18626" spans="1:6" x14ac:dyDescent="0.25">
      <c r="A18626" t="str">
        <f>"7802383738"</f>
        <v>7802383738</v>
      </c>
      <c r="B18626" t="s">
        <v>26281</v>
      </c>
      <c r="C18626" t="s">
        <v>7</v>
      </c>
      <c r="D18626" t="s">
        <v>12</v>
      </c>
      <c r="E18626" t="s">
        <v>26179</v>
      </c>
      <c r="F18626" t="s">
        <v>26282</v>
      </c>
    </row>
    <row r="18627" spans="1:6" x14ac:dyDescent="0.25">
      <c r="A18627" t="str">
        <f>"7802414986"</f>
        <v>7802414986</v>
      </c>
      <c r="B18627" t="s">
        <v>26283</v>
      </c>
      <c r="C18627" t="s">
        <v>7</v>
      </c>
      <c r="D18627" t="s">
        <v>12</v>
      </c>
      <c r="E18627" t="s">
        <v>26179</v>
      </c>
      <c r="F18627" t="s">
        <v>26284</v>
      </c>
    </row>
    <row r="18628" spans="1:6" x14ac:dyDescent="0.25">
      <c r="A18628" t="str">
        <f>"7802663823"</f>
        <v>7802663823</v>
      </c>
      <c r="B18628" t="s">
        <v>26285</v>
      </c>
      <c r="C18628" t="s">
        <v>7</v>
      </c>
      <c r="D18628" t="s">
        <v>674</v>
      </c>
      <c r="E18628" t="s">
        <v>26179</v>
      </c>
      <c r="F18628" t="s">
        <v>26286</v>
      </c>
    </row>
    <row r="18629" spans="1:6" x14ac:dyDescent="0.25">
      <c r="A18629" t="str">
        <f>"7802687736"</f>
        <v>7802687736</v>
      </c>
      <c r="B18629" t="s">
        <v>11400</v>
      </c>
      <c r="C18629" t="s">
        <v>7</v>
      </c>
      <c r="D18629" t="s">
        <v>14</v>
      </c>
      <c r="E18629" t="s">
        <v>26179</v>
      </c>
      <c r="F18629" t="s">
        <v>26287</v>
      </c>
    </row>
    <row r="18630" spans="1:6" x14ac:dyDescent="0.25">
      <c r="A18630" t="str">
        <f>"7802721761"</f>
        <v>7802721761</v>
      </c>
      <c r="B18630" t="s">
        <v>26288</v>
      </c>
      <c r="C18630" t="s">
        <v>7</v>
      </c>
      <c r="D18630" t="s">
        <v>8</v>
      </c>
      <c r="E18630" t="s">
        <v>26179</v>
      </c>
      <c r="F18630" t="s">
        <v>26289</v>
      </c>
    </row>
    <row r="18631" spans="1:6" x14ac:dyDescent="0.25">
      <c r="A18631" t="str">
        <f>"7802726745"</f>
        <v>7802726745</v>
      </c>
      <c r="B18631" t="s">
        <v>26290</v>
      </c>
      <c r="C18631" t="s">
        <v>7</v>
      </c>
      <c r="D18631" t="s">
        <v>189</v>
      </c>
      <c r="E18631" t="s">
        <v>26179</v>
      </c>
      <c r="F18631" t="s">
        <v>26291</v>
      </c>
    </row>
    <row r="18632" spans="1:6" x14ac:dyDescent="0.25">
      <c r="A18632" t="str">
        <f>"7802826411"</f>
        <v>7802826411</v>
      </c>
      <c r="B18632" t="s">
        <v>26292</v>
      </c>
      <c r="C18632" t="s">
        <v>7</v>
      </c>
      <c r="D18632" t="s">
        <v>98</v>
      </c>
      <c r="E18632" t="s">
        <v>26179</v>
      </c>
      <c r="F18632" t="s">
        <v>26293</v>
      </c>
    </row>
    <row r="18633" spans="1:6" x14ac:dyDescent="0.25">
      <c r="A18633" t="str">
        <f>"7802874510"</f>
        <v>7802874510</v>
      </c>
      <c r="B18633" t="s">
        <v>26294</v>
      </c>
      <c r="C18633" t="s">
        <v>7</v>
      </c>
      <c r="D18633" t="s">
        <v>1430</v>
      </c>
      <c r="E18633" t="s">
        <v>26179</v>
      </c>
      <c r="F18633" t="s">
        <v>26295</v>
      </c>
    </row>
    <row r="18634" spans="1:6" x14ac:dyDescent="0.25">
      <c r="A18634" t="str">
        <f>"7802935234"</f>
        <v>7802935234</v>
      </c>
      <c r="B18634" t="s">
        <v>14929</v>
      </c>
      <c r="C18634" t="s">
        <v>7</v>
      </c>
      <c r="D18634" t="s">
        <v>33</v>
      </c>
      <c r="E18634" t="s">
        <v>26179</v>
      </c>
      <c r="F18634" t="s">
        <v>26296</v>
      </c>
    </row>
    <row r="18635" spans="1:6" x14ac:dyDescent="0.25">
      <c r="A18635" t="str">
        <f>"7802940675"</f>
        <v>7802940675</v>
      </c>
      <c r="B18635" t="s">
        <v>6023</v>
      </c>
      <c r="C18635" t="s">
        <v>7</v>
      </c>
      <c r="D18635" t="s">
        <v>14</v>
      </c>
      <c r="E18635" t="s">
        <v>26179</v>
      </c>
      <c r="F18635" t="s">
        <v>26297</v>
      </c>
    </row>
    <row r="18636" spans="1:6" x14ac:dyDescent="0.25">
      <c r="A18636" t="str">
        <f>"7802948191"</f>
        <v>7802948191</v>
      </c>
      <c r="B18636" t="s">
        <v>12279</v>
      </c>
      <c r="C18636" t="s">
        <v>7</v>
      </c>
      <c r="D18636" t="s">
        <v>12</v>
      </c>
      <c r="E18636" t="s">
        <v>26179</v>
      </c>
      <c r="F18636" t="s">
        <v>26298</v>
      </c>
    </row>
    <row r="18637" spans="1:6" x14ac:dyDescent="0.25">
      <c r="A18637" t="str">
        <f>"7802966063"</f>
        <v>7802966063</v>
      </c>
      <c r="B18637" t="s">
        <v>11560</v>
      </c>
      <c r="C18637" t="s">
        <v>7</v>
      </c>
      <c r="D18637" t="s">
        <v>189</v>
      </c>
      <c r="E18637" t="s">
        <v>26179</v>
      </c>
      <c r="F18637" t="s">
        <v>26299</v>
      </c>
    </row>
    <row r="18638" spans="1:6" x14ac:dyDescent="0.25">
      <c r="A18638" t="str">
        <f>"780400895194"</f>
        <v>780400895194</v>
      </c>
      <c r="B18638" t="s">
        <v>26300</v>
      </c>
      <c r="C18638" t="s">
        <v>7</v>
      </c>
      <c r="D18638" t="s">
        <v>12</v>
      </c>
      <c r="E18638" t="s">
        <v>26179</v>
      </c>
    </row>
    <row r="18639" spans="1:6" x14ac:dyDescent="0.25">
      <c r="A18639" t="str">
        <f>"780402007990"</f>
        <v>780402007990</v>
      </c>
      <c r="B18639" t="s">
        <v>26301</v>
      </c>
      <c r="C18639" t="s">
        <v>7</v>
      </c>
      <c r="D18639" t="s">
        <v>14</v>
      </c>
      <c r="E18639" t="s">
        <v>26179</v>
      </c>
    </row>
    <row r="18640" spans="1:6" x14ac:dyDescent="0.25">
      <c r="A18640" t="str">
        <f>"780413683920"</f>
        <v>780413683920</v>
      </c>
      <c r="B18640" t="s">
        <v>26302</v>
      </c>
      <c r="C18640" t="s">
        <v>7</v>
      </c>
      <c r="D18640" t="s">
        <v>14</v>
      </c>
      <c r="E18640" t="s">
        <v>26179</v>
      </c>
    </row>
    <row r="18641" spans="1:6" x14ac:dyDescent="0.25">
      <c r="A18641" t="str">
        <f>"7804150658"</f>
        <v>7804150658</v>
      </c>
      <c r="B18641" t="s">
        <v>26303</v>
      </c>
      <c r="C18641" t="s">
        <v>7</v>
      </c>
      <c r="D18641" t="s">
        <v>12</v>
      </c>
      <c r="E18641" t="s">
        <v>26179</v>
      </c>
      <c r="F18641" t="s">
        <v>26304</v>
      </c>
    </row>
    <row r="18642" spans="1:6" x14ac:dyDescent="0.25">
      <c r="A18642" t="str">
        <f>"780415249651"</f>
        <v>780415249651</v>
      </c>
      <c r="B18642" t="s">
        <v>26305</v>
      </c>
      <c r="C18642" t="s">
        <v>7</v>
      </c>
      <c r="D18642" t="s">
        <v>14</v>
      </c>
      <c r="E18642" t="s">
        <v>26179</v>
      </c>
    </row>
    <row r="18643" spans="1:6" x14ac:dyDescent="0.25">
      <c r="A18643" t="str">
        <f>"780422820675"</f>
        <v>780422820675</v>
      </c>
      <c r="B18643" t="s">
        <v>26306</v>
      </c>
      <c r="C18643" t="s">
        <v>7</v>
      </c>
      <c r="D18643" t="s">
        <v>12</v>
      </c>
      <c r="E18643" t="s">
        <v>26179</v>
      </c>
    </row>
    <row r="18644" spans="1:6" x14ac:dyDescent="0.25">
      <c r="A18644" t="str">
        <f>"7804369721"</f>
        <v>7804369721</v>
      </c>
      <c r="B18644" t="s">
        <v>26307</v>
      </c>
      <c r="C18644" t="s">
        <v>7</v>
      </c>
      <c r="D18644" t="s">
        <v>33</v>
      </c>
      <c r="E18644" t="s">
        <v>26179</v>
      </c>
      <c r="F18644" t="s">
        <v>26308</v>
      </c>
    </row>
    <row r="18645" spans="1:6" x14ac:dyDescent="0.25">
      <c r="A18645" t="str">
        <f>"7804391879"</f>
        <v>7804391879</v>
      </c>
      <c r="B18645" t="s">
        <v>268</v>
      </c>
      <c r="C18645" t="s">
        <v>7</v>
      </c>
      <c r="D18645" t="s">
        <v>33</v>
      </c>
      <c r="E18645" t="s">
        <v>26179</v>
      </c>
      <c r="F18645" t="s">
        <v>26309</v>
      </c>
    </row>
    <row r="18646" spans="1:6" x14ac:dyDescent="0.25">
      <c r="A18646" t="str">
        <f>"780441421852"</f>
        <v>780441421852</v>
      </c>
      <c r="B18646" t="s">
        <v>26310</v>
      </c>
      <c r="C18646" t="s">
        <v>7</v>
      </c>
      <c r="D18646" t="s">
        <v>12</v>
      </c>
      <c r="E18646" t="s">
        <v>26179</v>
      </c>
    </row>
    <row r="18647" spans="1:6" x14ac:dyDescent="0.25">
      <c r="A18647" t="str">
        <f>"7804485622"</f>
        <v>7804485622</v>
      </c>
      <c r="B18647" t="s">
        <v>26311</v>
      </c>
      <c r="C18647" t="s">
        <v>7</v>
      </c>
      <c r="D18647" t="s">
        <v>14</v>
      </c>
      <c r="E18647" t="s">
        <v>26179</v>
      </c>
      <c r="F18647" t="s">
        <v>26312</v>
      </c>
    </row>
    <row r="18648" spans="1:6" x14ac:dyDescent="0.25">
      <c r="A18648" t="str">
        <f>"780450062342"</f>
        <v>780450062342</v>
      </c>
      <c r="B18648" t="s">
        <v>26313</v>
      </c>
      <c r="C18648" t="s">
        <v>7</v>
      </c>
      <c r="D18648" t="s">
        <v>14</v>
      </c>
      <c r="E18648" t="s">
        <v>26179</v>
      </c>
    </row>
    <row r="18649" spans="1:6" x14ac:dyDescent="0.25">
      <c r="A18649" t="str">
        <f>"7804515690"</f>
        <v>7804515690</v>
      </c>
      <c r="B18649" t="s">
        <v>26314</v>
      </c>
      <c r="C18649" t="s">
        <v>7</v>
      </c>
      <c r="D18649" t="s">
        <v>146</v>
      </c>
      <c r="E18649" t="s">
        <v>26179</v>
      </c>
      <c r="F18649" t="s">
        <v>26315</v>
      </c>
    </row>
    <row r="18650" spans="1:6" x14ac:dyDescent="0.25">
      <c r="A18650" t="str">
        <f>"7804545695"</f>
        <v>7804545695</v>
      </c>
      <c r="B18650" t="s">
        <v>26316</v>
      </c>
      <c r="C18650" t="s">
        <v>7</v>
      </c>
      <c r="D18650" t="s">
        <v>14</v>
      </c>
      <c r="E18650" t="s">
        <v>26179</v>
      </c>
      <c r="F18650" t="s">
        <v>26317</v>
      </c>
    </row>
    <row r="18651" spans="1:6" x14ac:dyDescent="0.25">
      <c r="A18651" t="str">
        <f>"7804635042"</f>
        <v>7804635042</v>
      </c>
      <c r="B18651" t="s">
        <v>26318</v>
      </c>
      <c r="C18651" t="s">
        <v>7</v>
      </c>
      <c r="D18651" t="s">
        <v>33</v>
      </c>
      <c r="E18651" t="s">
        <v>26179</v>
      </c>
      <c r="F18651" t="s">
        <v>26319</v>
      </c>
    </row>
    <row r="18652" spans="1:6" x14ac:dyDescent="0.25">
      <c r="A18652" t="str">
        <f>"7804636494"</f>
        <v>7804636494</v>
      </c>
      <c r="B18652" t="s">
        <v>26320</v>
      </c>
      <c r="C18652" t="s">
        <v>7</v>
      </c>
      <c r="D18652" t="s">
        <v>14</v>
      </c>
      <c r="E18652" t="s">
        <v>26179</v>
      </c>
      <c r="F18652" t="s">
        <v>26321</v>
      </c>
    </row>
    <row r="18653" spans="1:6" x14ac:dyDescent="0.25">
      <c r="A18653" t="str">
        <f>"7804663120"</f>
        <v>7804663120</v>
      </c>
      <c r="B18653" t="s">
        <v>26322</v>
      </c>
      <c r="C18653" t="s">
        <v>7</v>
      </c>
      <c r="D18653" t="s">
        <v>146</v>
      </c>
      <c r="E18653" t="s">
        <v>26179</v>
      </c>
      <c r="F18653" t="s">
        <v>26323</v>
      </c>
    </row>
    <row r="18654" spans="1:6" x14ac:dyDescent="0.25">
      <c r="A18654" t="str">
        <f>"7804667943"</f>
        <v>7804667943</v>
      </c>
      <c r="B18654" t="s">
        <v>26324</v>
      </c>
      <c r="C18654" t="s">
        <v>7</v>
      </c>
      <c r="D18654" t="s">
        <v>14</v>
      </c>
      <c r="E18654" t="s">
        <v>26179</v>
      </c>
      <c r="F18654" t="s">
        <v>26325</v>
      </c>
    </row>
    <row r="18655" spans="1:6" x14ac:dyDescent="0.25">
      <c r="A18655" t="str">
        <f>"7804674845"</f>
        <v>7804674845</v>
      </c>
      <c r="B18655" t="s">
        <v>26326</v>
      </c>
      <c r="C18655" t="s">
        <v>7</v>
      </c>
      <c r="D18655" t="s">
        <v>14</v>
      </c>
      <c r="E18655" t="s">
        <v>26179</v>
      </c>
      <c r="F18655" t="s">
        <v>26327</v>
      </c>
    </row>
    <row r="18656" spans="1:6" x14ac:dyDescent="0.25">
      <c r="A18656" t="str">
        <f>"7804702588"</f>
        <v>7804702588</v>
      </c>
      <c r="B18656" t="s">
        <v>26328</v>
      </c>
      <c r="C18656" t="s">
        <v>7</v>
      </c>
      <c r="D18656" t="s">
        <v>33</v>
      </c>
      <c r="E18656" t="s">
        <v>26179</v>
      </c>
      <c r="F18656" t="s">
        <v>26329</v>
      </c>
    </row>
    <row r="18657" spans="1:6" x14ac:dyDescent="0.25">
      <c r="A18657" t="str">
        <f>"7804703849"</f>
        <v>7804703849</v>
      </c>
      <c r="B18657" t="s">
        <v>26330</v>
      </c>
      <c r="C18657" t="s">
        <v>7</v>
      </c>
      <c r="D18657" t="s">
        <v>14</v>
      </c>
      <c r="E18657" t="s">
        <v>26179</v>
      </c>
      <c r="F18657" t="s">
        <v>26331</v>
      </c>
    </row>
    <row r="18658" spans="1:6" x14ac:dyDescent="0.25">
      <c r="A18658" t="str">
        <f>"7805016694"</f>
        <v>7805016694</v>
      </c>
      <c r="B18658" t="s">
        <v>14647</v>
      </c>
      <c r="C18658" t="s">
        <v>7</v>
      </c>
      <c r="D18658" t="s">
        <v>28</v>
      </c>
      <c r="E18658" t="s">
        <v>26179</v>
      </c>
      <c r="F18658" t="s">
        <v>26332</v>
      </c>
    </row>
    <row r="18659" spans="1:6" x14ac:dyDescent="0.25">
      <c r="A18659" t="str">
        <f>"7805076598"</f>
        <v>7805076598</v>
      </c>
      <c r="B18659" t="s">
        <v>26333</v>
      </c>
      <c r="C18659" t="s">
        <v>7</v>
      </c>
      <c r="D18659" t="s">
        <v>189</v>
      </c>
      <c r="E18659" t="s">
        <v>26179</v>
      </c>
      <c r="F18659" t="s">
        <v>26334</v>
      </c>
    </row>
    <row r="18660" spans="1:6" x14ac:dyDescent="0.25">
      <c r="A18660" t="str">
        <f>"7805134458"</f>
        <v>7805134458</v>
      </c>
      <c r="B18660" t="s">
        <v>26335</v>
      </c>
      <c r="C18660" t="s">
        <v>7</v>
      </c>
      <c r="D18660" t="s">
        <v>33</v>
      </c>
      <c r="E18660" t="s">
        <v>26179</v>
      </c>
      <c r="F18660" t="s">
        <v>26336</v>
      </c>
    </row>
    <row r="18661" spans="1:6" x14ac:dyDescent="0.25">
      <c r="A18661" t="str">
        <f>"780518559662"</f>
        <v>780518559662</v>
      </c>
      <c r="B18661" t="s">
        <v>26337</v>
      </c>
      <c r="C18661" t="s">
        <v>7</v>
      </c>
      <c r="D18661" t="s">
        <v>14</v>
      </c>
      <c r="E18661" t="s">
        <v>26179</v>
      </c>
    </row>
    <row r="18662" spans="1:6" x14ac:dyDescent="0.25">
      <c r="A18662" t="str">
        <f>"780524103282"</f>
        <v>780524103282</v>
      </c>
      <c r="B18662" t="s">
        <v>26338</v>
      </c>
      <c r="C18662" t="s">
        <v>7</v>
      </c>
      <c r="D18662" t="s">
        <v>14</v>
      </c>
      <c r="E18662" t="s">
        <v>26179</v>
      </c>
    </row>
    <row r="18663" spans="1:6" x14ac:dyDescent="0.25">
      <c r="A18663" t="str">
        <f>"780528156207"</f>
        <v>780528156207</v>
      </c>
      <c r="B18663" t="s">
        <v>26339</v>
      </c>
      <c r="C18663" t="s">
        <v>7</v>
      </c>
      <c r="D18663" t="s">
        <v>12</v>
      </c>
      <c r="E18663" t="s">
        <v>26179</v>
      </c>
    </row>
    <row r="18664" spans="1:6" x14ac:dyDescent="0.25">
      <c r="A18664" t="str">
        <f>"7805288112"</f>
        <v>7805288112</v>
      </c>
      <c r="B18664" t="s">
        <v>26340</v>
      </c>
      <c r="C18664" t="s">
        <v>7</v>
      </c>
      <c r="D18664" t="s">
        <v>189</v>
      </c>
      <c r="E18664" t="s">
        <v>26179</v>
      </c>
      <c r="F18664" t="s">
        <v>26341</v>
      </c>
    </row>
    <row r="18665" spans="1:6" x14ac:dyDescent="0.25">
      <c r="A18665" t="str">
        <f>"7805288240"</f>
        <v>7805288240</v>
      </c>
      <c r="B18665" t="s">
        <v>26342</v>
      </c>
      <c r="C18665" t="s">
        <v>7</v>
      </c>
      <c r="D18665" t="s">
        <v>14</v>
      </c>
      <c r="E18665" t="s">
        <v>26179</v>
      </c>
      <c r="F18665" t="s">
        <v>26343</v>
      </c>
    </row>
    <row r="18666" spans="1:6" x14ac:dyDescent="0.25">
      <c r="A18666" t="str">
        <f>"7805319850"</f>
        <v>7805319850</v>
      </c>
      <c r="B18666" t="s">
        <v>26344</v>
      </c>
      <c r="C18666" t="s">
        <v>7</v>
      </c>
      <c r="D18666" t="s">
        <v>33</v>
      </c>
      <c r="E18666" t="s">
        <v>26179</v>
      </c>
      <c r="F18666" t="s">
        <v>26345</v>
      </c>
    </row>
    <row r="18667" spans="1:6" x14ac:dyDescent="0.25">
      <c r="A18667" t="str">
        <f>"780532940710"</f>
        <v>780532940710</v>
      </c>
      <c r="B18667" t="s">
        <v>26346</v>
      </c>
      <c r="C18667" t="s">
        <v>7</v>
      </c>
      <c r="D18667" t="s">
        <v>14</v>
      </c>
      <c r="E18667" t="s">
        <v>26179</v>
      </c>
    </row>
    <row r="18668" spans="1:6" x14ac:dyDescent="0.25">
      <c r="A18668" t="str">
        <f>"7805337754"</f>
        <v>7805337754</v>
      </c>
      <c r="B18668" t="s">
        <v>26347</v>
      </c>
      <c r="C18668" t="s">
        <v>7</v>
      </c>
      <c r="D18668" t="s">
        <v>33</v>
      </c>
      <c r="E18668" t="s">
        <v>26179</v>
      </c>
      <c r="F18668" t="s">
        <v>26348</v>
      </c>
    </row>
    <row r="18669" spans="1:6" x14ac:dyDescent="0.25">
      <c r="A18669" t="str">
        <f>"780534757693"</f>
        <v>780534757693</v>
      </c>
      <c r="B18669" t="s">
        <v>26349</v>
      </c>
      <c r="C18669" t="s">
        <v>7</v>
      </c>
      <c r="D18669" t="s">
        <v>14</v>
      </c>
      <c r="E18669" t="s">
        <v>26179</v>
      </c>
    </row>
    <row r="18670" spans="1:6" x14ac:dyDescent="0.25">
      <c r="A18670" t="str">
        <f>"7805366530"</f>
        <v>7805366530</v>
      </c>
      <c r="B18670" t="s">
        <v>26350</v>
      </c>
      <c r="C18670" t="s">
        <v>7</v>
      </c>
      <c r="D18670" t="s">
        <v>28</v>
      </c>
      <c r="E18670" t="s">
        <v>26179</v>
      </c>
      <c r="F18670" t="s">
        <v>26351</v>
      </c>
    </row>
    <row r="18671" spans="1:6" x14ac:dyDescent="0.25">
      <c r="A18671" t="str">
        <f>"7805426764"</f>
        <v>7805426764</v>
      </c>
      <c r="B18671" t="s">
        <v>26352</v>
      </c>
      <c r="C18671" t="s">
        <v>7</v>
      </c>
      <c r="D18671" t="s">
        <v>28</v>
      </c>
      <c r="E18671" t="s">
        <v>26179</v>
      </c>
      <c r="F18671" t="s">
        <v>26353</v>
      </c>
    </row>
    <row r="18672" spans="1:6" x14ac:dyDescent="0.25">
      <c r="A18672" t="str">
        <f>"7805429684"</f>
        <v>7805429684</v>
      </c>
      <c r="B18672" t="s">
        <v>26354</v>
      </c>
      <c r="C18672" t="s">
        <v>7</v>
      </c>
      <c r="D18672" t="s">
        <v>674</v>
      </c>
      <c r="E18672" t="s">
        <v>26179</v>
      </c>
      <c r="F18672" t="s">
        <v>26355</v>
      </c>
    </row>
    <row r="18673" spans="1:6" x14ac:dyDescent="0.25">
      <c r="A18673" t="str">
        <f>"7805488753"</f>
        <v>7805488753</v>
      </c>
      <c r="B18673" t="s">
        <v>26356</v>
      </c>
      <c r="C18673" t="s">
        <v>7</v>
      </c>
      <c r="D18673" t="s">
        <v>33</v>
      </c>
      <c r="E18673" t="s">
        <v>26179</v>
      </c>
      <c r="F18673" t="s">
        <v>26357</v>
      </c>
    </row>
    <row r="18674" spans="1:6" x14ac:dyDescent="0.25">
      <c r="A18674" t="str">
        <f>"7805600821"</f>
        <v>7805600821</v>
      </c>
      <c r="B18674" t="s">
        <v>26358</v>
      </c>
      <c r="C18674" t="s">
        <v>7</v>
      </c>
      <c r="D18674" t="s">
        <v>33</v>
      </c>
      <c r="E18674" t="s">
        <v>26179</v>
      </c>
      <c r="F18674" t="s">
        <v>26359</v>
      </c>
    </row>
    <row r="18675" spans="1:6" x14ac:dyDescent="0.25">
      <c r="A18675" t="str">
        <f>"7805645043"</f>
        <v>7805645043</v>
      </c>
      <c r="B18675" t="s">
        <v>26360</v>
      </c>
      <c r="C18675" t="s">
        <v>7</v>
      </c>
      <c r="D18675" t="s">
        <v>33</v>
      </c>
      <c r="E18675" t="s">
        <v>26179</v>
      </c>
      <c r="F18675" t="s">
        <v>26361</v>
      </c>
    </row>
    <row r="18676" spans="1:6" x14ac:dyDescent="0.25">
      <c r="A18676" t="str">
        <f>"7805676250"</f>
        <v>7805676250</v>
      </c>
      <c r="B18676" t="s">
        <v>26362</v>
      </c>
      <c r="C18676" t="s">
        <v>7</v>
      </c>
      <c r="D18676" t="s">
        <v>146</v>
      </c>
      <c r="E18676" t="s">
        <v>26179</v>
      </c>
      <c r="F18676" t="s">
        <v>26363</v>
      </c>
    </row>
    <row r="18677" spans="1:6" x14ac:dyDescent="0.25">
      <c r="A18677" t="str">
        <f>"7805752165"</f>
        <v>7805752165</v>
      </c>
      <c r="B18677" t="s">
        <v>8708</v>
      </c>
      <c r="C18677" t="s">
        <v>7</v>
      </c>
      <c r="D18677" t="s">
        <v>14</v>
      </c>
      <c r="E18677" t="s">
        <v>26179</v>
      </c>
      <c r="F18677" t="s">
        <v>26364</v>
      </c>
    </row>
    <row r="18678" spans="1:6" x14ac:dyDescent="0.25">
      <c r="A18678" t="str">
        <f>"7805756272"</f>
        <v>7805756272</v>
      </c>
      <c r="B18678" t="s">
        <v>3255</v>
      </c>
      <c r="C18678" t="s">
        <v>7</v>
      </c>
      <c r="D18678" t="s">
        <v>189</v>
      </c>
      <c r="E18678" t="s">
        <v>26179</v>
      </c>
      <c r="F18678" t="s">
        <v>26365</v>
      </c>
    </row>
    <row r="18679" spans="1:6" x14ac:dyDescent="0.25">
      <c r="A18679" t="str">
        <f>"7805778727"</f>
        <v>7805778727</v>
      </c>
      <c r="B18679" t="s">
        <v>26366</v>
      </c>
      <c r="C18679" t="s">
        <v>7</v>
      </c>
      <c r="D18679" t="s">
        <v>12</v>
      </c>
      <c r="E18679" t="s">
        <v>26179</v>
      </c>
      <c r="F18679" t="s">
        <v>26367</v>
      </c>
    </row>
    <row r="18680" spans="1:6" x14ac:dyDescent="0.25">
      <c r="A18680" t="str">
        <f>"7805799004"</f>
        <v>7805799004</v>
      </c>
      <c r="B18680" t="s">
        <v>26368</v>
      </c>
      <c r="C18680" t="s">
        <v>7</v>
      </c>
      <c r="D18680" t="s">
        <v>14</v>
      </c>
      <c r="E18680" t="s">
        <v>26179</v>
      </c>
      <c r="F18680" t="s">
        <v>26369</v>
      </c>
    </row>
    <row r="18681" spans="1:6" x14ac:dyDescent="0.25">
      <c r="A18681" t="str">
        <f>"7805801084"</f>
        <v>7805801084</v>
      </c>
      <c r="B18681" t="s">
        <v>22324</v>
      </c>
      <c r="C18681" t="s">
        <v>7</v>
      </c>
      <c r="D18681" t="s">
        <v>12</v>
      </c>
      <c r="E18681" t="s">
        <v>26179</v>
      </c>
      <c r="F18681" t="s">
        <v>26370</v>
      </c>
    </row>
    <row r="18682" spans="1:6" x14ac:dyDescent="0.25">
      <c r="A18682" t="str">
        <f>"7805802088"</f>
        <v>7805802088</v>
      </c>
      <c r="B18682" t="s">
        <v>26371</v>
      </c>
      <c r="C18682" t="s">
        <v>7</v>
      </c>
      <c r="D18682" t="s">
        <v>33</v>
      </c>
      <c r="E18682" t="s">
        <v>26179</v>
      </c>
      <c r="F18682" t="s">
        <v>26372</v>
      </c>
    </row>
    <row r="18683" spans="1:6" x14ac:dyDescent="0.25">
      <c r="A18683" t="str">
        <f>"7805802514"</f>
        <v>7805802514</v>
      </c>
      <c r="B18683" t="s">
        <v>26373</v>
      </c>
      <c r="C18683" t="s">
        <v>7</v>
      </c>
      <c r="D18683" t="s">
        <v>33</v>
      </c>
      <c r="E18683" t="s">
        <v>26179</v>
      </c>
      <c r="F18683" t="s">
        <v>26374</v>
      </c>
    </row>
    <row r="18684" spans="1:6" x14ac:dyDescent="0.25">
      <c r="A18684" t="str">
        <f>"7805813611"</f>
        <v>7805813611</v>
      </c>
      <c r="B18684" t="s">
        <v>26375</v>
      </c>
      <c r="C18684" t="s">
        <v>7</v>
      </c>
      <c r="D18684" t="s">
        <v>33</v>
      </c>
      <c r="E18684" t="s">
        <v>26179</v>
      </c>
      <c r="F18684" t="s">
        <v>26376</v>
      </c>
    </row>
    <row r="18685" spans="1:6" x14ac:dyDescent="0.25">
      <c r="A18685" t="str">
        <f>"780605636313"</f>
        <v>780605636313</v>
      </c>
      <c r="B18685" t="s">
        <v>26377</v>
      </c>
      <c r="C18685" t="s">
        <v>7</v>
      </c>
      <c r="D18685" t="s">
        <v>12</v>
      </c>
      <c r="E18685" t="s">
        <v>26179</v>
      </c>
    </row>
    <row r="18686" spans="1:6" x14ac:dyDescent="0.25">
      <c r="A18686" t="str">
        <f>"780607835561"</f>
        <v>780607835561</v>
      </c>
      <c r="B18686" t="s">
        <v>26378</v>
      </c>
      <c r="C18686" t="s">
        <v>7</v>
      </c>
      <c r="D18686" t="s">
        <v>12</v>
      </c>
      <c r="E18686" t="s">
        <v>26179</v>
      </c>
    </row>
    <row r="18687" spans="1:6" x14ac:dyDescent="0.25">
      <c r="A18687" t="str">
        <f>"780609505992"</f>
        <v>780609505992</v>
      </c>
      <c r="B18687" t="s">
        <v>26379</v>
      </c>
      <c r="C18687" t="s">
        <v>7</v>
      </c>
      <c r="D18687" t="s">
        <v>14</v>
      </c>
      <c r="E18687" t="s">
        <v>26179</v>
      </c>
    </row>
    <row r="18688" spans="1:6" x14ac:dyDescent="0.25">
      <c r="A18688" t="str">
        <f>"780610449037"</f>
        <v>780610449037</v>
      </c>
      <c r="B18688" t="s">
        <v>26380</v>
      </c>
      <c r="C18688" t="s">
        <v>7</v>
      </c>
      <c r="D18688" t="s">
        <v>14</v>
      </c>
      <c r="E18688" t="s">
        <v>26179</v>
      </c>
    </row>
    <row r="18689" spans="1:6" x14ac:dyDescent="0.25">
      <c r="A18689" t="str">
        <f>"470309514102"</f>
        <v>470309514102</v>
      </c>
      <c r="B18689" t="s">
        <v>26381</v>
      </c>
      <c r="C18689" t="s">
        <v>7</v>
      </c>
      <c r="D18689" t="s">
        <v>14</v>
      </c>
      <c r="E18689" t="s">
        <v>26179</v>
      </c>
    </row>
    <row r="18690" spans="1:6" x14ac:dyDescent="0.25">
      <c r="A18690" t="str">
        <f>"4705065340"</f>
        <v>4705065340</v>
      </c>
      <c r="B18690" t="s">
        <v>26382</v>
      </c>
      <c r="C18690" t="s">
        <v>7</v>
      </c>
      <c r="D18690" t="s">
        <v>14</v>
      </c>
      <c r="E18690" t="s">
        <v>26179</v>
      </c>
      <c r="F18690" t="s">
        <v>26383</v>
      </c>
    </row>
    <row r="18691" spans="1:6" x14ac:dyDescent="0.25">
      <c r="A18691" t="str">
        <f>"471005468505"</f>
        <v>471005468505</v>
      </c>
      <c r="B18691" t="s">
        <v>26384</v>
      </c>
      <c r="C18691" t="s">
        <v>7</v>
      </c>
      <c r="D18691" t="s">
        <v>14</v>
      </c>
      <c r="E18691" t="s">
        <v>26179</v>
      </c>
    </row>
    <row r="18692" spans="1:6" x14ac:dyDescent="0.25">
      <c r="A18692" t="str">
        <f>"471420649853"</f>
        <v>471420649853</v>
      </c>
      <c r="B18692" t="s">
        <v>26385</v>
      </c>
      <c r="C18692" t="s">
        <v>7</v>
      </c>
      <c r="D18692" t="s">
        <v>12</v>
      </c>
      <c r="E18692" t="s">
        <v>26179</v>
      </c>
    </row>
    <row r="18693" spans="1:6" x14ac:dyDescent="0.25">
      <c r="A18693" t="str">
        <f>"471600006562"</f>
        <v>471600006562</v>
      </c>
      <c r="B18693" t="s">
        <v>26386</v>
      </c>
      <c r="C18693" t="s">
        <v>7</v>
      </c>
      <c r="D18693" t="s">
        <v>14</v>
      </c>
      <c r="E18693" t="s">
        <v>26179</v>
      </c>
    </row>
    <row r="18694" spans="1:6" x14ac:dyDescent="0.25">
      <c r="A18694" t="str">
        <f>"471703558413"</f>
        <v>471703558413</v>
      </c>
      <c r="B18694" t="s">
        <v>26387</v>
      </c>
      <c r="C18694" t="s">
        <v>7</v>
      </c>
      <c r="D18694" t="s">
        <v>14</v>
      </c>
      <c r="E18694" t="s">
        <v>26179</v>
      </c>
    </row>
    <row r="18695" spans="1:6" x14ac:dyDescent="0.25">
      <c r="A18695" t="str">
        <f>"7801740680"</f>
        <v>7801740680</v>
      </c>
      <c r="B18695" t="s">
        <v>26388</v>
      </c>
      <c r="C18695" t="s">
        <v>7</v>
      </c>
      <c r="D18695" t="s">
        <v>189</v>
      </c>
      <c r="E18695" t="s">
        <v>26179</v>
      </c>
      <c r="F18695" t="s">
        <v>26389</v>
      </c>
    </row>
    <row r="18696" spans="1:6" x14ac:dyDescent="0.25">
      <c r="A18696" t="str">
        <f>"780200113844"</f>
        <v>780200113844</v>
      </c>
      <c r="B18696" t="s">
        <v>26390</v>
      </c>
      <c r="C18696" t="s">
        <v>7</v>
      </c>
      <c r="D18696" t="s">
        <v>14</v>
      </c>
      <c r="E18696" t="s">
        <v>26179</v>
      </c>
    </row>
    <row r="18697" spans="1:6" x14ac:dyDescent="0.25">
      <c r="A18697" t="str">
        <f>"780215059967"</f>
        <v>780215059967</v>
      </c>
      <c r="B18697" t="s">
        <v>26391</v>
      </c>
      <c r="C18697" t="s">
        <v>7</v>
      </c>
      <c r="D18697" t="s">
        <v>12</v>
      </c>
      <c r="E18697" t="s">
        <v>26179</v>
      </c>
    </row>
    <row r="18698" spans="1:6" x14ac:dyDescent="0.25">
      <c r="A18698" t="str">
        <f>"780216916477"</f>
        <v>780216916477</v>
      </c>
      <c r="B18698" t="s">
        <v>26392</v>
      </c>
      <c r="C18698" t="s">
        <v>7</v>
      </c>
      <c r="D18698" t="s">
        <v>14</v>
      </c>
      <c r="E18698" t="s">
        <v>26179</v>
      </c>
    </row>
    <row r="18699" spans="1:6" x14ac:dyDescent="0.25">
      <c r="A18699" t="str">
        <f>"7802266181"</f>
        <v>7802266181</v>
      </c>
      <c r="B18699" t="s">
        <v>26393</v>
      </c>
      <c r="C18699" t="s">
        <v>7</v>
      </c>
      <c r="D18699" t="s">
        <v>12</v>
      </c>
      <c r="E18699" t="s">
        <v>26179</v>
      </c>
      <c r="F18699" t="s">
        <v>26394</v>
      </c>
    </row>
    <row r="18700" spans="1:6" x14ac:dyDescent="0.25">
      <c r="A18700" t="str">
        <f>"780228144680"</f>
        <v>780228144680</v>
      </c>
      <c r="B18700" t="s">
        <v>26395</v>
      </c>
      <c r="C18700" t="s">
        <v>7</v>
      </c>
      <c r="D18700" t="s">
        <v>14</v>
      </c>
      <c r="E18700" t="s">
        <v>26179</v>
      </c>
    </row>
    <row r="18701" spans="1:6" x14ac:dyDescent="0.25">
      <c r="A18701" t="str">
        <f>"7802393951"</f>
        <v>7802393951</v>
      </c>
      <c r="B18701" t="s">
        <v>26396</v>
      </c>
      <c r="C18701" t="s">
        <v>7</v>
      </c>
      <c r="D18701" t="s">
        <v>12</v>
      </c>
      <c r="E18701" t="s">
        <v>26179</v>
      </c>
      <c r="F18701" t="s">
        <v>26284</v>
      </c>
    </row>
    <row r="18702" spans="1:6" x14ac:dyDescent="0.25">
      <c r="A18702" t="str">
        <f>"780244231884"</f>
        <v>780244231884</v>
      </c>
      <c r="B18702" t="s">
        <v>26397</v>
      </c>
      <c r="C18702" t="s">
        <v>7</v>
      </c>
      <c r="D18702" t="s">
        <v>12</v>
      </c>
      <c r="E18702" t="s">
        <v>26179</v>
      </c>
    </row>
    <row r="18703" spans="1:6" x14ac:dyDescent="0.25">
      <c r="A18703" t="str">
        <f>"780247162974"</f>
        <v>780247162974</v>
      </c>
      <c r="B18703" t="s">
        <v>26398</v>
      </c>
      <c r="C18703" t="s">
        <v>7</v>
      </c>
      <c r="D18703" t="s">
        <v>463</v>
      </c>
      <c r="E18703" t="s">
        <v>26179</v>
      </c>
    </row>
    <row r="18704" spans="1:6" x14ac:dyDescent="0.25">
      <c r="A18704" t="str">
        <f>"780247428504"</f>
        <v>780247428504</v>
      </c>
      <c r="B18704" t="s">
        <v>26399</v>
      </c>
      <c r="C18704" t="s">
        <v>7</v>
      </c>
      <c r="D18704" t="s">
        <v>463</v>
      </c>
      <c r="E18704" t="s">
        <v>26179</v>
      </c>
    </row>
    <row r="18705" spans="1:6" x14ac:dyDescent="0.25">
      <c r="A18705" t="str">
        <f>"7802524996"</f>
        <v>7802524996</v>
      </c>
      <c r="B18705" t="s">
        <v>26400</v>
      </c>
      <c r="C18705" t="s">
        <v>7</v>
      </c>
      <c r="D18705" t="s">
        <v>14</v>
      </c>
      <c r="E18705" t="s">
        <v>26179</v>
      </c>
      <c r="F18705" t="s">
        <v>26401</v>
      </c>
    </row>
    <row r="18706" spans="1:6" x14ac:dyDescent="0.25">
      <c r="A18706" t="str">
        <f>"7802539618"</f>
        <v>7802539618</v>
      </c>
      <c r="B18706" t="s">
        <v>26402</v>
      </c>
      <c r="C18706" t="s">
        <v>7</v>
      </c>
      <c r="D18706" t="s">
        <v>8</v>
      </c>
      <c r="E18706" t="s">
        <v>26179</v>
      </c>
      <c r="F18706" t="s">
        <v>26403</v>
      </c>
    </row>
    <row r="18707" spans="1:6" x14ac:dyDescent="0.25">
      <c r="A18707" t="str">
        <f>"7802565167"</f>
        <v>7802565167</v>
      </c>
      <c r="B18707" t="s">
        <v>26404</v>
      </c>
      <c r="C18707" t="s">
        <v>7</v>
      </c>
      <c r="D18707" t="s">
        <v>98</v>
      </c>
      <c r="E18707" t="s">
        <v>26179</v>
      </c>
      <c r="F18707" t="s">
        <v>26405</v>
      </c>
    </row>
    <row r="18708" spans="1:6" x14ac:dyDescent="0.25">
      <c r="A18708" t="str">
        <f>"7802638626"</f>
        <v>7802638626</v>
      </c>
      <c r="B18708" t="s">
        <v>26406</v>
      </c>
      <c r="C18708" t="s">
        <v>7</v>
      </c>
      <c r="D18708" t="s">
        <v>14</v>
      </c>
      <c r="E18708" t="s">
        <v>26179</v>
      </c>
      <c r="F18708" t="s">
        <v>26407</v>
      </c>
    </row>
    <row r="18709" spans="1:6" x14ac:dyDescent="0.25">
      <c r="A18709" t="str">
        <f>"7802696402"</f>
        <v>7802696402</v>
      </c>
      <c r="B18709" t="s">
        <v>26408</v>
      </c>
      <c r="C18709" t="s">
        <v>7</v>
      </c>
      <c r="D18709" t="s">
        <v>12</v>
      </c>
      <c r="E18709" t="s">
        <v>26179</v>
      </c>
      <c r="F18709" t="s">
        <v>26409</v>
      </c>
    </row>
    <row r="18710" spans="1:6" x14ac:dyDescent="0.25">
      <c r="A18710" t="str">
        <f>"7802718127"</f>
        <v>7802718127</v>
      </c>
      <c r="B18710" t="s">
        <v>26410</v>
      </c>
      <c r="C18710" t="s">
        <v>7</v>
      </c>
      <c r="D18710" t="s">
        <v>28</v>
      </c>
      <c r="E18710" t="s">
        <v>26179</v>
      </c>
      <c r="F18710" t="s">
        <v>26411</v>
      </c>
    </row>
    <row r="18711" spans="1:6" x14ac:dyDescent="0.25">
      <c r="A18711" t="str">
        <f>"7802751011"</f>
        <v>7802751011</v>
      </c>
      <c r="B18711" t="s">
        <v>13326</v>
      </c>
      <c r="C18711" t="s">
        <v>7</v>
      </c>
      <c r="D18711" t="s">
        <v>12</v>
      </c>
      <c r="E18711" t="s">
        <v>26179</v>
      </c>
      <c r="F18711" t="s">
        <v>26412</v>
      </c>
    </row>
    <row r="18712" spans="1:6" x14ac:dyDescent="0.25">
      <c r="A18712" t="str">
        <f>"7802841427"</f>
        <v>7802841427</v>
      </c>
      <c r="B18712" t="s">
        <v>26413</v>
      </c>
      <c r="C18712" t="s">
        <v>7</v>
      </c>
      <c r="D18712" t="s">
        <v>33</v>
      </c>
      <c r="E18712" t="s">
        <v>26179</v>
      </c>
      <c r="F18712" t="s">
        <v>26414</v>
      </c>
    </row>
    <row r="18713" spans="1:6" x14ac:dyDescent="0.25">
      <c r="A18713" t="str">
        <f>"7802876853"</f>
        <v>7802876853</v>
      </c>
      <c r="B18713" t="s">
        <v>26415</v>
      </c>
      <c r="C18713" t="s">
        <v>7</v>
      </c>
      <c r="D18713" t="s">
        <v>12</v>
      </c>
      <c r="E18713" t="s">
        <v>26179</v>
      </c>
      <c r="F18713" t="s">
        <v>26416</v>
      </c>
    </row>
    <row r="18714" spans="1:6" x14ac:dyDescent="0.25">
      <c r="A18714" t="str">
        <f>"7802920291"</f>
        <v>7802920291</v>
      </c>
      <c r="B18714" t="s">
        <v>26417</v>
      </c>
      <c r="C18714" t="s">
        <v>7</v>
      </c>
      <c r="D18714" t="s">
        <v>33</v>
      </c>
      <c r="E18714" t="s">
        <v>26179</v>
      </c>
      <c r="F18714" t="s">
        <v>26418</v>
      </c>
    </row>
    <row r="18715" spans="1:6" x14ac:dyDescent="0.25">
      <c r="A18715" t="str">
        <f>"7802931021"</f>
        <v>7802931021</v>
      </c>
      <c r="B18715" t="s">
        <v>26419</v>
      </c>
      <c r="C18715" t="s">
        <v>7</v>
      </c>
      <c r="D18715" t="s">
        <v>33</v>
      </c>
      <c r="E18715" t="s">
        <v>26179</v>
      </c>
      <c r="F18715" t="s">
        <v>26420</v>
      </c>
    </row>
    <row r="18716" spans="1:6" x14ac:dyDescent="0.25">
      <c r="A18716" t="str">
        <f>"7802952230"</f>
        <v>7802952230</v>
      </c>
      <c r="B18716" t="s">
        <v>26421</v>
      </c>
      <c r="C18716" t="s">
        <v>7</v>
      </c>
      <c r="D18716" t="s">
        <v>674</v>
      </c>
      <c r="E18716" t="s">
        <v>26179</v>
      </c>
      <c r="F18716" t="s">
        <v>26422</v>
      </c>
    </row>
    <row r="18717" spans="1:6" x14ac:dyDescent="0.25">
      <c r="A18717" t="str">
        <f>"780400583413"</f>
        <v>780400583413</v>
      </c>
      <c r="B18717" t="s">
        <v>26423</v>
      </c>
      <c r="C18717" t="s">
        <v>7</v>
      </c>
      <c r="D18717" t="s">
        <v>14</v>
      </c>
      <c r="E18717" t="s">
        <v>26179</v>
      </c>
    </row>
    <row r="18718" spans="1:6" x14ac:dyDescent="0.25">
      <c r="A18718" t="str">
        <f>"780408645679"</f>
        <v>780408645679</v>
      </c>
      <c r="B18718" t="s">
        <v>26424</v>
      </c>
      <c r="C18718" t="s">
        <v>7</v>
      </c>
      <c r="D18718" t="s">
        <v>14</v>
      </c>
      <c r="E18718" t="s">
        <v>26179</v>
      </c>
    </row>
    <row r="18719" spans="1:6" x14ac:dyDescent="0.25">
      <c r="A18719" t="str">
        <f>"780409597876"</f>
        <v>780409597876</v>
      </c>
      <c r="B18719" t="s">
        <v>26425</v>
      </c>
      <c r="C18719" t="s">
        <v>7</v>
      </c>
      <c r="D18719" t="s">
        <v>12</v>
      </c>
      <c r="E18719" t="s">
        <v>26179</v>
      </c>
    </row>
    <row r="18720" spans="1:6" x14ac:dyDescent="0.25">
      <c r="A18720" t="str">
        <f>"780411056754"</f>
        <v>780411056754</v>
      </c>
      <c r="B18720" t="s">
        <v>26426</v>
      </c>
      <c r="C18720" t="s">
        <v>7</v>
      </c>
      <c r="D18720" t="s">
        <v>14</v>
      </c>
      <c r="E18720" t="s">
        <v>26179</v>
      </c>
    </row>
    <row r="18721" spans="1:6" x14ac:dyDescent="0.25">
      <c r="A18721" t="str">
        <f>"780411341159"</f>
        <v>780411341159</v>
      </c>
      <c r="B18721" t="s">
        <v>26427</v>
      </c>
      <c r="C18721" t="s">
        <v>7</v>
      </c>
      <c r="D18721" t="s">
        <v>12</v>
      </c>
      <c r="E18721" t="s">
        <v>26179</v>
      </c>
    </row>
    <row r="18722" spans="1:6" x14ac:dyDescent="0.25">
      <c r="A18722" t="str">
        <f>"780416092315"</f>
        <v>780416092315</v>
      </c>
      <c r="B18722" t="s">
        <v>26428</v>
      </c>
      <c r="C18722" t="s">
        <v>7</v>
      </c>
      <c r="D18722" t="s">
        <v>14</v>
      </c>
      <c r="E18722" t="s">
        <v>26179</v>
      </c>
    </row>
    <row r="18723" spans="1:6" x14ac:dyDescent="0.25">
      <c r="A18723" t="str">
        <f>"780419519813"</f>
        <v>780419519813</v>
      </c>
      <c r="B18723" t="s">
        <v>26429</v>
      </c>
      <c r="C18723" t="s">
        <v>7</v>
      </c>
      <c r="D18723" t="s">
        <v>14</v>
      </c>
      <c r="E18723" t="s">
        <v>26179</v>
      </c>
    </row>
    <row r="18724" spans="1:6" x14ac:dyDescent="0.25">
      <c r="A18724" t="str">
        <f>"780425291236"</f>
        <v>780425291236</v>
      </c>
      <c r="B18724" t="s">
        <v>26430</v>
      </c>
      <c r="C18724" t="s">
        <v>7</v>
      </c>
      <c r="D18724" t="s">
        <v>12</v>
      </c>
      <c r="E18724" t="s">
        <v>26179</v>
      </c>
    </row>
    <row r="18725" spans="1:6" x14ac:dyDescent="0.25">
      <c r="A18725" t="str">
        <f>"780428259262"</f>
        <v>780428259262</v>
      </c>
      <c r="B18725" t="s">
        <v>26431</v>
      </c>
      <c r="C18725" t="s">
        <v>7</v>
      </c>
      <c r="D18725" t="s">
        <v>14</v>
      </c>
      <c r="E18725" t="s">
        <v>26179</v>
      </c>
    </row>
    <row r="18726" spans="1:6" x14ac:dyDescent="0.25">
      <c r="A18726" t="str">
        <f>"780430623399"</f>
        <v>780430623399</v>
      </c>
      <c r="B18726" t="s">
        <v>26432</v>
      </c>
      <c r="C18726" t="s">
        <v>7</v>
      </c>
      <c r="D18726" t="s">
        <v>12</v>
      </c>
      <c r="E18726" t="s">
        <v>26179</v>
      </c>
    </row>
    <row r="18727" spans="1:6" x14ac:dyDescent="0.25">
      <c r="A18727" t="str">
        <f>"780432444275"</f>
        <v>780432444275</v>
      </c>
      <c r="B18727" t="s">
        <v>26433</v>
      </c>
      <c r="C18727" t="s">
        <v>7</v>
      </c>
      <c r="D18727" t="s">
        <v>14</v>
      </c>
      <c r="E18727" t="s">
        <v>26179</v>
      </c>
    </row>
    <row r="18728" spans="1:6" x14ac:dyDescent="0.25">
      <c r="A18728" t="str">
        <f>"780433384741"</f>
        <v>780433384741</v>
      </c>
      <c r="B18728" t="s">
        <v>26434</v>
      </c>
      <c r="C18728" t="s">
        <v>7</v>
      </c>
      <c r="D18728" t="s">
        <v>12</v>
      </c>
      <c r="E18728" t="s">
        <v>26179</v>
      </c>
    </row>
    <row r="18729" spans="1:6" x14ac:dyDescent="0.25">
      <c r="A18729" t="str">
        <f>"780435345748"</f>
        <v>780435345748</v>
      </c>
      <c r="B18729" t="s">
        <v>26435</v>
      </c>
      <c r="C18729" t="s">
        <v>7</v>
      </c>
      <c r="D18729" t="s">
        <v>33</v>
      </c>
      <c r="E18729" t="s">
        <v>26179</v>
      </c>
    </row>
    <row r="18730" spans="1:6" x14ac:dyDescent="0.25">
      <c r="A18730" t="str">
        <f>"7804437548"</f>
        <v>7804437548</v>
      </c>
      <c r="B18730" t="s">
        <v>26436</v>
      </c>
      <c r="C18730" t="s">
        <v>7</v>
      </c>
      <c r="D18730" t="s">
        <v>98</v>
      </c>
      <c r="E18730" t="s">
        <v>26179</v>
      </c>
      <c r="F18730" t="s">
        <v>26437</v>
      </c>
    </row>
    <row r="18731" spans="1:6" x14ac:dyDescent="0.25">
      <c r="A18731" t="str">
        <f>"7804490781"</f>
        <v>7804490781</v>
      </c>
      <c r="B18731" t="s">
        <v>13332</v>
      </c>
      <c r="C18731" t="s">
        <v>7</v>
      </c>
      <c r="D18731" t="s">
        <v>12</v>
      </c>
      <c r="E18731" t="s">
        <v>26179</v>
      </c>
      <c r="F18731" t="s">
        <v>26438</v>
      </c>
    </row>
    <row r="18732" spans="1:6" x14ac:dyDescent="0.25">
      <c r="A18732" t="str">
        <f>"7804500052"</f>
        <v>7804500052</v>
      </c>
      <c r="B18732" t="s">
        <v>26439</v>
      </c>
      <c r="C18732" t="s">
        <v>7</v>
      </c>
      <c r="D18732" t="s">
        <v>14</v>
      </c>
      <c r="E18732" t="s">
        <v>26179</v>
      </c>
      <c r="F18732" t="s">
        <v>26440</v>
      </c>
    </row>
    <row r="18733" spans="1:6" x14ac:dyDescent="0.25">
      <c r="A18733" t="str">
        <f>"7804542648"</f>
        <v>7804542648</v>
      </c>
      <c r="B18733" t="s">
        <v>26441</v>
      </c>
      <c r="C18733" t="s">
        <v>7</v>
      </c>
      <c r="D18733" t="s">
        <v>12</v>
      </c>
      <c r="E18733" t="s">
        <v>26179</v>
      </c>
      <c r="F18733" t="s">
        <v>26442</v>
      </c>
    </row>
    <row r="18734" spans="1:6" x14ac:dyDescent="0.25">
      <c r="A18734" t="str">
        <f>"7804578154"</f>
        <v>7804578154</v>
      </c>
      <c r="B18734" t="s">
        <v>26443</v>
      </c>
      <c r="C18734" t="s">
        <v>7</v>
      </c>
      <c r="D18734" t="s">
        <v>14</v>
      </c>
      <c r="E18734" t="s">
        <v>26179</v>
      </c>
      <c r="F18734" t="s">
        <v>26444</v>
      </c>
    </row>
    <row r="18735" spans="1:6" x14ac:dyDescent="0.25">
      <c r="A18735" t="str">
        <f>"7804581559"</f>
        <v>7804581559</v>
      </c>
      <c r="B18735" t="s">
        <v>14847</v>
      </c>
      <c r="C18735" t="s">
        <v>7</v>
      </c>
      <c r="D18735" t="s">
        <v>674</v>
      </c>
      <c r="E18735" t="s">
        <v>26179</v>
      </c>
      <c r="F18735" t="s">
        <v>26445</v>
      </c>
    </row>
    <row r="18736" spans="1:6" x14ac:dyDescent="0.25">
      <c r="A18736" t="str">
        <f>"7804685660"</f>
        <v>7804685660</v>
      </c>
      <c r="B18736" t="s">
        <v>26446</v>
      </c>
      <c r="C18736" t="s">
        <v>7</v>
      </c>
      <c r="D18736" t="s">
        <v>189</v>
      </c>
      <c r="E18736" t="s">
        <v>26179</v>
      </c>
      <c r="F18736" t="s">
        <v>26447</v>
      </c>
    </row>
    <row r="18737" spans="1:6" x14ac:dyDescent="0.25">
      <c r="A18737" t="str">
        <f>"7804705204"</f>
        <v>7804705204</v>
      </c>
      <c r="B18737" t="s">
        <v>26448</v>
      </c>
      <c r="C18737" t="s">
        <v>7</v>
      </c>
      <c r="D18737" t="s">
        <v>12</v>
      </c>
      <c r="E18737" t="s">
        <v>26179</v>
      </c>
      <c r="F18737" t="s">
        <v>26449</v>
      </c>
    </row>
    <row r="18738" spans="1:6" x14ac:dyDescent="0.25">
      <c r="A18738" t="str">
        <f>"780500563114"</f>
        <v>780500563114</v>
      </c>
      <c r="B18738" t="s">
        <v>26450</v>
      </c>
      <c r="C18738" t="s">
        <v>7</v>
      </c>
      <c r="D18738" t="s">
        <v>14</v>
      </c>
      <c r="E18738" t="s">
        <v>26179</v>
      </c>
    </row>
    <row r="18739" spans="1:6" x14ac:dyDescent="0.25">
      <c r="A18739" t="str">
        <f>"780502444673"</f>
        <v>780502444673</v>
      </c>
      <c r="B18739" t="s">
        <v>26451</v>
      </c>
      <c r="C18739" t="s">
        <v>7</v>
      </c>
      <c r="D18739" t="s">
        <v>14</v>
      </c>
      <c r="E18739" t="s">
        <v>26179</v>
      </c>
    </row>
    <row r="18740" spans="1:6" x14ac:dyDescent="0.25">
      <c r="A18740" t="str">
        <f>"780508125680"</f>
        <v>780508125680</v>
      </c>
      <c r="B18740" t="s">
        <v>26452</v>
      </c>
      <c r="C18740" t="s">
        <v>7</v>
      </c>
      <c r="D18740" t="s">
        <v>12</v>
      </c>
      <c r="E18740" t="s">
        <v>26179</v>
      </c>
    </row>
    <row r="18741" spans="1:6" x14ac:dyDescent="0.25">
      <c r="A18741" t="str">
        <f>"780527451707"</f>
        <v>780527451707</v>
      </c>
      <c r="B18741" t="s">
        <v>26453</v>
      </c>
      <c r="C18741" t="s">
        <v>7</v>
      </c>
      <c r="D18741" t="s">
        <v>33</v>
      </c>
      <c r="E18741" t="s">
        <v>26179</v>
      </c>
    </row>
    <row r="18742" spans="1:6" x14ac:dyDescent="0.25">
      <c r="A18742" t="str">
        <f>"780532564142"</f>
        <v>780532564142</v>
      </c>
      <c r="B18742" t="s">
        <v>26454</v>
      </c>
      <c r="C18742" t="s">
        <v>7</v>
      </c>
      <c r="D18742" t="s">
        <v>14</v>
      </c>
      <c r="E18742" t="s">
        <v>26179</v>
      </c>
    </row>
    <row r="18743" spans="1:6" x14ac:dyDescent="0.25">
      <c r="A18743" t="str">
        <f>"7805542506"</f>
        <v>7805542506</v>
      </c>
      <c r="B18743" t="s">
        <v>26455</v>
      </c>
      <c r="C18743" t="s">
        <v>7</v>
      </c>
      <c r="D18743" t="s">
        <v>33</v>
      </c>
      <c r="E18743" t="s">
        <v>26179</v>
      </c>
      <c r="F18743" t="s">
        <v>26456</v>
      </c>
    </row>
    <row r="18744" spans="1:6" x14ac:dyDescent="0.25">
      <c r="A18744" t="str">
        <f>"7805653171"</f>
        <v>7805653171</v>
      </c>
      <c r="B18744" t="s">
        <v>26457</v>
      </c>
      <c r="C18744" t="s">
        <v>7</v>
      </c>
      <c r="D18744" t="s">
        <v>674</v>
      </c>
      <c r="E18744" t="s">
        <v>26179</v>
      </c>
      <c r="F18744" t="s">
        <v>26458</v>
      </c>
    </row>
    <row r="18745" spans="1:6" x14ac:dyDescent="0.25">
      <c r="A18745" t="str">
        <f>"7805666029"</f>
        <v>7805666029</v>
      </c>
      <c r="B18745" t="s">
        <v>26459</v>
      </c>
      <c r="C18745" t="s">
        <v>7</v>
      </c>
      <c r="D18745" t="s">
        <v>146</v>
      </c>
      <c r="E18745" t="s">
        <v>26179</v>
      </c>
      <c r="F18745" t="s">
        <v>26460</v>
      </c>
    </row>
    <row r="18746" spans="1:6" x14ac:dyDescent="0.25">
      <c r="A18746" t="str">
        <f>"7805679860"</f>
        <v>7805679860</v>
      </c>
      <c r="B18746" t="s">
        <v>26461</v>
      </c>
      <c r="C18746" t="s">
        <v>7</v>
      </c>
      <c r="D18746" t="s">
        <v>33</v>
      </c>
      <c r="E18746" t="s">
        <v>26179</v>
      </c>
      <c r="F18746" t="s">
        <v>26462</v>
      </c>
    </row>
    <row r="18747" spans="1:6" x14ac:dyDescent="0.25">
      <c r="A18747" t="str">
        <f>"7805741879"</f>
        <v>7805741879</v>
      </c>
      <c r="B18747" t="s">
        <v>26463</v>
      </c>
      <c r="C18747" t="s">
        <v>7</v>
      </c>
      <c r="D18747" t="s">
        <v>33</v>
      </c>
      <c r="E18747" t="s">
        <v>26179</v>
      </c>
      <c r="F18747" t="s">
        <v>26464</v>
      </c>
    </row>
    <row r="18748" spans="1:6" x14ac:dyDescent="0.25">
      <c r="A18748" t="str">
        <f>"7805805346"</f>
        <v>7805805346</v>
      </c>
      <c r="B18748" t="s">
        <v>26465</v>
      </c>
      <c r="C18748" t="s">
        <v>7</v>
      </c>
      <c r="D18748" t="s">
        <v>98</v>
      </c>
      <c r="E18748" t="s">
        <v>26179</v>
      </c>
      <c r="F18748" t="s">
        <v>26466</v>
      </c>
    </row>
    <row r="18749" spans="1:6" x14ac:dyDescent="0.25">
      <c r="A18749" t="str">
        <f>"7805806501"</f>
        <v>7805806501</v>
      </c>
      <c r="B18749" t="s">
        <v>26467</v>
      </c>
      <c r="C18749" t="s">
        <v>7</v>
      </c>
      <c r="D18749" t="s">
        <v>14</v>
      </c>
      <c r="E18749" t="s">
        <v>26179</v>
      </c>
      <c r="F18749" t="s">
        <v>26468</v>
      </c>
    </row>
    <row r="18750" spans="1:6" x14ac:dyDescent="0.25">
      <c r="A18750" t="str">
        <f>"7805813516"</f>
        <v>7805813516</v>
      </c>
      <c r="B18750" t="s">
        <v>26469</v>
      </c>
      <c r="C18750" t="s">
        <v>7</v>
      </c>
      <c r="D18750" t="s">
        <v>12</v>
      </c>
      <c r="E18750" t="s">
        <v>26179</v>
      </c>
      <c r="F18750" t="s">
        <v>26470</v>
      </c>
    </row>
    <row r="18751" spans="1:6" x14ac:dyDescent="0.25">
      <c r="A18751" t="str">
        <f>"780607223914"</f>
        <v>780607223914</v>
      </c>
      <c r="B18751" t="s">
        <v>26471</v>
      </c>
      <c r="C18751" t="s">
        <v>7</v>
      </c>
      <c r="D18751" t="s">
        <v>14</v>
      </c>
      <c r="E18751" t="s">
        <v>26179</v>
      </c>
    </row>
    <row r="18752" spans="1:6" x14ac:dyDescent="0.25">
      <c r="A18752" t="str">
        <f>"780609254403"</f>
        <v>780609254403</v>
      </c>
      <c r="B18752" t="s">
        <v>26472</v>
      </c>
      <c r="C18752" t="s">
        <v>7</v>
      </c>
      <c r="D18752" t="s">
        <v>14</v>
      </c>
      <c r="E18752" t="s">
        <v>26179</v>
      </c>
    </row>
    <row r="18753" spans="1:6" x14ac:dyDescent="0.25">
      <c r="A18753" t="str">
        <f>"780623563594"</f>
        <v>780623563594</v>
      </c>
      <c r="B18753" t="s">
        <v>26473</v>
      </c>
      <c r="C18753" t="s">
        <v>7</v>
      </c>
      <c r="D18753" t="s">
        <v>14</v>
      </c>
      <c r="E18753" t="s">
        <v>26179</v>
      </c>
    </row>
    <row r="18754" spans="1:6" x14ac:dyDescent="0.25">
      <c r="A18754" t="str">
        <f>"780632007177"</f>
        <v>780632007177</v>
      </c>
      <c r="B18754" t="s">
        <v>26474</v>
      </c>
      <c r="C18754" t="s">
        <v>7</v>
      </c>
      <c r="D18754" t="s">
        <v>14</v>
      </c>
      <c r="E18754" t="s">
        <v>26179</v>
      </c>
    </row>
    <row r="18755" spans="1:6" x14ac:dyDescent="0.25">
      <c r="A18755" t="str">
        <f>"780637213254"</f>
        <v>780637213254</v>
      </c>
      <c r="B18755" t="s">
        <v>26475</v>
      </c>
      <c r="C18755" t="s">
        <v>7</v>
      </c>
      <c r="D18755" t="s">
        <v>14</v>
      </c>
      <c r="E18755" t="s">
        <v>26179</v>
      </c>
    </row>
    <row r="18756" spans="1:6" x14ac:dyDescent="0.25">
      <c r="A18756" t="str">
        <f>"7806480073"</f>
        <v>7806480073</v>
      </c>
      <c r="B18756" t="s">
        <v>20989</v>
      </c>
      <c r="C18756" t="s">
        <v>7</v>
      </c>
      <c r="D18756" t="s">
        <v>33</v>
      </c>
      <c r="E18756" t="s">
        <v>26179</v>
      </c>
      <c r="F18756" t="s">
        <v>26476</v>
      </c>
    </row>
    <row r="18757" spans="1:6" x14ac:dyDescent="0.25">
      <c r="A18757" t="str">
        <f>"7806492880"</f>
        <v>7806492880</v>
      </c>
      <c r="B18757" t="s">
        <v>26477</v>
      </c>
      <c r="C18757" t="s">
        <v>7</v>
      </c>
      <c r="D18757" t="s">
        <v>12</v>
      </c>
      <c r="E18757" t="s">
        <v>26179</v>
      </c>
      <c r="F18757" t="s">
        <v>26478</v>
      </c>
    </row>
    <row r="18758" spans="1:6" x14ac:dyDescent="0.25">
      <c r="A18758" t="str">
        <f>"7806522485"</f>
        <v>7806522485</v>
      </c>
      <c r="B18758" t="s">
        <v>26479</v>
      </c>
      <c r="C18758" t="s">
        <v>7</v>
      </c>
      <c r="D18758" t="s">
        <v>33</v>
      </c>
      <c r="E18758" t="s">
        <v>26179</v>
      </c>
      <c r="F18758" t="s">
        <v>26480</v>
      </c>
    </row>
    <row r="18759" spans="1:6" x14ac:dyDescent="0.25">
      <c r="A18759" t="str">
        <f>"7806528864"</f>
        <v>7806528864</v>
      </c>
      <c r="B18759" t="s">
        <v>1957</v>
      </c>
      <c r="C18759" t="s">
        <v>7</v>
      </c>
      <c r="D18759" t="s">
        <v>33</v>
      </c>
      <c r="E18759" t="s">
        <v>26179</v>
      </c>
      <c r="F18759" t="s">
        <v>26481</v>
      </c>
    </row>
    <row r="18760" spans="1:6" x14ac:dyDescent="0.25">
      <c r="A18760" t="str">
        <f>"470319370883"</f>
        <v>470319370883</v>
      </c>
      <c r="B18760" t="s">
        <v>26482</v>
      </c>
      <c r="C18760" t="s">
        <v>7</v>
      </c>
      <c r="D18760" t="s">
        <v>14</v>
      </c>
      <c r="E18760" t="s">
        <v>26179</v>
      </c>
    </row>
    <row r="18761" spans="1:6" x14ac:dyDescent="0.25">
      <c r="A18761" t="str">
        <f>"470420228300"</f>
        <v>470420228300</v>
      </c>
      <c r="B18761" t="s">
        <v>26483</v>
      </c>
      <c r="C18761" t="s">
        <v>7</v>
      </c>
      <c r="D18761" t="s">
        <v>12</v>
      </c>
      <c r="E18761" t="s">
        <v>26179</v>
      </c>
    </row>
    <row r="18762" spans="1:6" x14ac:dyDescent="0.25">
      <c r="A18762" t="str">
        <f>"470502720791"</f>
        <v>470502720791</v>
      </c>
      <c r="B18762" t="s">
        <v>26484</v>
      </c>
      <c r="C18762" t="s">
        <v>7</v>
      </c>
      <c r="D18762" t="s">
        <v>14</v>
      </c>
      <c r="E18762" t="s">
        <v>26179</v>
      </c>
    </row>
    <row r="18763" spans="1:6" x14ac:dyDescent="0.25">
      <c r="A18763" t="str">
        <f>"471304622900"</f>
        <v>471304622900</v>
      </c>
      <c r="B18763" t="s">
        <v>26485</v>
      </c>
      <c r="C18763" t="s">
        <v>7</v>
      </c>
      <c r="D18763" t="s">
        <v>98</v>
      </c>
      <c r="E18763" t="s">
        <v>26179</v>
      </c>
    </row>
    <row r="18764" spans="1:6" x14ac:dyDescent="0.25">
      <c r="A18764" t="str">
        <f>"7801398844"</f>
        <v>7801398844</v>
      </c>
      <c r="B18764" t="s">
        <v>26486</v>
      </c>
      <c r="C18764" t="s">
        <v>7</v>
      </c>
      <c r="D18764" t="s">
        <v>189</v>
      </c>
      <c r="E18764" t="s">
        <v>26179</v>
      </c>
      <c r="F18764" t="s">
        <v>26487</v>
      </c>
    </row>
    <row r="18765" spans="1:6" x14ac:dyDescent="0.25">
      <c r="A18765" t="str">
        <f>"7801404343"</f>
        <v>7801404343</v>
      </c>
      <c r="B18765" t="s">
        <v>25781</v>
      </c>
      <c r="C18765" t="s">
        <v>7</v>
      </c>
      <c r="D18765" t="s">
        <v>33</v>
      </c>
      <c r="E18765" t="s">
        <v>26179</v>
      </c>
      <c r="F18765" t="s">
        <v>26488</v>
      </c>
    </row>
    <row r="18766" spans="1:6" x14ac:dyDescent="0.25">
      <c r="A18766" t="str">
        <f>"780150807770"</f>
        <v>780150807770</v>
      </c>
      <c r="B18766" t="s">
        <v>26489</v>
      </c>
      <c r="C18766" t="s">
        <v>7</v>
      </c>
      <c r="D18766" t="s">
        <v>14</v>
      </c>
      <c r="E18766" t="s">
        <v>26179</v>
      </c>
    </row>
    <row r="18767" spans="1:6" x14ac:dyDescent="0.25">
      <c r="A18767" t="str">
        <f>"7801560494"</f>
        <v>7801560494</v>
      </c>
      <c r="B18767" t="s">
        <v>26490</v>
      </c>
      <c r="C18767" t="s">
        <v>7</v>
      </c>
      <c r="D18767" t="s">
        <v>33</v>
      </c>
      <c r="E18767" t="s">
        <v>26179</v>
      </c>
      <c r="F18767" t="s">
        <v>26491</v>
      </c>
    </row>
    <row r="18768" spans="1:6" x14ac:dyDescent="0.25">
      <c r="A18768" t="str">
        <f>"7801579030"</f>
        <v>7801579030</v>
      </c>
      <c r="B18768" t="s">
        <v>26492</v>
      </c>
      <c r="C18768" t="s">
        <v>7</v>
      </c>
      <c r="D18768" t="s">
        <v>14</v>
      </c>
      <c r="E18768" t="s">
        <v>26179</v>
      </c>
      <c r="F18768" t="s">
        <v>26493</v>
      </c>
    </row>
    <row r="18769" spans="1:6" x14ac:dyDescent="0.25">
      <c r="A18769" t="str">
        <f>"780160008230"</f>
        <v>780160008230</v>
      </c>
      <c r="B18769" t="s">
        <v>26494</v>
      </c>
      <c r="C18769" t="s">
        <v>7</v>
      </c>
      <c r="D18769" t="s">
        <v>12</v>
      </c>
      <c r="E18769" t="s">
        <v>26179</v>
      </c>
    </row>
    <row r="18770" spans="1:6" x14ac:dyDescent="0.25">
      <c r="A18770" t="str">
        <f>"7801613788"</f>
        <v>7801613788</v>
      </c>
      <c r="B18770" t="s">
        <v>26495</v>
      </c>
      <c r="C18770" t="s">
        <v>7</v>
      </c>
      <c r="D18770" t="s">
        <v>33</v>
      </c>
      <c r="E18770" t="s">
        <v>26179</v>
      </c>
      <c r="F18770" t="s">
        <v>26496</v>
      </c>
    </row>
    <row r="18771" spans="1:6" x14ac:dyDescent="0.25">
      <c r="A18771" t="str">
        <f>"780162289876"</f>
        <v>780162289876</v>
      </c>
      <c r="B18771" t="s">
        <v>26497</v>
      </c>
      <c r="C18771" t="s">
        <v>7</v>
      </c>
      <c r="D18771" t="s">
        <v>12</v>
      </c>
      <c r="E18771" t="s">
        <v>26179</v>
      </c>
    </row>
    <row r="18772" spans="1:6" x14ac:dyDescent="0.25">
      <c r="A18772" t="str">
        <f>"780163583126"</f>
        <v>780163583126</v>
      </c>
      <c r="B18772" t="s">
        <v>26498</v>
      </c>
      <c r="C18772" t="s">
        <v>7</v>
      </c>
      <c r="D18772" t="s">
        <v>33</v>
      </c>
      <c r="E18772" t="s">
        <v>26179</v>
      </c>
    </row>
    <row r="18773" spans="1:6" x14ac:dyDescent="0.25">
      <c r="A18773" t="str">
        <f>"7801674484"</f>
        <v>7801674484</v>
      </c>
      <c r="B18773" t="s">
        <v>26499</v>
      </c>
      <c r="C18773" t="s">
        <v>7</v>
      </c>
      <c r="D18773" t="s">
        <v>14</v>
      </c>
      <c r="E18773" t="s">
        <v>26179</v>
      </c>
      <c r="F18773" t="s">
        <v>26500</v>
      </c>
    </row>
    <row r="18774" spans="1:6" x14ac:dyDescent="0.25">
      <c r="A18774" t="str">
        <f>"780210671968"</f>
        <v>780210671968</v>
      </c>
      <c r="B18774" t="s">
        <v>26501</v>
      </c>
      <c r="C18774" t="s">
        <v>7</v>
      </c>
      <c r="D18774" t="s">
        <v>14</v>
      </c>
      <c r="E18774" t="s">
        <v>26179</v>
      </c>
    </row>
    <row r="18775" spans="1:6" x14ac:dyDescent="0.25">
      <c r="A18775" t="str">
        <f>"7802133664"</f>
        <v>7802133664</v>
      </c>
      <c r="B18775" t="s">
        <v>26502</v>
      </c>
      <c r="C18775" t="s">
        <v>7</v>
      </c>
      <c r="D18775" t="s">
        <v>14</v>
      </c>
      <c r="E18775" t="s">
        <v>26179</v>
      </c>
      <c r="F18775" t="s">
        <v>26503</v>
      </c>
    </row>
    <row r="18776" spans="1:6" x14ac:dyDescent="0.25">
      <c r="A18776" t="str">
        <f>"780214216582"</f>
        <v>780214216582</v>
      </c>
      <c r="B18776" t="s">
        <v>26504</v>
      </c>
      <c r="C18776" t="s">
        <v>7</v>
      </c>
      <c r="D18776" t="s">
        <v>14</v>
      </c>
      <c r="E18776" t="s">
        <v>26179</v>
      </c>
    </row>
    <row r="18777" spans="1:6" x14ac:dyDescent="0.25">
      <c r="A18777" t="str">
        <f>"780225191731"</f>
        <v>780225191731</v>
      </c>
      <c r="B18777" t="s">
        <v>26505</v>
      </c>
      <c r="C18777" t="s">
        <v>7</v>
      </c>
      <c r="D18777" t="s">
        <v>14</v>
      </c>
      <c r="E18777" t="s">
        <v>26179</v>
      </c>
    </row>
    <row r="18778" spans="1:6" x14ac:dyDescent="0.25">
      <c r="A18778" t="str">
        <f>"7802372158"</f>
        <v>7802372158</v>
      </c>
      <c r="B18778" t="s">
        <v>1159</v>
      </c>
      <c r="C18778" t="s">
        <v>7</v>
      </c>
      <c r="D18778" t="s">
        <v>12</v>
      </c>
      <c r="E18778" t="s">
        <v>26179</v>
      </c>
      <c r="F18778" t="s">
        <v>26506</v>
      </c>
    </row>
    <row r="18779" spans="1:6" x14ac:dyDescent="0.25">
      <c r="A18779" t="str">
        <f>"7802383696"</f>
        <v>7802383696</v>
      </c>
      <c r="B18779" t="s">
        <v>26507</v>
      </c>
      <c r="C18779" t="s">
        <v>7</v>
      </c>
      <c r="D18779" t="s">
        <v>12</v>
      </c>
      <c r="E18779" t="s">
        <v>26179</v>
      </c>
      <c r="F18779" t="s">
        <v>26282</v>
      </c>
    </row>
    <row r="18780" spans="1:6" x14ac:dyDescent="0.25">
      <c r="A18780" t="str">
        <f>"7802427488"</f>
        <v>7802427488</v>
      </c>
      <c r="B18780" t="s">
        <v>26508</v>
      </c>
      <c r="C18780" t="s">
        <v>7</v>
      </c>
      <c r="D18780" t="s">
        <v>12</v>
      </c>
      <c r="E18780" t="s">
        <v>26179</v>
      </c>
      <c r="F18780" t="s">
        <v>26284</v>
      </c>
    </row>
    <row r="18781" spans="1:6" x14ac:dyDescent="0.25">
      <c r="A18781" t="str">
        <f>"780244802104"</f>
        <v>780244802104</v>
      </c>
      <c r="B18781" t="s">
        <v>26509</v>
      </c>
      <c r="C18781" t="s">
        <v>7</v>
      </c>
      <c r="D18781" t="s">
        <v>1430</v>
      </c>
      <c r="E18781" t="s">
        <v>26179</v>
      </c>
    </row>
    <row r="18782" spans="1:6" x14ac:dyDescent="0.25">
      <c r="A18782" t="str">
        <f>"780248459375"</f>
        <v>780248459375</v>
      </c>
      <c r="B18782" t="s">
        <v>26510</v>
      </c>
      <c r="C18782" t="s">
        <v>7</v>
      </c>
      <c r="D18782" t="s">
        <v>12</v>
      </c>
      <c r="E18782" t="s">
        <v>26179</v>
      </c>
    </row>
    <row r="18783" spans="1:6" x14ac:dyDescent="0.25">
      <c r="A18783" t="str">
        <f>"7802604592"</f>
        <v>7802604592</v>
      </c>
      <c r="B18783" t="s">
        <v>26511</v>
      </c>
      <c r="C18783" t="s">
        <v>7</v>
      </c>
      <c r="D18783" t="s">
        <v>189</v>
      </c>
      <c r="E18783" t="s">
        <v>26179</v>
      </c>
      <c r="F18783" t="s">
        <v>26512</v>
      </c>
    </row>
    <row r="18784" spans="1:6" x14ac:dyDescent="0.25">
      <c r="A18784" t="str">
        <f>"7802671969"</f>
        <v>7802671969</v>
      </c>
      <c r="B18784" t="s">
        <v>26513</v>
      </c>
      <c r="C18784" t="s">
        <v>7</v>
      </c>
      <c r="D18784" t="s">
        <v>33</v>
      </c>
      <c r="E18784" t="s">
        <v>26179</v>
      </c>
      <c r="F18784" t="s">
        <v>26514</v>
      </c>
    </row>
    <row r="18785" spans="1:6" x14ac:dyDescent="0.25">
      <c r="A18785" t="str">
        <f>"7802694814"</f>
        <v>7802694814</v>
      </c>
      <c r="B18785" t="s">
        <v>2280</v>
      </c>
      <c r="C18785" t="s">
        <v>7</v>
      </c>
      <c r="D18785" t="s">
        <v>8</v>
      </c>
      <c r="E18785" t="s">
        <v>26179</v>
      </c>
      <c r="F18785" t="s">
        <v>26515</v>
      </c>
    </row>
    <row r="18786" spans="1:6" x14ac:dyDescent="0.25">
      <c r="A18786" t="str">
        <f>"7802696794"</f>
        <v>7802696794</v>
      </c>
      <c r="B18786" t="s">
        <v>7103</v>
      </c>
      <c r="C18786" t="s">
        <v>7</v>
      </c>
      <c r="D18786" t="s">
        <v>33</v>
      </c>
      <c r="E18786" t="s">
        <v>26179</v>
      </c>
      <c r="F18786" t="s">
        <v>26516</v>
      </c>
    </row>
    <row r="18787" spans="1:6" x14ac:dyDescent="0.25">
      <c r="A18787" t="str">
        <f>"7802718889"</f>
        <v>7802718889</v>
      </c>
      <c r="B18787" t="s">
        <v>26517</v>
      </c>
      <c r="C18787" t="s">
        <v>7</v>
      </c>
      <c r="D18787" t="s">
        <v>674</v>
      </c>
      <c r="E18787" t="s">
        <v>26179</v>
      </c>
      <c r="F18787" t="s">
        <v>26518</v>
      </c>
    </row>
    <row r="18788" spans="1:6" x14ac:dyDescent="0.25">
      <c r="A18788" t="str">
        <f>"7802767501"</f>
        <v>7802767501</v>
      </c>
      <c r="B18788" t="s">
        <v>26519</v>
      </c>
      <c r="C18788" t="s">
        <v>7</v>
      </c>
      <c r="D18788" t="s">
        <v>12</v>
      </c>
      <c r="E18788" t="s">
        <v>26179</v>
      </c>
      <c r="F18788" t="s">
        <v>26520</v>
      </c>
    </row>
    <row r="18789" spans="1:6" x14ac:dyDescent="0.25">
      <c r="A18789" t="str">
        <f>"7802863766"</f>
        <v>7802863766</v>
      </c>
      <c r="B18789" t="s">
        <v>26521</v>
      </c>
      <c r="C18789" t="s">
        <v>7</v>
      </c>
      <c r="D18789" t="s">
        <v>28</v>
      </c>
      <c r="E18789" t="s">
        <v>26179</v>
      </c>
      <c r="F18789" t="s">
        <v>26522</v>
      </c>
    </row>
    <row r="18790" spans="1:6" x14ac:dyDescent="0.25">
      <c r="A18790" t="str">
        <f>"7802928357"</f>
        <v>7802928357</v>
      </c>
      <c r="B18790" t="s">
        <v>26523</v>
      </c>
      <c r="C18790" t="s">
        <v>7</v>
      </c>
      <c r="D18790" t="s">
        <v>12</v>
      </c>
      <c r="E18790" t="s">
        <v>26179</v>
      </c>
      <c r="F18790" t="s">
        <v>26524</v>
      </c>
    </row>
    <row r="18791" spans="1:6" x14ac:dyDescent="0.25">
      <c r="A18791" t="str">
        <f>"7802938700"</f>
        <v>7802938700</v>
      </c>
      <c r="B18791" t="s">
        <v>26525</v>
      </c>
      <c r="C18791" t="s">
        <v>7</v>
      </c>
      <c r="D18791" t="s">
        <v>189</v>
      </c>
      <c r="E18791" t="s">
        <v>26179</v>
      </c>
      <c r="F18791" t="s">
        <v>26526</v>
      </c>
    </row>
    <row r="18792" spans="1:6" x14ac:dyDescent="0.25">
      <c r="A18792" t="str">
        <f>"7802953201"</f>
        <v>7802953201</v>
      </c>
      <c r="B18792" t="s">
        <v>26527</v>
      </c>
      <c r="C18792" t="s">
        <v>7</v>
      </c>
      <c r="D18792" t="s">
        <v>33</v>
      </c>
      <c r="E18792" t="s">
        <v>26179</v>
      </c>
      <c r="F18792" t="s">
        <v>26528</v>
      </c>
    </row>
    <row r="18793" spans="1:6" x14ac:dyDescent="0.25">
      <c r="A18793" t="str">
        <f>"780400102053"</f>
        <v>780400102053</v>
      </c>
      <c r="B18793" t="s">
        <v>26529</v>
      </c>
      <c r="C18793" t="s">
        <v>7</v>
      </c>
      <c r="D18793" t="s">
        <v>14</v>
      </c>
      <c r="E18793" t="s">
        <v>26179</v>
      </c>
    </row>
    <row r="18794" spans="1:6" x14ac:dyDescent="0.25">
      <c r="A18794" t="str">
        <f>"780400374931"</f>
        <v>780400374931</v>
      </c>
      <c r="B18794" t="s">
        <v>26530</v>
      </c>
      <c r="C18794" t="s">
        <v>7</v>
      </c>
      <c r="D18794" t="s">
        <v>14</v>
      </c>
      <c r="E18794" t="s">
        <v>26179</v>
      </c>
    </row>
    <row r="18795" spans="1:6" x14ac:dyDescent="0.25">
      <c r="A18795" t="str">
        <f>"7804122900"</f>
        <v>7804122900</v>
      </c>
      <c r="B18795" t="s">
        <v>26531</v>
      </c>
      <c r="C18795" t="s">
        <v>7</v>
      </c>
      <c r="D18795" t="s">
        <v>146</v>
      </c>
      <c r="E18795" t="s">
        <v>26179</v>
      </c>
      <c r="F18795" t="s">
        <v>26532</v>
      </c>
    </row>
    <row r="18796" spans="1:6" x14ac:dyDescent="0.25">
      <c r="A18796" t="str">
        <f>"780413315860"</f>
        <v>780413315860</v>
      </c>
      <c r="B18796" t="s">
        <v>26533</v>
      </c>
      <c r="C18796" t="s">
        <v>7</v>
      </c>
      <c r="D18796" t="s">
        <v>14</v>
      </c>
      <c r="E18796" t="s">
        <v>26179</v>
      </c>
    </row>
    <row r="18797" spans="1:6" x14ac:dyDescent="0.25">
      <c r="A18797" t="str">
        <f>"780417219170"</f>
        <v>780417219170</v>
      </c>
      <c r="B18797" t="s">
        <v>26534</v>
      </c>
      <c r="C18797" t="s">
        <v>7</v>
      </c>
      <c r="D18797" t="s">
        <v>12</v>
      </c>
      <c r="E18797" t="s">
        <v>26179</v>
      </c>
    </row>
    <row r="18798" spans="1:6" x14ac:dyDescent="0.25">
      <c r="A18798" t="str">
        <f>"7804273530"</f>
        <v>7804273530</v>
      </c>
      <c r="B18798" t="s">
        <v>26535</v>
      </c>
      <c r="C18798" t="s">
        <v>7</v>
      </c>
      <c r="D18798" t="s">
        <v>189</v>
      </c>
      <c r="E18798" t="s">
        <v>26179</v>
      </c>
      <c r="F18798" t="s">
        <v>26536</v>
      </c>
    </row>
    <row r="18799" spans="1:6" x14ac:dyDescent="0.25">
      <c r="A18799" t="str">
        <f>"780427597903"</f>
        <v>780427597903</v>
      </c>
      <c r="B18799" t="s">
        <v>26537</v>
      </c>
      <c r="C18799" t="s">
        <v>7</v>
      </c>
      <c r="D18799" t="s">
        <v>12</v>
      </c>
      <c r="E18799" t="s">
        <v>26179</v>
      </c>
    </row>
    <row r="18800" spans="1:6" x14ac:dyDescent="0.25">
      <c r="A18800" t="str">
        <f>"780427968668"</f>
        <v>780427968668</v>
      </c>
      <c r="B18800" t="s">
        <v>26538</v>
      </c>
      <c r="C18800" t="s">
        <v>7</v>
      </c>
      <c r="D18800" t="s">
        <v>14</v>
      </c>
      <c r="E18800" t="s">
        <v>26179</v>
      </c>
    </row>
    <row r="18801" spans="1:6" x14ac:dyDescent="0.25">
      <c r="A18801" t="str">
        <f>"780428820181"</f>
        <v>780428820181</v>
      </c>
      <c r="B18801" t="s">
        <v>26539</v>
      </c>
      <c r="C18801" t="s">
        <v>7</v>
      </c>
      <c r="D18801" t="s">
        <v>12</v>
      </c>
      <c r="E18801" t="s">
        <v>26179</v>
      </c>
    </row>
    <row r="18802" spans="1:6" x14ac:dyDescent="0.25">
      <c r="A18802" t="str">
        <f>"780441326207"</f>
        <v>780441326207</v>
      </c>
      <c r="B18802" t="s">
        <v>26540</v>
      </c>
      <c r="C18802" t="s">
        <v>7</v>
      </c>
      <c r="D18802" t="s">
        <v>14</v>
      </c>
      <c r="E18802" t="s">
        <v>26179</v>
      </c>
    </row>
    <row r="18803" spans="1:6" x14ac:dyDescent="0.25">
      <c r="A18803" t="str">
        <f>"7804416192"</f>
        <v>7804416192</v>
      </c>
      <c r="B18803" t="s">
        <v>26541</v>
      </c>
      <c r="C18803" t="s">
        <v>7</v>
      </c>
      <c r="D18803" t="s">
        <v>33</v>
      </c>
      <c r="E18803" t="s">
        <v>26179</v>
      </c>
      <c r="F18803" t="s">
        <v>26542</v>
      </c>
    </row>
    <row r="18804" spans="1:6" x14ac:dyDescent="0.25">
      <c r="A18804" t="str">
        <f>"7804428906"</f>
        <v>7804428906</v>
      </c>
      <c r="B18804" t="s">
        <v>26543</v>
      </c>
      <c r="C18804" t="s">
        <v>7</v>
      </c>
      <c r="D18804" t="s">
        <v>14</v>
      </c>
      <c r="E18804" t="s">
        <v>26179</v>
      </c>
      <c r="F18804" t="s">
        <v>26544</v>
      </c>
    </row>
    <row r="18805" spans="1:6" x14ac:dyDescent="0.25">
      <c r="A18805" t="str">
        <f>"7804466010"</f>
        <v>7804466010</v>
      </c>
      <c r="B18805" t="s">
        <v>26545</v>
      </c>
      <c r="C18805" t="s">
        <v>7</v>
      </c>
      <c r="D18805" t="s">
        <v>14</v>
      </c>
      <c r="E18805" t="s">
        <v>26179</v>
      </c>
      <c r="F18805" t="s">
        <v>26546</v>
      </c>
    </row>
    <row r="18806" spans="1:6" x14ac:dyDescent="0.25">
      <c r="A18806" t="str">
        <f>"7804487965"</f>
        <v>7804487965</v>
      </c>
      <c r="B18806" t="s">
        <v>26547</v>
      </c>
      <c r="C18806" t="s">
        <v>7</v>
      </c>
      <c r="D18806" t="s">
        <v>6745</v>
      </c>
      <c r="E18806" t="s">
        <v>26179</v>
      </c>
      <c r="F18806" t="s">
        <v>26548</v>
      </c>
    </row>
    <row r="18807" spans="1:6" x14ac:dyDescent="0.25">
      <c r="A18807" t="str">
        <f>"7804496399"</f>
        <v>7804496399</v>
      </c>
      <c r="B18807" t="s">
        <v>26549</v>
      </c>
      <c r="C18807" t="s">
        <v>7</v>
      </c>
      <c r="D18807" t="s">
        <v>33</v>
      </c>
      <c r="E18807" t="s">
        <v>26179</v>
      </c>
      <c r="F18807" t="s">
        <v>26550</v>
      </c>
    </row>
    <row r="18808" spans="1:6" x14ac:dyDescent="0.25">
      <c r="A18808" t="str">
        <f>"7804540104"</f>
        <v>7804540104</v>
      </c>
      <c r="B18808" t="s">
        <v>26551</v>
      </c>
      <c r="C18808" t="s">
        <v>7</v>
      </c>
      <c r="D18808" t="s">
        <v>12</v>
      </c>
      <c r="E18808" t="s">
        <v>26179</v>
      </c>
      <c r="F18808" t="s">
        <v>26552</v>
      </c>
    </row>
    <row r="18809" spans="1:6" x14ac:dyDescent="0.25">
      <c r="A18809" t="str">
        <f>"7804569826"</f>
        <v>7804569826</v>
      </c>
      <c r="B18809" t="s">
        <v>26553</v>
      </c>
      <c r="C18809" t="s">
        <v>7</v>
      </c>
      <c r="D18809" t="s">
        <v>14</v>
      </c>
      <c r="E18809" t="s">
        <v>26179</v>
      </c>
      <c r="F18809" t="s">
        <v>26554</v>
      </c>
    </row>
    <row r="18810" spans="1:6" x14ac:dyDescent="0.25">
      <c r="A18810" t="str">
        <f>"7804605658"</f>
        <v>7804605658</v>
      </c>
      <c r="B18810" t="s">
        <v>26555</v>
      </c>
      <c r="C18810" t="s">
        <v>7</v>
      </c>
      <c r="D18810" t="s">
        <v>12</v>
      </c>
      <c r="E18810" t="s">
        <v>26179</v>
      </c>
      <c r="F18810" t="s">
        <v>26556</v>
      </c>
    </row>
    <row r="18811" spans="1:6" x14ac:dyDescent="0.25">
      <c r="A18811" t="str">
        <f>"7804684265"</f>
        <v>7804684265</v>
      </c>
      <c r="B18811" t="s">
        <v>5533</v>
      </c>
      <c r="C18811" t="s">
        <v>7</v>
      </c>
      <c r="D18811" t="s">
        <v>33</v>
      </c>
      <c r="E18811" t="s">
        <v>26179</v>
      </c>
      <c r="F18811" t="s">
        <v>26557</v>
      </c>
    </row>
    <row r="18812" spans="1:6" x14ac:dyDescent="0.25">
      <c r="A18812" t="str">
        <f>"7804699247"</f>
        <v>7804699247</v>
      </c>
      <c r="B18812" t="s">
        <v>26558</v>
      </c>
      <c r="C18812" t="s">
        <v>7</v>
      </c>
      <c r="D18812" t="s">
        <v>14</v>
      </c>
      <c r="E18812" t="s">
        <v>26179</v>
      </c>
      <c r="F18812" t="s">
        <v>26559</v>
      </c>
    </row>
    <row r="18813" spans="1:6" x14ac:dyDescent="0.25">
      <c r="A18813" t="str">
        <f>"7804708526"</f>
        <v>7804708526</v>
      </c>
      <c r="B18813" t="s">
        <v>26560</v>
      </c>
      <c r="C18813" t="s">
        <v>7</v>
      </c>
      <c r="D18813" t="s">
        <v>33</v>
      </c>
      <c r="E18813" t="s">
        <v>26179</v>
      </c>
      <c r="F18813" t="s">
        <v>26561</v>
      </c>
    </row>
    <row r="18814" spans="1:6" x14ac:dyDescent="0.25">
      <c r="A18814" t="str">
        <f>"780513633087"</f>
        <v>780513633087</v>
      </c>
      <c r="B18814" t="s">
        <v>26562</v>
      </c>
      <c r="C18814" t="s">
        <v>7</v>
      </c>
      <c r="D18814" t="s">
        <v>14</v>
      </c>
      <c r="E18814" t="s">
        <v>26179</v>
      </c>
    </row>
    <row r="18815" spans="1:6" x14ac:dyDescent="0.25">
      <c r="A18815" t="str">
        <f>"7805137025"</f>
        <v>7805137025</v>
      </c>
      <c r="B18815" t="s">
        <v>26563</v>
      </c>
      <c r="C18815" t="s">
        <v>7</v>
      </c>
      <c r="D18815" t="s">
        <v>14</v>
      </c>
      <c r="E18815" t="s">
        <v>26179</v>
      </c>
      <c r="F18815" t="s">
        <v>26564</v>
      </c>
    </row>
    <row r="18816" spans="1:6" x14ac:dyDescent="0.25">
      <c r="A18816" t="str">
        <f>"780515407333"</f>
        <v>780515407333</v>
      </c>
      <c r="B18816" t="s">
        <v>26565</v>
      </c>
      <c r="C18816" t="s">
        <v>7</v>
      </c>
      <c r="D18816" t="s">
        <v>674</v>
      </c>
      <c r="E18816" t="s">
        <v>26179</v>
      </c>
    </row>
    <row r="18817" spans="1:6" x14ac:dyDescent="0.25">
      <c r="A18817" t="str">
        <f>"7805250817"</f>
        <v>7805250817</v>
      </c>
      <c r="B18817" t="s">
        <v>26566</v>
      </c>
      <c r="C18817" t="s">
        <v>7</v>
      </c>
      <c r="D18817" t="s">
        <v>14</v>
      </c>
      <c r="E18817" t="s">
        <v>26179</v>
      </c>
      <c r="F18817" t="s">
        <v>26567</v>
      </c>
    </row>
    <row r="18818" spans="1:6" x14ac:dyDescent="0.25">
      <c r="A18818" t="str">
        <f>"7805276082"</f>
        <v>7805276082</v>
      </c>
      <c r="B18818" t="s">
        <v>26568</v>
      </c>
      <c r="C18818" t="s">
        <v>7</v>
      </c>
      <c r="D18818" t="s">
        <v>146</v>
      </c>
      <c r="E18818" t="s">
        <v>26179</v>
      </c>
      <c r="F18818" t="s">
        <v>26569</v>
      </c>
    </row>
    <row r="18819" spans="1:6" x14ac:dyDescent="0.25">
      <c r="A18819" t="str">
        <f>"7805292790"</f>
        <v>7805292790</v>
      </c>
      <c r="B18819" t="s">
        <v>26570</v>
      </c>
      <c r="C18819" t="s">
        <v>7</v>
      </c>
      <c r="D18819" t="s">
        <v>12</v>
      </c>
      <c r="E18819" t="s">
        <v>26179</v>
      </c>
      <c r="F18819" t="s">
        <v>26571</v>
      </c>
    </row>
    <row r="18820" spans="1:6" x14ac:dyDescent="0.25">
      <c r="A18820" t="str">
        <f>"780533730515"</f>
        <v>780533730515</v>
      </c>
      <c r="B18820" t="s">
        <v>26572</v>
      </c>
      <c r="C18820" t="s">
        <v>7</v>
      </c>
      <c r="D18820" t="s">
        <v>463</v>
      </c>
      <c r="E18820" t="s">
        <v>26179</v>
      </c>
    </row>
    <row r="18821" spans="1:6" x14ac:dyDescent="0.25">
      <c r="A18821" t="str">
        <f>"7805439812"</f>
        <v>7805439812</v>
      </c>
      <c r="B18821" t="s">
        <v>9143</v>
      </c>
      <c r="C18821" t="s">
        <v>7</v>
      </c>
      <c r="D18821" t="s">
        <v>12</v>
      </c>
      <c r="E18821" t="s">
        <v>26179</v>
      </c>
      <c r="F18821" t="s">
        <v>26573</v>
      </c>
    </row>
    <row r="18822" spans="1:6" x14ac:dyDescent="0.25">
      <c r="A18822" t="str">
        <f>"7805505279"</f>
        <v>7805505279</v>
      </c>
      <c r="B18822" t="s">
        <v>26574</v>
      </c>
      <c r="C18822" t="s">
        <v>7</v>
      </c>
      <c r="D18822" t="s">
        <v>33</v>
      </c>
      <c r="E18822" t="s">
        <v>26179</v>
      </c>
      <c r="F18822" t="s">
        <v>26575</v>
      </c>
    </row>
    <row r="18823" spans="1:6" x14ac:dyDescent="0.25">
      <c r="A18823" t="str">
        <f>"7805633680"</f>
        <v>7805633680</v>
      </c>
      <c r="B18823" t="s">
        <v>26576</v>
      </c>
      <c r="C18823" t="s">
        <v>7</v>
      </c>
      <c r="D18823" t="s">
        <v>33</v>
      </c>
      <c r="E18823" t="s">
        <v>26179</v>
      </c>
      <c r="F18823" t="s">
        <v>26577</v>
      </c>
    </row>
    <row r="18824" spans="1:6" x14ac:dyDescent="0.25">
      <c r="A18824" t="str">
        <f>"7805669929"</f>
        <v>7805669929</v>
      </c>
      <c r="B18824" t="s">
        <v>26578</v>
      </c>
      <c r="C18824" t="s">
        <v>7</v>
      </c>
      <c r="D18824" t="s">
        <v>674</v>
      </c>
      <c r="E18824" t="s">
        <v>26179</v>
      </c>
      <c r="F18824" t="s">
        <v>26579</v>
      </c>
    </row>
    <row r="18825" spans="1:6" x14ac:dyDescent="0.25">
      <c r="A18825" t="str">
        <f>"7805723686"</f>
        <v>7805723686</v>
      </c>
      <c r="B18825" t="s">
        <v>26580</v>
      </c>
      <c r="C18825" t="s">
        <v>7</v>
      </c>
      <c r="D18825" t="s">
        <v>12</v>
      </c>
      <c r="E18825" t="s">
        <v>26179</v>
      </c>
      <c r="F18825" t="s">
        <v>26581</v>
      </c>
    </row>
    <row r="18826" spans="1:6" x14ac:dyDescent="0.25">
      <c r="A18826" t="str">
        <f>"7805789775"</f>
        <v>7805789775</v>
      </c>
      <c r="B18826" t="s">
        <v>26582</v>
      </c>
      <c r="C18826" t="s">
        <v>7</v>
      </c>
      <c r="D18826" t="s">
        <v>189</v>
      </c>
      <c r="E18826" t="s">
        <v>26179</v>
      </c>
      <c r="F18826" t="s">
        <v>26583</v>
      </c>
    </row>
    <row r="18827" spans="1:6" x14ac:dyDescent="0.25">
      <c r="A18827" t="str">
        <f>"7805800531"</f>
        <v>7805800531</v>
      </c>
      <c r="B18827" t="s">
        <v>26584</v>
      </c>
      <c r="C18827" t="s">
        <v>7</v>
      </c>
      <c r="D18827" t="s">
        <v>674</v>
      </c>
      <c r="E18827" t="s">
        <v>26179</v>
      </c>
      <c r="F18827" t="s">
        <v>26585</v>
      </c>
    </row>
    <row r="18828" spans="1:6" x14ac:dyDescent="0.25">
      <c r="A18828" t="str">
        <f>"7805820714"</f>
        <v>7805820714</v>
      </c>
      <c r="B18828" t="s">
        <v>26586</v>
      </c>
      <c r="C18828" t="s">
        <v>7</v>
      </c>
      <c r="D18828" t="s">
        <v>33</v>
      </c>
      <c r="E18828" t="s">
        <v>26179</v>
      </c>
      <c r="F18828" t="s">
        <v>26587</v>
      </c>
    </row>
    <row r="18829" spans="1:6" x14ac:dyDescent="0.25">
      <c r="A18829" t="str">
        <f>"780600192600"</f>
        <v>780600192600</v>
      </c>
      <c r="B18829" t="s">
        <v>26588</v>
      </c>
      <c r="C18829" t="s">
        <v>7</v>
      </c>
      <c r="D18829" t="s">
        <v>14</v>
      </c>
      <c r="E18829" t="s">
        <v>26179</v>
      </c>
    </row>
    <row r="18830" spans="1:6" x14ac:dyDescent="0.25">
      <c r="A18830" t="str">
        <f>"7806070373"</f>
        <v>7806070373</v>
      </c>
      <c r="B18830" t="s">
        <v>26589</v>
      </c>
      <c r="C18830" t="s">
        <v>7</v>
      </c>
      <c r="D18830" t="s">
        <v>674</v>
      </c>
      <c r="E18830" t="s">
        <v>26179</v>
      </c>
      <c r="F18830" t="s">
        <v>26590</v>
      </c>
    </row>
    <row r="18831" spans="1:6" x14ac:dyDescent="0.25">
      <c r="A18831" t="str">
        <f>"780607349434"</f>
        <v>780607349434</v>
      </c>
      <c r="B18831" t="s">
        <v>26591</v>
      </c>
      <c r="C18831" t="s">
        <v>7</v>
      </c>
      <c r="D18831" t="s">
        <v>33</v>
      </c>
      <c r="E18831" t="s">
        <v>26179</v>
      </c>
    </row>
    <row r="18832" spans="1:6" x14ac:dyDescent="0.25">
      <c r="A18832" t="str">
        <f>"7806093980"</f>
        <v>7806093980</v>
      </c>
      <c r="B18832" t="s">
        <v>26592</v>
      </c>
      <c r="C18832" t="s">
        <v>7</v>
      </c>
      <c r="D18832" t="s">
        <v>33</v>
      </c>
      <c r="E18832" t="s">
        <v>26179</v>
      </c>
      <c r="F18832" t="s">
        <v>26593</v>
      </c>
    </row>
    <row r="18833" spans="1:6" x14ac:dyDescent="0.25">
      <c r="A18833" t="str">
        <f>"780614179470"</f>
        <v>780614179470</v>
      </c>
      <c r="B18833" t="s">
        <v>26594</v>
      </c>
      <c r="C18833" t="s">
        <v>7</v>
      </c>
      <c r="D18833" t="s">
        <v>14</v>
      </c>
      <c r="E18833" t="s">
        <v>26179</v>
      </c>
    </row>
    <row r="18834" spans="1:6" x14ac:dyDescent="0.25">
      <c r="A18834" t="str">
        <f>"780616739582"</f>
        <v>780616739582</v>
      </c>
      <c r="B18834" t="s">
        <v>26595</v>
      </c>
      <c r="C18834" t="s">
        <v>7</v>
      </c>
      <c r="D18834" t="s">
        <v>14</v>
      </c>
      <c r="E18834" t="s">
        <v>26179</v>
      </c>
    </row>
    <row r="18835" spans="1:6" x14ac:dyDescent="0.25">
      <c r="A18835" t="str">
        <f>"550208537840"</f>
        <v>550208537840</v>
      </c>
      <c r="B18835" t="s">
        <v>26596</v>
      </c>
      <c r="C18835" t="s">
        <v>7</v>
      </c>
      <c r="D18835" t="s">
        <v>463</v>
      </c>
      <c r="E18835" t="s">
        <v>26179</v>
      </c>
    </row>
    <row r="18836" spans="1:6" x14ac:dyDescent="0.25">
      <c r="A18836" t="str">
        <f>"720200391635"</f>
        <v>720200391635</v>
      </c>
      <c r="B18836" t="s">
        <v>26597</v>
      </c>
      <c r="C18836" t="s">
        <v>7</v>
      </c>
      <c r="D18836" t="s">
        <v>14</v>
      </c>
      <c r="E18836" t="s">
        <v>26179</v>
      </c>
    </row>
    <row r="18837" spans="1:6" x14ac:dyDescent="0.25">
      <c r="A18837" t="str">
        <f>"7806161694"</f>
        <v>7806161694</v>
      </c>
      <c r="B18837" t="s">
        <v>26598</v>
      </c>
      <c r="C18837" t="s">
        <v>7</v>
      </c>
      <c r="D18837" t="s">
        <v>33</v>
      </c>
      <c r="E18837" t="s">
        <v>26179</v>
      </c>
      <c r="F18837" t="s">
        <v>26599</v>
      </c>
    </row>
    <row r="18838" spans="1:6" x14ac:dyDescent="0.25">
      <c r="A18838" t="str">
        <f>"780617602485"</f>
        <v>780617602485</v>
      </c>
      <c r="B18838" t="s">
        <v>26600</v>
      </c>
      <c r="C18838" t="s">
        <v>7</v>
      </c>
      <c r="D18838" t="s">
        <v>14</v>
      </c>
      <c r="E18838" t="s">
        <v>26179</v>
      </c>
    </row>
    <row r="18839" spans="1:6" x14ac:dyDescent="0.25">
      <c r="A18839" t="str">
        <f>"780617978262"</f>
        <v>780617978262</v>
      </c>
      <c r="B18839" t="s">
        <v>26601</v>
      </c>
      <c r="C18839" t="s">
        <v>7</v>
      </c>
      <c r="D18839" t="s">
        <v>14</v>
      </c>
      <c r="E18839" t="s">
        <v>26179</v>
      </c>
    </row>
    <row r="18840" spans="1:6" x14ac:dyDescent="0.25">
      <c r="A18840" t="str">
        <f>"780621307468"</f>
        <v>780621307468</v>
      </c>
      <c r="B18840" t="s">
        <v>26602</v>
      </c>
      <c r="C18840" t="s">
        <v>7</v>
      </c>
      <c r="D18840" t="s">
        <v>14</v>
      </c>
      <c r="E18840" t="s">
        <v>26179</v>
      </c>
    </row>
    <row r="18841" spans="1:6" x14ac:dyDescent="0.25">
      <c r="A18841" t="str">
        <f>"780623324780"</f>
        <v>780623324780</v>
      </c>
      <c r="B18841" t="s">
        <v>26603</v>
      </c>
      <c r="C18841" t="s">
        <v>7</v>
      </c>
      <c r="D18841" t="s">
        <v>14</v>
      </c>
      <c r="E18841" t="s">
        <v>26179</v>
      </c>
    </row>
    <row r="18842" spans="1:6" x14ac:dyDescent="0.25">
      <c r="A18842" t="str">
        <f>"780623798074"</f>
        <v>780623798074</v>
      </c>
      <c r="B18842" t="s">
        <v>26604</v>
      </c>
      <c r="C18842" t="s">
        <v>7</v>
      </c>
      <c r="D18842" t="s">
        <v>14</v>
      </c>
      <c r="E18842" t="s">
        <v>26179</v>
      </c>
    </row>
    <row r="18843" spans="1:6" x14ac:dyDescent="0.25">
      <c r="A18843" t="str">
        <f>"780624418938"</f>
        <v>780624418938</v>
      </c>
      <c r="B18843" t="s">
        <v>26605</v>
      </c>
      <c r="C18843" t="s">
        <v>7</v>
      </c>
      <c r="D18843" t="s">
        <v>14</v>
      </c>
      <c r="E18843" t="s">
        <v>26179</v>
      </c>
    </row>
    <row r="18844" spans="1:6" x14ac:dyDescent="0.25">
      <c r="A18844" t="str">
        <f>"780624645874"</f>
        <v>780624645874</v>
      </c>
      <c r="B18844" t="s">
        <v>26606</v>
      </c>
      <c r="C18844" t="s">
        <v>7</v>
      </c>
      <c r="D18844" t="s">
        <v>8</v>
      </c>
      <c r="E18844" t="s">
        <v>26179</v>
      </c>
    </row>
    <row r="18845" spans="1:6" x14ac:dyDescent="0.25">
      <c r="A18845" t="str">
        <f>"780626189673"</f>
        <v>780626189673</v>
      </c>
      <c r="B18845" t="s">
        <v>26607</v>
      </c>
      <c r="C18845" t="s">
        <v>7</v>
      </c>
      <c r="D18845" t="s">
        <v>14</v>
      </c>
      <c r="E18845" t="s">
        <v>26179</v>
      </c>
    </row>
    <row r="18846" spans="1:6" x14ac:dyDescent="0.25">
      <c r="A18846" t="str">
        <f>"780626886508"</f>
        <v>780626886508</v>
      </c>
      <c r="B18846" t="s">
        <v>26608</v>
      </c>
      <c r="C18846" t="s">
        <v>7</v>
      </c>
      <c r="D18846" t="s">
        <v>14</v>
      </c>
      <c r="E18846" t="s">
        <v>26179</v>
      </c>
    </row>
    <row r="18847" spans="1:6" x14ac:dyDescent="0.25">
      <c r="A18847" t="str">
        <f>"780633047239"</f>
        <v>780633047239</v>
      </c>
      <c r="B18847" t="s">
        <v>26609</v>
      </c>
      <c r="C18847" t="s">
        <v>7</v>
      </c>
      <c r="D18847" t="s">
        <v>14</v>
      </c>
      <c r="E18847" t="s">
        <v>26179</v>
      </c>
    </row>
    <row r="18848" spans="1:6" x14ac:dyDescent="0.25">
      <c r="A18848" t="str">
        <f>"780634385199"</f>
        <v>780634385199</v>
      </c>
      <c r="B18848" t="s">
        <v>26610</v>
      </c>
      <c r="C18848" t="s">
        <v>7</v>
      </c>
      <c r="D18848" t="s">
        <v>14</v>
      </c>
      <c r="E18848" t="s">
        <v>26179</v>
      </c>
    </row>
    <row r="18849" spans="1:6" x14ac:dyDescent="0.25">
      <c r="A18849" t="str">
        <f>"7806415525"</f>
        <v>7806415525</v>
      </c>
      <c r="B18849" t="s">
        <v>26611</v>
      </c>
      <c r="C18849" t="s">
        <v>7</v>
      </c>
      <c r="D18849" t="s">
        <v>1430</v>
      </c>
      <c r="E18849" t="s">
        <v>26179</v>
      </c>
      <c r="F18849" t="s">
        <v>26612</v>
      </c>
    </row>
    <row r="18850" spans="1:6" x14ac:dyDescent="0.25">
      <c r="A18850" t="str">
        <f>"7806518270"</f>
        <v>7806518270</v>
      </c>
      <c r="B18850" t="s">
        <v>26613</v>
      </c>
      <c r="C18850" t="s">
        <v>7</v>
      </c>
      <c r="D18850" t="s">
        <v>33</v>
      </c>
      <c r="E18850" t="s">
        <v>26179</v>
      </c>
      <c r="F18850" t="s">
        <v>26614</v>
      </c>
    </row>
    <row r="18851" spans="1:6" x14ac:dyDescent="0.25">
      <c r="A18851" t="str">
        <f>"7806529995"</f>
        <v>7806529995</v>
      </c>
      <c r="B18851" t="s">
        <v>26615</v>
      </c>
      <c r="C18851" t="s">
        <v>7</v>
      </c>
      <c r="D18851" t="s">
        <v>33</v>
      </c>
      <c r="E18851" t="s">
        <v>26179</v>
      </c>
      <c r="F18851" t="s">
        <v>26616</v>
      </c>
    </row>
    <row r="18852" spans="1:6" x14ac:dyDescent="0.25">
      <c r="A18852" t="str">
        <f>"7806534120"</f>
        <v>7806534120</v>
      </c>
      <c r="B18852" t="s">
        <v>26617</v>
      </c>
      <c r="C18852" t="s">
        <v>7</v>
      </c>
      <c r="D18852" t="s">
        <v>12</v>
      </c>
      <c r="E18852" t="s">
        <v>26179</v>
      </c>
      <c r="F18852" t="s">
        <v>26618</v>
      </c>
    </row>
    <row r="18853" spans="1:6" x14ac:dyDescent="0.25">
      <c r="A18853" t="str">
        <f>"7806588380"</f>
        <v>7806588380</v>
      </c>
      <c r="B18853" t="s">
        <v>26619</v>
      </c>
      <c r="C18853" t="s">
        <v>7</v>
      </c>
      <c r="D18853" t="s">
        <v>14</v>
      </c>
      <c r="E18853" t="s">
        <v>26179</v>
      </c>
      <c r="F18853" t="s">
        <v>26620</v>
      </c>
    </row>
    <row r="18854" spans="1:6" x14ac:dyDescent="0.25">
      <c r="A18854" t="str">
        <f>"7806605935"</f>
        <v>7806605935</v>
      </c>
      <c r="B18854" t="s">
        <v>26621</v>
      </c>
      <c r="C18854" t="s">
        <v>7</v>
      </c>
      <c r="D18854" t="s">
        <v>14</v>
      </c>
      <c r="E18854" t="s">
        <v>26179</v>
      </c>
      <c r="F18854" t="s">
        <v>26622</v>
      </c>
    </row>
    <row r="18855" spans="1:6" x14ac:dyDescent="0.25">
      <c r="A18855" t="str">
        <f>"7806627470"</f>
        <v>7806627470</v>
      </c>
      <c r="B18855" t="s">
        <v>26623</v>
      </c>
      <c r="C18855" t="s">
        <v>7</v>
      </c>
      <c r="D18855" t="s">
        <v>12</v>
      </c>
      <c r="E18855" t="s">
        <v>26179</v>
      </c>
      <c r="F18855" t="s">
        <v>26624</v>
      </c>
    </row>
    <row r="18856" spans="1:6" x14ac:dyDescent="0.25">
      <c r="A18856" t="str">
        <f>"7806628749"</f>
        <v>7806628749</v>
      </c>
      <c r="B18856" t="s">
        <v>7045</v>
      </c>
      <c r="C18856" t="s">
        <v>7</v>
      </c>
      <c r="D18856" t="s">
        <v>33</v>
      </c>
      <c r="E18856" t="s">
        <v>26179</v>
      </c>
      <c r="F18856" t="s">
        <v>26625</v>
      </c>
    </row>
    <row r="18857" spans="1:6" x14ac:dyDescent="0.25">
      <c r="A18857" t="str">
        <f>"780700458220"</f>
        <v>780700458220</v>
      </c>
      <c r="B18857" t="s">
        <v>26626</v>
      </c>
      <c r="C18857" t="s">
        <v>7</v>
      </c>
      <c r="D18857" t="s">
        <v>14</v>
      </c>
      <c r="E18857" t="s">
        <v>26179</v>
      </c>
    </row>
    <row r="18858" spans="1:6" x14ac:dyDescent="0.25">
      <c r="A18858" t="str">
        <f>"7807006388"</f>
        <v>7807006388</v>
      </c>
      <c r="B18858" t="s">
        <v>26627</v>
      </c>
      <c r="C18858" t="s">
        <v>7</v>
      </c>
      <c r="D18858" t="s">
        <v>674</v>
      </c>
      <c r="E18858" t="s">
        <v>26179</v>
      </c>
      <c r="F18858" t="s">
        <v>26628</v>
      </c>
    </row>
    <row r="18859" spans="1:6" x14ac:dyDescent="0.25">
      <c r="A18859" t="str">
        <f>"780717493889"</f>
        <v>780717493889</v>
      </c>
      <c r="B18859" t="s">
        <v>26629</v>
      </c>
      <c r="C18859" t="s">
        <v>7</v>
      </c>
      <c r="D18859" t="s">
        <v>14</v>
      </c>
      <c r="E18859" t="s">
        <v>26179</v>
      </c>
    </row>
    <row r="18860" spans="1:6" x14ac:dyDescent="0.25">
      <c r="A18860" t="str">
        <f>"780718124490"</f>
        <v>780718124490</v>
      </c>
      <c r="B18860" t="s">
        <v>26630</v>
      </c>
      <c r="C18860" t="s">
        <v>7</v>
      </c>
      <c r="D18860" t="s">
        <v>14</v>
      </c>
      <c r="E18860" t="s">
        <v>26179</v>
      </c>
    </row>
    <row r="18861" spans="1:6" x14ac:dyDescent="0.25">
      <c r="A18861" t="str">
        <f>"780722765295"</f>
        <v>780722765295</v>
      </c>
      <c r="B18861" t="s">
        <v>26631</v>
      </c>
      <c r="C18861" t="s">
        <v>7</v>
      </c>
      <c r="D18861" t="s">
        <v>14</v>
      </c>
      <c r="E18861" t="s">
        <v>26179</v>
      </c>
    </row>
    <row r="18862" spans="1:6" x14ac:dyDescent="0.25">
      <c r="A18862" t="str">
        <f>"780722809344"</f>
        <v>780722809344</v>
      </c>
      <c r="B18862" t="s">
        <v>26632</v>
      </c>
      <c r="C18862" t="s">
        <v>7</v>
      </c>
      <c r="D18862" t="s">
        <v>14</v>
      </c>
      <c r="E18862" t="s">
        <v>26179</v>
      </c>
    </row>
    <row r="18863" spans="1:6" x14ac:dyDescent="0.25">
      <c r="A18863" t="str">
        <f>"7807234240"</f>
        <v>7807234240</v>
      </c>
      <c r="B18863" t="s">
        <v>26633</v>
      </c>
      <c r="C18863" t="s">
        <v>7</v>
      </c>
      <c r="D18863" t="s">
        <v>12</v>
      </c>
      <c r="E18863" t="s">
        <v>26179</v>
      </c>
      <c r="F18863" t="s">
        <v>26634</v>
      </c>
    </row>
    <row r="18864" spans="1:6" x14ac:dyDescent="0.25">
      <c r="A18864" t="str">
        <f>"780723438318"</f>
        <v>780723438318</v>
      </c>
      <c r="B18864" t="s">
        <v>26635</v>
      </c>
      <c r="C18864" t="s">
        <v>7</v>
      </c>
      <c r="D18864" t="s">
        <v>12</v>
      </c>
      <c r="E18864" t="s">
        <v>26179</v>
      </c>
    </row>
    <row r="18865" spans="1:6" x14ac:dyDescent="0.25">
      <c r="A18865" t="str">
        <f>"780723490935"</f>
        <v>780723490935</v>
      </c>
      <c r="B18865" t="s">
        <v>26636</v>
      </c>
      <c r="C18865" t="s">
        <v>7</v>
      </c>
      <c r="D18865" t="s">
        <v>12</v>
      </c>
      <c r="E18865" t="s">
        <v>26179</v>
      </c>
    </row>
    <row r="18866" spans="1:6" x14ac:dyDescent="0.25">
      <c r="A18866" t="str">
        <f>"7807250611"</f>
        <v>7807250611</v>
      </c>
      <c r="B18866" t="s">
        <v>26637</v>
      </c>
      <c r="C18866" t="s">
        <v>7</v>
      </c>
      <c r="D18866" t="s">
        <v>33</v>
      </c>
      <c r="E18866" t="s">
        <v>26179</v>
      </c>
      <c r="F18866" t="s">
        <v>26638</v>
      </c>
    </row>
    <row r="18867" spans="1:6" x14ac:dyDescent="0.25">
      <c r="A18867" t="str">
        <f>"7807376928"</f>
        <v>7807376928</v>
      </c>
      <c r="B18867" t="s">
        <v>26639</v>
      </c>
      <c r="C18867" t="s">
        <v>7</v>
      </c>
      <c r="D18867" t="s">
        <v>12</v>
      </c>
      <c r="E18867" t="s">
        <v>26179</v>
      </c>
      <c r="F18867" t="s">
        <v>26640</v>
      </c>
    </row>
    <row r="18868" spans="1:6" x14ac:dyDescent="0.25">
      <c r="A18868" t="str">
        <f>"7807399523"</f>
        <v>7807399523</v>
      </c>
      <c r="B18868" t="s">
        <v>26641</v>
      </c>
      <c r="C18868" t="s">
        <v>7</v>
      </c>
      <c r="D18868" t="s">
        <v>674</v>
      </c>
      <c r="E18868" t="s">
        <v>26179</v>
      </c>
      <c r="F18868" t="s">
        <v>26642</v>
      </c>
    </row>
    <row r="18869" spans="1:6" x14ac:dyDescent="0.25">
      <c r="A18869" t="str">
        <f>"7810016139"</f>
        <v>7810016139</v>
      </c>
      <c r="B18869" t="s">
        <v>26643</v>
      </c>
      <c r="C18869" t="s">
        <v>7</v>
      </c>
      <c r="D18869" t="s">
        <v>33</v>
      </c>
      <c r="E18869" t="s">
        <v>26179</v>
      </c>
      <c r="F18869" t="s">
        <v>26644</v>
      </c>
    </row>
    <row r="18870" spans="1:6" x14ac:dyDescent="0.25">
      <c r="A18870" t="str">
        <f>"781005115906"</f>
        <v>781005115906</v>
      </c>
      <c r="B18870" t="s">
        <v>26645</v>
      </c>
      <c r="C18870" t="s">
        <v>7</v>
      </c>
      <c r="D18870" t="s">
        <v>33</v>
      </c>
      <c r="E18870" t="s">
        <v>26179</v>
      </c>
    </row>
    <row r="18871" spans="1:6" x14ac:dyDescent="0.25">
      <c r="A18871" t="str">
        <f>"781005610160"</f>
        <v>781005610160</v>
      </c>
      <c r="B18871" t="s">
        <v>26646</v>
      </c>
      <c r="C18871" t="s">
        <v>7</v>
      </c>
      <c r="D18871" t="s">
        <v>12</v>
      </c>
      <c r="E18871" t="s">
        <v>26179</v>
      </c>
    </row>
    <row r="18872" spans="1:6" x14ac:dyDescent="0.25">
      <c r="A18872" t="str">
        <f>"781008638502"</f>
        <v>781008638502</v>
      </c>
      <c r="B18872" t="s">
        <v>26647</v>
      </c>
      <c r="C18872" t="s">
        <v>7</v>
      </c>
      <c r="D18872" t="s">
        <v>14</v>
      </c>
      <c r="E18872" t="s">
        <v>26179</v>
      </c>
    </row>
    <row r="18873" spans="1:6" x14ac:dyDescent="0.25">
      <c r="A18873" t="str">
        <f>"7810155397"</f>
        <v>7810155397</v>
      </c>
      <c r="B18873" t="s">
        <v>26648</v>
      </c>
      <c r="C18873" t="s">
        <v>7</v>
      </c>
      <c r="D18873" t="s">
        <v>33</v>
      </c>
      <c r="E18873" t="s">
        <v>26179</v>
      </c>
      <c r="F18873" t="s">
        <v>26649</v>
      </c>
    </row>
    <row r="18874" spans="1:6" x14ac:dyDescent="0.25">
      <c r="A18874" t="str">
        <f>"7810167787"</f>
        <v>7810167787</v>
      </c>
      <c r="B18874" t="s">
        <v>26650</v>
      </c>
      <c r="C18874" t="s">
        <v>7</v>
      </c>
      <c r="D18874" t="s">
        <v>98</v>
      </c>
      <c r="E18874" t="s">
        <v>26179</v>
      </c>
      <c r="F18874" t="s">
        <v>26651</v>
      </c>
    </row>
    <row r="18875" spans="1:6" x14ac:dyDescent="0.25">
      <c r="A18875" t="str">
        <f>"7810173910"</f>
        <v>7810173910</v>
      </c>
      <c r="B18875" t="s">
        <v>26652</v>
      </c>
      <c r="C18875" t="s">
        <v>7</v>
      </c>
      <c r="D18875" t="s">
        <v>14</v>
      </c>
      <c r="E18875" t="s">
        <v>26179</v>
      </c>
      <c r="F18875" t="s">
        <v>26653</v>
      </c>
    </row>
    <row r="18876" spans="1:6" x14ac:dyDescent="0.25">
      <c r="A18876" t="str">
        <f>"781018687629"</f>
        <v>781018687629</v>
      </c>
      <c r="B18876" t="s">
        <v>26654</v>
      </c>
      <c r="C18876" t="s">
        <v>7</v>
      </c>
      <c r="D18876" t="s">
        <v>14</v>
      </c>
      <c r="E18876" t="s">
        <v>26179</v>
      </c>
    </row>
    <row r="18877" spans="1:6" x14ac:dyDescent="0.25">
      <c r="A18877" t="str">
        <f>"781019007516"</f>
        <v>781019007516</v>
      </c>
      <c r="B18877" t="s">
        <v>26655</v>
      </c>
      <c r="C18877" t="s">
        <v>7</v>
      </c>
      <c r="D18877" t="s">
        <v>33</v>
      </c>
      <c r="E18877" t="s">
        <v>26179</v>
      </c>
    </row>
    <row r="18878" spans="1:6" x14ac:dyDescent="0.25">
      <c r="A18878" t="str">
        <f>"7810375226"</f>
        <v>7810375226</v>
      </c>
      <c r="B18878" t="s">
        <v>26656</v>
      </c>
      <c r="C18878" t="s">
        <v>7</v>
      </c>
      <c r="D18878" t="s">
        <v>33</v>
      </c>
      <c r="E18878" t="s">
        <v>26179</v>
      </c>
      <c r="F18878" t="s">
        <v>26657</v>
      </c>
    </row>
    <row r="18879" spans="1:6" x14ac:dyDescent="0.25">
      <c r="A18879" t="str">
        <f>"7810403716"</f>
        <v>7810403716</v>
      </c>
      <c r="B18879" t="s">
        <v>26658</v>
      </c>
      <c r="C18879" t="s">
        <v>7</v>
      </c>
      <c r="D18879" t="s">
        <v>12</v>
      </c>
      <c r="E18879" t="s">
        <v>26179</v>
      </c>
      <c r="F18879" t="s">
        <v>26659</v>
      </c>
    </row>
    <row r="18880" spans="1:6" x14ac:dyDescent="0.25">
      <c r="A18880" t="str">
        <f>"7810423470"</f>
        <v>7810423470</v>
      </c>
      <c r="B18880" t="s">
        <v>26660</v>
      </c>
      <c r="C18880" t="s">
        <v>7</v>
      </c>
      <c r="D18880" t="s">
        <v>1430</v>
      </c>
      <c r="E18880" t="s">
        <v>26179</v>
      </c>
      <c r="F18880" t="s">
        <v>26661</v>
      </c>
    </row>
    <row r="18881" spans="1:6" x14ac:dyDescent="0.25">
      <c r="A18881" t="str">
        <f>"7810466346"</f>
        <v>7810466346</v>
      </c>
      <c r="B18881" t="s">
        <v>26662</v>
      </c>
      <c r="C18881" t="s">
        <v>7</v>
      </c>
      <c r="D18881" t="s">
        <v>14</v>
      </c>
      <c r="E18881" t="s">
        <v>26179</v>
      </c>
      <c r="F18881" t="s">
        <v>26663</v>
      </c>
    </row>
    <row r="18882" spans="1:6" x14ac:dyDescent="0.25">
      <c r="A18882" t="str">
        <f>"7810487089"</f>
        <v>7810487089</v>
      </c>
      <c r="B18882" t="s">
        <v>26664</v>
      </c>
      <c r="C18882" t="s">
        <v>7</v>
      </c>
      <c r="D18882" t="s">
        <v>33</v>
      </c>
      <c r="E18882" t="s">
        <v>26179</v>
      </c>
      <c r="F18882" t="s">
        <v>26665</v>
      </c>
    </row>
    <row r="18883" spans="1:6" x14ac:dyDescent="0.25">
      <c r="A18883" t="str">
        <f>"7810682812"</f>
        <v>7810682812</v>
      </c>
      <c r="B18883" t="s">
        <v>26666</v>
      </c>
      <c r="C18883" t="s">
        <v>7</v>
      </c>
      <c r="D18883" t="s">
        <v>33</v>
      </c>
      <c r="E18883" t="s">
        <v>26179</v>
      </c>
      <c r="F18883" t="s">
        <v>26667</v>
      </c>
    </row>
    <row r="18884" spans="1:6" x14ac:dyDescent="0.25">
      <c r="A18884" t="str">
        <f>"7810731523"</f>
        <v>7810731523</v>
      </c>
      <c r="B18884" t="s">
        <v>26668</v>
      </c>
      <c r="C18884" t="s">
        <v>7</v>
      </c>
      <c r="D18884" t="s">
        <v>1430</v>
      </c>
      <c r="E18884" t="s">
        <v>26179</v>
      </c>
      <c r="F18884" t="s">
        <v>26669</v>
      </c>
    </row>
    <row r="18885" spans="1:6" x14ac:dyDescent="0.25">
      <c r="A18885" t="str">
        <f>"7810780337"</f>
        <v>7810780337</v>
      </c>
      <c r="B18885" t="s">
        <v>26670</v>
      </c>
      <c r="C18885" t="s">
        <v>7</v>
      </c>
      <c r="D18885" t="s">
        <v>189</v>
      </c>
      <c r="E18885" t="s">
        <v>26179</v>
      </c>
      <c r="F18885" t="s">
        <v>26671</v>
      </c>
    </row>
    <row r="18886" spans="1:6" x14ac:dyDescent="0.25">
      <c r="A18886" t="str">
        <f>"7810782260"</f>
        <v>7810782260</v>
      </c>
      <c r="B18886" t="s">
        <v>26672</v>
      </c>
      <c r="C18886" t="s">
        <v>7</v>
      </c>
      <c r="D18886" t="s">
        <v>12</v>
      </c>
      <c r="E18886" t="s">
        <v>26179</v>
      </c>
      <c r="F18886" t="s">
        <v>26673</v>
      </c>
    </row>
    <row r="18887" spans="1:6" x14ac:dyDescent="0.25">
      <c r="A18887" t="str">
        <f>"7810797732"</f>
        <v>7810797732</v>
      </c>
      <c r="B18887" t="s">
        <v>26674</v>
      </c>
      <c r="C18887" t="s">
        <v>7</v>
      </c>
      <c r="D18887" t="s">
        <v>189</v>
      </c>
      <c r="E18887" t="s">
        <v>26179</v>
      </c>
      <c r="F18887" t="s">
        <v>26675</v>
      </c>
    </row>
    <row r="18888" spans="1:6" x14ac:dyDescent="0.25">
      <c r="A18888" t="str">
        <f>"7810830002"</f>
        <v>7810830002</v>
      </c>
      <c r="B18888" t="s">
        <v>26676</v>
      </c>
      <c r="C18888" t="s">
        <v>7</v>
      </c>
      <c r="D18888" t="s">
        <v>33</v>
      </c>
      <c r="E18888" t="s">
        <v>26179</v>
      </c>
      <c r="F18888" t="s">
        <v>26677</v>
      </c>
    </row>
    <row r="18889" spans="1:6" x14ac:dyDescent="0.25">
      <c r="A18889" t="str">
        <f>"7810862011"</f>
        <v>7810862011</v>
      </c>
      <c r="B18889" t="s">
        <v>26678</v>
      </c>
      <c r="C18889" t="s">
        <v>7</v>
      </c>
      <c r="D18889" t="s">
        <v>12</v>
      </c>
      <c r="E18889" t="s">
        <v>26179</v>
      </c>
      <c r="F18889" t="s">
        <v>26679</v>
      </c>
    </row>
    <row r="18890" spans="1:6" x14ac:dyDescent="0.25">
      <c r="A18890" t="str">
        <f>"7810862861"</f>
        <v>7810862861</v>
      </c>
      <c r="B18890" t="s">
        <v>26680</v>
      </c>
      <c r="C18890" t="s">
        <v>7</v>
      </c>
      <c r="D18890" t="s">
        <v>14</v>
      </c>
      <c r="E18890" t="s">
        <v>26179</v>
      </c>
      <c r="F18890" t="s">
        <v>26681</v>
      </c>
    </row>
    <row r="18891" spans="1:6" x14ac:dyDescent="0.25">
      <c r="A18891" t="str">
        <f>"7810879992"</f>
        <v>7810879992</v>
      </c>
      <c r="B18891" t="s">
        <v>26682</v>
      </c>
      <c r="C18891" t="s">
        <v>7</v>
      </c>
      <c r="D18891" t="s">
        <v>33</v>
      </c>
      <c r="E18891" t="s">
        <v>26179</v>
      </c>
      <c r="F18891" t="s">
        <v>26683</v>
      </c>
    </row>
    <row r="18892" spans="1:6" x14ac:dyDescent="0.25">
      <c r="A18892" t="str">
        <f>"7810914252"</f>
        <v>7810914252</v>
      </c>
      <c r="B18892" t="s">
        <v>26684</v>
      </c>
      <c r="C18892" t="s">
        <v>7</v>
      </c>
      <c r="D18892" t="s">
        <v>14</v>
      </c>
      <c r="E18892" t="s">
        <v>26179</v>
      </c>
      <c r="F18892" t="s">
        <v>26685</v>
      </c>
    </row>
    <row r="18893" spans="1:6" x14ac:dyDescent="0.25">
      <c r="A18893" t="str">
        <f>"7810967279"</f>
        <v>7810967279</v>
      </c>
      <c r="B18893" t="s">
        <v>26686</v>
      </c>
      <c r="C18893" t="s">
        <v>7</v>
      </c>
      <c r="D18893" t="s">
        <v>12</v>
      </c>
      <c r="E18893" t="s">
        <v>26179</v>
      </c>
      <c r="F18893" t="s">
        <v>26687</v>
      </c>
    </row>
    <row r="18894" spans="1:6" x14ac:dyDescent="0.25">
      <c r="A18894" t="str">
        <f>"7810981548"</f>
        <v>7810981548</v>
      </c>
      <c r="B18894" t="s">
        <v>26688</v>
      </c>
      <c r="C18894" t="s">
        <v>7</v>
      </c>
      <c r="D18894" t="s">
        <v>14</v>
      </c>
      <c r="E18894" t="s">
        <v>26179</v>
      </c>
      <c r="F18894" t="s">
        <v>26689</v>
      </c>
    </row>
    <row r="18895" spans="1:6" x14ac:dyDescent="0.25">
      <c r="A18895" t="str">
        <f>"7810996223"</f>
        <v>7810996223</v>
      </c>
      <c r="B18895" t="s">
        <v>26690</v>
      </c>
      <c r="C18895" t="s">
        <v>7</v>
      </c>
      <c r="D18895" t="s">
        <v>28</v>
      </c>
      <c r="E18895" t="s">
        <v>26179</v>
      </c>
      <c r="F18895" t="s">
        <v>26691</v>
      </c>
    </row>
    <row r="18896" spans="1:6" x14ac:dyDescent="0.25">
      <c r="A18896" t="str">
        <f>"781100256953"</f>
        <v>781100256953</v>
      </c>
      <c r="B18896" t="s">
        <v>13103</v>
      </c>
      <c r="C18896" t="s">
        <v>7</v>
      </c>
      <c r="D18896" t="s">
        <v>14</v>
      </c>
      <c r="E18896" t="s">
        <v>26179</v>
      </c>
    </row>
    <row r="18897" spans="1:6" x14ac:dyDescent="0.25">
      <c r="A18897" t="str">
        <f>"781100257058"</f>
        <v>781100257058</v>
      </c>
      <c r="B18897" t="s">
        <v>26692</v>
      </c>
      <c r="C18897" t="s">
        <v>7</v>
      </c>
      <c r="D18897" t="s">
        <v>14</v>
      </c>
      <c r="E18897" t="s">
        <v>26179</v>
      </c>
    </row>
    <row r="18898" spans="1:6" x14ac:dyDescent="0.25">
      <c r="A18898" t="str">
        <f>"7811103031"</f>
        <v>7811103031</v>
      </c>
      <c r="B18898" t="s">
        <v>26693</v>
      </c>
      <c r="C18898" t="s">
        <v>7</v>
      </c>
      <c r="D18898" t="s">
        <v>14</v>
      </c>
      <c r="E18898" t="s">
        <v>26179</v>
      </c>
      <c r="F18898" t="s">
        <v>26694</v>
      </c>
    </row>
    <row r="18899" spans="1:6" x14ac:dyDescent="0.25">
      <c r="A18899" t="str">
        <f>"7811159482"</f>
        <v>7811159482</v>
      </c>
      <c r="B18899" t="s">
        <v>26695</v>
      </c>
      <c r="C18899" t="s">
        <v>7</v>
      </c>
      <c r="D18899" t="s">
        <v>12</v>
      </c>
      <c r="E18899" t="s">
        <v>26179</v>
      </c>
      <c r="F18899" t="s">
        <v>26696</v>
      </c>
    </row>
    <row r="18900" spans="1:6" x14ac:dyDescent="0.25">
      <c r="A18900" t="str">
        <f>"781122241502"</f>
        <v>781122241502</v>
      </c>
      <c r="B18900" t="s">
        <v>26697</v>
      </c>
      <c r="C18900" t="s">
        <v>7</v>
      </c>
      <c r="D18900" t="s">
        <v>14</v>
      </c>
      <c r="E18900" t="s">
        <v>26179</v>
      </c>
    </row>
    <row r="18901" spans="1:6" x14ac:dyDescent="0.25">
      <c r="A18901" t="str">
        <f>"781125442239"</f>
        <v>781125442239</v>
      </c>
      <c r="B18901" t="s">
        <v>26698</v>
      </c>
      <c r="C18901" t="s">
        <v>7</v>
      </c>
      <c r="D18901" t="s">
        <v>14</v>
      </c>
      <c r="E18901" t="s">
        <v>26179</v>
      </c>
    </row>
    <row r="18902" spans="1:6" x14ac:dyDescent="0.25">
      <c r="A18902" t="str">
        <f>"781135881500"</f>
        <v>781135881500</v>
      </c>
      <c r="B18902" t="s">
        <v>26699</v>
      </c>
      <c r="C18902" t="s">
        <v>7</v>
      </c>
      <c r="D18902" t="s">
        <v>14</v>
      </c>
      <c r="E18902" t="s">
        <v>26179</v>
      </c>
    </row>
    <row r="18903" spans="1:6" x14ac:dyDescent="0.25">
      <c r="A18903" t="str">
        <f>"781136042747"</f>
        <v>781136042747</v>
      </c>
      <c r="B18903" t="s">
        <v>26700</v>
      </c>
      <c r="C18903" t="s">
        <v>7</v>
      </c>
      <c r="D18903" t="s">
        <v>12</v>
      </c>
      <c r="E18903" t="s">
        <v>26179</v>
      </c>
    </row>
    <row r="18904" spans="1:6" x14ac:dyDescent="0.25">
      <c r="A18904" t="str">
        <f>"781141053342"</f>
        <v>781141053342</v>
      </c>
      <c r="B18904" t="s">
        <v>26701</v>
      </c>
      <c r="C18904" t="s">
        <v>7</v>
      </c>
      <c r="D18904" t="s">
        <v>14</v>
      </c>
      <c r="E18904" t="s">
        <v>26179</v>
      </c>
    </row>
    <row r="18905" spans="1:6" x14ac:dyDescent="0.25">
      <c r="A18905" t="str">
        <f>"7811418426"</f>
        <v>7811418426</v>
      </c>
      <c r="B18905" t="s">
        <v>26702</v>
      </c>
      <c r="C18905" t="s">
        <v>7</v>
      </c>
      <c r="D18905" t="s">
        <v>146</v>
      </c>
      <c r="E18905" t="s">
        <v>26179</v>
      </c>
      <c r="F18905" t="s">
        <v>26703</v>
      </c>
    </row>
    <row r="18906" spans="1:6" x14ac:dyDescent="0.25">
      <c r="A18906" t="str">
        <f>"781143811721"</f>
        <v>781143811721</v>
      </c>
      <c r="B18906" t="s">
        <v>26704</v>
      </c>
      <c r="C18906" t="s">
        <v>7</v>
      </c>
      <c r="D18906" t="s">
        <v>14</v>
      </c>
      <c r="E18906" t="s">
        <v>26179</v>
      </c>
    </row>
    <row r="18907" spans="1:6" x14ac:dyDescent="0.25">
      <c r="A18907" t="str">
        <f>"7811474406"</f>
        <v>7811474406</v>
      </c>
      <c r="B18907" t="s">
        <v>26705</v>
      </c>
      <c r="C18907" t="s">
        <v>7</v>
      </c>
      <c r="D18907" t="s">
        <v>33</v>
      </c>
      <c r="E18907" t="s">
        <v>26179</v>
      </c>
      <c r="F18907" t="s">
        <v>26706</v>
      </c>
    </row>
    <row r="18908" spans="1:6" x14ac:dyDescent="0.25">
      <c r="A18908" t="str">
        <f>"7811580972"</f>
        <v>7811580972</v>
      </c>
      <c r="B18908" t="s">
        <v>26707</v>
      </c>
      <c r="C18908" t="s">
        <v>7</v>
      </c>
      <c r="D18908" t="s">
        <v>8</v>
      </c>
      <c r="E18908" t="s">
        <v>26179</v>
      </c>
      <c r="F18908" t="s">
        <v>26708</v>
      </c>
    </row>
    <row r="18909" spans="1:6" x14ac:dyDescent="0.25">
      <c r="A18909" t="str">
        <f>"7811612800"</f>
        <v>7811612800</v>
      </c>
      <c r="B18909" t="s">
        <v>26709</v>
      </c>
      <c r="C18909" t="s">
        <v>7</v>
      </c>
      <c r="D18909" t="s">
        <v>33</v>
      </c>
      <c r="E18909" t="s">
        <v>26179</v>
      </c>
      <c r="F18909" t="s">
        <v>26710</v>
      </c>
    </row>
    <row r="18910" spans="1:6" x14ac:dyDescent="0.25">
      <c r="A18910" t="str">
        <f>"7811619958"</f>
        <v>7811619958</v>
      </c>
      <c r="B18910" t="s">
        <v>26711</v>
      </c>
      <c r="C18910" t="s">
        <v>7</v>
      </c>
      <c r="D18910" t="s">
        <v>14</v>
      </c>
      <c r="E18910" t="s">
        <v>26179</v>
      </c>
      <c r="F18910" t="s">
        <v>26712</v>
      </c>
    </row>
    <row r="18911" spans="1:6" x14ac:dyDescent="0.25">
      <c r="A18911" t="str">
        <f>"7811633335"</f>
        <v>7811633335</v>
      </c>
      <c r="B18911" t="s">
        <v>26713</v>
      </c>
      <c r="C18911" t="s">
        <v>7</v>
      </c>
      <c r="D18911" t="s">
        <v>33</v>
      </c>
      <c r="E18911" t="s">
        <v>26179</v>
      </c>
      <c r="F18911" t="s">
        <v>26714</v>
      </c>
    </row>
    <row r="18912" spans="1:6" x14ac:dyDescent="0.25">
      <c r="A18912" t="str">
        <f>"7811742366"</f>
        <v>7811742366</v>
      </c>
      <c r="B18912" t="s">
        <v>26715</v>
      </c>
      <c r="C18912" t="s">
        <v>7</v>
      </c>
      <c r="D18912" t="s">
        <v>12</v>
      </c>
      <c r="E18912" t="s">
        <v>26179</v>
      </c>
      <c r="F18912" t="s">
        <v>26716</v>
      </c>
    </row>
    <row r="18913" spans="1:6" x14ac:dyDescent="0.25">
      <c r="A18913" t="str">
        <f>"7811747861"</f>
        <v>7811747861</v>
      </c>
      <c r="B18913" t="s">
        <v>26717</v>
      </c>
      <c r="C18913" t="s">
        <v>7</v>
      </c>
      <c r="D18913" t="s">
        <v>12</v>
      </c>
      <c r="E18913" t="s">
        <v>26179</v>
      </c>
      <c r="F18913" t="s">
        <v>26718</v>
      </c>
    </row>
    <row r="18914" spans="1:6" x14ac:dyDescent="0.25">
      <c r="A18914" t="str">
        <f>"7811753424"</f>
        <v>7811753424</v>
      </c>
      <c r="B18914" t="s">
        <v>26719</v>
      </c>
      <c r="C18914" t="s">
        <v>7</v>
      </c>
      <c r="D18914" t="s">
        <v>8</v>
      </c>
      <c r="E18914" t="s">
        <v>26179</v>
      </c>
      <c r="F18914" t="s">
        <v>26720</v>
      </c>
    </row>
    <row r="18915" spans="1:6" x14ac:dyDescent="0.25">
      <c r="A18915" t="str">
        <f>"7811786282"</f>
        <v>7811786282</v>
      </c>
      <c r="B18915" t="s">
        <v>26721</v>
      </c>
      <c r="C18915" t="s">
        <v>7</v>
      </c>
      <c r="D18915" t="s">
        <v>146</v>
      </c>
      <c r="E18915" t="s">
        <v>26179</v>
      </c>
      <c r="F18915" t="s">
        <v>26722</v>
      </c>
    </row>
    <row r="18916" spans="1:6" x14ac:dyDescent="0.25">
      <c r="A18916" t="str">
        <f>"7811787705"</f>
        <v>7811787705</v>
      </c>
      <c r="B18916" t="s">
        <v>26723</v>
      </c>
      <c r="C18916" t="s">
        <v>7</v>
      </c>
      <c r="D18916" t="s">
        <v>33</v>
      </c>
      <c r="E18916" t="s">
        <v>26179</v>
      </c>
      <c r="F18916" t="s">
        <v>26724</v>
      </c>
    </row>
    <row r="18917" spans="1:6" x14ac:dyDescent="0.25">
      <c r="A18917" t="str">
        <f>"7811796428"</f>
        <v>7811796428</v>
      </c>
      <c r="B18917" t="s">
        <v>26725</v>
      </c>
      <c r="C18917" t="s">
        <v>7</v>
      </c>
      <c r="D18917" t="s">
        <v>33</v>
      </c>
      <c r="E18917" t="s">
        <v>26179</v>
      </c>
      <c r="F18917" t="s">
        <v>26726</v>
      </c>
    </row>
    <row r="18918" spans="1:6" x14ac:dyDescent="0.25">
      <c r="A18918" t="str">
        <f>"7811800850"</f>
        <v>7811800850</v>
      </c>
      <c r="B18918" t="s">
        <v>26727</v>
      </c>
      <c r="C18918" t="s">
        <v>7</v>
      </c>
      <c r="D18918" t="s">
        <v>33</v>
      </c>
      <c r="E18918" t="s">
        <v>26179</v>
      </c>
      <c r="F18918" t="s">
        <v>26728</v>
      </c>
    </row>
    <row r="18919" spans="1:6" x14ac:dyDescent="0.25">
      <c r="A18919" t="str">
        <f>"7811805023"</f>
        <v>7811805023</v>
      </c>
      <c r="B18919" t="s">
        <v>26729</v>
      </c>
      <c r="C18919" t="s">
        <v>7</v>
      </c>
      <c r="D18919" t="s">
        <v>14</v>
      </c>
      <c r="E18919" t="s">
        <v>26179</v>
      </c>
      <c r="F18919" t="s">
        <v>26730</v>
      </c>
    </row>
    <row r="18920" spans="1:6" x14ac:dyDescent="0.25">
      <c r="A18920" t="str">
        <f>"781308316545"</f>
        <v>781308316545</v>
      </c>
      <c r="B18920" t="s">
        <v>26731</v>
      </c>
      <c r="C18920" t="s">
        <v>7</v>
      </c>
      <c r="D18920" t="s">
        <v>33</v>
      </c>
      <c r="E18920" t="s">
        <v>26179</v>
      </c>
    </row>
    <row r="18921" spans="1:6" x14ac:dyDescent="0.25">
      <c r="A18921" t="str">
        <f>"781309444719"</f>
        <v>781309444719</v>
      </c>
      <c r="B18921" t="s">
        <v>26732</v>
      </c>
      <c r="C18921" t="s">
        <v>7</v>
      </c>
      <c r="D18921" t="s">
        <v>12</v>
      </c>
      <c r="E18921" t="s">
        <v>26179</v>
      </c>
    </row>
    <row r="18922" spans="1:6" x14ac:dyDescent="0.25">
      <c r="A18922" t="str">
        <f>"781312323256"</f>
        <v>781312323256</v>
      </c>
      <c r="B18922" t="s">
        <v>26733</v>
      </c>
      <c r="C18922" t="s">
        <v>7</v>
      </c>
      <c r="D18922" t="s">
        <v>14</v>
      </c>
      <c r="E18922" t="s">
        <v>26179</v>
      </c>
    </row>
    <row r="18923" spans="1:6" x14ac:dyDescent="0.25">
      <c r="A18923" t="str">
        <f>"071603650661"</f>
        <v>071603650661</v>
      </c>
      <c r="B18923" t="s">
        <v>26734</v>
      </c>
      <c r="C18923" t="s">
        <v>7</v>
      </c>
      <c r="D18923" t="s">
        <v>14</v>
      </c>
      <c r="E18923" t="s">
        <v>26179</v>
      </c>
    </row>
    <row r="18924" spans="1:6" x14ac:dyDescent="0.25">
      <c r="A18924" t="str">
        <f>"071609591589"</f>
        <v>071609591589</v>
      </c>
      <c r="B18924" t="s">
        <v>26735</v>
      </c>
      <c r="C18924" t="s">
        <v>7</v>
      </c>
      <c r="D18924" t="s">
        <v>12</v>
      </c>
      <c r="E18924" t="s">
        <v>26179</v>
      </c>
    </row>
    <row r="18925" spans="1:6" x14ac:dyDescent="0.25">
      <c r="A18925" t="str">
        <f>"4726002862"</f>
        <v>4726002862</v>
      </c>
      <c r="B18925" t="s">
        <v>26736</v>
      </c>
      <c r="C18925" t="s">
        <v>7</v>
      </c>
      <c r="D18925" t="s">
        <v>674</v>
      </c>
      <c r="E18925" t="s">
        <v>26179</v>
      </c>
      <c r="F18925" t="s">
        <v>26737</v>
      </c>
    </row>
    <row r="18926" spans="1:6" x14ac:dyDescent="0.25">
      <c r="A18926" t="str">
        <f>"7806590213"</f>
        <v>7806590213</v>
      </c>
      <c r="B18926" t="s">
        <v>26738</v>
      </c>
      <c r="C18926" t="s">
        <v>7</v>
      </c>
      <c r="D18926" t="s">
        <v>98</v>
      </c>
      <c r="E18926" t="s">
        <v>26179</v>
      </c>
      <c r="F18926" t="s">
        <v>26739</v>
      </c>
    </row>
    <row r="18927" spans="1:6" x14ac:dyDescent="0.25">
      <c r="A18927" t="str">
        <f>"7806595229"</f>
        <v>7806595229</v>
      </c>
      <c r="B18927" t="s">
        <v>26740</v>
      </c>
      <c r="C18927" t="s">
        <v>7</v>
      </c>
      <c r="D18927" t="s">
        <v>14</v>
      </c>
      <c r="E18927" t="s">
        <v>26179</v>
      </c>
      <c r="F18927" t="s">
        <v>26741</v>
      </c>
    </row>
    <row r="18928" spans="1:6" x14ac:dyDescent="0.25">
      <c r="A18928" t="str">
        <f>"7806610879"</f>
        <v>7806610879</v>
      </c>
      <c r="B18928" t="s">
        <v>26742</v>
      </c>
      <c r="C18928" t="s">
        <v>7</v>
      </c>
      <c r="D18928" t="s">
        <v>98</v>
      </c>
      <c r="E18928" t="s">
        <v>26179</v>
      </c>
      <c r="F18928" t="s">
        <v>26743</v>
      </c>
    </row>
    <row r="18929" spans="1:6" x14ac:dyDescent="0.25">
      <c r="A18929" t="str">
        <f>"7806615203"</f>
        <v>7806615203</v>
      </c>
      <c r="B18929" t="s">
        <v>26744</v>
      </c>
      <c r="C18929" t="s">
        <v>7</v>
      </c>
      <c r="D18929" t="s">
        <v>33</v>
      </c>
      <c r="E18929" t="s">
        <v>26179</v>
      </c>
      <c r="F18929" t="s">
        <v>26745</v>
      </c>
    </row>
    <row r="18930" spans="1:6" x14ac:dyDescent="0.25">
      <c r="A18930" t="str">
        <f>"7806621736"</f>
        <v>7806621736</v>
      </c>
      <c r="B18930" t="s">
        <v>26746</v>
      </c>
      <c r="C18930" t="s">
        <v>7</v>
      </c>
      <c r="D18930" t="s">
        <v>189</v>
      </c>
      <c r="E18930" t="s">
        <v>26179</v>
      </c>
      <c r="F18930" t="s">
        <v>26747</v>
      </c>
    </row>
    <row r="18931" spans="1:6" x14ac:dyDescent="0.25">
      <c r="A18931" t="str">
        <f>"7807000322"</f>
        <v>7807000322</v>
      </c>
      <c r="B18931" t="s">
        <v>26748</v>
      </c>
      <c r="C18931" t="s">
        <v>7</v>
      </c>
      <c r="D18931" t="s">
        <v>8</v>
      </c>
      <c r="E18931" t="s">
        <v>26179</v>
      </c>
      <c r="F18931" t="s">
        <v>26749</v>
      </c>
    </row>
    <row r="18932" spans="1:6" x14ac:dyDescent="0.25">
      <c r="A18932" t="str">
        <f>"7807020738"</f>
        <v>7807020738</v>
      </c>
      <c r="B18932" t="s">
        <v>26750</v>
      </c>
      <c r="C18932" t="s">
        <v>7</v>
      </c>
      <c r="D18932" t="s">
        <v>14</v>
      </c>
      <c r="E18932" t="s">
        <v>26179</v>
      </c>
      <c r="F18932" t="s">
        <v>26751</v>
      </c>
    </row>
    <row r="18933" spans="1:6" x14ac:dyDescent="0.25">
      <c r="A18933" t="str">
        <f>"7807048003"</f>
        <v>7807048003</v>
      </c>
      <c r="B18933" t="s">
        <v>18824</v>
      </c>
      <c r="C18933" t="s">
        <v>7</v>
      </c>
      <c r="D18933" t="s">
        <v>14</v>
      </c>
      <c r="E18933" t="s">
        <v>26179</v>
      </c>
      <c r="F18933" t="s">
        <v>26752</v>
      </c>
    </row>
    <row r="18934" spans="1:6" x14ac:dyDescent="0.25">
      <c r="A18934" t="str">
        <f>"780718599373"</f>
        <v>780718599373</v>
      </c>
      <c r="B18934" t="s">
        <v>26753</v>
      </c>
      <c r="C18934" t="s">
        <v>7</v>
      </c>
      <c r="D18934" t="s">
        <v>33</v>
      </c>
      <c r="E18934" t="s">
        <v>26179</v>
      </c>
    </row>
    <row r="18935" spans="1:6" x14ac:dyDescent="0.25">
      <c r="A18935" t="str">
        <f>"7807209349"</f>
        <v>7807209349</v>
      </c>
      <c r="B18935" t="s">
        <v>26754</v>
      </c>
      <c r="C18935" t="s">
        <v>7</v>
      </c>
      <c r="D18935" t="s">
        <v>33</v>
      </c>
      <c r="E18935" t="s">
        <v>26179</v>
      </c>
      <c r="F18935" t="s">
        <v>26755</v>
      </c>
    </row>
    <row r="18936" spans="1:6" x14ac:dyDescent="0.25">
      <c r="A18936" t="str">
        <f>"780722210470"</f>
        <v>780722210470</v>
      </c>
      <c r="B18936" t="s">
        <v>26756</v>
      </c>
      <c r="C18936" t="s">
        <v>7</v>
      </c>
      <c r="D18936" t="s">
        <v>14</v>
      </c>
      <c r="E18936" t="s">
        <v>26179</v>
      </c>
    </row>
    <row r="18937" spans="1:6" x14ac:dyDescent="0.25">
      <c r="A18937" t="str">
        <f>"780724203950"</f>
        <v>780724203950</v>
      </c>
      <c r="B18937" t="s">
        <v>26757</v>
      </c>
      <c r="C18937" t="s">
        <v>7</v>
      </c>
      <c r="D18937" t="s">
        <v>14</v>
      </c>
      <c r="E18937" t="s">
        <v>26179</v>
      </c>
    </row>
    <row r="18938" spans="1:6" x14ac:dyDescent="0.25">
      <c r="A18938" t="str">
        <f>"7807244745"</f>
        <v>7807244745</v>
      </c>
      <c r="B18938" t="s">
        <v>26758</v>
      </c>
      <c r="C18938" t="s">
        <v>7</v>
      </c>
      <c r="D18938" t="s">
        <v>33</v>
      </c>
      <c r="E18938" t="s">
        <v>26179</v>
      </c>
      <c r="F18938" t="s">
        <v>26759</v>
      </c>
    </row>
    <row r="18939" spans="1:6" x14ac:dyDescent="0.25">
      <c r="A18939" t="str">
        <f>"7807260497"</f>
        <v>7807260497</v>
      </c>
      <c r="B18939" t="s">
        <v>26760</v>
      </c>
      <c r="C18939" t="s">
        <v>7</v>
      </c>
      <c r="D18939" t="s">
        <v>33</v>
      </c>
      <c r="E18939" t="s">
        <v>26179</v>
      </c>
      <c r="F18939" t="s">
        <v>26761</v>
      </c>
    </row>
    <row r="18940" spans="1:6" x14ac:dyDescent="0.25">
      <c r="A18940" t="str">
        <f>"7807286142"</f>
        <v>7807286142</v>
      </c>
      <c r="B18940" t="s">
        <v>4958</v>
      </c>
      <c r="C18940" t="s">
        <v>7</v>
      </c>
      <c r="D18940" t="s">
        <v>12</v>
      </c>
      <c r="E18940" t="s">
        <v>26179</v>
      </c>
      <c r="F18940" t="s">
        <v>26762</v>
      </c>
    </row>
    <row r="18941" spans="1:6" x14ac:dyDescent="0.25">
      <c r="A18941" t="str">
        <f>"780729160700"</f>
        <v>780729160700</v>
      </c>
      <c r="B18941" t="s">
        <v>26763</v>
      </c>
      <c r="C18941" t="s">
        <v>7</v>
      </c>
      <c r="D18941" t="s">
        <v>14</v>
      </c>
      <c r="E18941" t="s">
        <v>26179</v>
      </c>
    </row>
    <row r="18942" spans="1:6" x14ac:dyDescent="0.25">
      <c r="A18942" t="str">
        <f>"7807377417"</f>
        <v>7807377417</v>
      </c>
      <c r="B18942" t="s">
        <v>26764</v>
      </c>
      <c r="C18942" t="s">
        <v>7</v>
      </c>
      <c r="D18942" t="s">
        <v>98</v>
      </c>
      <c r="E18942" t="s">
        <v>26179</v>
      </c>
      <c r="F18942" t="s">
        <v>26765</v>
      </c>
    </row>
    <row r="18943" spans="1:6" x14ac:dyDescent="0.25">
      <c r="A18943" t="str">
        <f>"7807387380"</f>
        <v>7807387380</v>
      </c>
      <c r="B18943" t="s">
        <v>26766</v>
      </c>
      <c r="C18943" t="s">
        <v>7</v>
      </c>
      <c r="D18943" t="s">
        <v>33</v>
      </c>
      <c r="E18943" t="s">
        <v>26179</v>
      </c>
      <c r="F18943" t="s">
        <v>26767</v>
      </c>
    </row>
    <row r="18944" spans="1:6" x14ac:dyDescent="0.25">
      <c r="A18944" t="str">
        <f>"781000383355"</f>
        <v>781000383355</v>
      </c>
      <c r="B18944" t="s">
        <v>26768</v>
      </c>
      <c r="C18944" t="s">
        <v>7</v>
      </c>
      <c r="D18944" t="s">
        <v>460</v>
      </c>
      <c r="E18944" t="s">
        <v>26179</v>
      </c>
    </row>
    <row r="18945" spans="1:6" x14ac:dyDescent="0.25">
      <c r="A18945" t="str">
        <f>"781010174978"</f>
        <v>781010174978</v>
      </c>
      <c r="B18945" t="s">
        <v>26769</v>
      </c>
      <c r="C18945" t="s">
        <v>7</v>
      </c>
      <c r="D18945" t="s">
        <v>14</v>
      </c>
      <c r="E18945" t="s">
        <v>26179</v>
      </c>
    </row>
    <row r="18946" spans="1:6" x14ac:dyDescent="0.25">
      <c r="A18946" t="str">
        <f>"781015658637"</f>
        <v>781015658637</v>
      </c>
      <c r="B18946" t="s">
        <v>26770</v>
      </c>
      <c r="C18946" t="s">
        <v>7</v>
      </c>
      <c r="D18946" t="s">
        <v>12</v>
      </c>
      <c r="E18946" t="s">
        <v>26179</v>
      </c>
    </row>
    <row r="18947" spans="1:6" x14ac:dyDescent="0.25">
      <c r="A18947" t="str">
        <f>"7810204340"</f>
        <v>7810204340</v>
      </c>
      <c r="B18947" t="s">
        <v>26771</v>
      </c>
      <c r="C18947" t="s">
        <v>7</v>
      </c>
      <c r="D18947" t="s">
        <v>33</v>
      </c>
      <c r="E18947" t="s">
        <v>26179</v>
      </c>
      <c r="F18947" t="s">
        <v>26772</v>
      </c>
    </row>
    <row r="18948" spans="1:6" x14ac:dyDescent="0.25">
      <c r="A18948" t="str">
        <f>"7810233366"</f>
        <v>7810233366</v>
      </c>
      <c r="B18948" t="s">
        <v>26773</v>
      </c>
      <c r="C18948" t="s">
        <v>7</v>
      </c>
      <c r="D18948" t="s">
        <v>674</v>
      </c>
      <c r="E18948" t="s">
        <v>26179</v>
      </c>
      <c r="F18948" t="s">
        <v>26774</v>
      </c>
    </row>
    <row r="18949" spans="1:6" x14ac:dyDescent="0.25">
      <c r="A18949" t="str">
        <f>"7810327014"</f>
        <v>7810327014</v>
      </c>
      <c r="B18949" t="s">
        <v>26775</v>
      </c>
      <c r="C18949" t="s">
        <v>7</v>
      </c>
      <c r="D18949" t="s">
        <v>12</v>
      </c>
      <c r="E18949" t="s">
        <v>26179</v>
      </c>
      <c r="F18949" t="s">
        <v>26776</v>
      </c>
    </row>
    <row r="18950" spans="1:6" x14ac:dyDescent="0.25">
      <c r="A18950" t="str">
        <f>"7810334501"</f>
        <v>7810334501</v>
      </c>
      <c r="B18950" t="s">
        <v>26777</v>
      </c>
      <c r="C18950" t="s">
        <v>7</v>
      </c>
      <c r="D18950" t="s">
        <v>8</v>
      </c>
      <c r="E18950" t="s">
        <v>26179</v>
      </c>
      <c r="F18950" t="s">
        <v>26778</v>
      </c>
    </row>
    <row r="18951" spans="1:6" x14ac:dyDescent="0.25">
      <c r="A18951" t="str">
        <f>"7810357570"</f>
        <v>7810357570</v>
      </c>
      <c r="B18951" t="s">
        <v>26779</v>
      </c>
      <c r="C18951" t="s">
        <v>7</v>
      </c>
      <c r="D18951" t="s">
        <v>12</v>
      </c>
      <c r="E18951" t="s">
        <v>26179</v>
      </c>
      <c r="F18951" t="s">
        <v>26780</v>
      </c>
    </row>
    <row r="18952" spans="1:6" x14ac:dyDescent="0.25">
      <c r="A18952" t="str">
        <f>"7810591033"</f>
        <v>7810591033</v>
      </c>
      <c r="B18952" t="s">
        <v>26781</v>
      </c>
      <c r="C18952" t="s">
        <v>7</v>
      </c>
      <c r="D18952" t="s">
        <v>12</v>
      </c>
      <c r="E18952" t="s">
        <v>26179</v>
      </c>
      <c r="F18952" t="s">
        <v>26782</v>
      </c>
    </row>
    <row r="18953" spans="1:6" x14ac:dyDescent="0.25">
      <c r="A18953" t="str">
        <f>"7810708820"</f>
        <v>7810708820</v>
      </c>
      <c r="B18953" t="s">
        <v>26783</v>
      </c>
      <c r="C18953" t="s">
        <v>7</v>
      </c>
      <c r="D18953" t="s">
        <v>14</v>
      </c>
      <c r="E18953" t="s">
        <v>26179</v>
      </c>
      <c r="F18953" t="s">
        <v>26784</v>
      </c>
    </row>
    <row r="18954" spans="1:6" x14ac:dyDescent="0.25">
      <c r="A18954" t="str">
        <f>"7810727848"</f>
        <v>7810727848</v>
      </c>
      <c r="B18954" t="s">
        <v>5579</v>
      </c>
      <c r="C18954" t="s">
        <v>7</v>
      </c>
      <c r="D18954" t="s">
        <v>33</v>
      </c>
      <c r="E18954" t="s">
        <v>26179</v>
      </c>
      <c r="F18954" t="s">
        <v>26785</v>
      </c>
    </row>
    <row r="18955" spans="1:6" x14ac:dyDescent="0.25">
      <c r="A18955" t="str">
        <f>"7810779109"</f>
        <v>7810779109</v>
      </c>
      <c r="B18955" t="s">
        <v>26786</v>
      </c>
      <c r="C18955" t="s">
        <v>7</v>
      </c>
      <c r="D18955" t="s">
        <v>146</v>
      </c>
      <c r="E18955" t="s">
        <v>26179</v>
      </c>
      <c r="F18955" t="s">
        <v>26787</v>
      </c>
    </row>
    <row r="18956" spans="1:6" x14ac:dyDescent="0.25">
      <c r="A18956" t="str">
        <f>"7810793022"</f>
        <v>7810793022</v>
      </c>
      <c r="B18956" t="s">
        <v>26788</v>
      </c>
      <c r="C18956" t="s">
        <v>7</v>
      </c>
      <c r="D18956" t="s">
        <v>8</v>
      </c>
      <c r="E18956" t="s">
        <v>26179</v>
      </c>
      <c r="F18956" t="s">
        <v>26789</v>
      </c>
    </row>
    <row r="18957" spans="1:6" x14ac:dyDescent="0.25">
      <c r="A18957" t="str">
        <f>"7810927244"</f>
        <v>7810927244</v>
      </c>
      <c r="B18957" t="s">
        <v>26790</v>
      </c>
      <c r="C18957" t="s">
        <v>7</v>
      </c>
      <c r="D18957" t="s">
        <v>33</v>
      </c>
      <c r="E18957" t="s">
        <v>26179</v>
      </c>
      <c r="F18957" t="s">
        <v>26791</v>
      </c>
    </row>
    <row r="18958" spans="1:6" x14ac:dyDescent="0.25">
      <c r="A18958" t="str">
        <f>"7810974653"</f>
        <v>7810974653</v>
      </c>
      <c r="B18958" t="s">
        <v>26792</v>
      </c>
      <c r="C18958" t="s">
        <v>7</v>
      </c>
      <c r="D18958" t="s">
        <v>33</v>
      </c>
      <c r="E18958" t="s">
        <v>26179</v>
      </c>
      <c r="F18958" t="s">
        <v>26793</v>
      </c>
    </row>
    <row r="18959" spans="1:6" x14ac:dyDescent="0.25">
      <c r="A18959" t="str">
        <f>"7810979789"</f>
        <v>7810979789</v>
      </c>
      <c r="B18959" t="s">
        <v>26794</v>
      </c>
      <c r="C18959" t="s">
        <v>7</v>
      </c>
      <c r="D18959" t="s">
        <v>33</v>
      </c>
      <c r="E18959" t="s">
        <v>26179</v>
      </c>
      <c r="F18959" t="s">
        <v>26795</v>
      </c>
    </row>
    <row r="18960" spans="1:6" x14ac:dyDescent="0.25">
      <c r="A18960" t="str">
        <f>"7810987998"</f>
        <v>7810987998</v>
      </c>
      <c r="B18960" t="s">
        <v>26796</v>
      </c>
      <c r="C18960" t="s">
        <v>7</v>
      </c>
      <c r="D18960" t="s">
        <v>33</v>
      </c>
      <c r="E18960" t="s">
        <v>26179</v>
      </c>
      <c r="F18960" t="s">
        <v>26797</v>
      </c>
    </row>
    <row r="18961" spans="1:6" x14ac:dyDescent="0.25">
      <c r="A18961" t="str">
        <f>"781100168915"</f>
        <v>781100168915</v>
      </c>
      <c r="B18961" t="s">
        <v>26798</v>
      </c>
      <c r="C18961" t="s">
        <v>7</v>
      </c>
      <c r="D18961" t="s">
        <v>12</v>
      </c>
      <c r="E18961" t="s">
        <v>26179</v>
      </c>
    </row>
    <row r="18962" spans="1:6" x14ac:dyDescent="0.25">
      <c r="A18962" t="str">
        <f>"781102794812"</f>
        <v>781102794812</v>
      </c>
      <c r="B18962" t="s">
        <v>26799</v>
      </c>
      <c r="C18962" t="s">
        <v>7</v>
      </c>
      <c r="D18962" t="s">
        <v>12</v>
      </c>
      <c r="E18962" t="s">
        <v>26179</v>
      </c>
    </row>
    <row r="18963" spans="1:6" x14ac:dyDescent="0.25">
      <c r="A18963" t="str">
        <f>"7811156636"</f>
        <v>7811156636</v>
      </c>
      <c r="B18963" t="s">
        <v>26800</v>
      </c>
      <c r="C18963" t="s">
        <v>7</v>
      </c>
      <c r="D18963" t="s">
        <v>12</v>
      </c>
      <c r="E18963" t="s">
        <v>26179</v>
      </c>
      <c r="F18963" t="s">
        <v>26801</v>
      </c>
    </row>
    <row r="18964" spans="1:6" x14ac:dyDescent="0.25">
      <c r="A18964" t="str">
        <f>"781120445349"</f>
        <v>781120445349</v>
      </c>
      <c r="B18964" t="s">
        <v>26802</v>
      </c>
      <c r="C18964" t="s">
        <v>7</v>
      </c>
      <c r="D18964" t="s">
        <v>12</v>
      </c>
      <c r="E18964" t="s">
        <v>26179</v>
      </c>
    </row>
    <row r="18965" spans="1:6" x14ac:dyDescent="0.25">
      <c r="A18965" t="str">
        <f>"781133019852"</f>
        <v>781133019852</v>
      </c>
      <c r="B18965" t="s">
        <v>26803</v>
      </c>
      <c r="C18965" t="s">
        <v>7</v>
      </c>
      <c r="D18965" t="s">
        <v>14</v>
      </c>
      <c r="E18965" t="s">
        <v>26179</v>
      </c>
    </row>
    <row r="18966" spans="1:6" x14ac:dyDescent="0.25">
      <c r="A18966" t="str">
        <f>"7811381920"</f>
        <v>7811381920</v>
      </c>
      <c r="B18966" t="s">
        <v>26804</v>
      </c>
      <c r="C18966" t="s">
        <v>7</v>
      </c>
      <c r="D18966" t="s">
        <v>12</v>
      </c>
      <c r="E18966" t="s">
        <v>26179</v>
      </c>
      <c r="F18966" t="s">
        <v>26805</v>
      </c>
    </row>
    <row r="18967" spans="1:6" x14ac:dyDescent="0.25">
      <c r="A18967" t="str">
        <f>"7811382402"</f>
        <v>7811382402</v>
      </c>
      <c r="B18967" t="s">
        <v>26806</v>
      </c>
      <c r="C18967" t="s">
        <v>7</v>
      </c>
      <c r="D18967" t="s">
        <v>33</v>
      </c>
      <c r="E18967" t="s">
        <v>26179</v>
      </c>
      <c r="F18967" t="s">
        <v>26807</v>
      </c>
    </row>
    <row r="18968" spans="1:6" x14ac:dyDescent="0.25">
      <c r="A18968" t="str">
        <f>"781139851182"</f>
        <v>781139851182</v>
      </c>
      <c r="B18968" t="s">
        <v>26808</v>
      </c>
      <c r="C18968" t="s">
        <v>7</v>
      </c>
      <c r="D18968" t="s">
        <v>14</v>
      </c>
      <c r="E18968" t="s">
        <v>26179</v>
      </c>
    </row>
    <row r="18969" spans="1:6" x14ac:dyDescent="0.25">
      <c r="A18969" t="str">
        <f>"7811556257"</f>
        <v>7811556257</v>
      </c>
      <c r="B18969" t="s">
        <v>26809</v>
      </c>
      <c r="C18969" t="s">
        <v>7</v>
      </c>
      <c r="D18969" t="s">
        <v>12</v>
      </c>
      <c r="E18969" t="s">
        <v>26179</v>
      </c>
      <c r="F18969" t="s">
        <v>26810</v>
      </c>
    </row>
    <row r="18970" spans="1:6" x14ac:dyDescent="0.25">
      <c r="A18970" t="str">
        <f>"7811594943"</f>
        <v>7811594943</v>
      </c>
      <c r="B18970" t="s">
        <v>26811</v>
      </c>
      <c r="C18970" t="s">
        <v>7</v>
      </c>
      <c r="D18970" t="s">
        <v>33</v>
      </c>
      <c r="E18970" t="s">
        <v>26179</v>
      </c>
      <c r="F18970" t="s">
        <v>26812</v>
      </c>
    </row>
    <row r="18971" spans="1:6" x14ac:dyDescent="0.25">
      <c r="A18971" t="str">
        <f>"7811597528"</f>
        <v>7811597528</v>
      </c>
      <c r="B18971" t="s">
        <v>21828</v>
      </c>
      <c r="C18971" t="s">
        <v>7</v>
      </c>
      <c r="D18971" t="s">
        <v>674</v>
      </c>
      <c r="E18971" t="s">
        <v>26179</v>
      </c>
      <c r="F18971" t="s">
        <v>26813</v>
      </c>
    </row>
    <row r="18972" spans="1:6" x14ac:dyDescent="0.25">
      <c r="A18972" t="str">
        <f>"7811607134"</f>
        <v>7811607134</v>
      </c>
      <c r="B18972" t="s">
        <v>26814</v>
      </c>
      <c r="C18972" t="s">
        <v>7</v>
      </c>
      <c r="D18972" t="s">
        <v>674</v>
      </c>
      <c r="E18972" t="s">
        <v>26179</v>
      </c>
      <c r="F18972" t="s">
        <v>26815</v>
      </c>
    </row>
    <row r="18973" spans="1:6" x14ac:dyDescent="0.25">
      <c r="A18973" t="str">
        <f>"7811625510"</f>
        <v>7811625510</v>
      </c>
      <c r="B18973" t="s">
        <v>26816</v>
      </c>
      <c r="C18973" t="s">
        <v>7</v>
      </c>
      <c r="D18973" t="s">
        <v>12</v>
      </c>
      <c r="E18973" t="s">
        <v>26179</v>
      </c>
      <c r="F18973" t="s">
        <v>26817</v>
      </c>
    </row>
    <row r="18974" spans="1:6" x14ac:dyDescent="0.25">
      <c r="A18974" t="str">
        <f>"7811642940"</f>
        <v>7811642940</v>
      </c>
      <c r="B18974" t="s">
        <v>26818</v>
      </c>
      <c r="C18974" t="s">
        <v>7</v>
      </c>
      <c r="D18974" t="s">
        <v>33</v>
      </c>
      <c r="E18974" t="s">
        <v>26179</v>
      </c>
      <c r="F18974" t="s">
        <v>26819</v>
      </c>
    </row>
    <row r="18975" spans="1:6" x14ac:dyDescent="0.25">
      <c r="A18975" t="str">
        <f>"7811671676"</f>
        <v>7811671676</v>
      </c>
      <c r="B18975" t="s">
        <v>26820</v>
      </c>
      <c r="C18975" t="s">
        <v>7</v>
      </c>
      <c r="D18975" t="s">
        <v>12</v>
      </c>
      <c r="E18975" t="s">
        <v>26179</v>
      </c>
      <c r="F18975" t="s">
        <v>26821</v>
      </c>
    </row>
    <row r="18976" spans="1:6" x14ac:dyDescent="0.25">
      <c r="A18976" t="str">
        <f>"7811743602"</f>
        <v>7811743602</v>
      </c>
      <c r="B18976" t="s">
        <v>26822</v>
      </c>
      <c r="C18976" t="s">
        <v>7</v>
      </c>
      <c r="D18976" t="s">
        <v>33</v>
      </c>
      <c r="E18976" t="s">
        <v>26179</v>
      </c>
      <c r="F18976" t="s">
        <v>26823</v>
      </c>
    </row>
    <row r="18977" spans="1:6" x14ac:dyDescent="0.25">
      <c r="A18977" t="str">
        <f>"7811744028"</f>
        <v>7811744028</v>
      </c>
      <c r="B18977" t="s">
        <v>26824</v>
      </c>
      <c r="C18977" t="s">
        <v>7</v>
      </c>
      <c r="D18977" t="s">
        <v>33</v>
      </c>
      <c r="E18977" t="s">
        <v>26179</v>
      </c>
      <c r="F18977" t="s">
        <v>26825</v>
      </c>
    </row>
    <row r="18978" spans="1:6" x14ac:dyDescent="0.25">
      <c r="A18978" t="str">
        <f>"7811753907"</f>
        <v>7811753907</v>
      </c>
      <c r="B18978" t="s">
        <v>26826</v>
      </c>
      <c r="C18978" t="s">
        <v>7</v>
      </c>
      <c r="D18978" t="s">
        <v>33</v>
      </c>
      <c r="E18978" t="s">
        <v>26179</v>
      </c>
      <c r="F18978" t="s">
        <v>26827</v>
      </c>
    </row>
    <row r="18979" spans="1:6" x14ac:dyDescent="0.25">
      <c r="A18979" t="str">
        <f>"7811756312"</f>
        <v>7811756312</v>
      </c>
      <c r="B18979" t="s">
        <v>26828</v>
      </c>
      <c r="C18979" t="s">
        <v>7</v>
      </c>
      <c r="D18979" t="s">
        <v>33</v>
      </c>
      <c r="E18979" t="s">
        <v>26179</v>
      </c>
      <c r="F18979" t="s">
        <v>26829</v>
      </c>
    </row>
    <row r="18980" spans="1:6" x14ac:dyDescent="0.25">
      <c r="A18980" t="str">
        <f>"7811764874"</f>
        <v>7811764874</v>
      </c>
      <c r="B18980" t="s">
        <v>20040</v>
      </c>
      <c r="C18980" t="s">
        <v>7</v>
      </c>
      <c r="D18980" t="s">
        <v>12</v>
      </c>
      <c r="E18980" t="s">
        <v>26179</v>
      </c>
      <c r="F18980" t="s">
        <v>26830</v>
      </c>
    </row>
    <row r="18981" spans="1:6" x14ac:dyDescent="0.25">
      <c r="A18981" t="str">
        <f>"7811768075"</f>
        <v>7811768075</v>
      </c>
      <c r="B18981" t="s">
        <v>26831</v>
      </c>
      <c r="C18981" t="s">
        <v>7</v>
      </c>
      <c r="D18981" t="s">
        <v>33</v>
      </c>
      <c r="E18981" t="s">
        <v>26179</v>
      </c>
      <c r="F18981" t="s">
        <v>26832</v>
      </c>
    </row>
    <row r="18982" spans="1:6" x14ac:dyDescent="0.25">
      <c r="A18982" t="str">
        <f>"7811768195"</f>
        <v>7811768195</v>
      </c>
      <c r="B18982" t="s">
        <v>26833</v>
      </c>
      <c r="C18982" t="s">
        <v>7</v>
      </c>
      <c r="D18982" t="s">
        <v>14</v>
      </c>
      <c r="E18982" t="s">
        <v>26179</v>
      </c>
      <c r="F18982" t="s">
        <v>26834</v>
      </c>
    </row>
    <row r="18983" spans="1:6" x14ac:dyDescent="0.25">
      <c r="A18983" t="str">
        <f>"7811775393"</f>
        <v>7811775393</v>
      </c>
      <c r="B18983" t="s">
        <v>26835</v>
      </c>
      <c r="C18983" t="s">
        <v>7</v>
      </c>
      <c r="D18983" t="s">
        <v>674</v>
      </c>
      <c r="E18983" t="s">
        <v>26179</v>
      </c>
      <c r="F18983" t="s">
        <v>26836</v>
      </c>
    </row>
    <row r="18984" spans="1:6" x14ac:dyDescent="0.25">
      <c r="A18984" t="str">
        <f>"7811778482"</f>
        <v>7811778482</v>
      </c>
      <c r="B18984" t="s">
        <v>26837</v>
      </c>
      <c r="C18984" t="s">
        <v>7</v>
      </c>
      <c r="D18984" t="s">
        <v>12</v>
      </c>
      <c r="E18984" t="s">
        <v>26179</v>
      </c>
      <c r="F18984" t="s">
        <v>26838</v>
      </c>
    </row>
    <row r="18985" spans="1:6" x14ac:dyDescent="0.25">
      <c r="A18985" t="str">
        <f>"7811784510"</f>
        <v>7811784510</v>
      </c>
      <c r="B18985" t="s">
        <v>26839</v>
      </c>
      <c r="C18985" t="s">
        <v>7</v>
      </c>
      <c r="D18985" t="s">
        <v>33</v>
      </c>
      <c r="E18985" t="s">
        <v>26179</v>
      </c>
      <c r="F18985" t="s">
        <v>26840</v>
      </c>
    </row>
    <row r="18986" spans="1:6" x14ac:dyDescent="0.25">
      <c r="A18986" t="str">
        <f>"7811789212"</f>
        <v>7811789212</v>
      </c>
      <c r="B18986" t="s">
        <v>26841</v>
      </c>
      <c r="C18986" t="s">
        <v>7</v>
      </c>
      <c r="D18986" t="s">
        <v>146</v>
      </c>
      <c r="E18986" t="s">
        <v>26179</v>
      </c>
      <c r="F18986" t="s">
        <v>26842</v>
      </c>
    </row>
    <row r="18987" spans="1:6" x14ac:dyDescent="0.25">
      <c r="A18987" t="str">
        <f>"7811790659"</f>
        <v>7811790659</v>
      </c>
      <c r="B18987" t="s">
        <v>26843</v>
      </c>
      <c r="C18987" t="s">
        <v>7</v>
      </c>
      <c r="D18987" t="s">
        <v>674</v>
      </c>
      <c r="E18987" t="s">
        <v>26179</v>
      </c>
      <c r="F18987" t="s">
        <v>26844</v>
      </c>
    </row>
    <row r="18988" spans="1:6" x14ac:dyDescent="0.25">
      <c r="A18988" t="str">
        <f>"7811791620"</f>
        <v>7811791620</v>
      </c>
      <c r="B18988" t="s">
        <v>26845</v>
      </c>
      <c r="C18988" t="s">
        <v>7</v>
      </c>
      <c r="D18988" t="s">
        <v>14</v>
      </c>
      <c r="E18988" t="s">
        <v>26179</v>
      </c>
      <c r="F18988" t="s">
        <v>26846</v>
      </c>
    </row>
    <row r="18989" spans="1:6" x14ac:dyDescent="0.25">
      <c r="A18989" t="str">
        <f>"7811800995"</f>
        <v>7811800995</v>
      </c>
      <c r="B18989" t="s">
        <v>26847</v>
      </c>
      <c r="C18989" t="s">
        <v>7</v>
      </c>
      <c r="D18989" t="s">
        <v>33</v>
      </c>
      <c r="E18989" t="s">
        <v>26179</v>
      </c>
      <c r="F18989" t="s">
        <v>26848</v>
      </c>
    </row>
    <row r="18990" spans="1:6" x14ac:dyDescent="0.25">
      <c r="A18990" t="str">
        <f>"7811804679"</f>
        <v>7811804679</v>
      </c>
      <c r="B18990" t="s">
        <v>26849</v>
      </c>
      <c r="C18990" t="s">
        <v>7</v>
      </c>
      <c r="D18990" t="s">
        <v>12</v>
      </c>
      <c r="E18990" t="s">
        <v>26179</v>
      </c>
      <c r="F18990" t="s">
        <v>26850</v>
      </c>
    </row>
    <row r="18991" spans="1:6" x14ac:dyDescent="0.25">
      <c r="A18991" t="str">
        <f>"7813109247"</f>
        <v>7813109247</v>
      </c>
      <c r="B18991" t="s">
        <v>26851</v>
      </c>
      <c r="C18991" t="s">
        <v>7</v>
      </c>
      <c r="D18991" t="s">
        <v>14</v>
      </c>
      <c r="E18991" t="s">
        <v>26179</v>
      </c>
      <c r="F18991" t="s">
        <v>26852</v>
      </c>
    </row>
    <row r="18992" spans="1:6" x14ac:dyDescent="0.25">
      <c r="A18992" t="str">
        <f>"7813211762"</f>
        <v>7813211762</v>
      </c>
      <c r="B18992" t="s">
        <v>26853</v>
      </c>
      <c r="C18992" t="s">
        <v>7</v>
      </c>
      <c r="D18992" t="s">
        <v>33</v>
      </c>
      <c r="E18992" t="s">
        <v>26179</v>
      </c>
      <c r="F18992" t="s">
        <v>26854</v>
      </c>
    </row>
    <row r="18993" spans="1:6" x14ac:dyDescent="0.25">
      <c r="A18993" t="str">
        <f>"7813644452"</f>
        <v>7813644452</v>
      </c>
      <c r="B18993" t="s">
        <v>26855</v>
      </c>
      <c r="C18993" t="s">
        <v>7</v>
      </c>
      <c r="D18993" t="s">
        <v>463</v>
      </c>
      <c r="E18993" t="s">
        <v>26179</v>
      </c>
      <c r="F18993" t="s">
        <v>26856</v>
      </c>
    </row>
    <row r="18994" spans="1:6" x14ac:dyDescent="0.25">
      <c r="A18994" t="str">
        <f>"741200524505"</f>
        <v>741200524505</v>
      </c>
      <c r="B18994" t="s">
        <v>26857</v>
      </c>
      <c r="C18994" t="s">
        <v>7</v>
      </c>
      <c r="D18994" t="s">
        <v>14</v>
      </c>
      <c r="E18994" t="s">
        <v>26179</v>
      </c>
    </row>
    <row r="18995" spans="1:6" x14ac:dyDescent="0.25">
      <c r="A18995" t="str">
        <f>"262900336586"</f>
        <v>262900336586</v>
      </c>
      <c r="B18995" t="s">
        <v>26858</v>
      </c>
      <c r="C18995" t="s">
        <v>7</v>
      </c>
      <c r="D18995" t="s">
        <v>14</v>
      </c>
      <c r="E18995" t="s">
        <v>26179</v>
      </c>
    </row>
    <row r="18996" spans="1:6" x14ac:dyDescent="0.25">
      <c r="A18996" t="str">
        <f>"7806188270"</f>
        <v>7806188270</v>
      </c>
      <c r="B18996" t="s">
        <v>26859</v>
      </c>
      <c r="C18996" t="s">
        <v>7</v>
      </c>
      <c r="D18996" t="s">
        <v>33</v>
      </c>
      <c r="E18996" t="s">
        <v>26179</v>
      </c>
      <c r="F18996" t="s">
        <v>26860</v>
      </c>
    </row>
    <row r="18997" spans="1:6" x14ac:dyDescent="0.25">
      <c r="A18997" t="str">
        <f>"780621802328"</f>
        <v>780621802328</v>
      </c>
      <c r="B18997" t="s">
        <v>26861</v>
      </c>
      <c r="C18997" t="s">
        <v>7</v>
      </c>
      <c r="D18997" t="s">
        <v>14</v>
      </c>
      <c r="E18997" t="s">
        <v>26179</v>
      </c>
    </row>
    <row r="18998" spans="1:6" x14ac:dyDescent="0.25">
      <c r="A18998" t="str">
        <f>"7806232232"</f>
        <v>7806232232</v>
      </c>
      <c r="B18998" t="s">
        <v>26862</v>
      </c>
      <c r="C18998" t="s">
        <v>7</v>
      </c>
      <c r="D18998" t="s">
        <v>1430</v>
      </c>
      <c r="E18998" t="s">
        <v>26179</v>
      </c>
      <c r="F18998" t="s">
        <v>26863</v>
      </c>
    </row>
    <row r="18999" spans="1:6" x14ac:dyDescent="0.25">
      <c r="A18999" t="str">
        <f>"780626859173"</f>
        <v>780626859173</v>
      </c>
      <c r="B18999" t="s">
        <v>26864</v>
      </c>
      <c r="C18999" t="s">
        <v>7</v>
      </c>
      <c r="D18999" t="s">
        <v>14</v>
      </c>
      <c r="E18999" t="s">
        <v>26179</v>
      </c>
    </row>
    <row r="19000" spans="1:6" x14ac:dyDescent="0.25">
      <c r="A19000" t="str">
        <f>"7806410598"</f>
        <v>7806410598</v>
      </c>
      <c r="B19000" t="s">
        <v>8932</v>
      </c>
      <c r="C19000" t="s">
        <v>7</v>
      </c>
      <c r="D19000" t="s">
        <v>189</v>
      </c>
      <c r="E19000" t="s">
        <v>26179</v>
      </c>
      <c r="F19000" t="s">
        <v>26865</v>
      </c>
    </row>
    <row r="19001" spans="1:6" x14ac:dyDescent="0.25">
      <c r="A19001" t="str">
        <f>"7806456659"</f>
        <v>7806456659</v>
      </c>
      <c r="B19001" t="s">
        <v>26866</v>
      </c>
      <c r="C19001" t="s">
        <v>7</v>
      </c>
      <c r="D19001" t="s">
        <v>14</v>
      </c>
      <c r="E19001" t="s">
        <v>26179</v>
      </c>
      <c r="F19001" t="s">
        <v>26867</v>
      </c>
    </row>
    <row r="19002" spans="1:6" x14ac:dyDescent="0.25">
      <c r="A19002" t="str">
        <f>"7806460052"</f>
        <v>7806460052</v>
      </c>
      <c r="B19002" t="s">
        <v>26868</v>
      </c>
      <c r="C19002" t="s">
        <v>7</v>
      </c>
      <c r="D19002" t="s">
        <v>8</v>
      </c>
      <c r="E19002" t="s">
        <v>26179</v>
      </c>
      <c r="F19002" t="s">
        <v>26869</v>
      </c>
    </row>
    <row r="19003" spans="1:6" x14ac:dyDescent="0.25">
      <c r="A19003" t="str">
        <f>"7806472474"</f>
        <v>7806472474</v>
      </c>
      <c r="B19003" t="s">
        <v>26870</v>
      </c>
      <c r="C19003" t="s">
        <v>7</v>
      </c>
      <c r="D19003" t="s">
        <v>8</v>
      </c>
      <c r="E19003" t="s">
        <v>26179</v>
      </c>
      <c r="F19003" t="s">
        <v>26871</v>
      </c>
    </row>
    <row r="19004" spans="1:6" x14ac:dyDescent="0.25">
      <c r="A19004" t="str">
        <f>"7806554529"</f>
        <v>7806554529</v>
      </c>
      <c r="B19004" t="s">
        <v>26872</v>
      </c>
      <c r="C19004" t="s">
        <v>7</v>
      </c>
      <c r="D19004" t="s">
        <v>189</v>
      </c>
      <c r="E19004" t="s">
        <v>26179</v>
      </c>
      <c r="F19004" t="s">
        <v>26873</v>
      </c>
    </row>
    <row r="19005" spans="1:6" x14ac:dyDescent="0.25">
      <c r="A19005" t="str">
        <f>"7806595074"</f>
        <v>7806595074</v>
      </c>
      <c r="B19005" t="s">
        <v>26874</v>
      </c>
      <c r="C19005" t="s">
        <v>7</v>
      </c>
      <c r="D19005" t="s">
        <v>14</v>
      </c>
      <c r="E19005" t="s">
        <v>26179</v>
      </c>
      <c r="F19005" t="s">
        <v>26875</v>
      </c>
    </row>
    <row r="19006" spans="1:6" x14ac:dyDescent="0.25">
      <c r="A19006" t="str">
        <f>"7806598886"</f>
        <v>7806598886</v>
      </c>
      <c r="B19006" t="s">
        <v>26876</v>
      </c>
      <c r="C19006" t="s">
        <v>7</v>
      </c>
      <c r="D19006" t="s">
        <v>33</v>
      </c>
      <c r="E19006" t="s">
        <v>26179</v>
      </c>
      <c r="F19006" t="s">
        <v>26877</v>
      </c>
    </row>
    <row r="19007" spans="1:6" x14ac:dyDescent="0.25">
      <c r="A19007" t="str">
        <f>"7806618959"</f>
        <v>7806618959</v>
      </c>
      <c r="B19007" t="s">
        <v>26878</v>
      </c>
      <c r="C19007" t="s">
        <v>7</v>
      </c>
      <c r="D19007" t="s">
        <v>33</v>
      </c>
      <c r="E19007" t="s">
        <v>26179</v>
      </c>
      <c r="F19007" t="s">
        <v>26879</v>
      </c>
    </row>
    <row r="19008" spans="1:6" x14ac:dyDescent="0.25">
      <c r="A19008" t="str">
        <f>"7806623290"</f>
        <v>7806623290</v>
      </c>
      <c r="B19008" t="s">
        <v>26880</v>
      </c>
      <c r="C19008" t="s">
        <v>7</v>
      </c>
      <c r="D19008" t="s">
        <v>33</v>
      </c>
      <c r="E19008" t="s">
        <v>26179</v>
      </c>
      <c r="F19008" t="s">
        <v>26881</v>
      </c>
    </row>
    <row r="19009" spans="1:6" x14ac:dyDescent="0.25">
      <c r="A19009" t="str">
        <f>"7807001044"</f>
        <v>7807001044</v>
      </c>
      <c r="B19009" t="s">
        <v>26882</v>
      </c>
      <c r="C19009" t="s">
        <v>7</v>
      </c>
      <c r="D19009" t="s">
        <v>14</v>
      </c>
      <c r="E19009" t="s">
        <v>26179</v>
      </c>
      <c r="F19009" t="s">
        <v>26883</v>
      </c>
    </row>
    <row r="19010" spans="1:6" x14ac:dyDescent="0.25">
      <c r="A19010" t="str">
        <f>"780700129306"</f>
        <v>780700129306</v>
      </c>
      <c r="B19010" t="s">
        <v>26884</v>
      </c>
      <c r="C19010" t="s">
        <v>7</v>
      </c>
      <c r="D19010" t="s">
        <v>14</v>
      </c>
      <c r="E19010" t="s">
        <v>26179</v>
      </c>
    </row>
    <row r="19011" spans="1:6" x14ac:dyDescent="0.25">
      <c r="A19011" t="str">
        <f>"780719183258"</f>
        <v>780719183258</v>
      </c>
      <c r="B19011" t="s">
        <v>26885</v>
      </c>
      <c r="C19011" t="s">
        <v>7</v>
      </c>
      <c r="D19011" t="s">
        <v>14</v>
      </c>
      <c r="E19011" t="s">
        <v>26179</v>
      </c>
    </row>
    <row r="19012" spans="1:6" x14ac:dyDescent="0.25">
      <c r="A19012" t="str">
        <f>"7807305229"</f>
        <v>7807305229</v>
      </c>
      <c r="B19012" t="s">
        <v>26886</v>
      </c>
      <c r="C19012" t="s">
        <v>7</v>
      </c>
      <c r="D19012" t="s">
        <v>33</v>
      </c>
      <c r="E19012" t="s">
        <v>26179</v>
      </c>
      <c r="F19012" t="s">
        <v>26887</v>
      </c>
    </row>
    <row r="19013" spans="1:6" x14ac:dyDescent="0.25">
      <c r="A19013" t="str">
        <f>"7810027170"</f>
        <v>7810027170</v>
      </c>
      <c r="B19013" t="s">
        <v>26888</v>
      </c>
      <c r="C19013" t="s">
        <v>7</v>
      </c>
      <c r="D19013" t="s">
        <v>33</v>
      </c>
      <c r="E19013" t="s">
        <v>26179</v>
      </c>
      <c r="F19013" t="s">
        <v>26889</v>
      </c>
    </row>
    <row r="19014" spans="1:6" x14ac:dyDescent="0.25">
      <c r="A19014" t="str">
        <f>"781003636244"</f>
        <v>781003636244</v>
      </c>
      <c r="B19014" t="s">
        <v>26890</v>
      </c>
      <c r="C19014" t="s">
        <v>7</v>
      </c>
      <c r="D19014" t="s">
        <v>14</v>
      </c>
      <c r="E19014" t="s">
        <v>26179</v>
      </c>
    </row>
    <row r="19015" spans="1:6" x14ac:dyDescent="0.25">
      <c r="A19015" t="str">
        <f>"7810044087"</f>
        <v>7810044087</v>
      </c>
      <c r="B19015" t="s">
        <v>26891</v>
      </c>
      <c r="C19015" t="s">
        <v>7</v>
      </c>
      <c r="D19015" t="s">
        <v>33</v>
      </c>
      <c r="E19015" t="s">
        <v>26179</v>
      </c>
      <c r="F19015" t="s">
        <v>26892</v>
      </c>
    </row>
    <row r="19016" spans="1:6" x14ac:dyDescent="0.25">
      <c r="A19016" t="str">
        <f>"7810152011"</f>
        <v>7810152011</v>
      </c>
      <c r="B19016" t="s">
        <v>26893</v>
      </c>
      <c r="C19016" t="s">
        <v>7</v>
      </c>
      <c r="D19016" t="s">
        <v>12</v>
      </c>
      <c r="E19016" t="s">
        <v>26179</v>
      </c>
      <c r="F19016" t="s">
        <v>26894</v>
      </c>
    </row>
    <row r="19017" spans="1:6" x14ac:dyDescent="0.25">
      <c r="A19017" t="str">
        <f>"7810350976"</f>
        <v>7810350976</v>
      </c>
      <c r="B19017" t="s">
        <v>26895</v>
      </c>
      <c r="C19017" t="s">
        <v>7</v>
      </c>
      <c r="D19017" t="s">
        <v>33</v>
      </c>
      <c r="E19017" t="s">
        <v>26179</v>
      </c>
      <c r="F19017" t="s">
        <v>26896</v>
      </c>
    </row>
    <row r="19018" spans="1:6" x14ac:dyDescent="0.25">
      <c r="A19018" t="str">
        <f>"7810380032"</f>
        <v>7810380032</v>
      </c>
      <c r="B19018" t="s">
        <v>26897</v>
      </c>
      <c r="C19018" t="s">
        <v>7</v>
      </c>
      <c r="D19018" t="s">
        <v>1430</v>
      </c>
      <c r="E19018" t="s">
        <v>26179</v>
      </c>
      <c r="F19018" t="s">
        <v>26898</v>
      </c>
    </row>
    <row r="19019" spans="1:6" x14ac:dyDescent="0.25">
      <c r="A19019" t="str">
        <f>"7810387609"</f>
        <v>7810387609</v>
      </c>
      <c r="B19019" t="s">
        <v>26899</v>
      </c>
      <c r="C19019" t="s">
        <v>7</v>
      </c>
      <c r="D19019" t="s">
        <v>12</v>
      </c>
      <c r="E19019" t="s">
        <v>26179</v>
      </c>
      <c r="F19019" t="s">
        <v>26900</v>
      </c>
    </row>
    <row r="19020" spans="1:6" x14ac:dyDescent="0.25">
      <c r="A19020" t="str">
        <f>"7810390714"</f>
        <v>7810390714</v>
      </c>
      <c r="B19020" t="s">
        <v>26901</v>
      </c>
      <c r="C19020" t="s">
        <v>7</v>
      </c>
      <c r="D19020" t="s">
        <v>33</v>
      </c>
      <c r="E19020" t="s">
        <v>26179</v>
      </c>
      <c r="F19020" t="s">
        <v>26902</v>
      </c>
    </row>
    <row r="19021" spans="1:6" x14ac:dyDescent="0.25">
      <c r="A19021" t="str">
        <f>"7810455880"</f>
        <v>7810455880</v>
      </c>
      <c r="B19021" t="s">
        <v>26903</v>
      </c>
      <c r="C19021" t="s">
        <v>7</v>
      </c>
      <c r="D19021" t="s">
        <v>12</v>
      </c>
      <c r="E19021" t="s">
        <v>26179</v>
      </c>
      <c r="F19021" t="s">
        <v>26904</v>
      </c>
    </row>
    <row r="19022" spans="1:6" x14ac:dyDescent="0.25">
      <c r="A19022" t="str">
        <f>"7810489110"</f>
        <v>7810489110</v>
      </c>
      <c r="B19022" t="s">
        <v>430</v>
      </c>
      <c r="C19022" t="s">
        <v>7</v>
      </c>
      <c r="D19022" t="s">
        <v>33</v>
      </c>
      <c r="E19022" t="s">
        <v>26179</v>
      </c>
      <c r="F19022" t="s">
        <v>26905</v>
      </c>
    </row>
    <row r="19023" spans="1:6" x14ac:dyDescent="0.25">
      <c r="A19023" t="str">
        <f>"7810549426"</f>
        <v>7810549426</v>
      </c>
      <c r="B19023" t="s">
        <v>26906</v>
      </c>
      <c r="C19023" t="s">
        <v>7</v>
      </c>
      <c r="D19023" t="s">
        <v>8</v>
      </c>
      <c r="E19023" t="s">
        <v>26179</v>
      </c>
      <c r="F19023" t="s">
        <v>26907</v>
      </c>
    </row>
    <row r="19024" spans="1:6" x14ac:dyDescent="0.25">
      <c r="A19024" t="str">
        <f>"7810653561"</f>
        <v>7810653561</v>
      </c>
      <c r="B19024" t="s">
        <v>26908</v>
      </c>
      <c r="C19024" t="s">
        <v>7</v>
      </c>
      <c r="D19024" t="s">
        <v>12</v>
      </c>
      <c r="E19024" t="s">
        <v>26179</v>
      </c>
      <c r="F19024" t="s">
        <v>26909</v>
      </c>
    </row>
    <row r="19025" spans="1:6" x14ac:dyDescent="0.25">
      <c r="A19025" t="str">
        <f>"7810703029"</f>
        <v>7810703029</v>
      </c>
      <c r="B19025" t="s">
        <v>26910</v>
      </c>
      <c r="C19025" t="s">
        <v>7</v>
      </c>
      <c r="D19025" t="s">
        <v>33</v>
      </c>
      <c r="E19025" t="s">
        <v>26179</v>
      </c>
      <c r="F19025" t="s">
        <v>26911</v>
      </c>
    </row>
    <row r="19026" spans="1:6" x14ac:dyDescent="0.25">
      <c r="A19026" t="str">
        <f>"7810704907"</f>
        <v>7810704907</v>
      </c>
      <c r="B19026" t="s">
        <v>26912</v>
      </c>
      <c r="C19026" t="s">
        <v>7</v>
      </c>
      <c r="D19026" t="s">
        <v>6745</v>
      </c>
      <c r="E19026" t="s">
        <v>26179</v>
      </c>
      <c r="F19026" t="s">
        <v>26913</v>
      </c>
    </row>
    <row r="19027" spans="1:6" x14ac:dyDescent="0.25">
      <c r="A19027" t="str">
        <f>"7810729740"</f>
        <v>7810729740</v>
      </c>
      <c r="B19027" t="s">
        <v>26914</v>
      </c>
      <c r="C19027" t="s">
        <v>7</v>
      </c>
      <c r="D19027" t="s">
        <v>33</v>
      </c>
      <c r="E19027" t="s">
        <v>26179</v>
      </c>
      <c r="F19027" t="s">
        <v>26915</v>
      </c>
    </row>
    <row r="19028" spans="1:6" x14ac:dyDescent="0.25">
      <c r="A19028" t="str">
        <f>"7810752354"</f>
        <v>7810752354</v>
      </c>
      <c r="B19028" t="s">
        <v>1153</v>
      </c>
      <c r="C19028" t="s">
        <v>7</v>
      </c>
      <c r="D19028" t="s">
        <v>33</v>
      </c>
      <c r="E19028" t="s">
        <v>26179</v>
      </c>
      <c r="F19028" t="s">
        <v>26916</v>
      </c>
    </row>
    <row r="19029" spans="1:6" x14ac:dyDescent="0.25">
      <c r="A19029" t="str">
        <f>"7810876871"</f>
        <v>7810876871</v>
      </c>
      <c r="B19029" t="s">
        <v>14291</v>
      </c>
      <c r="C19029" t="s">
        <v>7</v>
      </c>
      <c r="D19029" t="s">
        <v>12</v>
      </c>
      <c r="E19029" t="s">
        <v>26179</v>
      </c>
      <c r="F19029" t="s">
        <v>26917</v>
      </c>
    </row>
    <row r="19030" spans="1:6" x14ac:dyDescent="0.25">
      <c r="A19030" t="str">
        <f>"7810961630"</f>
        <v>7810961630</v>
      </c>
      <c r="B19030" t="s">
        <v>26918</v>
      </c>
      <c r="C19030" t="s">
        <v>7</v>
      </c>
      <c r="D19030" t="s">
        <v>12</v>
      </c>
      <c r="E19030" t="s">
        <v>26179</v>
      </c>
      <c r="F19030" t="s">
        <v>26919</v>
      </c>
    </row>
    <row r="19031" spans="1:6" x14ac:dyDescent="0.25">
      <c r="A19031" t="str">
        <f>"7810969854"</f>
        <v>7810969854</v>
      </c>
      <c r="B19031" t="s">
        <v>26920</v>
      </c>
      <c r="C19031" t="s">
        <v>7</v>
      </c>
      <c r="D19031" t="s">
        <v>189</v>
      </c>
      <c r="E19031" t="s">
        <v>26179</v>
      </c>
      <c r="F19031" t="s">
        <v>26921</v>
      </c>
    </row>
    <row r="19032" spans="1:6" x14ac:dyDescent="0.25">
      <c r="A19032" t="str">
        <f>"7810978954"</f>
        <v>7810978954</v>
      </c>
      <c r="B19032" t="s">
        <v>26922</v>
      </c>
      <c r="C19032" t="s">
        <v>7</v>
      </c>
      <c r="D19032" t="s">
        <v>33</v>
      </c>
      <c r="E19032" t="s">
        <v>26179</v>
      </c>
      <c r="F19032" t="s">
        <v>26923</v>
      </c>
    </row>
    <row r="19033" spans="1:6" x14ac:dyDescent="0.25">
      <c r="A19033" t="str">
        <f>"7810987204"</f>
        <v>7810987204</v>
      </c>
      <c r="B19033" t="s">
        <v>26924</v>
      </c>
      <c r="C19033" t="s">
        <v>7</v>
      </c>
      <c r="D19033" t="s">
        <v>33</v>
      </c>
      <c r="E19033" t="s">
        <v>26179</v>
      </c>
      <c r="F19033" t="s">
        <v>26925</v>
      </c>
    </row>
    <row r="19034" spans="1:6" x14ac:dyDescent="0.25">
      <c r="A19034" t="str">
        <f>"781104234703"</f>
        <v>781104234703</v>
      </c>
      <c r="B19034" t="s">
        <v>26926</v>
      </c>
      <c r="C19034" t="s">
        <v>7</v>
      </c>
      <c r="D19034" t="s">
        <v>14</v>
      </c>
      <c r="E19034" t="s">
        <v>26179</v>
      </c>
    </row>
    <row r="19035" spans="1:6" x14ac:dyDescent="0.25">
      <c r="A19035" t="str">
        <f>"7811070107"</f>
        <v>7811070107</v>
      </c>
      <c r="B19035" t="s">
        <v>26927</v>
      </c>
      <c r="C19035" t="s">
        <v>7</v>
      </c>
      <c r="D19035" t="s">
        <v>33</v>
      </c>
      <c r="E19035" t="s">
        <v>26179</v>
      </c>
      <c r="F19035" t="s">
        <v>26928</v>
      </c>
    </row>
    <row r="19036" spans="1:6" x14ac:dyDescent="0.25">
      <c r="A19036" t="str">
        <f>"781109956540"</f>
        <v>781109956540</v>
      </c>
      <c r="B19036" t="s">
        <v>26929</v>
      </c>
      <c r="C19036" t="s">
        <v>7</v>
      </c>
      <c r="D19036" t="s">
        <v>14</v>
      </c>
      <c r="E19036" t="s">
        <v>26179</v>
      </c>
    </row>
    <row r="19037" spans="1:6" x14ac:dyDescent="0.25">
      <c r="A19037" t="str">
        <f>"7811165180"</f>
        <v>7811165180</v>
      </c>
      <c r="B19037" t="s">
        <v>26930</v>
      </c>
      <c r="C19037" t="s">
        <v>7</v>
      </c>
      <c r="D19037" t="s">
        <v>33</v>
      </c>
      <c r="E19037" t="s">
        <v>26179</v>
      </c>
      <c r="F19037" t="s">
        <v>26931</v>
      </c>
    </row>
    <row r="19038" spans="1:6" x14ac:dyDescent="0.25">
      <c r="A19038" t="str">
        <f>"781118683201"</f>
        <v>781118683201</v>
      </c>
      <c r="B19038" t="s">
        <v>26932</v>
      </c>
      <c r="C19038" t="s">
        <v>7</v>
      </c>
      <c r="D19038" t="s">
        <v>14</v>
      </c>
      <c r="E19038" t="s">
        <v>26179</v>
      </c>
    </row>
    <row r="19039" spans="1:6" x14ac:dyDescent="0.25">
      <c r="A19039" t="str">
        <f>"7811190531"</f>
        <v>7811190531</v>
      </c>
      <c r="B19039" t="s">
        <v>26933</v>
      </c>
      <c r="C19039" t="s">
        <v>7</v>
      </c>
      <c r="D19039" t="s">
        <v>98</v>
      </c>
      <c r="E19039" t="s">
        <v>26179</v>
      </c>
      <c r="F19039" t="s">
        <v>26934</v>
      </c>
    </row>
    <row r="19040" spans="1:6" x14ac:dyDescent="0.25">
      <c r="A19040" t="str">
        <f>"7811232037"</f>
        <v>7811232037</v>
      </c>
      <c r="B19040" t="s">
        <v>26935</v>
      </c>
      <c r="C19040" t="s">
        <v>7</v>
      </c>
      <c r="D19040" t="s">
        <v>12</v>
      </c>
      <c r="E19040" t="s">
        <v>26179</v>
      </c>
      <c r="F19040" t="s">
        <v>26936</v>
      </c>
    </row>
    <row r="19041" spans="1:6" x14ac:dyDescent="0.25">
      <c r="A19041" t="str">
        <f>"781124192868"</f>
        <v>781124192868</v>
      </c>
      <c r="B19041" t="s">
        <v>26937</v>
      </c>
      <c r="C19041" t="s">
        <v>7</v>
      </c>
      <c r="D19041" t="s">
        <v>14</v>
      </c>
      <c r="E19041" t="s">
        <v>26179</v>
      </c>
    </row>
    <row r="19042" spans="1:6" x14ac:dyDescent="0.25">
      <c r="A19042" t="str">
        <f>"781131259305"</f>
        <v>781131259305</v>
      </c>
      <c r="B19042" t="s">
        <v>26938</v>
      </c>
      <c r="C19042" t="s">
        <v>7</v>
      </c>
      <c r="D19042" t="s">
        <v>14</v>
      </c>
      <c r="E19042" t="s">
        <v>26179</v>
      </c>
    </row>
    <row r="19043" spans="1:6" x14ac:dyDescent="0.25">
      <c r="A19043" t="str">
        <f>"7811382385"</f>
        <v>7811382385</v>
      </c>
      <c r="B19043" t="s">
        <v>26939</v>
      </c>
      <c r="C19043" t="s">
        <v>7</v>
      </c>
      <c r="D19043" t="s">
        <v>33</v>
      </c>
      <c r="E19043" t="s">
        <v>26179</v>
      </c>
      <c r="F19043" t="s">
        <v>26940</v>
      </c>
    </row>
    <row r="19044" spans="1:6" x14ac:dyDescent="0.25">
      <c r="A19044" t="str">
        <f>"7811389567"</f>
        <v>7811389567</v>
      </c>
      <c r="B19044" t="s">
        <v>26941</v>
      </c>
      <c r="C19044" t="s">
        <v>7</v>
      </c>
      <c r="D19044" t="s">
        <v>33</v>
      </c>
      <c r="E19044" t="s">
        <v>26179</v>
      </c>
      <c r="F19044" t="s">
        <v>26942</v>
      </c>
    </row>
    <row r="19045" spans="1:6" x14ac:dyDescent="0.25">
      <c r="A19045" t="str">
        <f>"781142251668"</f>
        <v>781142251668</v>
      </c>
      <c r="B19045" t="s">
        <v>26943</v>
      </c>
      <c r="C19045" t="s">
        <v>7</v>
      </c>
      <c r="D19045" t="s">
        <v>14</v>
      </c>
      <c r="E19045" t="s">
        <v>26179</v>
      </c>
    </row>
    <row r="19046" spans="1:6" x14ac:dyDescent="0.25">
      <c r="A19046" t="str">
        <f>"781149616950"</f>
        <v>781149616950</v>
      </c>
      <c r="B19046" t="s">
        <v>26944</v>
      </c>
      <c r="C19046" t="s">
        <v>7</v>
      </c>
      <c r="D19046" t="s">
        <v>8</v>
      </c>
      <c r="E19046" t="s">
        <v>26179</v>
      </c>
    </row>
    <row r="19047" spans="1:6" x14ac:dyDescent="0.25">
      <c r="A19047" t="str">
        <f>"7811570678"</f>
        <v>7811570678</v>
      </c>
      <c r="B19047" t="s">
        <v>26945</v>
      </c>
      <c r="C19047" t="s">
        <v>7</v>
      </c>
      <c r="D19047" t="s">
        <v>33</v>
      </c>
      <c r="E19047" t="s">
        <v>26179</v>
      </c>
      <c r="F19047" t="s">
        <v>26946</v>
      </c>
    </row>
    <row r="19048" spans="1:6" x14ac:dyDescent="0.25">
      <c r="A19048" t="str">
        <f>"7811572675"</f>
        <v>7811572675</v>
      </c>
      <c r="B19048" t="s">
        <v>26947</v>
      </c>
      <c r="C19048" t="s">
        <v>7</v>
      </c>
      <c r="D19048" t="s">
        <v>8</v>
      </c>
      <c r="E19048" t="s">
        <v>26179</v>
      </c>
      <c r="F19048" t="s">
        <v>26948</v>
      </c>
    </row>
    <row r="19049" spans="1:6" x14ac:dyDescent="0.25">
      <c r="A19049" t="str">
        <f>"7811590515"</f>
        <v>7811590515</v>
      </c>
      <c r="B19049" t="s">
        <v>26949</v>
      </c>
      <c r="C19049" t="s">
        <v>7</v>
      </c>
      <c r="D19049" t="s">
        <v>33</v>
      </c>
      <c r="E19049" t="s">
        <v>26179</v>
      </c>
      <c r="F19049" t="s">
        <v>26950</v>
      </c>
    </row>
    <row r="19050" spans="1:6" x14ac:dyDescent="0.25">
      <c r="A19050" t="str">
        <f>"7811593763"</f>
        <v>7811593763</v>
      </c>
      <c r="B19050" t="s">
        <v>26951</v>
      </c>
      <c r="C19050" t="s">
        <v>7</v>
      </c>
      <c r="D19050" t="s">
        <v>33</v>
      </c>
      <c r="E19050" t="s">
        <v>26179</v>
      </c>
      <c r="F19050" t="s">
        <v>26952</v>
      </c>
    </row>
    <row r="19051" spans="1:6" x14ac:dyDescent="0.25">
      <c r="A19051" t="str">
        <f>"7811602746"</f>
        <v>7811602746</v>
      </c>
      <c r="B19051" t="s">
        <v>26953</v>
      </c>
      <c r="C19051" t="s">
        <v>7</v>
      </c>
      <c r="D19051" t="s">
        <v>33</v>
      </c>
      <c r="E19051" t="s">
        <v>26179</v>
      </c>
      <c r="F19051" t="s">
        <v>26954</v>
      </c>
    </row>
    <row r="19052" spans="1:6" x14ac:dyDescent="0.25">
      <c r="A19052" t="str">
        <f>"781160728784"</f>
        <v>781160728784</v>
      </c>
      <c r="B19052" t="s">
        <v>26955</v>
      </c>
      <c r="C19052" t="s">
        <v>7</v>
      </c>
      <c r="D19052" t="s">
        <v>674</v>
      </c>
      <c r="E19052" t="s">
        <v>26179</v>
      </c>
    </row>
    <row r="19053" spans="1:6" x14ac:dyDescent="0.25">
      <c r="A19053" t="str">
        <f>"7811628656"</f>
        <v>7811628656</v>
      </c>
      <c r="B19053" t="s">
        <v>26956</v>
      </c>
      <c r="C19053" t="s">
        <v>7</v>
      </c>
      <c r="D19053" t="s">
        <v>146</v>
      </c>
      <c r="E19053" t="s">
        <v>26179</v>
      </c>
      <c r="F19053" t="s">
        <v>26957</v>
      </c>
    </row>
    <row r="19054" spans="1:6" x14ac:dyDescent="0.25">
      <c r="A19054" t="str">
        <f>"7811667447"</f>
        <v>7811667447</v>
      </c>
      <c r="B19054" t="s">
        <v>26958</v>
      </c>
      <c r="C19054" t="s">
        <v>7</v>
      </c>
      <c r="D19054" t="s">
        <v>14</v>
      </c>
      <c r="E19054" t="s">
        <v>26179</v>
      </c>
      <c r="F19054" t="s">
        <v>26959</v>
      </c>
    </row>
    <row r="19055" spans="1:6" x14ac:dyDescent="0.25">
      <c r="A19055" t="str">
        <f>"7811682251"</f>
        <v>7811682251</v>
      </c>
      <c r="B19055" t="s">
        <v>26960</v>
      </c>
      <c r="C19055" t="s">
        <v>7</v>
      </c>
      <c r="D19055" t="s">
        <v>674</v>
      </c>
      <c r="E19055" t="s">
        <v>26179</v>
      </c>
      <c r="F19055" t="s">
        <v>26961</v>
      </c>
    </row>
    <row r="19056" spans="1:6" x14ac:dyDescent="0.25">
      <c r="A19056" t="str">
        <f>"7811685848"</f>
        <v>7811685848</v>
      </c>
      <c r="B19056" t="s">
        <v>26962</v>
      </c>
      <c r="C19056" t="s">
        <v>7</v>
      </c>
      <c r="D19056" t="s">
        <v>33</v>
      </c>
      <c r="E19056" t="s">
        <v>26179</v>
      </c>
      <c r="F19056" t="s">
        <v>26963</v>
      </c>
    </row>
    <row r="19057" spans="1:6" x14ac:dyDescent="0.25">
      <c r="A19057" t="str">
        <f>"7811702243"</f>
        <v>7811702243</v>
      </c>
      <c r="B19057" t="s">
        <v>26964</v>
      </c>
      <c r="C19057" t="s">
        <v>7</v>
      </c>
      <c r="D19057" t="s">
        <v>14</v>
      </c>
      <c r="E19057" t="s">
        <v>26179</v>
      </c>
      <c r="F19057" t="s">
        <v>26965</v>
      </c>
    </row>
    <row r="19058" spans="1:6" x14ac:dyDescent="0.25">
      <c r="A19058" t="str">
        <f>"7811707989"</f>
        <v>7811707989</v>
      </c>
      <c r="B19058" t="s">
        <v>26966</v>
      </c>
      <c r="C19058" t="s">
        <v>7</v>
      </c>
      <c r="D19058" t="s">
        <v>189</v>
      </c>
      <c r="E19058" t="s">
        <v>26179</v>
      </c>
      <c r="F19058" t="s">
        <v>26967</v>
      </c>
    </row>
    <row r="19059" spans="1:6" x14ac:dyDescent="0.25">
      <c r="A19059" t="str">
        <f>"7811715933"</f>
        <v>7811715933</v>
      </c>
      <c r="B19059" t="s">
        <v>26968</v>
      </c>
      <c r="C19059" t="s">
        <v>7</v>
      </c>
      <c r="D19059" t="s">
        <v>33</v>
      </c>
      <c r="E19059" t="s">
        <v>26179</v>
      </c>
      <c r="F19059" t="s">
        <v>26969</v>
      </c>
    </row>
    <row r="19060" spans="1:6" x14ac:dyDescent="0.25">
      <c r="A19060" t="str">
        <f>"7811759698"</f>
        <v>7811759698</v>
      </c>
      <c r="B19060" t="s">
        <v>26970</v>
      </c>
      <c r="C19060" t="s">
        <v>7</v>
      </c>
      <c r="D19060" t="s">
        <v>33</v>
      </c>
      <c r="E19060" t="s">
        <v>26179</v>
      </c>
      <c r="F19060" t="s">
        <v>26971</v>
      </c>
    </row>
    <row r="19061" spans="1:6" x14ac:dyDescent="0.25">
      <c r="A19061" t="str">
        <f>"7811763140"</f>
        <v>7811763140</v>
      </c>
      <c r="B19061" t="s">
        <v>26972</v>
      </c>
      <c r="C19061" t="s">
        <v>7</v>
      </c>
      <c r="D19061" t="s">
        <v>14</v>
      </c>
      <c r="E19061" t="s">
        <v>26179</v>
      </c>
      <c r="F19061" t="s">
        <v>26973</v>
      </c>
    </row>
    <row r="19062" spans="1:6" x14ac:dyDescent="0.25">
      <c r="A19062" t="str">
        <f>"7811765162"</f>
        <v>7811765162</v>
      </c>
      <c r="B19062" t="s">
        <v>26974</v>
      </c>
      <c r="C19062" t="s">
        <v>7</v>
      </c>
      <c r="D19062" t="s">
        <v>33</v>
      </c>
      <c r="E19062" t="s">
        <v>26179</v>
      </c>
      <c r="F19062" t="s">
        <v>26975</v>
      </c>
    </row>
    <row r="19063" spans="1:6" x14ac:dyDescent="0.25">
      <c r="A19063" t="str">
        <f>"7811775160"</f>
        <v>7811775160</v>
      </c>
      <c r="B19063" t="s">
        <v>26976</v>
      </c>
      <c r="C19063" t="s">
        <v>7</v>
      </c>
      <c r="D19063" t="s">
        <v>14</v>
      </c>
      <c r="E19063" t="s">
        <v>26179</v>
      </c>
      <c r="F19063" t="s">
        <v>26977</v>
      </c>
    </row>
    <row r="19064" spans="1:6" x14ac:dyDescent="0.25">
      <c r="A19064" t="str">
        <f>"7811800191"</f>
        <v>7811800191</v>
      </c>
      <c r="B19064" t="s">
        <v>26978</v>
      </c>
      <c r="C19064" t="s">
        <v>7</v>
      </c>
      <c r="D19064" t="s">
        <v>12</v>
      </c>
      <c r="E19064" t="s">
        <v>26179</v>
      </c>
      <c r="F19064" t="s">
        <v>26979</v>
      </c>
    </row>
    <row r="19065" spans="1:6" x14ac:dyDescent="0.25">
      <c r="A19065" t="str">
        <f>"7812000180"</f>
        <v>7812000180</v>
      </c>
      <c r="B19065" t="s">
        <v>26980</v>
      </c>
      <c r="C19065" t="s">
        <v>7</v>
      </c>
      <c r="D19065" t="s">
        <v>8</v>
      </c>
      <c r="E19065" t="s">
        <v>26179</v>
      </c>
      <c r="F19065" t="s">
        <v>26981</v>
      </c>
    </row>
    <row r="19066" spans="1:6" x14ac:dyDescent="0.25">
      <c r="A19066" t="str">
        <f>"781302199000"</f>
        <v>781302199000</v>
      </c>
      <c r="B19066" t="s">
        <v>26982</v>
      </c>
      <c r="C19066" t="s">
        <v>7</v>
      </c>
      <c r="D19066" t="s">
        <v>14</v>
      </c>
      <c r="E19066" t="s">
        <v>26179</v>
      </c>
    </row>
    <row r="19067" spans="1:6" x14ac:dyDescent="0.25">
      <c r="A19067" t="str">
        <f>"781310635186"</f>
        <v>781310635186</v>
      </c>
      <c r="B19067" t="s">
        <v>26983</v>
      </c>
      <c r="C19067" t="s">
        <v>7</v>
      </c>
      <c r="D19067" t="s">
        <v>189</v>
      </c>
      <c r="E19067" t="s">
        <v>26179</v>
      </c>
    </row>
    <row r="19068" spans="1:6" x14ac:dyDescent="0.25">
      <c r="A19068" t="str">
        <f>"781310852470"</f>
        <v>781310852470</v>
      </c>
      <c r="B19068" t="s">
        <v>26984</v>
      </c>
      <c r="C19068" t="s">
        <v>7</v>
      </c>
      <c r="D19068" t="s">
        <v>14</v>
      </c>
      <c r="E19068" t="s">
        <v>26179</v>
      </c>
    </row>
    <row r="19069" spans="1:6" x14ac:dyDescent="0.25">
      <c r="A19069" t="str">
        <f>"781312806648"</f>
        <v>781312806648</v>
      </c>
      <c r="B19069" t="s">
        <v>26985</v>
      </c>
      <c r="C19069" t="s">
        <v>7</v>
      </c>
      <c r="D19069" t="s">
        <v>14</v>
      </c>
      <c r="E19069" t="s">
        <v>26179</v>
      </c>
    </row>
    <row r="19070" spans="1:6" x14ac:dyDescent="0.25">
      <c r="A19070" t="str">
        <f>"7813154320"</f>
        <v>7813154320</v>
      </c>
      <c r="B19070" t="s">
        <v>26986</v>
      </c>
      <c r="C19070" t="s">
        <v>7</v>
      </c>
      <c r="D19070" t="s">
        <v>14</v>
      </c>
      <c r="E19070" t="s">
        <v>26179</v>
      </c>
      <c r="F19070" t="s">
        <v>26987</v>
      </c>
    </row>
    <row r="19071" spans="1:6" x14ac:dyDescent="0.25">
      <c r="A19071" t="str">
        <f>"100118379298"</f>
        <v>100118379298</v>
      </c>
      <c r="B19071" t="s">
        <v>26988</v>
      </c>
      <c r="C19071" t="s">
        <v>7</v>
      </c>
      <c r="D19071" t="s">
        <v>14</v>
      </c>
      <c r="E19071" t="s">
        <v>26179</v>
      </c>
    </row>
    <row r="19072" spans="1:6" x14ac:dyDescent="0.25">
      <c r="A19072" t="str">
        <f>"100121531810"</f>
        <v>100121531810</v>
      </c>
      <c r="B19072" t="s">
        <v>26989</v>
      </c>
      <c r="C19072" t="s">
        <v>7</v>
      </c>
      <c r="D19072" t="s">
        <v>12</v>
      </c>
      <c r="E19072" t="s">
        <v>26179</v>
      </c>
    </row>
    <row r="19073" spans="1:6" x14ac:dyDescent="0.25">
      <c r="A19073" t="str">
        <f>"561405720402"</f>
        <v>561405720402</v>
      </c>
      <c r="B19073" t="s">
        <v>26990</v>
      </c>
      <c r="C19073" t="s">
        <v>7</v>
      </c>
      <c r="D19073" t="s">
        <v>12</v>
      </c>
      <c r="E19073" t="s">
        <v>26179</v>
      </c>
    </row>
    <row r="19074" spans="1:6" x14ac:dyDescent="0.25">
      <c r="A19074" t="str">
        <f>"563100046711"</f>
        <v>563100046711</v>
      </c>
      <c r="B19074" t="s">
        <v>26991</v>
      </c>
      <c r="C19074" t="s">
        <v>7</v>
      </c>
      <c r="D19074" t="s">
        <v>14</v>
      </c>
      <c r="E19074" t="s">
        <v>26179</v>
      </c>
    </row>
    <row r="19075" spans="1:6" x14ac:dyDescent="0.25">
      <c r="A19075" t="str">
        <f>"370900848540"</f>
        <v>370900848540</v>
      </c>
      <c r="B19075" t="s">
        <v>26992</v>
      </c>
      <c r="C19075" t="s">
        <v>7</v>
      </c>
      <c r="D19075" t="s">
        <v>14</v>
      </c>
      <c r="E19075" t="s">
        <v>26179</v>
      </c>
    </row>
    <row r="19076" spans="1:6" x14ac:dyDescent="0.25">
      <c r="A19076" t="str">
        <f>"7813276167"</f>
        <v>7813276167</v>
      </c>
      <c r="B19076" t="s">
        <v>26993</v>
      </c>
      <c r="C19076" t="s">
        <v>7</v>
      </c>
      <c r="D19076" t="s">
        <v>8</v>
      </c>
      <c r="E19076" t="s">
        <v>26179</v>
      </c>
      <c r="F19076" t="s">
        <v>26994</v>
      </c>
    </row>
    <row r="19077" spans="1:6" x14ac:dyDescent="0.25">
      <c r="A19077" t="str">
        <f>"7814044514"</f>
        <v>7814044514</v>
      </c>
      <c r="B19077" t="s">
        <v>26995</v>
      </c>
      <c r="C19077" t="s">
        <v>7</v>
      </c>
      <c r="D19077" t="s">
        <v>33</v>
      </c>
      <c r="E19077" t="s">
        <v>26179</v>
      </c>
      <c r="F19077" t="s">
        <v>26996</v>
      </c>
    </row>
    <row r="19078" spans="1:6" x14ac:dyDescent="0.25">
      <c r="A19078" t="str">
        <f>"7814069526"</f>
        <v>7814069526</v>
      </c>
      <c r="B19078" t="s">
        <v>26997</v>
      </c>
      <c r="C19078" t="s">
        <v>7</v>
      </c>
      <c r="D19078" t="s">
        <v>146</v>
      </c>
      <c r="E19078" t="s">
        <v>26179</v>
      </c>
      <c r="F19078" t="s">
        <v>26998</v>
      </c>
    </row>
    <row r="19079" spans="1:6" x14ac:dyDescent="0.25">
      <c r="A19079" t="str">
        <f>"781407665498"</f>
        <v>781407665498</v>
      </c>
      <c r="B19079" t="s">
        <v>26999</v>
      </c>
      <c r="C19079" t="s">
        <v>7</v>
      </c>
      <c r="D19079" t="s">
        <v>12</v>
      </c>
      <c r="E19079" t="s">
        <v>26179</v>
      </c>
    </row>
    <row r="19080" spans="1:6" x14ac:dyDescent="0.25">
      <c r="A19080" t="str">
        <f>"781409709461"</f>
        <v>781409709461</v>
      </c>
      <c r="B19080" t="s">
        <v>27000</v>
      </c>
      <c r="C19080" t="s">
        <v>7</v>
      </c>
      <c r="D19080" t="s">
        <v>33</v>
      </c>
      <c r="E19080" t="s">
        <v>26179</v>
      </c>
    </row>
    <row r="19081" spans="1:6" x14ac:dyDescent="0.25">
      <c r="A19081" t="str">
        <f>"781412757440"</f>
        <v>781412757440</v>
      </c>
      <c r="B19081" t="s">
        <v>27001</v>
      </c>
      <c r="C19081" t="s">
        <v>7</v>
      </c>
      <c r="D19081" t="s">
        <v>14</v>
      </c>
      <c r="E19081" t="s">
        <v>26179</v>
      </c>
    </row>
    <row r="19082" spans="1:6" x14ac:dyDescent="0.25">
      <c r="A19082" t="str">
        <f>"781419526900"</f>
        <v>781419526900</v>
      </c>
      <c r="B19082" t="s">
        <v>27002</v>
      </c>
      <c r="C19082" t="s">
        <v>7</v>
      </c>
      <c r="D19082" t="s">
        <v>14</v>
      </c>
      <c r="E19082" t="s">
        <v>26179</v>
      </c>
    </row>
    <row r="19083" spans="1:6" x14ac:dyDescent="0.25">
      <c r="A19083" t="str">
        <f>"781422192912"</f>
        <v>781422192912</v>
      </c>
      <c r="B19083" t="s">
        <v>27003</v>
      </c>
      <c r="C19083" t="s">
        <v>7</v>
      </c>
      <c r="D19083" t="s">
        <v>12</v>
      </c>
      <c r="E19083" t="s">
        <v>26179</v>
      </c>
    </row>
    <row r="19084" spans="1:6" x14ac:dyDescent="0.25">
      <c r="A19084" t="str">
        <f>"7814256491"</f>
        <v>7814256491</v>
      </c>
      <c r="B19084" t="s">
        <v>27004</v>
      </c>
      <c r="C19084" t="s">
        <v>7</v>
      </c>
      <c r="D19084" t="s">
        <v>12</v>
      </c>
      <c r="E19084" t="s">
        <v>26179</v>
      </c>
      <c r="F19084" t="s">
        <v>27005</v>
      </c>
    </row>
    <row r="19085" spans="1:6" x14ac:dyDescent="0.25">
      <c r="A19085" t="str">
        <f>"7814283537"</f>
        <v>7814283537</v>
      </c>
      <c r="B19085" t="s">
        <v>27006</v>
      </c>
      <c r="C19085" t="s">
        <v>7</v>
      </c>
      <c r="D19085" t="s">
        <v>8</v>
      </c>
      <c r="E19085" t="s">
        <v>26179</v>
      </c>
      <c r="F19085" t="s">
        <v>27007</v>
      </c>
    </row>
    <row r="19086" spans="1:6" x14ac:dyDescent="0.25">
      <c r="A19086" t="str">
        <f>"781430500705"</f>
        <v>781430500705</v>
      </c>
      <c r="B19086" t="s">
        <v>27008</v>
      </c>
      <c r="C19086" t="s">
        <v>7</v>
      </c>
      <c r="D19086" t="s">
        <v>14</v>
      </c>
      <c r="E19086" t="s">
        <v>26179</v>
      </c>
    </row>
    <row r="19087" spans="1:6" x14ac:dyDescent="0.25">
      <c r="A19087" t="str">
        <f>"781433427490"</f>
        <v>781433427490</v>
      </c>
      <c r="B19087" t="s">
        <v>27009</v>
      </c>
      <c r="C19087" t="s">
        <v>7</v>
      </c>
      <c r="D19087" t="s">
        <v>12</v>
      </c>
      <c r="E19087" t="s">
        <v>26179</v>
      </c>
    </row>
    <row r="19088" spans="1:6" x14ac:dyDescent="0.25">
      <c r="A19088" t="str">
        <f>"781439614993"</f>
        <v>781439614993</v>
      </c>
      <c r="B19088" t="s">
        <v>27010</v>
      </c>
      <c r="C19088" t="s">
        <v>7</v>
      </c>
      <c r="D19088" t="s">
        <v>12</v>
      </c>
      <c r="E19088" t="s">
        <v>26179</v>
      </c>
    </row>
    <row r="19089" spans="1:6" x14ac:dyDescent="0.25">
      <c r="A19089" t="str">
        <f>"7814397615"</f>
        <v>7814397615</v>
      </c>
      <c r="B19089" t="s">
        <v>27011</v>
      </c>
      <c r="C19089" t="s">
        <v>7</v>
      </c>
      <c r="D19089" t="s">
        <v>12</v>
      </c>
      <c r="E19089" t="s">
        <v>26179</v>
      </c>
      <c r="F19089" t="s">
        <v>27012</v>
      </c>
    </row>
    <row r="19090" spans="1:6" x14ac:dyDescent="0.25">
      <c r="A19090" t="str">
        <f>"7814528730"</f>
        <v>7814528730</v>
      </c>
      <c r="B19090" t="s">
        <v>12566</v>
      </c>
      <c r="C19090" t="s">
        <v>7</v>
      </c>
      <c r="D19090" t="s">
        <v>8</v>
      </c>
      <c r="E19090" t="s">
        <v>26179</v>
      </c>
      <c r="F19090" t="s">
        <v>27013</v>
      </c>
    </row>
    <row r="19091" spans="1:6" x14ac:dyDescent="0.25">
      <c r="A19091" t="str">
        <f>"7814540061"</f>
        <v>7814540061</v>
      </c>
      <c r="B19091" t="s">
        <v>27014</v>
      </c>
      <c r="C19091" t="s">
        <v>7</v>
      </c>
      <c r="D19091" t="s">
        <v>14</v>
      </c>
      <c r="E19091" t="s">
        <v>26179</v>
      </c>
      <c r="F19091" t="s">
        <v>27015</v>
      </c>
    </row>
    <row r="19092" spans="1:6" x14ac:dyDescent="0.25">
      <c r="A19092" t="str">
        <f>"7814570179"</f>
        <v>7814570179</v>
      </c>
      <c r="B19092" t="s">
        <v>27016</v>
      </c>
      <c r="C19092" t="s">
        <v>7</v>
      </c>
      <c r="D19092" t="s">
        <v>14</v>
      </c>
      <c r="E19092" t="s">
        <v>26179</v>
      </c>
      <c r="F19092" t="s">
        <v>27017</v>
      </c>
    </row>
    <row r="19093" spans="1:6" x14ac:dyDescent="0.25">
      <c r="A19093" t="str">
        <f>"7814645392"</f>
        <v>7814645392</v>
      </c>
      <c r="B19093" t="s">
        <v>27018</v>
      </c>
      <c r="C19093" t="s">
        <v>7</v>
      </c>
      <c r="D19093" t="s">
        <v>12</v>
      </c>
      <c r="E19093" t="s">
        <v>26179</v>
      </c>
      <c r="F19093" t="s">
        <v>27019</v>
      </c>
    </row>
    <row r="19094" spans="1:6" x14ac:dyDescent="0.25">
      <c r="A19094" t="str">
        <f>"7814693364"</f>
        <v>7814693364</v>
      </c>
      <c r="B19094" t="s">
        <v>27020</v>
      </c>
      <c r="C19094" t="s">
        <v>7</v>
      </c>
      <c r="D19094" t="s">
        <v>14</v>
      </c>
      <c r="E19094" t="s">
        <v>26179</v>
      </c>
      <c r="F19094" t="s">
        <v>27021</v>
      </c>
    </row>
    <row r="19095" spans="1:6" x14ac:dyDescent="0.25">
      <c r="A19095" t="str">
        <f>"7814732221"</f>
        <v>7814732221</v>
      </c>
      <c r="B19095" t="s">
        <v>27022</v>
      </c>
      <c r="C19095" t="s">
        <v>7</v>
      </c>
      <c r="D19095" t="s">
        <v>14</v>
      </c>
      <c r="E19095" t="s">
        <v>26179</v>
      </c>
      <c r="F19095" t="s">
        <v>27023</v>
      </c>
    </row>
    <row r="19096" spans="1:6" x14ac:dyDescent="0.25">
      <c r="A19096" t="str">
        <f>"7814846268"</f>
        <v>7814846268</v>
      </c>
      <c r="B19096" t="s">
        <v>27024</v>
      </c>
      <c r="C19096" t="s">
        <v>7</v>
      </c>
      <c r="D19096" t="s">
        <v>674</v>
      </c>
      <c r="E19096" t="s">
        <v>26179</v>
      </c>
      <c r="F19096" t="s">
        <v>27025</v>
      </c>
    </row>
    <row r="19097" spans="1:6" x14ac:dyDescent="0.25">
      <c r="A19097" t="str">
        <f>"7815022288"</f>
        <v>7815022288</v>
      </c>
      <c r="B19097" t="s">
        <v>27026</v>
      </c>
      <c r="C19097" t="s">
        <v>7</v>
      </c>
      <c r="D19097" t="s">
        <v>14</v>
      </c>
      <c r="E19097" t="s">
        <v>26179</v>
      </c>
      <c r="F19097" t="s">
        <v>27027</v>
      </c>
    </row>
    <row r="19098" spans="1:6" x14ac:dyDescent="0.25">
      <c r="A19098" t="str">
        <f>"7816100130"</f>
        <v>7816100130</v>
      </c>
      <c r="B19098" t="s">
        <v>27028</v>
      </c>
      <c r="C19098" t="s">
        <v>7</v>
      </c>
      <c r="D19098" t="s">
        <v>8</v>
      </c>
      <c r="E19098" t="s">
        <v>26179</v>
      </c>
      <c r="F19098" t="s">
        <v>27029</v>
      </c>
    </row>
    <row r="19099" spans="1:6" x14ac:dyDescent="0.25">
      <c r="A19099" t="str">
        <f>"7816113890"</f>
        <v>7816113890</v>
      </c>
      <c r="B19099" t="s">
        <v>27030</v>
      </c>
      <c r="C19099" t="s">
        <v>7</v>
      </c>
      <c r="D19099" t="s">
        <v>98</v>
      </c>
      <c r="E19099" t="s">
        <v>26179</v>
      </c>
      <c r="F19099" t="s">
        <v>27031</v>
      </c>
    </row>
    <row r="19100" spans="1:6" x14ac:dyDescent="0.25">
      <c r="A19100" t="str">
        <f>"7816195830"</f>
        <v>7816195830</v>
      </c>
      <c r="B19100" t="s">
        <v>27032</v>
      </c>
      <c r="C19100" t="s">
        <v>7</v>
      </c>
      <c r="D19100" t="s">
        <v>33</v>
      </c>
      <c r="E19100" t="s">
        <v>26179</v>
      </c>
      <c r="F19100" t="s">
        <v>27033</v>
      </c>
    </row>
    <row r="19101" spans="1:6" x14ac:dyDescent="0.25">
      <c r="A19101" t="str">
        <f>"7816225403"</f>
        <v>7816225403</v>
      </c>
      <c r="B19101" t="s">
        <v>27034</v>
      </c>
      <c r="C19101" t="s">
        <v>7</v>
      </c>
      <c r="D19101" t="s">
        <v>33</v>
      </c>
      <c r="E19101" t="s">
        <v>26179</v>
      </c>
      <c r="F19101" t="s">
        <v>27035</v>
      </c>
    </row>
    <row r="19102" spans="1:6" x14ac:dyDescent="0.25">
      <c r="A19102" t="str">
        <f>"7816230450"</f>
        <v>7816230450</v>
      </c>
      <c r="B19102" t="s">
        <v>27036</v>
      </c>
      <c r="C19102" t="s">
        <v>7</v>
      </c>
      <c r="D19102" t="s">
        <v>14</v>
      </c>
      <c r="E19102" t="s">
        <v>26179</v>
      </c>
      <c r="F19102" t="s">
        <v>27037</v>
      </c>
    </row>
    <row r="19103" spans="1:6" x14ac:dyDescent="0.25">
      <c r="A19103" t="str">
        <f>"7816255373"</f>
        <v>7816255373</v>
      </c>
      <c r="B19103" t="s">
        <v>27038</v>
      </c>
      <c r="C19103" t="s">
        <v>7</v>
      </c>
      <c r="D19103" t="s">
        <v>674</v>
      </c>
      <c r="E19103" t="s">
        <v>26179</v>
      </c>
      <c r="F19103" t="s">
        <v>27039</v>
      </c>
    </row>
    <row r="19104" spans="1:6" x14ac:dyDescent="0.25">
      <c r="A19104" t="str">
        <f>"7816256641"</f>
        <v>7816256641</v>
      </c>
      <c r="B19104" t="s">
        <v>21765</v>
      </c>
      <c r="C19104" t="s">
        <v>7</v>
      </c>
      <c r="D19104" t="s">
        <v>12</v>
      </c>
      <c r="E19104" t="s">
        <v>26179</v>
      </c>
      <c r="F19104" t="s">
        <v>27040</v>
      </c>
    </row>
    <row r="19105" spans="1:6" x14ac:dyDescent="0.25">
      <c r="A19105" t="str">
        <f>"781625711592"</f>
        <v>781625711592</v>
      </c>
      <c r="B19105" t="s">
        <v>27041</v>
      </c>
      <c r="C19105" t="s">
        <v>7</v>
      </c>
      <c r="D19105" t="s">
        <v>14</v>
      </c>
      <c r="E19105" t="s">
        <v>26179</v>
      </c>
    </row>
    <row r="19106" spans="1:6" x14ac:dyDescent="0.25">
      <c r="A19106" t="str">
        <f>"781631581912"</f>
        <v>781631581912</v>
      </c>
      <c r="B19106" t="s">
        <v>27042</v>
      </c>
      <c r="C19106" t="s">
        <v>7</v>
      </c>
      <c r="D19106" t="s">
        <v>12</v>
      </c>
      <c r="E19106" t="s">
        <v>26179</v>
      </c>
    </row>
    <row r="19107" spans="1:6" x14ac:dyDescent="0.25">
      <c r="A19107" t="str">
        <f>"7816339425"</f>
        <v>7816339425</v>
      </c>
      <c r="B19107" t="s">
        <v>27043</v>
      </c>
      <c r="C19107" t="s">
        <v>7</v>
      </c>
      <c r="D19107" t="s">
        <v>33</v>
      </c>
      <c r="E19107" t="s">
        <v>26179</v>
      </c>
      <c r="F19107" t="s">
        <v>27044</v>
      </c>
    </row>
    <row r="19108" spans="1:6" x14ac:dyDescent="0.25">
      <c r="A19108" t="str">
        <f>"781634485501"</f>
        <v>781634485501</v>
      </c>
      <c r="B19108" t="s">
        <v>27045</v>
      </c>
      <c r="C19108" t="s">
        <v>7</v>
      </c>
      <c r="D19108" t="s">
        <v>14</v>
      </c>
      <c r="E19108" t="s">
        <v>26179</v>
      </c>
    </row>
    <row r="19109" spans="1:6" x14ac:dyDescent="0.25">
      <c r="A19109" t="str">
        <f>"7816360360"</f>
        <v>7816360360</v>
      </c>
      <c r="B19109" t="s">
        <v>27046</v>
      </c>
      <c r="C19109" t="s">
        <v>7</v>
      </c>
      <c r="D19109" t="s">
        <v>33</v>
      </c>
      <c r="E19109" t="s">
        <v>26179</v>
      </c>
      <c r="F19109" t="s">
        <v>27047</v>
      </c>
    </row>
    <row r="19110" spans="1:6" x14ac:dyDescent="0.25">
      <c r="A19110" t="str">
        <f>"7816404579"</f>
        <v>7816404579</v>
      </c>
      <c r="B19110" t="s">
        <v>27048</v>
      </c>
      <c r="C19110" t="s">
        <v>7</v>
      </c>
      <c r="D19110" t="s">
        <v>14</v>
      </c>
      <c r="E19110" t="s">
        <v>26179</v>
      </c>
      <c r="F19110" t="s">
        <v>27049</v>
      </c>
    </row>
    <row r="19111" spans="1:6" x14ac:dyDescent="0.25">
      <c r="A19111" t="str">
        <f>"781650780790"</f>
        <v>781650780790</v>
      </c>
      <c r="B19111" t="s">
        <v>27050</v>
      </c>
      <c r="C19111" t="s">
        <v>7</v>
      </c>
      <c r="D19111" t="s">
        <v>14</v>
      </c>
      <c r="E19111" t="s">
        <v>26179</v>
      </c>
    </row>
    <row r="19112" spans="1:6" x14ac:dyDescent="0.25">
      <c r="A19112" t="str">
        <f>"7816580609"</f>
        <v>7816580609</v>
      </c>
      <c r="B19112" t="s">
        <v>27051</v>
      </c>
      <c r="C19112" t="s">
        <v>7</v>
      </c>
      <c r="D19112" t="s">
        <v>33</v>
      </c>
      <c r="E19112" t="s">
        <v>26179</v>
      </c>
      <c r="F19112" t="s">
        <v>27052</v>
      </c>
    </row>
    <row r="19113" spans="1:6" x14ac:dyDescent="0.25">
      <c r="A19113" t="str">
        <f>"7816595612"</f>
        <v>7816595612</v>
      </c>
      <c r="B19113" t="s">
        <v>27053</v>
      </c>
      <c r="C19113" t="s">
        <v>7</v>
      </c>
      <c r="D19113" t="s">
        <v>14</v>
      </c>
      <c r="E19113" t="s">
        <v>26179</v>
      </c>
      <c r="F19113" t="s">
        <v>27054</v>
      </c>
    </row>
    <row r="19114" spans="1:6" x14ac:dyDescent="0.25">
      <c r="A19114" t="str">
        <f>"7816634050"</f>
        <v>7816634050</v>
      </c>
      <c r="B19114" t="s">
        <v>27055</v>
      </c>
      <c r="C19114" t="s">
        <v>7</v>
      </c>
      <c r="D19114" t="s">
        <v>28</v>
      </c>
      <c r="E19114" t="s">
        <v>26179</v>
      </c>
      <c r="F19114" t="s">
        <v>27056</v>
      </c>
    </row>
    <row r="19115" spans="1:6" x14ac:dyDescent="0.25">
      <c r="A19115" t="str">
        <f>"7816635199"</f>
        <v>7816635199</v>
      </c>
      <c r="B19115" t="s">
        <v>27057</v>
      </c>
      <c r="C19115" t="s">
        <v>7</v>
      </c>
      <c r="D19115" t="s">
        <v>674</v>
      </c>
      <c r="E19115" t="s">
        <v>26179</v>
      </c>
      <c r="F19115" t="s">
        <v>27058</v>
      </c>
    </row>
    <row r="19116" spans="1:6" x14ac:dyDescent="0.25">
      <c r="A19116" t="str">
        <f>"7816654240"</f>
        <v>7816654240</v>
      </c>
      <c r="B19116" t="s">
        <v>27059</v>
      </c>
      <c r="C19116" t="s">
        <v>7</v>
      </c>
      <c r="D19116" t="s">
        <v>14</v>
      </c>
      <c r="E19116" t="s">
        <v>26179</v>
      </c>
      <c r="F19116" t="s">
        <v>27060</v>
      </c>
    </row>
    <row r="19117" spans="1:6" x14ac:dyDescent="0.25">
      <c r="A19117" t="str">
        <f>"7816656199"</f>
        <v>7816656199</v>
      </c>
      <c r="B19117" t="s">
        <v>27061</v>
      </c>
      <c r="C19117" t="s">
        <v>7</v>
      </c>
      <c r="D19117" t="s">
        <v>33</v>
      </c>
      <c r="E19117" t="s">
        <v>26179</v>
      </c>
      <c r="F19117" t="s">
        <v>27062</v>
      </c>
    </row>
    <row r="19118" spans="1:6" x14ac:dyDescent="0.25">
      <c r="A19118" t="str">
        <f>"7816697237"</f>
        <v>7816697237</v>
      </c>
      <c r="B19118" t="s">
        <v>27063</v>
      </c>
      <c r="C19118" t="s">
        <v>7</v>
      </c>
      <c r="D19118" t="s">
        <v>674</v>
      </c>
      <c r="E19118" t="s">
        <v>26179</v>
      </c>
      <c r="F19118" t="s">
        <v>27064</v>
      </c>
    </row>
    <row r="19119" spans="1:6" x14ac:dyDescent="0.25">
      <c r="A19119" t="str">
        <f>"7816717148"</f>
        <v>7816717148</v>
      </c>
      <c r="B19119" t="s">
        <v>27065</v>
      </c>
      <c r="C19119" t="s">
        <v>7</v>
      </c>
      <c r="D19119" t="s">
        <v>14</v>
      </c>
      <c r="E19119" t="s">
        <v>26179</v>
      </c>
      <c r="F19119" t="s">
        <v>27066</v>
      </c>
    </row>
    <row r="19120" spans="1:6" x14ac:dyDescent="0.25">
      <c r="A19120" t="str">
        <f>"7816727192"</f>
        <v>7816727192</v>
      </c>
      <c r="B19120" t="s">
        <v>27067</v>
      </c>
      <c r="C19120" t="s">
        <v>7</v>
      </c>
      <c r="D19120" t="s">
        <v>98</v>
      </c>
      <c r="E19120" t="s">
        <v>26179</v>
      </c>
      <c r="F19120" t="s">
        <v>27068</v>
      </c>
    </row>
    <row r="19121" spans="1:6" x14ac:dyDescent="0.25">
      <c r="A19121" t="str">
        <f>"7816737360"</f>
        <v>7816737360</v>
      </c>
      <c r="B19121" t="s">
        <v>27069</v>
      </c>
      <c r="C19121" t="s">
        <v>7</v>
      </c>
      <c r="D19121" t="s">
        <v>14</v>
      </c>
      <c r="E19121" t="s">
        <v>26179</v>
      </c>
      <c r="F19121" t="s">
        <v>27070</v>
      </c>
    </row>
    <row r="19122" spans="1:6" x14ac:dyDescent="0.25">
      <c r="A19122" t="str">
        <f>"7816746572"</f>
        <v>7816746572</v>
      </c>
      <c r="B19122" t="s">
        <v>27071</v>
      </c>
      <c r="C19122" t="s">
        <v>7</v>
      </c>
      <c r="D19122" t="s">
        <v>14</v>
      </c>
      <c r="E19122" t="s">
        <v>26179</v>
      </c>
      <c r="F19122" t="s">
        <v>27072</v>
      </c>
    </row>
    <row r="19123" spans="1:6" x14ac:dyDescent="0.25">
      <c r="A19123" t="str">
        <f>"781697361450"</f>
        <v>781697361450</v>
      </c>
      <c r="B19123" t="s">
        <v>27073</v>
      </c>
      <c r="C19123" t="s">
        <v>7</v>
      </c>
      <c r="D19123" t="s">
        <v>14</v>
      </c>
      <c r="E19123" t="s">
        <v>26179</v>
      </c>
    </row>
    <row r="19124" spans="1:6" x14ac:dyDescent="0.25">
      <c r="A19124" t="str">
        <f>"781697361523"</f>
        <v>781697361523</v>
      </c>
      <c r="B19124" t="s">
        <v>27074</v>
      </c>
      <c r="C19124" t="s">
        <v>7</v>
      </c>
      <c r="D19124" t="s">
        <v>12</v>
      </c>
      <c r="E19124" t="s">
        <v>26179</v>
      </c>
    </row>
    <row r="19125" spans="1:6" x14ac:dyDescent="0.25">
      <c r="A19125" t="str">
        <f>"781699749752"</f>
        <v>781699749752</v>
      </c>
      <c r="B19125" t="s">
        <v>27075</v>
      </c>
      <c r="C19125" t="s">
        <v>7</v>
      </c>
      <c r="D19125" t="s">
        <v>14</v>
      </c>
      <c r="E19125" t="s">
        <v>26179</v>
      </c>
    </row>
    <row r="19126" spans="1:6" x14ac:dyDescent="0.25">
      <c r="A19126" t="str">
        <f>"781700817752"</f>
        <v>781700817752</v>
      </c>
      <c r="B19126" t="s">
        <v>27076</v>
      </c>
      <c r="C19126" t="s">
        <v>7</v>
      </c>
      <c r="D19126" t="s">
        <v>14</v>
      </c>
      <c r="E19126" t="s">
        <v>26179</v>
      </c>
    </row>
    <row r="19127" spans="1:6" x14ac:dyDescent="0.25">
      <c r="A19127" t="str">
        <f>"781702470506"</f>
        <v>781702470506</v>
      </c>
      <c r="B19127" t="s">
        <v>27077</v>
      </c>
      <c r="C19127" t="s">
        <v>7</v>
      </c>
      <c r="D19127" t="s">
        <v>14</v>
      </c>
      <c r="E19127" t="s">
        <v>26179</v>
      </c>
    </row>
    <row r="19128" spans="1:6" x14ac:dyDescent="0.25">
      <c r="A19128" t="str">
        <f>"781702486320"</f>
        <v>781702486320</v>
      </c>
      <c r="B19128" t="s">
        <v>27078</v>
      </c>
      <c r="C19128" t="s">
        <v>7</v>
      </c>
      <c r="D19128" t="s">
        <v>14</v>
      </c>
      <c r="E19128" t="s">
        <v>26179</v>
      </c>
    </row>
    <row r="19129" spans="1:6" x14ac:dyDescent="0.25">
      <c r="A19129" t="str">
        <f>"781710432688"</f>
        <v>781710432688</v>
      </c>
      <c r="B19129" t="s">
        <v>27079</v>
      </c>
      <c r="C19129" t="s">
        <v>7</v>
      </c>
      <c r="D19129" t="s">
        <v>33</v>
      </c>
      <c r="E19129" t="s">
        <v>26179</v>
      </c>
    </row>
    <row r="19130" spans="1:6" x14ac:dyDescent="0.25">
      <c r="A19130" t="str">
        <f>"7817118098"</f>
        <v>7817118098</v>
      </c>
      <c r="B19130" t="s">
        <v>13283</v>
      </c>
      <c r="C19130" t="s">
        <v>7</v>
      </c>
      <c r="D19130" t="s">
        <v>33</v>
      </c>
      <c r="E19130" t="s">
        <v>26179</v>
      </c>
      <c r="F19130" t="s">
        <v>27080</v>
      </c>
    </row>
    <row r="19131" spans="1:6" x14ac:dyDescent="0.25">
      <c r="A19131" t="str">
        <f>"7817138062"</f>
        <v>7817138062</v>
      </c>
      <c r="B19131" t="s">
        <v>27081</v>
      </c>
      <c r="C19131" t="s">
        <v>7</v>
      </c>
      <c r="D19131" t="s">
        <v>12</v>
      </c>
      <c r="E19131" t="s">
        <v>26179</v>
      </c>
      <c r="F19131" t="s">
        <v>27082</v>
      </c>
    </row>
    <row r="19132" spans="1:6" x14ac:dyDescent="0.25">
      <c r="A19132" t="str">
        <f>"7817320931"</f>
        <v>7817320931</v>
      </c>
      <c r="B19132" t="s">
        <v>10227</v>
      </c>
      <c r="C19132" t="s">
        <v>7</v>
      </c>
      <c r="D19132" t="s">
        <v>33</v>
      </c>
      <c r="E19132" t="s">
        <v>26179</v>
      </c>
      <c r="F19132" t="s">
        <v>27083</v>
      </c>
    </row>
    <row r="19133" spans="1:6" x14ac:dyDescent="0.25">
      <c r="A19133" t="str">
        <f>"781905290851"</f>
        <v>781905290851</v>
      </c>
      <c r="B19133" t="s">
        <v>27084</v>
      </c>
      <c r="C19133" t="s">
        <v>7</v>
      </c>
      <c r="D19133" t="s">
        <v>14</v>
      </c>
      <c r="E19133" t="s">
        <v>26179</v>
      </c>
    </row>
    <row r="19134" spans="1:6" x14ac:dyDescent="0.25">
      <c r="A19134" t="str">
        <f>"781907968130"</f>
        <v>781907968130</v>
      </c>
      <c r="B19134" t="s">
        <v>27085</v>
      </c>
      <c r="C19134" t="s">
        <v>7</v>
      </c>
      <c r="D19134" t="s">
        <v>14</v>
      </c>
      <c r="E19134" t="s">
        <v>26179</v>
      </c>
    </row>
    <row r="19135" spans="1:6" x14ac:dyDescent="0.25">
      <c r="A19135" t="str">
        <f>"781912029810"</f>
        <v>781912029810</v>
      </c>
      <c r="B19135" t="s">
        <v>27086</v>
      </c>
      <c r="C19135" t="s">
        <v>7</v>
      </c>
      <c r="D19135" t="s">
        <v>14</v>
      </c>
      <c r="E19135" t="s">
        <v>26179</v>
      </c>
    </row>
    <row r="19136" spans="1:6" x14ac:dyDescent="0.25">
      <c r="A19136" t="str">
        <f>"781912598502"</f>
        <v>781912598502</v>
      </c>
      <c r="B19136" t="s">
        <v>27087</v>
      </c>
      <c r="C19136" t="s">
        <v>7</v>
      </c>
      <c r="D19136" t="s">
        <v>14</v>
      </c>
      <c r="E19136" t="s">
        <v>26179</v>
      </c>
    </row>
    <row r="19137" spans="1:6" x14ac:dyDescent="0.25">
      <c r="A19137" t="str">
        <f>"7820044463"</f>
        <v>7820044463</v>
      </c>
      <c r="B19137" t="s">
        <v>27088</v>
      </c>
      <c r="C19137" t="s">
        <v>7</v>
      </c>
      <c r="D19137" t="s">
        <v>12</v>
      </c>
      <c r="E19137" t="s">
        <v>26179</v>
      </c>
      <c r="F19137" t="s">
        <v>27089</v>
      </c>
    </row>
    <row r="19138" spans="1:6" x14ac:dyDescent="0.25">
      <c r="A19138" t="str">
        <f>"7820078455"</f>
        <v>7820078455</v>
      </c>
      <c r="B19138" t="s">
        <v>14896</v>
      </c>
      <c r="C19138" t="s">
        <v>7</v>
      </c>
      <c r="D19138" t="s">
        <v>33</v>
      </c>
      <c r="E19138" t="s">
        <v>26179</v>
      </c>
      <c r="F19138" t="s">
        <v>27090</v>
      </c>
    </row>
    <row r="19139" spans="1:6" x14ac:dyDescent="0.25">
      <c r="A19139" t="str">
        <f>"782010081299"</f>
        <v>782010081299</v>
      </c>
      <c r="B19139" t="s">
        <v>27091</v>
      </c>
      <c r="C19139" t="s">
        <v>7</v>
      </c>
      <c r="D19139" t="s">
        <v>14</v>
      </c>
      <c r="E19139" t="s">
        <v>26179</v>
      </c>
    </row>
    <row r="19140" spans="1:6" x14ac:dyDescent="0.25">
      <c r="A19140" t="str">
        <f>"782010201408"</f>
        <v>782010201408</v>
      </c>
      <c r="B19140" t="s">
        <v>27092</v>
      </c>
      <c r="C19140" t="s">
        <v>7</v>
      </c>
      <c r="D19140" t="s">
        <v>14</v>
      </c>
      <c r="E19140" t="s">
        <v>26179</v>
      </c>
    </row>
    <row r="19141" spans="1:6" x14ac:dyDescent="0.25">
      <c r="A19141" t="str">
        <f>"782021882029"</f>
        <v>782021882029</v>
      </c>
      <c r="B19141" t="s">
        <v>27093</v>
      </c>
      <c r="C19141" t="s">
        <v>7</v>
      </c>
      <c r="D19141" t="s">
        <v>14</v>
      </c>
      <c r="E19141" t="s">
        <v>26179</v>
      </c>
    </row>
    <row r="19142" spans="1:6" x14ac:dyDescent="0.25">
      <c r="A19142" t="str">
        <f>"782023360028"</f>
        <v>782023360028</v>
      </c>
      <c r="B19142" t="s">
        <v>27094</v>
      </c>
      <c r="C19142" t="s">
        <v>7</v>
      </c>
      <c r="D19142" t="s">
        <v>33</v>
      </c>
      <c r="E19142" t="s">
        <v>26179</v>
      </c>
    </row>
    <row r="19143" spans="1:6" x14ac:dyDescent="0.25">
      <c r="A19143" t="str">
        <f>"7820333056"</f>
        <v>7820333056</v>
      </c>
      <c r="B19143" t="s">
        <v>27095</v>
      </c>
      <c r="C19143" t="s">
        <v>7</v>
      </c>
      <c r="D19143" t="s">
        <v>12</v>
      </c>
      <c r="E19143" t="s">
        <v>26179</v>
      </c>
      <c r="F19143" t="s">
        <v>27096</v>
      </c>
    </row>
    <row r="19144" spans="1:6" x14ac:dyDescent="0.25">
      <c r="A19144" t="str">
        <f>"782065379768"</f>
        <v>782065379768</v>
      </c>
      <c r="B19144" t="s">
        <v>27097</v>
      </c>
      <c r="C19144" t="s">
        <v>7</v>
      </c>
      <c r="D19144" t="s">
        <v>12</v>
      </c>
      <c r="E19144" t="s">
        <v>26179</v>
      </c>
    </row>
    <row r="19145" spans="1:6" x14ac:dyDescent="0.25">
      <c r="A19145" t="str">
        <f>"782065477733"</f>
        <v>782065477733</v>
      </c>
      <c r="B19145" t="s">
        <v>27098</v>
      </c>
      <c r="C19145" t="s">
        <v>7</v>
      </c>
      <c r="D19145" t="s">
        <v>14</v>
      </c>
      <c r="E19145" t="s">
        <v>26179</v>
      </c>
    </row>
    <row r="19146" spans="1:6" x14ac:dyDescent="0.25">
      <c r="A19146" t="str">
        <f>"7825081003"</f>
        <v>7825081003</v>
      </c>
      <c r="B19146" t="s">
        <v>27099</v>
      </c>
      <c r="C19146" t="s">
        <v>7</v>
      </c>
      <c r="D19146" t="s">
        <v>33</v>
      </c>
      <c r="E19146" t="s">
        <v>26179</v>
      </c>
      <c r="F19146" t="s">
        <v>27100</v>
      </c>
    </row>
    <row r="19147" spans="1:6" x14ac:dyDescent="0.25">
      <c r="A19147" t="str">
        <f>"7825112220"</f>
        <v>7825112220</v>
      </c>
      <c r="B19147" t="s">
        <v>27101</v>
      </c>
      <c r="C19147" t="s">
        <v>7</v>
      </c>
      <c r="D19147" t="s">
        <v>33</v>
      </c>
      <c r="E19147" t="s">
        <v>26179</v>
      </c>
      <c r="F19147" t="s">
        <v>27102</v>
      </c>
    </row>
    <row r="19148" spans="1:6" x14ac:dyDescent="0.25">
      <c r="A19148" t="str">
        <f>"7814078104"</f>
        <v>7814078104</v>
      </c>
      <c r="B19148" t="s">
        <v>27103</v>
      </c>
      <c r="C19148" t="s">
        <v>7</v>
      </c>
      <c r="D19148" t="s">
        <v>14</v>
      </c>
      <c r="E19148" t="s">
        <v>26179</v>
      </c>
      <c r="F19148" t="s">
        <v>27104</v>
      </c>
    </row>
    <row r="19149" spans="1:6" x14ac:dyDescent="0.25">
      <c r="A19149" t="str">
        <f>"7814124664"</f>
        <v>7814124664</v>
      </c>
      <c r="B19149" t="s">
        <v>27105</v>
      </c>
      <c r="C19149" t="s">
        <v>7</v>
      </c>
      <c r="D19149" t="s">
        <v>463</v>
      </c>
      <c r="E19149" t="s">
        <v>26179</v>
      </c>
      <c r="F19149" t="s">
        <v>27106</v>
      </c>
    </row>
    <row r="19150" spans="1:6" x14ac:dyDescent="0.25">
      <c r="A19150" t="str">
        <f>"781417444427"</f>
        <v>781417444427</v>
      </c>
      <c r="B19150" t="s">
        <v>27107</v>
      </c>
      <c r="C19150" t="s">
        <v>7</v>
      </c>
      <c r="D19150" t="s">
        <v>12</v>
      </c>
      <c r="E19150" t="s">
        <v>26179</v>
      </c>
    </row>
    <row r="19151" spans="1:6" x14ac:dyDescent="0.25">
      <c r="A19151" t="str">
        <f>"7814182345"</f>
        <v>7814182345</v>
      </c>
      <c r="B19151" t="s">
        <v>27108</v>
      </c>
      <c r="C19151" t="s">
        <v>7</v>
      </c>
      <c r="D19151" t="s">
        <v>12</v>
      </c>
      <c r="E19151" t="s">
        <v>26179</v>
      </c>
      <c r="F19151" t="s">
        <v>27109</v>
      </c>
    </row>
    <row r="19152" spans="1:6" x14ac:dyDescent="0.25">
      <c r="A19152" t="str">
        <f>"7814198546"</f>
        <v>7814198546</v>
      </c>
      <c r="B19152" t="s">
        <v>27110</v>
      </c>
      <c r="C19152" t="s">
        <v>7</v>
      </c>
      <c r="D19152" t="s">
        <v>463</v>
      </c>
      <c r="E19152" t="s">
        <v>26179</v>
      </c>
      <c r="F19152" t="s">
        <v>27111</v>
      </c>
    </row>
    <row r="19153" spans="1:6" x14ac:dyDescent="0.25">
      <c r="A19153" t="str">
        <f>"781423682797"</f>
        <v>781423682797</v>
      </c>
      <c r="B19153" t="s">
        <v>27112</v>
      </c>
      <c r="C19153" t="s">
        <v>7</v>
      </c>
      <c r="D19153" t="s">
        <v>12</v>
      </c>
      <c r="E19153" t="s">
        <v>26179</v>
      </c>
    </row>
    <row r="19154" spans="1:6" x14ac:dyDescent="0.25">
      <c r="A19154" t="str">
        <f>"7814273240"</f>
        <v>7814273240</v>
      </c>
      <c r="B19154" t="s">
        <v>14790</v>
      </c>
      <c r="C19154" t="s">
        <v>7</v>
      </c>
      <c r="D19154" t="s">
        <v>1430</v>
      </c>
      <c r="E19154" t="s">
        <v>26179</v>
      </c>
      <c r="F19154" t="s">
        <v>27113</v>
      </c>
    </row>
    <row r="19155" spans="1:6" x14ac:dyDescent="0.25">
      <c r="A19155" t="str">
        <f>"781429848706"</f>
        <v>781429848706</v>
      </c>
      <c r="B19155" t="s">
        <v>27114</v>
      </c>
      <c r="C19155" t="s">
        <v>7</v>
      </c>
      <c r="D19155" t="s">
        <v>14</v>
      </c>
      <c r="E19155" t="s">
        <v>26179</v>
      </c>
    </row>
    <row r="19156" spans="1:6" x14ac:dyDescent="0.25">
      <c r="A19156" t="str">
        <f>"7814298766"</f>
        <v>7814298766</v>
      </c>
      <c r="B19156" t="s">
        <v>10897</v>
      </c>
      <c r="C19156" t="s">
        <v>7</v>
      </c>
      <c r="D19156" t="s">
        <v>14</v>
      </c>
      <c r="E19156" t="s">
        <v>26179</v>
      </c>
      <c r="F19156" t="s">
        <v>27115</v>
      </c>
    </row>
    <row r="19157" spans="1:6" x14ac:dyDescent="0.25">
      <c r="A19157" t="str">
        <f>"781434918469"</f>
        <v>781434918469</v>
      </c>
      <c r="B19157" t="s">
        <v>27116</v>
      </c>
      <c r="C19157" t="s">
        <v>7</v>
      </c>
      <c r="D19157" t="s">
        <v>14</v>
      </c>
      <c r="E19157" t="s">
        <v>26179</v>
      </c>
    </row>
    <row r="19158" spans="1:6" x14ac:dyDescent="0.25">
      <c r="A19158" t="str">
        <f>"7814367593"</f>
        <v>7814367593</v>
      </c>
      <c r="B19158" t="s">
        <v>27117</v>
      </c>
      <c r="C19158" t="s">
        <v>7</v>
      </c>
      <c r="D19158" t="s">
        <v>12</v>
      </c>
      <c r="E19158" t="s">
        <v>26179</v>
      </c>
      <c r="F19158" t="s">
        <v>27118</v>
      </c>
    </row>
    <row r="19159" spans="1:6" x14ac:dyDescent="0.25">
      <c r="A19159" t="str">
        <f>"7814382947"</f>
        <v>7814382947</v>
      </c>
      <c r="B19159" t="s">
        <v>27119</v>
      </c>
      <c r="C19159" t="s">
        <v>7</v>
      </c>
      <c r="D19159" t="s">
        <v>33</v>
      </c>
      <c r="E19159" t="s">
        <v>26179</v>
      </c>
      <c r="F19159" t="s">
        <v>27120</v>
      </c>
    </row>
    <row r="19160" spans="1:6" x14ac:dyDescent="0.25">
      <c r="A19160" t="str">
        <f>"7814428101"</f>
        <v>7814428101</v>
      </c>
      <c r="B19160" t="s">
        <v>27121</v>
      </c>
      <c r="C19160" t="s">
        <v>7</v>
      </c>
      <c r="D19160" t="s">
        <v>12</v>
      </c>
      <c r="E19160" t="s">
        <v>26179</v>
      </c>
      <c r="F19160" t="s">
        <v>27122</v>
      </c>
    </row>
    <row r="19161" spans="1:6" x14ac:dyDescent="0.25">
      <c r="A19161" t="str">
        <f>"7814534283"</f>
        <v>7814534283</v>
      </c>
      <c r="B19161" t="s">
        <v>27123</v>
      </c>
      <c r="C19161" t="s">
        <v>7</v>
      </c>
      <c r="D19161" t="s">
        <v>12</v>
      </c>
      <c r="E19161" t="s">
        <v>26179</v>
      </c>
      <c r="F19161" t="s">
        <v>27118</v>
      </c>
    </row>
    <row r="19162" spans="1:6" x14ac:dyDescent="0.25">
      <c r="A19162" t="str">
        <f>"7814592359"</f>
        <v>7814592359</v>
      </c>
      <c r="B19162" t="s">
        <v>27124</v>
      </c>
      <c r="C19162" t="s">
        <v>7</v>
      </c>
      <c r="D19162" t="s">
        <v>1430</v>
      </c>
      <c r="E19162" t="s">
        <v>26179</v>
      </c>
      <c r="F19162" t="s">
        <v>27125</v>
      </c>
    </row>
    <row r="19163" spans="1:6" x14ac:dyDescent="0.25">
      <c r="A19163" t="str">
        <f>"7814607069"</f>
        <v>7814607069</v>
      </c>
      <c r="B19163" t="s">
        <v>27126</v>
      </c>
      <c r="C19163" t="s">
        <v>7</v>
      </c>
      <c r="D19163" t="s">
        <v>33</v>
      </c>
      <c r="E19163" t="s">
        <v>26179</v>
      </c>
      <c r="F19163" t="s">
        <v>27127</v>
      </c>
    </row>
    <row r="19164" spans="1:6" x14ac:dyDescent="0.25">
      <c r="A19164" t="str">
        <f>"7814623222"</f>
        <v>7814623222</v>
      </c>
      <c r="B19164" t="s">
        <v>27128</v>
      </c>
      <c r="C19164" t="s">
        <v>7</v>
      </c>
      <c r="D19164" t="s">
        <v>14</v>
      </c>
      <c r="E19164" t="s">
        <v>26179</v>
      </c>
      <c r="F19164" t="s">
        <v>27129</v>
      </c>
    </row>
    <row r="19165" spans="1:6" x14ac:dyDescent="0.25">
      <c r="A19165" t="str">
        <f>"7814631135"</f>
        <v>7814631135</v>
      </c>
      <c r="B19165" t="s">
        <v>27130</v>
      </c>
      <c r="C19165" t="s">
        <v>7</v>
      </c>
      <c r="D19165" t="s">
        <v>463</v>
      </c>
      <c r="E19165" t="s">
        <v>26179</v>
      </c>
      <c r="F19165" t="s">
        <v>27131</v>
      </c>
    </row>
    <row r="19166" spans="1:6" x14ac:dyDescent="0.25">
      <c r="A19166" t="str">
        <f>"7814646935"</f>
        <v>7814646935</v>
      </c>
      <c r="B19166" t="s">
        <v>27132</v>
      </c>
      <c r="C19166" t="s">
        <v>7</v>
      </c>
      <c r="D19166" t="s">
        <v>14</v>
      </c>
      <c r="E19166" t="s">
        <v>26179</v>
      </c>
      <c r="F19166" t="s">
        <v>27133</v>
      </c>
    </row>
    <row r="19167" spans="1:6" x14ac:dyDescent="0.25">
      <c r="A19167" t="str">
        <f>"7814694537"</f>
        <v>7814694537</v>
      </c>
      <c r="B19167" t="s">
        <v>27134</v>
      </c>
      <c r="C19167" t="s">
        <v>7</v>
      </c>
      <c r="D19167" t="s">
        <v>33</v>
      </c>
      <c r="E19167" t="s">
        <v>26179</v>
      </c>
      <c r="F19167" t="s">
        <v>27135</v>
      </c>
    </row>
    <row r="19168" spans="1:6" x14ac:dyDescent="0.25">
      <c r="A19168" t="str">
        <f>"7814698027"</f>
        <v>7814698027</v>
      </c>
      <c r="B19168" t="s">
        <v>27136</v>
      </c>
      <c r="C19168" t="s">
        <v>7</v>
      </c>
      <c r="D19168" t="s">
        <v>14</v>
      </c>
      <c r="E19168" t="s">
        <v>26179</v>
      </c>
      <c r="F19168" t="s">
        <v>27137</v>
      </c>
    </row>
    <row r="19169" spans="1:6" x14ac:dyDescent="0.25">
      <c r="A19169" t="str">
        <f>"7814703118"</f>
        <v>7814703118</v>
      </c>
      <c r="B19169" t="s">
        <v>27138</v>
      </c>
      <c r="C19169" t="s">
        <v>7</v>
      </c>
      <c r="D19169" t="s">
        <v>674</v>
      </c>
      <c r="E19169" t="s">
        <v>26179</v>
      </c>
      <c r="F19169" t="s">
        <v>27139</v>
      </c>
    </row>
    <row r="19170" spans="1:6" x14ac:dyDescent="0.25">
      <c r="A19170" t="str">
        <f>"7814718812"</f>
        <v>7814718812</v>
      </c>
      <c r="B19170" t="s">
        <v>27140</v>
      </c>
      <c r="C19170" t="s">
        <v>7</v>
      </c>
      <c r="D19170" t="s">
        <v>463</v>
      </c>
      <c r="E19170" t="s">
        <v>26179</v>
      </c>
      <c r="F19170" t="s">
        <v>27141</v>
      </c>
    </row>
    <row r="19171" spans="1:6" x14ac:dyDescent="0.25">
      <c r="A19171" t="str">
        <f>"7814750622"</f>
        <v>7814750622</v>
      </c>
      <c r="B19171" t="s">
        <v>27142</v>
      </c>
      <c r="C19171" t="s">
        <v>7</v>
      </c>
      <c r="D19171" t="s">
        <v>33</v>
      </c>
      <c r="E19171" t="s">
        <v>26179</v>
      </c>
      <c r="F19171" t="s">
        <v>27143</v>
      </c>
    </row>
    <row r="19172" spans="1:6" x14ac:dyDescent="0.25">
      <c r="A19172" t="str">
        <f>"7814767672"</f>
        <v>7814767672</v>
      </c>
      <c r="B19172" t="s">
        <v>27144</v>
      </c>
      <c r="C19172" t="s">
        <v>7</v>
      </c>
      <c r="D19172" t="s">
        <v>1430</v>
      </c>
      <c r="E19172" t="s">
        <v>26179</v>
      </c>
      <c r="F19172" t="s">
        <v>27145</v>
      </c>
    </row>
    <row r="19173" spans="1:6" x14ac:dyDescent="0.25">
      <c r="A19173" t="str">
        <f>"7814786026"</f>
        <v>7814786026</v>
      </c>
      <c r="B19173" t="s">
        <v>27146</v>
      </c>
      <c r="C19173" t="s">
        <v>7</v>
      </c>
      <c r="D19173" t="s">
        <v>33</v>
      </c>
      <c r="E19173" t="s">
        <v>26179</v>
      </c>
      <c r="F19173" t="s">
        <v>27147</v>
      </c>
    </row>
    <row r="19174" spans="1:6" x14ac:dyDescent="0.25">
      <c r="A19174" t="str">
        <f>"7814798906"</f>
        <v>7814798906</v>
      </c>
      <c r="B19174" t="s">
        <v>27148</v>
      </c>
      <c r="C19174" t="s">
        <v>7</v>
      </c>
      <c r="D19174" t="s">
        <v>33</v>
      </c>
      <c r="E19174" t="s">
        <v>26179</v>
      </c>
      <c r="F19174" t="s">
        <v>27149</v>
      </c>
    </row>
    <row r="19175" spans="1:6" x14ac:dyDescent="0.25">
      <c r="A19175" t="str">
        <f>"7814801411"</f>
        <v>7814801411</v>
      </c>
      <c r="B19175" t="s">
        <v>4873</v>
      </c>
      <c r="C19175" t="s">
        <v>7</v>
      </c>
      <c r="D19175" t="s">
        <v>33</v>
      </c>
      <c r="E19175" t="s">
        <v>26179</v>
      </c>
      <c r="F19175" t="s">
        <v>27150</v>
      </c>
    </row>
    <row r="19176" spans="1:6" x14ac:dyDescent="0.25">
      <c r="A19176" t="str">
        <f>"7814802535"</f>
        <v>7814802535</v>
      </c>
      <c r="B19176" t="s">
        <v>27151</v>
      </c>
      <c r="C19176" t="s">
        <v>7</v>
      </c>
      <c r="D19176" t="s">
        <v>674</v>
      </c>
      <c r="E19176" t="s">
        <v>26179</v>
      </c>
      <c r="F19176" t="s">
        <v>27152</v>
      </c>
    </row>
    <row r="19177" spans="1:6" x14ac:dyDescent="0.25">
      <c r="A19177" t="str">
        <f>"7814804765"</f>
        <v>7814804765</v>
      </c>
      <c r="B19177" t="s">
        <v>27153</v>
      </c>
      <c r="C19177" t="s">
        <v>7</v>
      </c>
      <c r="D19177" t="s">
        <v>14</v>
      </c>
      <c r="E19177" t="s">
        <v>26179</v>
      </c>
      <c r="F19177" t="s">
        <v>27154</v>
      </c>
    </row>
    <row r="19178" spans="1:6" x14ac:dyDescent="0.25">
      <c r="A19178" t="str">
        <f>"7814808640"</f>
        <v>7814808640</v>
      </c>
      <c r="B19178" t="s">
        <v>27155</v>
      </c>
      <c r="C19178" t="s">
        <v>7</v>
      </c>
      <c r="D19178" t="s">
        <v>14</v>
      </c>
      <c r="E19178" t="s">
        <v>26179</v>
      </c>
      <c r="F19178" t="s">
        <v>27156</v>
      </c>
    </row>
    <row r="19179" spans="1:6" x14ac:dyDescent="0.25">
      <c r="A19179" t="str">
        <f>"7814810494"</f>
        <v>7814810494</v>
      </c>
      <c r="B19179" t="s">
        <v>27157</v>
      </c>
      <c r="C19179" t="s">
        <v>7</v>
      </c>
      <c r="D19179" t="s">
        <v>14</v>
      </c>
      <c r="E19179" t="s">
        <v>26179</v>
      </c>
      <c r="F19179" t="s">
        <v>27158</v>
      </c>
    </row>
    <row r="19180" spans="1:6" x14ac:dyDescent="0.25">
      <c r="A19180" t="str">
        <f>"7814818422"</f>
        <v>7814818422</v>
      </c>
      <c r="B19180" t="s">
        <v>27159</v>
      </c>
      <c r="C19180" t="s">
        <v>7</v>
      </c>
      <c r="D19180" t="s">
        <v>674</v>
      </c>
      <c r="E19180" t="s">
        <v>26179</v>
      </c>
      <c r="F19180" t="s">
        <v>27160</v>
      </c>
    </row>
    <row r="19181" spans="1:6" x14ac:dyDescent="0.25">
      <c r="A19181" t="str">
        <f>"7814829199"</f>
        <v>7814829199</v>
      </c>
      <c r="B19181" t="s">
        <v>27161</v>
      </c>
      <c r="C19181" t="s">
        <v>7</v>
      </c>
      <c r="D19181" t="s">
        <v>189</v>
      </c>
      <c r="E19181" t="s">
        <v>26179</v>
      </c>
      <c r="F19181" t="s">
        <v>27162</v>
      </c>
    </row>
    <row r="19182" spans="1:6" x14ac:dyDescent="0.25">
      <c r="A19182" t="str">
        <f>"7814833727"</f>
        <v>7814833727</v>
      </c>
      <c r="B19182" t="s">
        <v>27163</v>
      </c>
      <c r="C19182" t="s">
        <v>7</v>
      </c>
      <c r="D19182" t="s">
        <v>33</v>
      </c>
      <c r="E19182" t="s">
        <v>26179</v>
      </c>
      <c r="F19182" t="s">
        <v>27164</v>
      </c>
    </row>
    <row r="19183" spans="1:6" x14ac:dyDescent="0.25">
      <c r="A19183" t="str">
        <f>"7814833808"</f>
        <v>7814833808</v>
      </c>
      <c r="B19183" t="s">
        <v>27165</v>
      </c>
      <c r="C19183" t="s">
        <v>7</v>
      </c>
      <c r="D19183" t="s">
        <v>12</v>
      </c>
      <c r="E19183" t="s">
        <v>26179</v>
      </c>
      <c r="F19183" t="s">
        <v>27166</v>
      </c>
    </row>
    <row r="19184" spans="1:6" x14ac:dyDescent="0.25">
      <c r="A19184" t="str">
        <f>"7814833822"</f>
        <v>7814833822</v>
      </c>
      <c r="B19184" t="s">
        <v>27167</v>
      </c>
      <c r="C19184" t="s">
        <v>7</v>
      </c>
      <c r="D19184" t="s">
        <v>12</v>
      </c>
      <c r="E19184" t="s">
        <v>26179</v>
      </c>
      <c r="F19184" t="s">
        <v>27168</v>
      </c>
    </row>
    <row r="19185" spans="1:6" x14ac:dyDescent="0.25">
      <c r="A19185" t="str">
        <f>"7814841654"</f>
        <v>7814841654</v>
      </c>
      <c r="B19185" t="s">
        <v>6097</v>
      </c>
      <c r="C19185" t="s">
        <v>7</v>
      </c>
      <c r="D19185" t="s">
        <v>14</v>
      </c>
      <c r="E19185" t="s">
        <v>26179</v>
      </c>
      <c r="F19185" t="s">
        <v>27169</v>
      </c>
    </row>
    <row r="19186" spans="1:6" x14ac:dyDescent="0.25">
      <c r="A19186" t="str">
        <f>"7814845881"</f>
        <v>7814845881</v>
      </c>
      <c r="B19186" t="s">
        <v>27170</v>
      </c>
      <c r="C19186" t="s">
        <v>7</v>
      </c>
      <c r="D19186" t="s">
        <v>33</v>
      </c>
      <c r="E19186" t="s">
        <v>26179</v>
      </c>
      <c r="F19186" t="s">
        <v>27171</v>
      </c>
    </row>
    <row r="19187" spans="1:6" x14ac:dyDescent="0.25">
      <c r="A19187" t="str">
        <f>"7814853233"</f>
        <v>7814853233</v>
      </c>
      <c r="B19187" t="s">
        <v>27172</v>
      </c>
      <c r="C19187" t="s">
        <v>7</v>
      </c>
      <c r="D19187" t="s">
        <v>33</v>
      </c>
      <c r="E19187" t="s">
        <v>26179</v>
      </c>
      <c r="F19187" t="s">
        <v>27173</v>
      </c>
    </row>
    <row r="19188" spans="1:6" x14ac:dyDescent="0.25">
      <c r="A19188" t="str">
        <f>"7815008325"</f>
        <v>7815008325</v>
      </c>
      <c r="B19188" t="s">
        <v>27174</v>
      </c>
      <c r="C19188" t="s">
        <v>7</v>
      </c>
      <c r="D19188" t="s">
        <v>14</v>
      </c>
      <c r="E19188" t="s">
        <v>26179</v>
      </c>
      <c r="F19188" t="s">
        <v>27175</v>
      </c>
    </row>
    <row r="19189" spans="1:6" x14ac:dyDescent="0.25">
      <c r="A19189" t="str">
        <f>"781600105423"</f>
        <v>781600105423</v>
      </c>
      <c r="B19189" t="s">
        <v>27176</v>
      </c>
      <c r="C19189" t="s">
        <v>7</v>
      </c>
      <c r="D19189" t="s">
        <v>33</v>
      </c>
      <c r="E19189" t="s">
        <v>26179</v>
      </c>
    </row>
    <row r="19190" spans="1:6" x14ac:dyDescent="0.25">
      <c r="A19190" t="str">
        <f>"781601369612"</f>
        <v>781601369612</v>
      </c>
      <c r="B19190" t="s">
        <v>27177</v>
      </c>
      <c r="C19190" t="s">
        <v>7</v>
      </c>
      <c r="D19190" t="s">
        <v>12</v>
      </c>
      <c r="E19190" t="s">
        <v>26179</v>
      </c>
    </row>
    <row r="19191" spans="1:6" x14ac:dyDescent="0.25">
      <c r="A19191" t="str">
        <f>"781603582343"</f>
        <v>781603582343</v>
      </c>
      <c r="B19191" t="s">
        <v>27178</v>
      </c>
      <c r="C19191" t="s">
        <v>7</v>
      </c>
      <c r="D19191" t="s">
        <v>14</v>
      </c>
      <c r="E19191" t="s">
        <v>26179</v>
      </c>
    </row>
    <row r="19192" spans="1:6" x14ac:dyDescent="0.25">
      <c r="A19192" t="str">
        <f>"781604168880"</f>
        <v>781604168880</v>
      </c>
      <c r="B19192" t="s">
        <v>27179</v>
      </c>
      <c r="C19192" t="s">
        <v>7</v>
      </c>
      <c r="D19192" t="s">
        <v>12</v>
      </c>
      <c r="E19192" t="s">
        <v>26179</v>
      </c>
    </row>
    <row r="19193" spans="1:6" x14ac:dyDescent="0.25">
      <c r="A19193" t="str">
        <f>"7816187941"</f>
        <v>7816187941</v>
      </c>
      <c r="B19193" t="s">
        <v>27180</v>
      </c>
      <c r="C19193" t="s">
        <v>7</v>
      </c>
      <c r="D19193" t="s">
        <v>6745</v>
      </c>
      <c r="E19193" t="s">
        <v>26179</v>
      </c>
      <c r="F19193" t="s">
        <v>27181</v>
      </c>
    </row>
    <row r="19194" spans="1:6" x14ac:dyDescent="0.25">
      <c r="A19194" t="str">
        <f>"7816205809"</f>
        <v>7816205809</v>
      </c>
      <c r="B19194" t="s">
        <v>27182</v>
      </c>
      <c r="C19194" t="s">
        <v>7</v>
      </c>
      <c r="D19194" t="s">
        <v>33</v>
      </c>
      <c r="E19194" t="s">
        <v>26179</v>
      </c>
      <c r="F19194" t="s">
        <v>27183</v>
      </c>
    </row>
    <row r="19195" spans="1:6" x14ac:dyDescent="0.25">
      <c r="A19195" t="str">
        <f>"7816253383"</f>
        <v>7816253383</v>
      </c>
      <c r="B19195" t="s">
        <v>27184</v>
      </c>
      <c r="C19195" t="s">
        <v>7</v>
      </c>
      <c r="D19195" t="s">
        <v>28</v>
      </c>
      <c r="E19195" t="s">
        <v>26179</v>
      </c>
      <c r="F19195" t="s">
        <v>27185</v>
      </c>
    </row>
    <row r="19196" spans="1:6" x14ac:dyDescent="0.25">
      <c r="A19196" t="str">
        <f>"7816280387"</f>
        <v>7816280387</v>
      </c>
      <c r="B19196" t="s">
        <v>27186</v>
      </c>
      <c r="C19196" t="s">
        <v>7</v>
      </c>
      <c r="D19196" t="s">
        <v>12</v>
      </c>
      <c r="E19196" t="s">
        <v>26179</v>
      </c>
      <c r="F19196" t="s">
        <v>27187</v>
      </c>
    </row>
    <row r="19197" spans="1:6" x14ac:dyDescent="0.25">
      <c r="A19197" t="str">
        <f>"7816282218"</f>
        <v>7816282218</v>
      </c>
      <c r="B19197" t="s">
        <v>27188</v>
      </c>
      <c r="C19197" t="s">
        <v>7</v>
      </c>
      <c r="D19197" t="s">
        <v>12</v>
      </c>
      <c r="E19197" t="s">
        <v>26179</v>
      </c>
      <c r="F19197" t="s">
        <v>27189</v>
      </c>
    </row>
    <row r="19198" spans="1:6" x14ac:dyDescent="0.25">
      <c r="A19198" t="str">
        <f>"781629605965"</f>
        <v>781629605965</v>
      </c>
      <c r="B19198" t="s">
        <v>27190</v>
      </c>
      <c r="C19198" t="s">
        <v>7</v>
      </c>
      <c r="D19198" t="s">
        <v>14</v>
      </c>
      <c r="E19198" t="s">
        <v>26179</v>
      </c>
    </row>
    <row r="19199" spans="1:6" x14ac:dyDescent="0.25">
      <c r="A19199" t="str">
        <f>"781630633029"</f>
        <v>781630633029</v>
      </c>
      <c r="B19199" t="s">
        <v>27191</v>
      </c>
      <c r="C19199" t="s">
        <v>7</v>
      </c>
      <c r="D19199" t="s">
        <v>14</v>
      </c>
      <c r="E19199" t="s">
        <v>26179</v>
      </c>
    </row>
    <row r="19200" spans="1:6" x14ac:dyDescent="0.25">
      <c r="A19200" t="str">
        <f>"7816343830"</f>
        <v>7816343830</v>
      </c>
      <c r="B19200" t="s">
        <v>27192</v>
      </c>
      <c r="C19200" t="s">
        <v>7</v>
      </c>
      <c r="D19200" t="s">
        <v>14</v>
      </c>
      <c r="E19200" t="s">
        <v>26179</v>
      </c>
      <c r="F19200" t="s">
        <v>27193</v>
      </c>
    </row>
    <row r="19201" spans="1:6" x14ac:dyDescent="0.25">
      <c r="A19201" t="str">
        <f>"7816407523"</f>
        <v>7816407523</v>
      </c>
      <c r="B19201" t="s">
        <v>27194</v>
      </c>
      <c r="C19201" t="s">
        <v>7</v>
      </c>
      <c r="D19201" t="s">
        <v>14</v>
      </c>
      <c r="E19201" t="s">
        <v>26179</v>
      </c>
      <c r="F19201" t="s">
        <v>27195</v>
      </c>
    </row>
    <row r="19202" spans="1:6" x14ac:dyDescent="0.25">
      <c r="A19202" t="str">
        <f>"7816410727"</f>
        <v>7816410727</v>
      </c>
      <c r="B19202" t="s">
        <v>27196</v>
      </c>
      <c r="C19202" t="s">
        <v>7</v>
      </c>
      <c r="D19202" t="s">
        <v>12</v>
      </c>
      <c r="E19202" t="s">
        <v>26179</v>
      </c>
      <c r="F19202" t="s">
        <v>27197</v>
      </c>
    </row>
    <row r="19203" spans="1:6" x14ac:dyDescent="0.25">
      <c r="A19203" t="str">
        <f>"7816418451"</f>
        <v>7816418451</v>
      </c>
      <c r="B19203" t="s">
        <v>27198</v>
      </c>
      <c r="C19203" t="s">
        <v>7</v>
      </c>
      <c r="D19203" t="s">
        <v>674</v>
      </c>
      <c r="E19203" t="s">
        <v>26179</v>
      </c>
      <c r="F19203" t="s">
        <v>27199</v>
      </c>
    </row>
    <row r="19204" spans="1:6" x14ac:dyDescent="0.25">
      <c r="A19204" t="str">
        <f>"7816421976"</f>
        <v>7816421976</v>
      </c>
      <c r="B19204" t="s">
        <v>27200</v>
      </c>
      <c r="C19204" t="s">
        <v>7</v>
      </c>
      <c r="D19204" t="s">
        <v>33</v>
      </c>
      <c r="E19204" t="s">
        <v>26179</v>
      </c>
      <c r="F19204" t="s">
        <v>27201</v>
      </c>
    </row>
    <row r="19205" spans="1:6" x14ac:dyDescent="0.25">
      <c r="A19205" t="str">
        <f>"7816508610"</f>
        <v>7816508610</v>
      </c>
      <c r="B19205" t="s">
        <v>27202</v>
      </c>
      <c r="C19205" t="s">
        <v>7</v>
      </c>
      <c r="D19205" t="s">
        <v>12</v>
      </c>
      <c r="E19205" t="s">
        <v>26179</v>
      </c>
      <c r="F19205" t="s">
        <v>27203</v>
      </c>
    </row>
    <row r="19206" spans="1:6" x14ac:dyDescent="0.25">
      <c r="A19206" t="str">
        <f>"7816510351"</f>
        <v>7816510351</v>
      </c>
      <c r="B19206" t="s">
        <v>27204</v>
      </c>
      <c r="C19206" t="s">
        <v>7</v>
      </c>
      <c r="D19206" t="s">
        <v>33</v>
      </c>
      <c r="E19206" t="s">
        <v>26179</v>
      </c>
      <c r="F19206" t="s">
        <v>27205</v>
      </c>
    </row>
    <row r="19207" spans="1:6" x14ac:dyDescent="0.25">
      <c r="A19207" t="str">
        <f>"7816566883"</f>
        <v>7816566883</v>
      </c>
      <c r="B19207" t="s">
        <v>6523</v>
      </c>
      <c r="C19207" t="s">
        <v>7</v>
      </c>
      <c r="D19207" t="s">
        <v>33</v>
      </c>
      <c r="E19207" t="s">
        <v>26179</v>
      </c>
      <c r="F19207" t="s">
        <v>27206</v>
      </c>
    </row>
    <row r="19208" spans="1:6" x14ac:dyDescent="0.25">
      <c r="A19208" t="str">
        <f>"7816600950"</f>
        <v>7816600950</v>
      </c>
      <c r="B19208" t="s">
        <v>27207</v>
      </c>
      <c r="C19208" t="s">
        <v>7</v>
      </c>
      <c r="D19208" t="s">
        <v>12</v>
      </c>
      <c r="E19208" t="s">
        <v>26179</v>
      </c>
      <c r="F19208" t="s">
        <v>27208</v>
      </c>
    </row>
    <row r="19209" spans="1:6" x14ac:dyDescent="0.25">
      <c r="A19209" t="str">
        <f>"7816629692"</f>
        <v>7816629692</v>
      </c>
      <c r="B19209" t="s">
        <v>27209</v>
      </c>
      <c r="C19209" t="s">
        <v>7</v>
      </c>
      <c r="D19209" t="s">
        <v>189</v>
      </c>
      <c r="E19209" t="s">
        <v>26179</v>
      </c>
      <c r="F19209" t="s">
        <v>27210</v>
      </c>
    </row>
    <row r="19210" spans="1:6" x14ac:dyDescent="0.25">
      <c r="A19210" t="str">
        <f>"7816695550"</f>
        <v>7816695550</v>
      </c>
      <c r="B19210" t="s">
        <v>479</v>
      </c>
      <c r="C19210" t="s">
        <v>7</v>
      </c>
      <c r="D19210" t="s">
        <v>33</v>
      </c>
      <c r="E19210" t="s">
        <v>26179</v>
      </c>
      <c r="F19210" t="s">
        <v>27211</v>
      </c>
    </row>
    <row r="19211" spans="1:6" x14ac:dyDescent="0.25">
      <c r="A19211" t="str">
        <f>"7816706227"</f>
        <v>7816706227</v>
      </c>
      <c r="B19211" t="s">
        <v>27212</v>
      </c>
      <c r="C19211" t="s">
        <v>7</v>
      </c>
      <c r="D19211" t="s">
        <v>33</v>
      </c>
      <c r="E19211" t="s">
        <v>26179</v>
      </c>
      <c r="F19211" t="s">
        <v>27213</v>
      </c>
    </row>
    <row r="19212" spans="1:6" x14ac:dyDescent="0.25">
      <c r="A19212" t="str">
        <f>"7816731745"</f>
        <v>7816731745</v>
      </c>
      <c r="B19212" t="s">
        <v>27214</v>
      </c>
      <c r="C19212" t="s">
        <v>7</v>
      </c>
      <c r="D19212" t="s">
        <v>33</v>
      </c>
      <c r="E19212" t="s">
        <v>26179</v>
      </c>
      <c r="F19212" t="s">
        <v>27215</v>
      </c>
    </row>
    <row r="19213" spans="1:6" x14ac:dyDescent="0.25">
      <c r="A19213" t="str">
        <f>"7816745667"</f>
        <v>7816745667</v>
      </c>
      <c r="B19213" t="s">
        <v>27216</v>
      </c>
      <c r="C19213" t="s">
        <v>7</v>
      </c>
      <c r="D19213" t="s">
        <v>14</v>
      </c>
      <c r="E19213" t="s">
        <v>26179</v>
      </c>
      <c r="F19213" t="s">
        <v>27217</v>
      </c>
    </row>
    <row r="19214" spans="1:6" x14ac:dyDescent="0.25">
      <c r="A19214" t="str">
        <f>"7816753192"</f>
        <v>7816753192</v>
      </c>
      <c r="B19214" t="s">
        <v>27218</v>
      </c>
      <c r="C19214" t="s">
        <v>7</v>
      </c>
      <c r="D19214" t="s">
        <v>8</v>
      </c>
      <c r="E19214" t="s">
        <v>26179</v>
      </c>
      <c r="F19214" t="s">
        <v>27219</v>
      </c>
    </row>
    <row r="19215" spans="1:6" x14ac:dyDescent="0.25">
      <c r="A19215" t="str">
        <f>"7816754904"</f>
        <v>7816754904</v>
      </c>
      <c r="B19215" t="s">
        <v>27220</v>
      </c>
      <c r="C19215" t="s">
        <v>7</v>
      </c>
      <c r="D19215" t="s">
        <v>12</v>
      </c>
      <c r="E19215" t="s">
        <v>26179</v>
      </c>
      <c r="F19215" t="s">
        <v>27221</v>
      </c>
    </row>
    <row r="19216" spans="1:6" x14ac:dyDescent="0.25">
      <c r="A19216" t="str">
        <f>"7817311687"</f>
        <v>7817311687</v>
      </c>
      <c r="B19216" t="s">
        <v>27222</v>
      </c>
      <c r="C19216" t="s">
        <v>7</v>
      </c>
      <c r="D19216" t="s">
        <v>14</v>
      </c>
      <c r="E19216" t="s">
        <v>26179</v>
      </c>
      <c r="F19216" t="s">
        <v>27223</v>
      </c>
    </row>
    <row r="19217" spans="1:6" x14ac:dyDescent="0.25">
      <c r="A19217" t="str">
        <f>"781801571590"</f>
        <v>781801571590</v>
      </c>
      <c r="B19217" t="s">
        <v>27224</v>
      </c>
      <c r="C19217" t="s">
        <v>7</v>
      </c>
      <c r="D19217" t="s">
        <v>14</v>
      </c>
      <c r="E19217" t="s">
        <v>26179</v>
      </c>
    </row>
    <row r="19218" spans="1:6" x14ac:dyDescent="0.25">
      <c r="A19218" t="str">
        <f>"781908687083"</f>
        <v>781908687083</v>
      </c>
      <c r="B19218" t="s">
        <v>27225</v>
      </c>
      <c r="C19218" t="s">
        <v>7</v>
      </c>
      <c r="D19218" t="s">
        <v>14</v>
      </c>
      <c r="E19218" t="s">
        <v>26179</v>
      </c>
    </row>
    <row r="19219" spans="1:6" x14ac:dyDescent="0.25">
      <c r="A19219" t="str">
        <f>"7819310520"</f>
        <v>7819310520</v>
      </c>
      <c r="B19219" t="s">
        <v>27226</v>
      </c>
      <c r="C19219" t="s">
        <v>7</v>
      </c>
      <c r="D19219" t="s">
        <v>14</v>
      </c>
      <c r="E19219" t="s">
        <v>26179</v>
      </c>
      <c r="F19219" t="s">
        <v>27227</v>
      </c>
    </row>
    <row r="19220" spans="1:6" x14ac:dyDescent="0.25">
      <c r="A19220" t="str">
        <f>"7819320052"</f>
        <v>7819320052</v>
      </c>
      <c r="B19220" t="s">
        <v>1386</v>
      </c>
      <c r="C19220" t="s">
        <v>7</v>
      </c>
      <c r="D19220" t="s">
        <v>14</v>
      </c>
      <c r="E19220" t="s">
        <v>26179</v>
      </c>
      <c r="F19220" t="s">
        <v>27228</v>
      </c>
    </row>
    <row r="19221" spans="1:6" x14ac:dyDescent="0.25">
      <c r="A19221" t="str">
        <f>"7820073584"</f>
        <v>7820073584</v>
      </c>
      <c r="B19221" t="s">
        <v>27229</v>
      </c>
      <c r="C19221" t="s">
        <v>7</v>
      </c>
      <c r="D19221" t="s">
        <v>674</v>
      </c>
      <c r="E19221" t="s">
        <v>26179</v>
      </c>
      <c r="F19221" t="s">
        <v>27230</v>
      </c>
    </row>
    <row r="19222" spans="1:6" x14ac:dyDescent="0.25">
      <c r="A19222" t="str">
        <f>"7820081056"</f>
        <v>7820081056</v>
      </c>
      <c r="B19222" t="s">
        <v>27231</v>
      </c>
      <c r="C19222" t="s">
        <v>7</v>
      </c>
      <c r="D19222" t="s">
        <v>98</v>
      </c>
      <c r="E19222" t="s">
        <v>26179</v>
      </c>
      <c r="F19222" t="s">
        <v>27232</v>
      </c>
    </row>
    <row r="19223" spans="1:6" x14ac:dyDescent="0.25">
      <c r="A19223" t="str">
        <f>"7820312828"</f>
        <v>7820312828</v>
      </c>
      <c r="B19223" t="s">
        <v>27233</v>
      </c>
      <c r="C19223" t="s">
        <v>7</v>
      </c>
      <c r="D19223" t="s">
        <v>33</v>
      </c>
      <c r="E19223" t="s">
        <v>26179</v>
      </c>
      <c r="F19223" t="s">
        <v>27234</v>
      </c>
    </row>
    <row r="19224" spans="1:6" x14ac:dyDescent="0.25">
      <c r="A19224" t="str">
        <f>"782031998880"</f>
        <v>782031998880</v>
      </c>
      <c r="B19224" t="s">
        <v>27235</v>
      </c>
      <c r="C19224" t="s">
        <v>7</v>
      </c>
      <c r="D19224" t="s">
        <v>14</v>
      </c>
      <c r="E19224" t="s">
        <v>26179</v>
      </c>
    </row>
    <row r="19225" spans="1:6" x14ac:dyDescent="0.25">
      <c r="A19225" t="str">
        <f>"782500100328"</f>
        <v>782500100328</v>
      </c>
      <c r="B19225" t="s">
        <v>27236</v>
      </c>
      <c r="C19225" t="s">
        <v>7</v>
      </c>
      <c r="D19225" t="s">
        <v>14</v>
      </c>
      <c r="E19225" t="s">
        <v>26179</v>
      </c>
    </row>
    <row r="19226" spans="1:6" x14ac:dyDescent="0.25">
      <c r="A19226" t="str">
        <f>"7825127120"</f>
        <v>7825127120</v>
      </c>
      <c r="B19226" t="s">
        <v>27237</v>
      </c>
      <c r="C19226" t="s">
        <v>7</v>
      </c>
      <c r="D19226" t="s">
        <v>12</v>
      </c>
      <c r="E19226" t="s">
        <v>26179</v>
      </c>
      <c r="F19226" t="s">
        <v>27238</v>
      </c>
    </row>
    <row r="19227" spans="1:6" x14ac:dyDescent="0.25">
      <c r="A19227" t="str">
        <f>"7825417084"</f>
        <v>7825417084</v>
      </c>
      <c r="B19227" t="s">
        <v>20475</v>
      </c>
      <c r="C19227" t="s">
        <v>7</v>
      </c>
      <c r="D19227" t="s">
        <v>14</v>
      </c>
      <c r="E19227" t="s">
        <v>26179</v>
      </c>
      <c r="F19227" t="s">
        <v>27239</v>
      </c>
    </row>
    <row r="19228" spans="1:6" x14ac:dyDescent="0.25">
      <c r="A19228" t="str">
        <f>"7825442789"</f>
        <v>7825442789</v>
      </c>
      <c r="B19228" t="s">
        <v>27240</v>
      </c>
      <c r="C19228" t="s">
        <v>7</v>
      </c>
      <c r="D19228" t="s">
        <v>33</v>
      </c>
      <c r="E19228" t="s">
        <v>26179</v>
      </c>
      <c r="F19228" t="s">
        <v>27241</v>
      </c>
    </row>
    <row r="19229" spans="1:6" x14ac:dyDescent="0.25">
      <c r="A19229" t="str">
        <f>"782580048737"</f>
        <v>782580048737</v>
      </c>
      <c r="B19229" t="s">
        <v>27242</v>
      </c>
      <c r="C19229" t="s">
        <v>7</v>
      </c>
      <c r="D19229" t="s">
        <v>14</v>
      </c>
      <c r="E19229" t="s">
        <v>26179</v>
      </c>
    </row>
    <row r="19230" spans="1:6" x14ac:dyDescent="0.25">
      <c r="A19230" t="str">
        <f>"782608598765"</f>
        <v>782608598765</v>
      </c>
      <c r="B19230" t="s">
        <v>27243</v>
      </c>
      <c r="C19230" t="s">
        <v>7</v>
      </c>
      <c r="D19230" t="s">
        <v>12</v>
      </c>
      <c r="E19230" t="s">
        <v>26179</v>
      </c>
    </row>
    <row r="19231" spans="1:6" x14ac:dyDescent="0.25">
      <c r="A19231" t="str">
        <f>"782700023906"</f>
        <v>782700023906</v>
      </c>
      <c r="B19231" t="s">
        <v>27244</v>
      </c>
      <c r="C19231" t="s">
        <v>7</v>
      </c>
      <c r="D19231" t="s">
        <v>14</v>
      </c>
      <c r="E19231" t="s">
        <v>26179</v>
      </c>
    </row>
    <row r="19232" spans="1:6" x14ac:dyDescent="0.25">
      <c r="A19232" t="str">
        <f>"782703500515"</f>
        <v>782703500515</v>
      </c>
      <c r="B19232" t="s">
        <v>27245</v>
      </c>
      <c r="C19232" t="s">
        <v>7</v>
      </c>
      <c r="D19232" t="s">
        <v>14</v>
      </c>
      <c r="E19232" t="s">
        <v>26179</v>
      </c>
    </row>
    <row r="19233" spans="1:6" x14ac:dyDescent="0.25">
      <c r="A19233" t="str">
        <f>"783801146350"</f>
        <v>783801146350</v>
      </c>
      <c r="B19233" t="s">
        <v>27246</v>
      </c>
      <c r="C19233" t="s">
        <v>7</v>
      </c>
      <c r="D19233" t="s">
        <v>14</v>
      </c>
      <c r="E19233" t="s">
        <v>26179</v>
      </c>
    </row>
    <row r="19234" spans="1:6" x14ac:dyDescent="0.25">
      <c r="A19234" t="str">
        <f>"7813439566"</f>
        <v>7813439566</v>
      </c>
      <c r="B19234" t="s">
        <v>27247</v>
      </c>
      <c r="C19234" t="s">
        <v>7</v>
      </c>
      <c r="D19234" t="s">
        <v>12</v>
      </c>
      <c r="E19234" t="s">
        <v>26179</v>
      </c>
      <c r="F19234" t="s">
        <v>27248</v>
      </c>
    </row>
    <row r="19235" spans="1:6" x14ac:dyDescent="0.25">
      <c r="A19235" t="str">
        <f>"7813548100"</f>
        <v>7813548100</v>
      </c>
      <c r="B19235" t="s">
        <v>27249</v>
      </c>
      <c r="C19235" t="s">
        <v>7</v>
      </c>
      <c r="D19235" t="s">
        <v>14</v>
      </c>
      <c r="E19235" t="s">
        <v>26179</v>
      </c>
      <c r="F19235" t="s">
        <v>27250</v>
      </c>
    </row>
    <row r="19236" spans="1:6" x14ac:dyDescent="0.25">
      <c r="A19236" t="str">
        <f>"7813609151"</f>
        <v>7813609151</v>
      </c>
      <c r="B19236" t="s">
        <v>27251</v>
      </c>
      <c r="C19236" t="s">
        <v>7</v>
      </c>
      <c r="D19236" t="s">
        <v>8</v>
      </c>
      <c r="E19236" t="s">
        <v>26179</v>
      </c>
      <c r="F19236" t="s">
        <v>27252</v>
      </c>
    </row>
    <row r="19237" spans="1:6" x14ac:dyDescent="0.25">
      <c r="A19237" t="str">
        <f>"7813635313"</f>
        <v>7813635313</v>
      </c>
      <c r="B19237" t="s">
        <v>27253</v>
      </c>
      <c r="C19237" t="s">
        <v>7</v>
      </c>
      <c r="D19237" t="s">
        <v>12</v>
      </c>
      <c r="E19237" t="s">
        <v>26179</v>
      </c>
      <c r="F19237" t="s">
        <v>27254</v>
      </c>
    </row>
    <row r="19238" spans="1:6" x14ac:dyDescent="0.25">
      <c r="A19238" t="str">
        <f>"7813637215"</f>
        <v>7813637215</v>
      </c>
      <c r="B19238" t="s">
        <v>27255</v>
      </c>
      <c r="C19238" t="s">
        <v>7</v>
      </c>
      <c r="D19238" t="s">
        <v>12</v>
      </c>
      <c r="E19238" t="s">
        <v>26179</v>
      </c>
      <c r="F19238" t="s">
        <v>27256</v>
      </c>
    </row>
    <row r="19239" spans="1:6" x14ac:dyDescent="0.25">
      <c r="A19239" t="str">
        <f>"7813662331"</f>
        <v>7813662331</v>
      </c>
      <c r="B19239" t="s">
        <v>27257</v>
      </c>
      <c r="C19239" t="s">
        <v>7</v>
      </c>
      <c r="D19239" t="s">
        <v>12</v>
      </c>
      <c r="E19239" t="s">
        <v>26179</v>
      </c>
      <c r="F19239" t="s">
        <v>27258</v>
      </c>
    </row>
    <row r="19240" spans="1:6" x14ac:dyDescent="0.25">
      <c r="A19240" t="str">
        <f>"7813675940"</f>
        <v>7813675940</v>
      </c>
      <c r="B19240" t="s">
        <v>27259</v>
      </c>
      <c r="C19240" t="s">
        <v>7</v>
      </c>
      <c r="D19240" t="s">
        <v>189</v>
      </c>
      <c r="E19240" t="s">
        <v>26179</v>
      </c>
      <c r="F19240" t="s">
        <v>27260</v>
      </c>
    </row>
    <row r="19241" spans="1:6" x14ac:dyDescent="0.25">
      <c r="A19241" t="str">
        <f>"7813679180"</f>
        <v>7813679180</v>
      </c>
      <c r="B19241" t="s">
        <v>27261</v>
      </c>
      <c r="C19241" t="s">
        <v>7</v>
      </c>
      <c r="D19241" t="s">
        <v>12</v>
      </c>
      <c r="E19241" t="s">
        <v>26179</v>
      </c>
      <c r="F19241" t="s">
        <v>27262</v>
      </c>
    </row>
    <row r="19242" spans="1:6" x14ac:dyDescent="0.25">
      <c r="A19242" t="str">
        <f>"7813682881"</f>
        <v>7813682881</v>
      </c>
      <c r="B19242" t="s">
        <v>27263</v>
      </c>
      <c r="C19242" t="s">
        <v>7</v>
      </c>
      <c r="D19242" t="s">
        <v>33</v>
      </c>
      <c r="E19242" t="s">
        <v>26179</v>
      </c>
      <c r="F19242" t="s">
        <v>27264</v>
      </c>
    </row>
    <row r="19243" spans="1:6" x14ac:dyDescent="0.25">
      <c r="A19243" t="str">
        <f>"781403662376"</f>
        <v>781403662376</v>
      </c>
      <c r="B19243" t="s">
        <v>27265</v>
      </c>
      <c r="C19243" t="s">
        <v>7</v>
      </c>
      <c r="D19243" t="s">
        <v>8</v>
      </c>
      <c r="E19243" t="s">
        <v>26179</v>
      </c>
    </row>
    <row r="19244" spans="1:6" x14ac:dyDescent="0.25">
      <c r="A19244" t="str">
        <f>"7814148471"</f>
        <v>7814148471</v>
      </c>
      <c r="B19244" t="s">
        <v>27266</v>
      </c>
      <c r="C19244" t="s">
        <v>7</v>
      </c>
      <c r="D19244" t="s">
        <v>8</v>
      </c>
      <c r="E19244" t="s">
        <v>26179</v>
      </c>
      <c r="F19244" t="s">
        <v>27267</v>
      </c>
    </row>
    <row r="19245" spans="1:6" x14ac:dyDescent="0.25">
      <c r="A19245" t="str">
        <f>"781415537838"</f>
        <v>781415537838</v>
      </c>
      <c r="B19245" t="s">
        <v>27268</v>
      </c>
      <c r="C19245" t="s">
        <v>7</v>
      </c>
      <c r="D19245" t="s">
        <v>14</v>
      </c>
      <c r="E19245" t="s">
        <v>26179</v>
      </c>
    </row>
    <row r="19246" spans="1:6" x14ac:dyDescent="0.25">
      <c r="A19246" t="str">
        <f>"7814266500"</f>
        <v>7814266500</v>
      </c>
      <c r="B19246" t="s">
        <v>27269</v>
      </c>
      <c r="C19246" t="s">
        <v>7</v>
      </c>
      <c r="D19246" t="s">
        <v>8</v>
      </c>
      <c r="E19246" t="s">
        <v>26179</v>
      </c>
      <c r="F19246" t="s">
        <v>27270</v>
      </c>
    </row>
    <row r="19247" spans="1:6" x14ac:dyDescent="0.25">
      <c r="A19247" t="str">
        <f>"781431254160"</f>
        <v>781431254160</v>
      </c>
      <c r="B19247" t="s">
        <v>27271</v>
      </c>
      <c r="C19247" t="s">
        <v>7</v>
      </c>
      <c r="D19247" t="s">
        <v>14</v>
      </c>
      <c r="E19247" t="s">
        <v>26179</v>
      </c>
    </row>
    <row r="19248" spans="1:6" x14ac:dyDescent="0.25">
      <c r="A19248" t="str">
        <f>"781434564185"</f>
        <v>781434564185</v>
      </c>
      <c r="B19248" t="s">
        <v>27272</v>
      </c>
      <c r="C19248" t="s">
        <v>7</v>
      </c>
      <c r="D19248" t="s">
        <v>14</v>
      </c>
      <c r="E19248" t="s">
        <v>26179</v>
      </c>
    </row>
    <row r="19249" spans="1:6" x14ac:dyDescent="0.25">
      <c r="A19249" t="str">
        <f>"7814412486"</f>
        <v>7814412486</v>
      </c>
      <c r="B19249" t="s">
        <v>27273</v>
      </c>
      <c r="C19249" t="s">
        <v>7</v>
      </c>
      <c r="D19249" t="s">
        <v>1430</v>
      </c>
      <c r="E19249" t="s">
        <v>26179</v>
      </c>
      <c r="F19249" t="s">
        <v>27274</v>
      </c>
    </row>
    <row r="19250" spans="1:6" x14ac:dyDescent="0.25">
      <c r="A19250" t="str">
        <f>"7814461317"</f>
        <v>7814461317</v>
      </c>
      <c r="B19250" t="s">
        <v>27275</v>
      </c>
      <c r="C19250" t="s">
        <v>7</v>
      </c>
      <c r="D19250" t="s">
        <v>146</v>
      </c>
      <c r="E19250" t="s">
        <v>26179</v>
      </c>
      <c r="F19250" t="s">
        <v>27276</v>
      </c>
    </row>
    <row r="19251" spans="1:6" x14ac:dyDescent="0.25">
      <c r="A19251" t="str">
        <f>"7814484138"</f>
        <v>7814484138</v>
      </c>
      <c r="B19251" t="s">
        <v>27277</v>
      </c>
      <c r="C19251" t="s">
        <v>7</v>
      </c>
      <c r="D19251" t="s">
        <v>14</v>
      </c>
      <c r="E19251" t="s">
        <v>26179</v>
      </c>
      <c r="F19251" t="s">
        <v>27278</v>
      </c>
    </row>
    <row r="19252" spans="1:6" x14ac:dyDescent="0.25">
      <c r="A19252" t="str">
        <f>"7814553705"</f>
        <v>7814553705</v>
      </c>
      <c r="B19252" t="s">
        <v>27279</v>
      </c>
      <c r="C19252" t="s">
        <v>7</v>
      </c>
      <c r="D19252" t="s">
        <v>674</v>
      </c>
      <c r="E19252" t="s">
        <v>26179</v>
      </c>
      <c r="F19252" t="s">
        <v>27280</v>
      </c>
    </row>
    <row r="19253" spans="1:6" x14ac:dyDescent="0.25">
      <c r="A19253" t="str">
        <f>"7814582671"</f>
        <v>7814582671</v>
      </c>
      <c r="B19253" t="s">
        <v>27281</v>
      </c>
      <c r="C19253" t="s">
        <v>7</v>
      </c>
      <c r="D19253" t="s">
        <v>12</v>
      </c>
      <c r="E19253" t="s">
        <v>26179</v>
      </c>
      <c r="F19253" t="s">
        <v>27282</v>
      </c>
    </row>
    <row r="19254" spans="1:6" x14ac:dyDescent="0.25">
      <c r="A19254" t="str">
        <f>"7814584252"</f>
        <v>7814584252</v>
      </c>
      <c r="B19254" t="s">
        <v>27283</v>
      </c>
      <c r="C19254" t="s">
        <v>7</v>
      </c>
      <c r="D19254" t="s">
        <v>14</v>
      </c>
      <c r="E19254" t="s">
        <v>26179</v>
      </c>
      <c r="F19254" t="s">
        <v>27284</v>
      </c>
    </row>
    <row r="19255" spans="1:6" x14ac:dyDescent="0.25">
      <c r="A19255" t="str">
        <f>"7814619018"</f>
        <v>7814619018</v>
      </c>
      <c r="B19255" t="s">
        <v>27285</v>
      </c>
      <c r="C19255" t="s">
        <v>7</v>
      </c>
      <c r="D19255" t="s">
        <v>33</v>
      </c>
      <c r="E19255" t="s">
        <v>26179</v>
      </c>
      <c r="F19255" t="s">
        <v>27286</v>
      </c>
    </row>
    <row r="19256" spans="1:6" x14ac:dyDescent="0.25">
      <c r="A19256" t="str">
        <f>"7814644078"</f>
        <v>7814644078</v>
      </c>
      <c r="B19256" t="s">
        <v>27287</v>
      </c>
      <c r="C19256" t="s">
        <v>7</v>
      </c>
      <c r="D19256" t="s">
        <v>33</v>
      </c>
      <c r="E19256" t="s">
        <v>26179</v>
      </c>
      <c r="F19256" t="s">
        <v>27288</v>
      </c>
    </row>
    <row r="19257" spans="1:6" x14ac:dyDescent="0.25">
      <c r="A19257" t="str">
        <f>"7814672364"</f>
        <v>7814672364</v>
      </c>
      <c r="B19257" t="s">
        <v>27289</v>
      </c>
      <c r="C19257" t="s">
        <v>7</v>
      </c>
      <c r="D19257" t="s">
        <v>33</v>
      </c>
      <c r="E19257" t="s">
        <v>26179</v>
      </c>
      <c r="F19257" t="s">
        <v>27290</v>
      </c>
    </row>
    <row r="19258" spans="1:6" x14ac:dyDescent="0.25">
      <c r="A19258" t="str">
        <f>"7814681217"</f>
        <v>7814681217</v>
      </c>
      <c r="B19258" t="s">
        <v>27291</v>
      </c>
      <c r="C19258" t="s">
        <v>7</v>
      </c>
      <c r="D19258" t="s">
        <v>189</v>
      </c>
      <c r="E19258" t="s">
        <v>26179</v>
      </c>
      <c r="F19258" t="s">
        <v>27292</v>
      </c>
    </row>
    <row r="19259" spans="1:6" x14ac:dyDescent="0.25">
      <c r="A19259" t="str">
        <f>"7814714328"</f>
        <v>7814714328</v>
      </c>
      <c r="B19259" t="s">
        <v>645</v>
      </c>
      <c r="C19259" t="s">
        <v>7</v>
      </c>
      <c r="D19259" t="s">
        <v>12</v>
      </c>
      <c r="E19259" t="s">
        <v>26179</v>
      </c>
      <c r="F19259" t="s">
        <v>27293</v>
      </c>
    </row>
    <row r="19260" spans="1:6" x14ac:dyDescent="0.25">
      <c r="A19260" t="str">
        <f>"7814742100"</f>
        <v>7814742100</v>
      </c>
      <c r="B19260" t="s">
        <v>27294</v>
      </c>
      <c r="C19260" t="s">
        <v>7</v>
      </c>
      <c r="D19260" t="s">
        <v>146</v>
      </c>
      <c r="E19260" t="s">
        <v>26179</v>
      </c>
      <c r="F19260" t="s">
        <v>27295</v>
      </c>
    </row>
    <row r="19261" spans="1:6" x14ac:dyDescent="0.25">
      <c r="A19261" t="str">
        <f>"7814805776"</f>
        <v>7814805776</v>
      </c>
      <c r="B19261" t="s">
        <v>27296</v>
      </c>
      <c r="C19261" t="s">
        <v>7</v>
      </c>
      <c r="D19261" t="s">
        <v>189</v>
      </c>
      <c r="E19261" t="s">
        <v>26179</v>
      </c>
      <c r="F19261" t="s">
        <v>27297</v>
      </c>
    </row>
    <row r="19262" spans="1:6" x14ac:dyDescent="0.25">
      <c r="A19262" t="str">
        <f>"7814813978"</f>
        <v>7814813978</v>
      </c>
      <c r="B19262" t="s">
        <v>27298</v>
      </c>
      <c r="C19262" t="s">
        <v>7</v>
      </c>
      <c r="D19262" t="s">
        <v>674</v>
      </c>
      <c r="E19262" t="s">
        <v>26179</v>
      </c>
      <c r="F19262" t="s">
        <v>27299</v>
      </c>
    </row>
    <row r="19263" spans="1:6" x14ac:dyDescent="0.25">
      <c r="A19263" t="str">
        <f>"7814818246"</f>
        <v>7814818246</v>
      </c>
      <c r="B19263" t="s">
        <v>6983</v>
      </c>
      <c r="C19263" t="s">
        <v>7</v>
      </c>
      <c r="D19263" t="s">
        <v>33</v>
      </c>
      <c r="E19263" t="s">
        <v>26179</v>
      </c>
      <c r="F19263" t="s">
        <v>27300</v>
      </c>
    </row>
    <row r="19264" spans="1:6" x14ac:dyDescent="0.25">
      <c r="A19264" t="str">
        <f>"7814825684"</f>
        <v>7814825684</v>
      </c>
      <c r="B19264" t="s">
        <v>27301</v>
      </c>
      <c r="C19264" t="s">
        <v>7</v>
      </c>
      <c r="D19264" t="s">
        <v>12</v>
      </c>
      <c r="E19264" t="s">
        <v>26179</v>
      </c>
      <c r="F19264" t="s">
        <v>27302</v>
      </c>
    </row>
    <row r="19265" spans="1:6" x14ac:dyDescent="0.25">
      <c r="A19265" t="str">
        <f>"7814846500"</f>
        <v>7814846500</v>
      </c>
      <c r="B19265" t="s">
        <v>27303</v>
      </c>
      <c r="C19265" t="s">
        <v>7</v>
      </c>
      <c r="D19265" t="s">
        <v>674</v>
      </c>
      <c r="E19265" t="s">
        <v>26179</v>
      </c>
      <c r="F19265" t="s">
        <v>27304</v>
      </c>
    </row>
    <row r="19266" spans="1:6" x14ac:dyDescent="0.25">
      <c r="A19266" t="str">
        <f>"781604134601"</f>
        <v>781604134601</v>
      </c>
      <c r="B19266" t="s">
        <v>27305</v>
      </c>
      <c r="C19266" t="s">
        <v>7</v>
      </c>
      <c r="D19266" t="s">
        <v>12</v>
      </c>
      <c r="E19266" t="s">
        <v>26179</v>
      </c>
    </row>
    <row r="19267" spans="1:6" x14ac:dyDescent="0.25">
      <c r="A19267" t="str">
        <f>"781605962929"</f>
        <v>781605962929</v>
      </c>
      <c r="B19267" t="s">
        <v>27306</v>
      </c>
      <c r="C19267" t="s">
        <v>7</v>
      </c>
      <c r="D19267" t="s">
        <v>33</v>
      </c>
      <c r="E19267" t="s">
        <v>26179</v>
      </c>
    </row>
    <row r="19268" spans="1:6" x14ac:dyDescent="0.25">
      <c r="A19268" t="str">
        <f>"7816121796"</f>
        <v>7816121796</v>
      </c>
      <c r="B19268" t="s">
        <v>27307</v>
      </c>
      <c r="C19268" t="s">
        <v>7</v>
      </c>
      <c r="D19268" t="s">
        <v>146</v>
      </c>
      <c r="E19268" t="s">
        <v>26179</v>
      </c>
      <c r="F19268" t="s">
        <v>27308</v>
      </c>
    </row>
    <row r="19269" spans="1:6" x14ac:dyDescent="0.25">
      <c r="A19269" t="str">
        <f>"7816137563"</f>
        <v>7816137563</v>
      </c>
      <c r="B19269" t="s">
        <v>27309</v>
      </c>
      <c r="C19269" t="s">
        <v>7</v>
      </c>
      <c r="D19269" t="s">
        <v>33</v>
      </c>
      <c r="E19269" t="s">
        <v>26179</v>
      </c>
      <c r="F19269" t="s">
        <v>27310</v>
      </c>
    </row>
    <row r="19270" spans="1:6" x14ac:dyDescent="0.25">
      <c r="A19270" t="str">
        <f>"781614140192"</f>
        <v>781614140192</v>
      </c>
      <c r="B19270" t="s">
        <v>27311</v>
      </c>
      <c r="C19270" t="s">
        <v>7</v>
      </c>
      <c r="D19270" t="s">
        <v>14</v>
      </c>
      <c r="E19270" t="s">
        <v>26179</v>
      </c>
    </row>
    <row r="19271" spans="1:6" x14ac:dyDescent="0.25">
      <c r="A19271" t="str">
        <f>"7816143670"</f>
        <v>7816143670</v>
      </c>
      <c r="B19271" t="s">
        <v>27312</v>
      </c>
      <c r="C19271" t="s">
        <v>7</v>
      </c>
      <c r="D19271" t="s">
        <v>14</v>
      </c>
      <c r="E19271" t="s">
        <v>26179</v>
      </c>
      <c r="F19271" t="s">
        <v>27313</v>
      </c>
    </row>
    <row r="19272" spans="1:6" x14ac:dyDescent="0.25">
      <c r="A19272" t="str">
        <f>"7816148050"</f>
        <v>7816148050</v>
      </c>
      <c r="B19272" t="s">
        <v>27314</v>
      </c>
      <c r="C19272" t="s">
        <v>7</v>
      </c>
      <c r="D19272" t="s">
        <v>98</v>
      </c>
      <c r="E19272" t="s">
        <v>26179</v>
      </c>
      <c r="F19272" t="s">
        <v>27315</v>
      </c>
    </row>
    <row r="19273" spans="1:6" x14ac:dyDescent="0.25">
      <c r="A19273" t="str">
        <f>"7816221590"</f>
        <v>7816221590</v>
      </c>
      <c r="B19273" t="s">
        <v>27316</v>
      </c>
      <c r="C19273" t="s">
        <v>7</v>
      </c>
      <c r="D19273" t="s">
        <v>98</v>
      </c>
      <c r="E19273" t="s">
        <v>26179</v>
      </c>
      <c r="F19273" t="s">
        <v>27317</v>
      </c>
    </row>
    <row r="19274" spans="1:6" x14ac:dyDescent="0.25">
      <c r="A19274" t="str">
        <f>"781626148076"</f>
        <v>781626148076</v>
      </c>
      <c r="B19274" t="s">
        <v>27318</v>
      </c>
      <c r="C19274" t="s">
        <v>7</v>
      </c>
      <c r="D19274" t="s">
        <v>14</v>
      </c>
      <c r="E19274" t="s">
        <v>26179</v>
      </c>
    </row>
    <row r="19275" spans="1:6" x14ac:dyDescent="0.25">
      <c r="A19275" t="str">
        <f>"7816345524"</f>
        <v>7816345524</v>
      </c>
      <c r="B19275" t="s">
        <v>27319</v>
      </c>
      <c r="C19275" t="s">
        <v>7</v>
      </c>
      <c r="D19275" t="s">
        <v>33</v>
      </c>
      <c r="E19275" t="s">
        <v>26179</v>
      </c>
      <c r="F19275" t="s">
        <v>27320</v>
      </c>
    </row>
    <row r="19276" spans="1:6" x14ac:dyDescent="0.25">
      <c r="A19276" t="str">
        <f>"7816358851"</f>
        <v>7816358851</v>
      </c>
      <c r="B19276" t="s">
        <v>27321</v>
      </c>
      <c r="C19276" t="s">
        <v>7</v>
      </c>
      <c r="D19276" t="s">
        <v>12</v>
      </c>
      <c r="E19276" t="s">
        <v>26179</v>
      </c>
      <c r="F19276" t="s">
        <v>27322</v>
      </c>
    </row>
    <row r="19277" spans="1:6" x14ac:dyDescent="0.25">
      <c r="A19277" t="str">
        <f>"7816500201"</f>
        <v>7816500201</v>
      </c>
      <c r="B19277" t="s">
        <v>27323</v>
      </c>
      <c r="C19277" t="s">
        <v>7</v>
      </c>
      <c r="D19277" t="s">
        <v>33</v>
      </c>
      <c r="E19277" t="s">
        <v>26179</v>
      </c>
      <c r="F19277" t="s">
        <v>27324</v>
      </c>
    </row>
    <row r="19278" spans="1:6" x14ac:dyDescent="0.25">
      <c r="A19278" t="str">
        <f>"7816644274"</f>
        <v>7816644274</v>
      </c>
      <c r="B19278" t="s">
        <v>27325</v>
      </c>
      <c r="C19278" t="s">
        <v>7</v>
      </c>
      <c r="D19278" t="s">
        <v>12</v>
      </c>
      <c r="E19278" t="s">
        <v>26179</v>
      </c>
      <c r="F19278" t="s">
        <v>27326</v>
      </c>
    </row>
    <row r="19279" spans="1:6" x14ac:dyDescent="0.25">
      <c r="A19279" t="str">
        <f>"7816647074"</f>
        <v>7816647074</v>
      </c>
      <c r="B19279" t="s">
        <v>27327</v>
      </c>
      <c r="C19279" t="s">
        <v>7</v>
      </c>
      <c r="D19279" t="s">
        <v>33</v>
      </c>
      <c r="E19279" t="s">
        <v>26179</v>
      </c>
      <c r="F19279" t="s">
        <v>27328</v>
      </c>
    </row>
    <row r="19280" spans="1:6" x14ac:dyDescent="0.25">
      <c r="A19280" t="str">
        <f>"7816658260"</f>
        <v>7816658260</v>
      </c>
      <c r="B19280" t="s">
        <v>27329</v>
      </c>
      <c r="C19280" t="s">
        <v>7</v>
      </c>
      <c r="D19280" t="s">
        <v>674</v>
      </c>
      <c r="E19280" t="s">
        <v>26179</v>
      </c>
      <c r="F19280" t="s">
        <v>27330</v>
      </c>
    </row>
    <row r="19281" spans="1:6" x14ac:dyDescent="0.25">
      <c r="A19281" t="str">
        <f>"7816712647"</f>
        <v>7816712647</v>
      </c>
      <c r="B19281" t="s">
        <v>27331</v>
      </c>
      <c r="C19281" t="s">
        <v>7</v>
      </c>
      <c r="D19281" t="s">
        <v>14</v>
      </c>
      <c r="E19281" t="s">
        <v>26179</v>
      </c>
      <c r="F19281" t="s">
        <v>27332</v>
      </c>
    </row>
    <row r="19282" spans="1:6" x14ac:dyDescent="0.25">
      <c r="A19282" t="str">
        <f>"7816713288"</f>
        <v>7816713288</v>
      </c>
      <c r="B19282" t="s">
        <v>27333</v>
      </c>
      <c r="C19282" t="s">
        <v>7</v>
      </c>
      <c r="D19282" t="s">
        <v>12</v>
      </c>
      <c r="E19282" t="s">
        <v>26179</v>
      </c>
      <c r="F19282" t="s">
        <v>27334</v>
      </c>
    </row>
    <row r="19283" spans="1:6" x14ac:dyDescent="0.25">
      <c r="A19283" t="str">
        <f>"7816715207"</f>
        <v>7816715207</v>
      </c>
      <c r="B19283" t="s">
        <v>27335</v>
      </c>
      <c r="C19283" t="s">
        <v>7</v>
      </c>
      <c r="D19283" t="s">
        <v>33</v>
      </c>
      <c r="E19283" t="s">
        <v>26179</v>
      </c>
      <c r="F19283" t="s">
        <v>27336</v>
      </c>
    </row>
    <row r="19284" spans="1:6" x14ac:dyDescent="0.25">
      <c r="A19284" t="str">
        <f>"7816728333"</f>
        <v>7816728333</v>
      </c>
      <c r="B19284" t="s">
        <v>27337</v>
      </c>
      <c r="C19284" t="s">
        <v>7</v>
      </c>
      <c r="D19284" t="s">
        <v>14</v>
      </c>
      <c r="E19284" t="s">
        <v>26179</v>
      </c>
      <c r="F19284" t="s">
        <v>27338</v>
      </c>
    </row>
    <row r="19285" spans="1:6" x14ac:dyDescent="0.25">
      <c r="A19285" t="str">
        <f>"7816740073"</f>
        <v>7816740073</v>
      </c>
      <c r="B19285" t="s">
        <v>27339</v>
      </c>
      <c r="C19285" t="s">
        <v>7</v>
      </c>
      <c r="D19285" t="s">
        <v>14</v>
      </c>
      <c r="E19285" t="s">
        <v>26179</v>
      </c>
      <c r="F19285" t="s">
        <v>27340</v>
      </c>
    </row>
    <row r="19286" spans="1:6" x14ac:dyDescent="0.25">
      <c r="A19286" t="str">
        <f>"7816741292"</f>
        <v>7816741292</v>
      </c>
      <c r="B19286" t="s">
        <v>27341</v>
      </c>
      <c r="C19286" t="s">
        <v>7</v>
      </c>
      <c r="D19286" t="s">
        <v>189</v>
      </c>
      <c r="E19286" t="s">
        <v>26179</v>
      </c>
      <c r="F19286" t="s">
        <v>27342</v>
      </c>
    </row>
    <row r="19287" spans="1:6" x14ac:dyDescent="0.25">
      <c r="A19287" t="str">
        <f>"781697262508"</f>
        <v>781697262508</v>
      </c>
      <c r="B19287" t="s">
        <v>27343</v>
      </c>
      <c r="C19287" t="s">
        <v>7</v>
      </c>
      <c r="D19287" t="s">
        <v>14</v>
      </c>
      <c r="E19287" t="s">
        <v>26179</v>
      </c>
    </row>
    <row r="19288" spans="1:6" x14ac:dyDescent="0.25">
      <c r="A19288" t="str">
        <f>"781697609735"</f>
        <v>781697609735</v>
      </c>
      <c r="B19288" t="s">
        <v>27344</v>
      </c>
      <c r="C19288" t="s">
        <v>7</v>
      </c>
      <c r="D19288" t="s">
        <v>14</v>
      </c>
      <c r="E19288" t="s">
        <v>26179</v>
      </c>
    </row>
    <row r="19289" spans="1:6" x14ac:dyDescent="0.25">
      <c r="A19289" t="str">
        <f>"781707604633"</f>
        <v>781707604633</v>
      </c>
      <c r="B19289" t="s">
        <v>27345</v>
      </c>
      <c r="C19289" t="s">
        <v>7</v>
      </c>
      <c r="D19289" t="s">
        <v>14</v>
      </c>
      <c r="E19289" t="s">
        <v>26179</v>
      </c>
    </row>
    <row r="19290" spans="1:6" x14ac:dyDescent="0.25">
      <c r="A19290" t="str">
        <f>"781711615116"</f>
        <v>781711615116</v>
      </c>
      <c r="B19290" t="s">
        <v>23728</v>
      </c>
      <c r="C19290" t="s">
        <v>7</v>
      </c>
      <c r="D19290" t="s">
        <v>14</v>
      </c>
      <c r="E19290" t="s">
        <v>26179</v>
      </c>
    </row>
    <row r="19291" spans="1:6" x14ac:dyDescent="0.25">
      <c r="A19291" t="str">
        <f>"7817134445"</f>
        <v>7817134445</v>
      </c>
      <c r="B19291" t="s">
        <v>8907</v>
      </c>
      <c r="C19291" t="s">
        <v>7</v>
      </c>
      <c r="D19291" t="s">
        <v>14</v>
      </c>
      <c r="E19291" t="s">
        <v>26179</v>
      </c>
      <c r="F19291" t="s">
        <v>27346</v>
      </c>
    </row>
    <row r="19292" spans="1:6" x14ac:dyDescent="0.25">
      <c r="A19292" t="str">
        <f>"7819018959"</f>
        <v>7819018959</v>
      </c>
      <c r="B19292" t="s">
        <v>27347</v>
      </c>
      <c r="C19292" t="s">
        <v>7</v>
      </c>
      <c r="D19292" t="s">
        <v>8</v>
      </c>
      <c r="E19292" t="s">
        <v>26179</v>
      </c>
      <c r="F19292" t="s">
        <v>27348</v>
      </c>
    </row>
    <row r="19293" spans="1:6" x14ac:dyDescent="0.25">
      <c r="A19293" t="str">
        <f>"781911182967"</f>
        <v>781911182967</v>
      </c>
      <c r="B19293" t="s">
        <v>27349</v>
      </c>
      <c r="C19293" t="s">
        <v>7</v>
      </c>
      <c r="D19293" t="s">
        <v>14</v>
      </c>
      <c r="E19293" t="s">
        <v>26179</v>
      </c>
    </row>
    <row r="19294" spans="1:6" x14ac:dyDescent="0.25">
      <c r="A19294" t="str">
        <f>"7820075888"</f>
        <v>7820075888</v>
      </c>
      <c r="B19294" t="s">
        <v>27350</v>
      </c>
      <c r="C19294" t="s">
        <v>7</v>
      </c>
      <c r="D19294" t="s">
        <v>14</v>
      </c>
      <c r="E19294" t="s">
        <v>26179</v>
      </c>
      <c r="F19294" t="s">
        <v>27351</v>
      </c>
    </row>
    <row r="19295" spans="1:6" x14ac:dyDescent="0.25">
      <c r="A19295" t="str">
        <f>"7820324622"</f>
        <v>7820324622</v>
      </c>
      <c r="B19295" t="s">
        <v>27352</v>
      </c>
      <c r="C19295" t="s">
        <v>7</v>
      </c>
      <c r="D19295" t="s">
        <v>12</v>
      </c>
      <c r="E19295" t="s">
        <v>26179</v>
      </c>
      <c r="F19295" t="s">
        <v>27353</v>
      </c>
    </row>
    <row r="19296" spans="1:6" x14ac:dyDescent="0.25">
      <c r="A19296" t="str">
        <f>"7820335600"</f>
        <v>7820335600</v>
      </c>
      <c r="B19296" t="s">
        <v>27354</v>
      </c>
      <c r="C19296" t="s">
        <v>7</v>
      </c>
      <c r="D19296" t="s">
        <v>12</v>
      </c>
      <c r="E19296" t="s">
        <v>26179</v>
      </c>
      <c r="F19296" t="s">
        <v>27355</v>
      </c>
    </row>
    <row r="19297" spans="1:6" x14ac:dyDescent="0.25">
      <c r="A19297" t="str">
        <f>"110117238741"</f>
        <v>110117238741</v>
      </c>
      <c r="B19297" t="s">
        <v>27356</v>
      </c>
      <c r="C19297" t="s">
        <v>7</v>
      </c>
      <c r="D19297" t="s">
        <v>33</v>
      </c>
      <c r="E19297" t="s">
        <v>26179</v>
      </c>
    </row>
    <row r="19298" spans="1:6" x14ac:dyDescent="0.25">
      <c r="A19298" t="str">
        <f>"111901700915"</f>
        <v>111901700915</v>
      </c>
      <c r="B19298" t="s">
        <v>27357</v>
      </c>
      <c r="C19298" t="s">
        <v>7</v>
      </c>
      <c r="D19298" t="s">
        <v>33</v>
      </c>
      <c r="E19298" t="s">
        <v>26179</v>
      </c>
    </row>
    <row r="19299" spans="1:6" x14ac:dyDescent="0.25">
      <c r="A19299" t="str">
        <f>"2721191450"</f>
        <v>2721191450</v>
      </c>
      <c r="B19299" t="s">
        <v>27358</v>
      </c>
      <c r="C19299" t="s">
        <v>7</v>
      </c>
      <c r="D19299" t="s">
        <v>33</v>
      </c>
      <c r="E19299" t="s">
        <v>26179</v>
      </c>
      <c r="F19299" t="s">
        <v>27359</v>
      </c>
    </row>
    <row r="19300" spans="1:6" x14ac:dyDescent="0.25">
      <c r="A19300" t="str">
        <f>"272292783085"</f>
        <v>272292783085</v>
      </c>
      <c r="B19300" t="s">
        <v>27360</v>
      </c>
      <c r="C19300" t="s">
        <v>7</v>
      </c>
      <c r="D19300" t="s">
        <v>14</v>
      </c>
      <c r="E19300" t="s">
        <v>26179</v>
      </c>
    </row>
    <row r="19301" spans="1:6" x14ac:dyDescent="0.25">
      <c r="A19301" t="str">
        <f>"2317048206"</f>
        <v>2317048206</v>
      </c>
      <c r="B19301" t="s">
        <v>27361</v>
      </c>
      <c r="C19301" t="s">
        <v>7</v>
      </c>
      <c r="D19301" t="s">
        <v>8</v>
      </c>
      <c r="E19301" t="s">
        <v>26179</v>
      </c>
      <c r="F19301" t="s">
        <v>27362</v>
      </c>
    </row>
    <row r="19302" spans="1:6" x14ac:dyDescent="0.25">
      <c r="A19302" t="str">
        <f>"564903418359"</f>
        <v>564903418359</v>
      </c>
      <c r="B19302" t="s">
        <v>27363</v>
      </c>
      <c r="C19302" t="s">
        <v>7</v>
      </c>
      <c r="D19302" t="s">
        <v>12</v>
      </c>
      <c r="E19302" t="s">
        <v>26179</v>
      </c>
    </row>
    <row r="19303" spans="1:6" x14ac:dyDescent="0.25">
      <c r="A19303" t="str">
        <f>"7825439514"</f>
        <v>7825439514</v>
      </c>
      <c r="B19303" t="s">
        <v>27364</v>
      </c>
      <c r="C19303" t="s">
        <v>7</v>
      </c>
      <c r="D19303" t="s">
        <v>14</v>
      </c>
      <c r="E19303" t="s">
        <v>26179</v>
      </c>
      <c r="F19303" t="s">
        <v>27365</v>
      </c>
    </row>
    <row r="19304" spans="1:6" x14ac:dyDescent="0.25">
      <c r="A19304" t="str">
        <f>"782570177740"</f>
        <v>782570177740</v>
      </c>
      <c r="B19304" t="s">
        <v>27366</v>
      </c>
      <c r="C19304" t="s">
        <v>7</v>
      </c>
      <c r="D19304" t="s">
        <v>14</v>
      </c>
      <c r="E19304" t="s">
        <v>26179</v>
      </c>
    </row>
    <row r="19305" spans="1:6" x14ac:dyDescent="0.25">
      <c r="A19305" t="str">
        <f>"782607966014"</f>
        <v>782607966014</v>
      </c>
      <c r="B19305" t="s">
        <v>27367</v>
      </c>
      <c r="C19305" t="s">
        <v>7</v>
      </c>
      <c r="D19305" t="s">
        <v>14</v>
      </c>
      <c r="E19305" t="s">
        <v>26179</v>
      </c>
    </row>
    <row r="19306" spans="1:6" x14ac:dyDescent="0.25">
      <c r="A19306" t="str">
        <f>"7826087713"</f>
        <v>7826087713</v>
      </c>
      <c r="B19306" t="s">
        <v>27368</v>
      </c>
      <c r="C19306" t="s">
        <v>7</v>
      </c>
      <c r="D19306" t="s">
        <v>14</v>
      </c>
      <c r="E19306" t="s">
        <v>26179</v>
      </c>
      <c r="F19306" t="s">
        <v>27369</v>
      </c>
    </row>
    <row r="19307" spans="1:6" x14ac:dyDescent="0.25">
      <c r="A19307" t="str">
        <f>"782613753007"</f>
        <v>782613753007</v>
      </c>
      <c r="B19307" t="s">
        <v>27370</v>
      </c>
      <c r="C19307" t="s">
        <v>7</v>
      </c>
      <c r="D19307" t="s">
        <v>8</v>
      </c>
      <c r="E19307" t="s">
        <v>26179</v>
      </c>
    </row>
    <row r="19308" spans="1:6" x14ac:dyDescent="0.25">
      <c r="A19308" t="str">
        <f>"7838107386"</f>
        <v>7838107386</v>
      </c>
      <c r="B19308" t="s">
        <v>27371</v>
      </c>
      <c r="C19308" t="s">
        <v>7</v>
      </c>
      <c r="D19308" t="s">
        <v>189</v>
      </c>
      <c r="E19308" t="s">
        <v>26179</v>
      </c>
      <c r="F19308" t="s">
        <v>27372</v>
      </c>
    </row>
    <row r="19309" spans="1:6" x14ac:dyDescent="0.25">
      <c r="A19309" t="str">
        <f>"7838127583"</f>
        <v>7838127583</v>
      </c>
      <c r="B19309" t="s">
        <v>27373</v>
      </c>
      <c r="C19309" t="s">
        <v>7</v>
      </c>
      <c r="D19309" t="s">
        <v>33</v>
      </c>
      <c r="E19309" t="s">
        <v>26179</v>
      </c>
      <c r="F19309" t="s">
        <v>27374</v>
      </c>
    </row>
    <row r="19310" spans="1:6" x14ac:dyDescent="0.25">
      <c r="A19310" t="str">
        <f>"783899990373"</f>
        <v>783899990373</v>
      </c>
      <c r="B19310" t="s">
        <v>27375</v>
      </c>
      <c r="C19310" t="s">
        <v>7</v>
      </c>
      <c r="D19310" t="s">
        <v>14</v>
      </c>
      <c r="E19310" t="s">
        <v>26179</v>
      </c>
    </row>
    <row r="19311" spans="1:6" x14ac:dyDescent="0.25">
      <c r="A19311" t="str">
        <f>"7839122404"</f>
        <v>7839122404</v>
      </c>
      <c r="B19311" t="s">
        <v>27376</v>
      </c>
      <c r="C19311" t="s">
        <v>7</v>
      </c>
      <c r="D19311" t="s">
        <v>674</v>
      </c>
      <c r="E19311" t="s">
        <v>26179</v>
      </c>
      <c r="F19311" t="s">
        <v>27377</v>
      </c>
    </row>
    <row r="19312" spans="1:6" x14ac:dyDescent="0.25">
      <c r="A19312" t="str">
        <f>"7839318164"</f>
        <v>7839318164</v>
      </c>
      <c r="B19312" t="s">
        <v>27378</v>
      </c>
      <c r="C19312" t="s">
        <v>7</v>
      </c>
      <c r="D19312" t="s">
        <v>674</v>
      </c>
      <c r="E19312" t="s">
        <v>26179</v>
      </c>
      <c r="F19312" t="s">
        <v>27379</v>
      </c>
    </row>
    <row r="19313" spans="1:6" x14ac:dyDescent="0.25">
      <c r="A19313" t="str">
        <f>"7839366457"</f>
        <v>7839366457</v>
      </c>
      <c r="B19313" t="s">
        <v>27380</v>
      </c>
      <c r="C19313" t="s">
        <v>7</v>
      </c>
      <c r="D19313" t="s">
        <v>33</v>
      </c>
      <c r="E19313" t="s">
        <v>26179</v>
      </c>
      <c r="F19313" t="s">
        <v>27381</v>
      </c>
    </row>
    <row r="19314" spans="1:6" x14ac:dyDescent="0.25">
      <c r="A19314" t="str">
        <f>"7839444176"</f>
        <v>7839444176</v>
      </c>
      <c r="B19314" t="s">
        <v>27382</v>
      </c>
      <c r="C19314" t="s">
        <v>7</v>
      </c>
      <c r="D19314" t="s">
        <v>33</v>
      </c>
      <c r="E19314" t="s">
        <v>26179</v>
      </c>
      <c r="F19314" t="s">
        <v>27383</v>
      </c>
    </row>
    <row r="19315" spans="1:6" x14ac:dyDescent="0.25">
      <c r="A19315" t="str">
        <f>"7840097495"</f>
        <v>7840097495</v>
      </c>
      <c r="B19315" t="s">
        <v>27384</v>
      </c>
      <c r="C19315" t="s">
        <v>7</v>
      </c>
      <c r="D19315" t="s">
        <v>12</v>
      </c>
      <c r="E19315" t="s">
        <v>26179</v>
      </c>
      <c r="F19315" t="s">
        <v>27385</v>
      </c>
    </row>
    <row r="19316" spans="1:6" x14ac:dyDescent="0.25">
      <c r="A19316" t="str">
        <f>"7840107714"</f>
        <v>7840107714</v>
      </c>
      <c r="B19316" t="s">
        <v>3120</v>
      </c>
      <c r="C19316" t="s">
        <v>7</v>
      </c>
      <c r="D19316" t="s">
        <v>33</v>
      </c>
      <c r="E19316" t="s">
        <v>26179</v>
      </c>
      <c r="F19316" t="s">
        <v>27386</v>
      </c>
    </row>
    <row r="19317" spans="1:6" x14ac:dyDescent="0.25">
      <c r="A19317" t="str">
        <f>"7841380152"</f>
        <v>7841380152</v>
      </c>
      <c r="B19317" t="s">
        <v>27387</v>
      </c>
      <c r="C19317" t="s">
        <v>7</v>
      </c>
      <c r="D19317" t="s">
        <v>12</v>
      </c>
      <c r="E19317" t="s">
        <v>26179</v>
      </c>
      <c r="F19317" t="s">
        <v>27388</v>
      </c>
    </row>
    <row r="19318" spans="1:6" x14ac:dyDescent="0.25">
      <c r="A19318" t="str">
        <f>"7841383298"</f>
        <v>7841383298</v>
      </c>
      <c r="B19318" t="s">
        <v>27389</v>
      </c>
      <c r="C19318" t="s">
        <v>7</v>
      </c>
      <c r="D19318" t="s">
        <v>33</v>
      </c>
      <c r="E19318" t="s">
        <v>26179</v>
      </c>
      <c r="F19318" t="s">
        <v>27390</v>
      </c>
    </row>
    <row r="19319" spans="1:6" x14ac:dyDescent="0.25">
      <c r="A19319" t="str">
        <f>"7841475573"</f>
        <v>7841475573</v>
      </c>
      <c r="B19319" t="s">
        <v>27391</v>
      </c>
      <c r="C19319" t="s">
        <v>7</v>
      </c>
      <c r="D19319" t="s">
        <v>33</v>
      </c>
      <c r="E19319" t="s">
        <v>26179</v>
      </c>
      <c r="F19319" t="s">
        <v>27392</v>
      </c>
    </row>
    <row r="19320" spans="1:6" x14ac:dyDescent="0.25">
      <c r="A19320" t="str">
        <f>"7842077938"</f>
        <v>7842077938</v>
      </c>
      <c r="B19320" t="s">
        <v>27393</v>
      </c>
      <c r="C19320" t="s">
        <v>7</v>
      </c>
      <c r="D19320" t="s">
        <v>14</v>
      </c>
      <c r="E19320" t="s">
        <v>26179</v>
      </c>
      <c r="F19320" t="s">
        <v>27394</v>
      </c>
    </row>
    <row r="19321" spans="1:6" x14ac:dyDescent="0.25">
      <c r="A19321" t="str">
        <f>"7842222712"</f>
        <v>7842222712</v>
      </c>
      <c r="B19321" t="s">
        <v>3838</v>
      </c>
      <c r="C19321" t="s">
        <v>7</v>
      </c>
      <c r="D19321" t="s">
        <v>674</v>
      </c>
      <c r="E19321" t="s">
        <v>26179</v>
      </c>
      <c r="F19321" t="s">
        <v>27395</v>
      </c>
    </row>
    <row r="19322" spans="1:6" x14ac:dyDescent="0.25">
      <c r="A19322" t="str">
        <f>"784300501862"</f>
        <v>784300501862</v>
      </c>
      <c r="B19322" t="s">
        <v>27396</v>
      </c>
      <c r="C19322" t="s">
        <v>7</v>
      </c>
      <c r="D19322" t="s">
        <v>14</v>
      </c>
      <c r="E19322" t="s">
        <v>26179</v>
      </c>
    </row>
    <row r="19323" spans="1:6" x14ac:dyDescent="0.25">
      <c r="A19323" t="str">
        <f>"7843313627"</f>
        <v>7843313627</v>
      </c>
      <c r="B19323" t="s">
        <v>27397</v>
      </c>
      <c r="C19323" t="s">
        <v>7</v>
      </c>
      <c r="D19323" t="s">
        <v>674</v>
      </c>
      <c r="E19323" t="s">
        <v>26179</v>
      </c>
      <c r="F19323" t="s">
        <v>27398</v>
      </c>
    </row>
    <row r="19324" spans="1:6" x14ac:dyDescent="0.25">
      <c r="A19324" t="str">
        <f>"132602937773"</f>
        <v>132602937773</v>
      </c>
      <c r="B19324" t="s">
        <v>27399</v>
      </c>
      <c r="C19324" t="s">
        <v>7</v>
      </c>
      <c r="D19324" t="s">
        <v>33</v>
      </c>
      <c r="E19324" t="s">
        <v>26179</v>
      </c>
    </row>
    <row r="19325" spans="1:6" x14ac:dyDescent="0.25">
      <c r="A19325" t="str">
        <f>"7838051091"</f>
        <v>7838051091</v>
      </c>
      <c r="B19325" t="s">
        <v>27400</v>
      </c>
      <c r="C19325" t="s">
        <v>7</v>
      </c>
      <c r="D19325" t="s">
        <v>33</v>
      </c>
      <c r="E19325" t="s">
        <v>26179</v>
      </c>
      <c r="F19325" t="s">
        <v>27401</v>
      </c>
    </row>
    <row r="19326" spans="1:6" x14ac:dyDescent="0.25">
      <c r="A19326" t="str">
        <f>"7838107080"</f>
        <v>7838107080</v>
      </c>
      <c r="B19326" t="s">
        <v>27402</v>
      </c>
      <c r="C19326" t="s">
        <v>7</v>
      </c>
      <c r="D19326" t="s">
        <v>12</v>
      </c>
      <c r="E19326" t="s">
        <v>26179</v>
      </c>
      <c r="F19326" t="s">
        <v>27403</v>
      </c>
    </row>
    <row r="19327" spans="1:6" x14ac:dyDescent="0.25">
      <c r="A19327" t="str">
        <f>"7838113502"</f>
        <v>7838113502</v>
      </c>
      <c r="B19327" t="s">
        <v>27404</v>
      </c>
      <c r="C19327" t="s">
        <v>7</v>
      </c>
      <c r="D19327" t="s">
        <v>33</v>
      </c>
      <c r="E19327" t="s">
        <v>26179</v>
      </c>
      <c r="F19327" t="s">
        <v>27405</v>
      </c>
    </row>
    <row r="19328" spans="1:6" x14ac:dyDescent="0.25">
      <c r="A19328" t="str">
        <f>"7838120348"</f>
        <v>7838120348</v>
      </c>
      <c r="B19328" t="s">
        <v>27406</v>
      </c>
      <c r="C19328" t="s">
        <v>7</v>
      </c>
      <c r="D19328" t="s">
        <v>674</v>
      </c>
      <c r="E19328" t="s">
        <v>26179</v>
      </c>
      <c r="F19328" t="s">
        <v>27407</v>
      </c>
    </row>
    <row r="19329" spans="1:6" x14ac:dyDescent="0.25">
      <c r="A19329" t="str">
        <f>"7839071647"</f>
        <v>7839071647</v>
      </c>
      <c r="B19329" t="s">
        <v>27408</v>
      </c>
      <c r="C19329" t="s">
        <v>7</v>
      </c>
      <c r="D19329" t="s">
        <v>463</v>
      </c>
      <c r="E19329" t="s">
        <v>26179</v>
      </c>
      <c r="F19329" t="s">
        <v>27409</v>
      </c>
    </row>
    <row r="19330" spans="1:6" x14ac:dyDescent="0.25">
      <c r="A19330" t="str">
        <f>"7839106681"</f>
        <v>7839106681</v>
      </c>
      <c r="B19330" t="s">
        <v>27410</v>
      </c>
      <c r="C19330" t="s">
        <v>7</v>
      </c>
      <c r="D19330" t="s">
        <v>33</v>
      </c>
      <c r="E19330" t="s">
        <v>26179</v>
      </c>
      <c r="F19330" t="s">
        <v>27411</v>
      </c>
    </row>
    <row r="19331" spans="1:6" x14ac:dyDescent="0.25">
      <c r="A19331" t="str">
        <f>"7839469220"</f>
        <v>7839469220</v>
      </c>
      <c r="B19331" t="s">
        <v>27412</v>
      </c>
      <c r="C19331" t="s">
        <v>7</v>
      </c>
      <c r="D19331" t="s">
        <v>98</v>
      </c>
      <c r="E19331" t="s">
        <v>26179</v>
      </c>
      <c r="F19331" t="s">
        <v>27413</v>
      </c>
    </row>
    <row r="19332" spans="1:6" x14ac:dyDescent="0.25">
      <c r="A19332" t="str">
        <f>"7840067839"</f>
        <v>7840067839</v>
      </c>
      <c r="B19332" t="s">
        <v>27414</v>
      </c>
      <c r="C19332" t="s">
        <v>7</v>
      </c>
      <c r="D19332" t="s">
        <v>12</v>
      </c>
      <c r="E19332" t="s">
        <v>26179</v>
      </c>
      <c r="F19332" t="s">
        <v>27415</v>
      </c>
    </row>
    <row r="19333" spans="1:6" x14ac:dyDescent="0.25">
      <c r="A19333" t="str">
        <f>"7840072941"</f>
        <v>7840072941</v>
      </c>
      <c r="B19333" t="s">
        <v>27416</v>
      </c>
      <c r="C19333" t="s">
        <v>7</v>
      </c>
      <c r="D19333" t="s">
        <v>33</v>
      </c>
      <c r="E19333" t="s">
        <v>26179</v>
      </c>
      <c r="F19333" t="s">
        <v>27417</v>
      </c>
    </row>
    <row r="19334" spans="1:6" x14ac:dyDescent="0.25">
      <c r="A19334" t="str">
        <f>"7840082361"</f>
        <v>7840082361</v>
      </c>
      <c r="B19334" t="s">
        <v>27418</v>
      </c>
      <c r="C19334" t="s">
        <v>7</v>
      </c>
      <c r="D19334" t="s">
        <v>12</v>
      </c>
      <c r="E19334" t="s">
        <v>26179</v>
      </c>
      <c r="F19334" t="s">
        <v>27419</v>
      </c>
    </row>
    <row r="19335" spans="1:6" x14ac:dyDescent="0.25">
      <c r="A19335" t="str">
        <f>"7840108563"</f>
        <v>7840108563</v>
      </c>
      <c r="B19335" t="s">
        <v>27420</v>
      </c>
      <c r="C19335" t="s">
        <v>7</v>
      </c>
      <c r="D19335" t="s">
        <v>33</v>
      </c>
      <c r="E19335" t="s">
        <v>26179</v>
      </c>
      <c r="F19335" t="s">
        <v>27421</v>
      </c>
    </row>
    <row r="19336" spans="1:6" x14ac:dyDescent="0.25">
      <c r="A19336" t="str">
        <f>"7840334731"</f>
        <v>7840334731</v>
      </c>
      <c r="B19336" t="s">
        <v>27422</v>
      </c>
      <c r="C19336" t="s">
        <v>7</v>
      </c>
      <c r="D19336" t="s">
        <v>586</v>
      </c>
      <c r="E19336" t="s">
        <v>26179</v>
      </c>
      <c r="F19336" t="s">
        <v>27423</v>
      </c>
    </row>
    <row r="19337" spans="1:6" x14ac:dyDescent="0.25">
      <c r="A19337" t="str">
        <f>"7840468492"</f>
        <v>7840468492</v>
      </c>
      <c r="B19337" t="s">
        <v>27424</v>
      </c>
      <c r="C19337" t="s">
        <v>7</v>
      </c>
      <c r="D19337" t="s">
        <v>674</v>
      </c>
      <c r="E19337" t="s">
        <v>26179</v>
      </c>
      <c r="F19337" t="s">
        <v>27425</v>
      </c>
    </row>
    <row r="19338" spans="1:6" x14ac:dyDescent="0.25">
      <c r="A19338" t="str">
        <f>"7841004694"</f>
        <v>7841004694</v>
      </c>
      <c r="B19338" t="s">
        <v>20284</v>
      </c>
      <c r="C19338" t="s">
        <v>7</v>
      </c>
      <c r="D19338" t="s">
        <v>12</v>
      </c>
      <c r="E19338" t="s">
        <v>26179</v>
      </c>
      <c r="F19338" t="s">
        <v>27426</v>
      </c>
    </row>
    <row r="19339" spans="1:6" x14ac:dyDescent="0.25">
      <c r="A19339" t="str">
        <f>"7841035646"</f>
        <v>7841035646</v>
      </c>
      <c r="B19339" t="s">
        <v>27427</v>
      </c>
      <c r="C19339" t="s">
        <v>7</v>
      </c>
      <c r="D19339" t="s">
        <v>33</v>
      </c>
      <c r="E19339" t="s">
        <v>26179</v>
      </c>
      <c r="F19339" t="s">
        <v>27428</v>
      </c>
    </row>
    <row r="19340" spans="1:6" x14ac:dyDescent="0.25">
      <c r="A19340" t="str">
        <f>"784105285488"</f>
        <v>784105285488</v>
      </c>
      <c r="B19340" t="s">
        <v>27429</v>
      </c>
      <c r="C19340" t="s">
        <v>7</v>
      </c>
      <c r="D19340" t="s">
        <v>98</v>
      </c>
      <c r="E19340" t="s">
        <v>26179</v>
      </c>
    </row>
    <row r="19341" spans="1:6" x14ac:dyDescent="0.25">
      <c r="A19341" t="str">
        <f>"7841065009"</f>
        <v>7841065009</v>
      </c>
      <c r="B19341" t="s">
        <v>27430</v>
      </c>
      <c r="C19341" t="s">
        <v>7</v>
      </c>
      <c r="D19341" t="s">
        <v>674</v>
      </c>
      <c r="E19341" t="s">
        <v>26179</v>
      </c>
      <c r="F19341" t="s">
        <v>27431</v>
      </c>
    </row>
    <row r="19342" spans="1:6" x14ac:dyDescent="0.25">
      <c r="A19342" t="str">
        <f>"7841065030"</f>
        <v>7841065030</v>
      </c>
      <c r="B19342" t="s">
        <v>27432</v>
      </c>
      <c r="C19342" t="s">
        <v>7</v>
      </c>
      <c r="D19342" t="s">
        <v>189</v>
      </c>
      <c r="E19342" t="s">
        <v>26179</v>
      </c>
      <c r="F19342" t="s">
        <v>27433</v>
      </c>
    </row>
    <row r="19343" spans="1:6" x14ac:dyDescent="0.25">
      <c r="A19343" t="str">
        <f>"7841082477"</f>
        <v>7841082477</v>
      </c>
      <c r="B19343" t="s">
        <v>27434</v>
      </c>
      <c r="C19343" t="s">
        <v>7</v>
      </c>
      <c r="D19343" t="s">
        <v>12</v>
      </c>
      <c r="E19343" t="s">
        <v>26179</v>
      </c>
      <c r="F19343" t="s">
        <v>27435</v>
      </c>
    </row>
    <row r="19344" spans="1:6" x14ac:dyDescent="0.25">
      <c r="A19344" t="str">
        <f>"7842117490"</f>
        <v>7842117490</v>
      </c>
      <c r="B19344" t="s">
        <v>21485</v>
      </c>
      <c r="C19344" t="s">
        <v>7</v>
      </c>
      <c r="D19344" t="s">
        <v>189</v>
      </c>
      <c r="E19344" t="s">
        <v>26179</v>
      </c>
      <c r="F19344" t="s">
        <v>27436</v>
      </c>
    </row>
    <row r="19345" spans="1:6" x14ac:dyDescent="0.25">
      <c r="A19345" t="str">
        <f>"7842151733"</f>
        <v>7842151733</v>
      </c>
      <c r="B19345" t="s">
        <v>27437</v>
      </c>
      <c r="C19345" t="s">
        <v>7</v>
      </c>
      <c r="D19345" t="s">
        <v>12</v>
      </c>
      <c r="E19345" t="s">
        <v>26179</v>
      </c>
      <c r="F19345" t="s">
        <v>27438</v>
      </c>
    </row>
    <row r="19346" spans="1:6" x14ac:dyDescent="0.25">
      <c r="A19346" t="str">
        <f>"7842203815"</f>
        <v>7842203815</v>
      </c>
      <c r="B19346" t="s">
        <v>27439</v>
      </c>
      <c r="C19346" t="s">
        <v>7</v>
      </c>
      <c r="D19346" t="s">
        <v>8</v>
      </c>
      <c r="E19346" t="s">
        <v>26179</v>
      </c>
      <c r="F19346" t="s">
        <v>27440</v>
      </c>
    </row>
    <row r="19347" spans="1:6" x14ac:dyDescent="0.25">
      <c r="A19347" t="str">
        <f>"7842211936"</f>
        <v>7842211936</v>
      </c>
      <c r="B19347" t="s">
        <v>27441</v>
      </c>
      <c r="C19347" t="s">
        <v>7</v>
      </c>
      <c r="D19347" t="s">
        <v>33</v>
      </c>
      <c r="E19347" t="s">
        <v>26179</v>
      </c>
      <c r="F19347" t="s">
        <v>27442</v>
      </c>
    </row>
    <row r="19348" spans="1:6" x14ac:dyDescent="0.25">
      <c r="A19348" t="str">
        <f>"7842224710"</f>
        <v>7842224710</v>
      </c>
      <c r="B19348" t="s">
        <v>1991</v>
      </c>
      <c r="C19348" t="s">
        <v>7</v>
      </c>
      <c r="D19348" t="s">
        <v>12</v>
      </c>
      <c r="E19348" t="s">
        <v>26179</v>
      </c>
      <c r="F19348" t="s">
        <v>27443</v>
      </c>
    </row>
    <row r="19349" spans="1:6" x14ac:dyDescent="0.25">
      <c r="A19349" t="str">
        <f>"784290441241"</f>
        <v>784290441241</v>
      </c>
      <c r="B19349" t="s">
        <v>27444</v>
      </c>
      <c r="C19349" t="s">
        <v>7</v>
      </c>
      <c r="D19349" t="s">
        <v>14</v>
      </c>
      <c r="E19349" t="s">
        <v>26179</v>
      </c>
    </row>
    <row r="19350" spans="1:6" x14ac:dyDescent="0.25">
      <c r="A19350" t="str">
        <f>"7843316603"</f>
        <v>7843316603</v>
      </c>
      <c r="B19350" t="s">
        <v>27445</v>
      </c>
      <c r="C19350" t="s">
        <v>7</v>
      </c>
      <c r="D19350" t="s">
        <v>14</v>
      </c>
      <c r="E19350" t="s">
        <v>26179</v>
      </c>
      <c r="F19350" t="s">
        <v>27446</v>
      </c>
    </row>
    <row r="19351" spans="1:6" x14ac:dyDescent="0.25">
      <c r="A19351" t="str">
        <f>"751201201662"</f>
        <v>751201201662</v>
      </c>
      <c r="B19351" t="s">
        <v>27447</v>
      </c>
      <c r="C19351" t="s">
        <v>7</v>
      </c>
      <c r="D19351" t="s">
        <v>14</v>
      </c>
      <c r="E19351" t="s">
        <v>26179</v>
      </c>
    </row>
    <row r="19352" spans="1:6" x14ac:dyDescent="0.25">
      <c r="A19352" t="str">
        <f>"280100013539"</f>
        <v>280100013539</v>
      </c>
      <c r="B19352" t="s">
        <v>27448</v>
      </c>
      <c r="C19352" t="s">
        <v>7</v>
      </c>
      <c r="D19352" t="s">
        <v>12</v>
      </c>
      <c r="E19352" t="s">
        <v>26179</v>
      </c>
    </row>
    <row r="19353" spans="1:6" x14ac:dyDescent="0.25">
      <c r="A19353" t="str">
        <f>"7825122845"</f>
        <v>7825122845</v>
      </c>
      <c r="B19353" t="s">
        <v>27449</v>
      </c>
      <c r="C19353" t="s">
        <v>7</v>
      </c>
      <c r="D19353" t="s">
        <v>33</v>
      </c>
      <c r="E19353" t="s">
        <v>26179</v>
      </c>
      <c r="F19353" t="s">
        <v>27450</v>
      </c>
    </row>
    <row r="19354" spans="1:6" x14ac:dyDescent="0.25">
      <c r="A19354" t="str">
        <f>"782540307061"</f>
        <v>782540307061</v>
      </c>
      <c r="B19354" t="s">
        <v>17648</v>
      </c>
      <c r="C19354" t="s">
        <v>7</v>
      </c>
      <c r="D19354" t="s">
        <v>12</v>
      </c>
      <c r="E19354" t="s">
        <v>26179</v>
      </c>
    </row>
    <row r="19355" spans="1:6" x14ac:dyDescent="0.25">
      <c r="A19355" t="str">
        <f>"7825437997"</f>
        <v>7825437997</v>
      </c>
      <c r="B19355" t="s">
        <v>27451</v>
      </c>
      <c r="C19355" t="s">
        <v>7</v>
      </c>
      <c r="D19355" t="s">
        <v>1430</v>
      </c>
      <c r="E19355" t="s">
        <v>26179</v>
      </c>
      <c r="F19355" t="s">
        <v>27452</v>
      </c>
    </row>
    <row r="19356" spans="1:6" x14ac:dyDescent="0.25">
      <c r="A19356" t="str">
        <f>"7825447709"</f>
        <v>7825447709</v>
      </c>
      <c r="B19356" t="s">
        <v>27453</v>
      </c>
      <c r="C19356" t="s">
        <v>7</v>
      </c>
      <c r="D19356" t="s">
        <v>33</v>
      </c>
      <c r="E19356" t="s">
        <v>26179</v>
      </c>
      <c r="F19356" t="s">
        <v>27454</v>
      </c>
    </row>
    <row r="19357" spans="1:6" x14ac:dyDescent="0.25">
      <c r="A19357" t="str">
        <f>"7826019311"</f>
        <v>7826019311</v>
      </c>
      <c r="B19357" t="s">
        <v>27455</v>
      </c>
      <c r="C19357" t="s">
        <v>7</v>
      </c>
      <c r="D19357" t="s">
        <v>12</v>
      </c>
      <c r="E19357" t="s">
        <v>26179</v>
      </c>
      <c r="F19357" t="s">
        <v>27456</v>
      </c>
    </row>
    <row r="19358" spans="1:6" x14ac:dyDescent="0.25">
      <c r="A19358" t="str">
        <f>"7826072160"</f>
        <v>7826072160</v>
      </c>
      <c r="B19358" t="s">
        <v>27457</v>
      </c>
      <c r="C19358" t="s">
        <v>7</v>
      </c>
      <c r="D19358" t="s">
        <v>33</v>
      </c>
      <c r="E19358" t="s">
        <v>26179</v>
      </c>
      <c r="F19358" t="s">
        <v>27458</v>
      </c>
    </row>
    <row r="19359" spans="1:6" x14ac:dyDescent="0.25">
      <c r="A19359" t="str">
        <f>"782614738900"</f>
        <v>782614738900</v>
      </c>
      <c r="B19359" t="s">
        <v>27459</v>
      </c>
      <c r="C19359" t="s">
        <v>7</v>
      </c>
      <c r="D19359" t="s">
        <v>14</v>
      </c>
      <c r="E19359" t="s">
        <v>26179</v>
      </c>
    </row>
    <row r="19360" spans="1:6" x14ac:dyDescent="0.25">
      <c r="A19360" t="str">
        <f>"7826148331"</f>
        <v>7826148331</v>
      </c>
      <c r="B19360" t="s">
        <v>27460</v>
      </c>
      <c r="C19360" t="s">
        <v>7</v>
      </c>
      <c r="D19360" t="s">
        <v>674</v>
      </c>
      <c r="E19360" t="s">
        <v>26179</v>
      </c>
      <c r="F19360" t="s">
        <v>27461</v>
      </c>
    </row>
    <row r="19361" spans="1:6" x14ac:dyDescent="0.25">
      <c r="A19361" t="str">
        <f>"782615174414"</f>
        <v>782615174414</v>
      </c>
      <c r="B19361" t="s">
        <v>27462</v>
      </c>
      <c r="C19361" t="s">
        <v>7</v>
      </c>
      <c r="D19361" t="s">
        <v>14</v>
      </c>
      <c r="E19361" t="s">
        <v>26179</v>
      </c>
    </row>
    <row r="19362" spans="1:6" x14ac:dyDescent="0.25">
      <c r="A19362" t="str">
        <f>"782702937736"</f>
        <v>782702937736</v>
      </c>
      <c r="B19362" t="s">
        <v>27463</v>
      </c>
      <c r="C19362" t="s">
        <v>7</v>
      </c>
      <c r="D19362" t="s">
        <v>14</v>
      </c>
      <c r="E19362" t="s">
        <v>26179</v>
      </c>
    </row>
    <row r="19363" spans="1:6" x14ac:dyDescent="0.25">
      <c r="A19363" t="str">
        <f>"7838111223"</f>
        <v>7838111223</v>
      </c>
      <c r="B19363" t="s">
        <v>27464</v>
      </c>
      <c r="C19363" t="s">
        <v>7</v>
      </c>
      <c r="D19363" t="s">
        <v>14</v>
      </c>
      <c r="E19363" t="s">
        <v>26179</v>
      </c>
      <c r="F19363" t="s">
        <v>27465</v>
      </c>
    </row>
    <row r="19364" spans="1:6" x14ac:dyDescent="0.25">
      <c r="A19364" t="str">
        <f>"7838513980"</f>
        <v>7838513980</v>
      </c>
      <c r="B19364" t="s">
        <v>13198</v>
      </c>
      <c r="C19364" t="s">
        <v>7</v>
      </c>
      <c r="D19364" t="s">
        <v>33</v>
      </c>
      <c r="E19364" t="s">
        <v>26179</v>
      </c>
      <c r="F19364" t="s">
        <v>27466</v>
      </c>
    </row>
    <row r="19365" spans="1:6" x14ac:dyDescent="0.25">
      <c r="A19365" t="str">
        <f>"7839005348"</f>
        <v>7839005348</v>
      </c>
      <c r="B19365" t="s">
        <v>27467</v>
      </c>
      <c r="C19365" t="s">
        <v>7</v>
      </c>
      <c r="D19365" t="s">
        <v>33</v>
      </c>
      <c r="E19365" t="s">
        <v>26179</v>
      </c>
      <c r="F19365" t="s">
        <v>27468</v>
      </c>
    </row>
    <row r="19366" spans="1:6" x14ac:dyDescent="0.25">
      <c r="A19366" t="str">
        <f>"783901230904"</f>
        <v>783901230904</v>
      </c>
      <c r="B19366" t="s">
        <v>27469</v>
      </c>
      <c r="C19366" t="s">
        <v>7</v>
      </c>
      <c r="D19366" t="s">
        <v>14</v>
      </c>
      <c r="E19366" t="s">
        <v>26179</v>
      </c>
    </row>
    <row r="19367" spans="1:6" x14ac:dyDescent="0.25">
      <c r="A19367" t="str">
        <f>"7839040871"</f>
        <v>7839040871</v>
      </c>
      <c r="B19367" t="s">
        <v>27470</v>
      </c>
      <c r="C19367" t="s">
        <v>7</v>
      </c>
      <c r="D19367" t="s">
        <v>33</v>
      </c>
      <c r="E19367" t="s">
        <v>26179</v>
      </c>
      <c r="F19367" t="s">
        <v>27471</v>
      </c>
    </row>
    <row r="19368" spans="1:6" x14ac:dyDescent="0.25">
      <c r="A19368" t="str">
        <f>"7840111492"</f>
        <v>7840111492</v>
      </c>
      <c r="B19368" t="s">
        <v>27472</v>
      </c>
      <c r="C19368" t="s">
        <v>7</v>
      </c>
      <c r="D19368" t="s">
        <v>463</v>
      </c>
      <c r="E19368" t="s">
        <v>26179</v>
      </c>
      <c r="F19368" t="s">
        <v>27473</v>
      </c>
    </row>
    <row r="19369" spans="1:6" x14ac:dyDescent="0.25">
      <c r="A19369" t="str">
        <f>"7840116839"</f>
        <v>7840116839</v>
      </c>
      <c r="B19369" t="s">
        <v>27474</v>
      </c>
      <c r="C19369" t="s">
        <v>7</v>
      </c>
      <c r="D19369" t="s">
        <v>14</v>
      </c>
      <c r="E19369" t="s">
        <v>26179</v>
      </c>
      <c r="F19369" t="s">
        <v>27475</v>
      </c>
    </row>
    <row r="19370" spans="1:6" x14ac:dyDescent="0.25">
      <c r="A19370" t="str">
        <f>"7840482874"</f>
        <v>7840482874</v>
      </c>
      <c r="B19370" t="s">
        <v>27476</v>
      </c>
      <c r="C19370" t="s">
        <v>7</v>
      </c>
      <c r="D19370" t="s">
        <v>8</v>
      </c>
      <c r="E19370" t="s">
        <v>26179</v>
      </c>
      <c r="F19370" t="s">
        <v>27477</v>
      </c>
    </row>
    <row r="19371" spans="1:6" x14ac:dyDescent="0.25">
      <c r="A19371" t="str">
        <f>"7841468216"</f>
        <v>7841468216</v>
      </c>
      <c r="B19371" t="s">
        <v>27478</v>
      </c>
      <c r="C19371" t="s">
        <v>7</v>
      </c>
      <c r="D19371" t="s">
        <v>8</v>
      </c>
      <c r="E19371" t="s">
        <v>26179</v>
      </c>
      <c r="F19371" t="s">
        <v>27479</v>
      </c>
    </row>
    <row r="19372" spans="1:6" x14ac:dyDescent="0.25">
      <c r="A19372" t="str">
        <f>"7842082462"</f>
        <v>7842082462</v>
      </c>
      <c r="B19372" t="s">
        <v>27480</v>
      </c>
      <c r="C19372" t="s">
        <v>7</v>
      </c>
      <c r="D19372" t="s">
        <v>33</v>
      </c>
      <c r="E19372" t="s">
        <v>26179</v>
      </c>
      <c r="F19372" t="s">
        <v>27481</v>
      </c>
    </row>
    <row r="19373" spans="1:6" x14ac:dyDescent="0.25">
      <c r="A19373" t="str">
        <f>"7842123849"</f>
        <v>7842123849</v>
      </c>
      <c r="B19373" t="s">
        <v>27482</v>
      </c>
      <c r="C19373" t="s">
        <v>7</v>
      </c>
      <c r="D19373" t="s">
        <v>189</v>
      </c>
      <c r="E19373" t="s">
        <v>26179</v>
      </c>
      <c r="F19373" t="s">
        <v>27483</v>
      </c>
    </row>
    <row r="19374" spans="1:6" x14ac:dyDescent="0.25">
      <c r="A19374" t="str">
        <f>"7842155505"</f>
        <v>7842155505</v>
      </c>
      <c r="B19374" t="s">
        <v>27484</v>
      </c>
      <c r="C19374" t="s">
        <v>7</v>
      </c>
      <c r="D19374" t="s">
        <v>33</v>
      </c>
      <c r="E19374" t="s">
        <v>26179</v>
      </c>
      <c r="F19374" t="s">
        <v>27485</v>
      </c>
    </row>
    <row r="19375" spans="1:6" x14ac:dyDescent="0.25">
      <c r="A19375" t="str">
        <f>"7842186870"</f>
        <v>7842186870</v>
      </c>
      <c r="B19375" t="s">
        <v>27486</v>
      </c>
      <c r="C19375" t="s">
        <v>7</v>
      </c>
      <c r="D19375" t="s">
        <v>33</v>
      </c>
      <c r="E19375" t="s">
        <v>26179</v>
      </c>
      <c r="F19375" t="s">
        <v>27487</v>
      </c>
    </row>
    <row r="19376" spans="1:6" x14ac:dyDescent="0.25">
      <c r="A19376" t="str">
        <f>"7842387150"</f>
        <v>7842387150</v>
      </c>
      <c r="B19376" t="s">
        <v>27488</v>
      </c>
      <c r="C19376" t="s">
        <v>7</v>
      </c>
      <c r="D19376" t="s">
        <v>674</v>
      </c>
      <c r="E19376" t="s">
        <v>26179</v>
      </c>
      <c r="F19376" t="s">
        <v>27489</v>
      </c>
    </row>
    <row r="19377" spans="1:6" x14ac:dyDescent="0.25">
      <c r="A19377" t="str">
        <f>"7842392827"</f>
        <v>7842392827</v>
      </c>
      <c r="B19377" t="s">
        <v>27490</v>
      </c>
      <c r="C19377" t="s">
        <v>7</v>
      </c>
      <c r="D19377" t="s">
        <v>33</v>
      </c>
      <c r="E19377" t="s">
        <v>26179</v>
      </c>
      <c r="F19377" t="s">
        <v>27491</v>
      </c>
    </row>
    <row r="19378" spans="1:6" x14ac:dyDescent="0.25">
      <c r="A19378" t="str">
        <f>"784801622233"</f>
        <v>784801622233</v>
      </c>
      <c r="B19378" t="s">
        <v>27492</v>
      </c>
      <c r="C19378" t="s">
        <v>7</v>
      </c>
      <c r="D19378" t="s">
        <v>14</v>
      </c>
      <c r="E19378" t="s">
        <v>26179</v>
      </c>
    </row>
    <row r="19379" spans="1:6" x14ac:dyDescent="0.25">
      <c r="A19379" t="str">
        <f>"784802304804"</f>
        <v>784802304804</v>
      </c>
      <c r="B19379" t="s">
        <v>27493</v>
      </c>
      <c r="C19379" t="s">
        <v>7</v>
      </c>
      <c r="D19379" t="s">
        <v>14</v>
      </c>
      <c r="E19379" t="s">
        <v>26179</v>
      </c>
    </row>
    <row r="19380" spans="1:6" x14ac:dyDescent="0.25">
      <c r="A19380" t="str">
        <f>"710309829600"</f>
        <v>710309829600</v>
      </c>
      <c r="B19380" t="s">
        <v>27494</v>
      </c>
      <c r="C19380" t="s">
        <v>7</v>
      </c>
      <c r="D19380" t="s">
        <v>12</v>
      </c>
      <c r="E19380" t="s">
        <v>26179</v>
      </c>
    </row>
    <row r="19381" spans="1:6" x14ac:dyDescent="0.25">
      <c r="A19381" t="str">
        <f>"662311070922"</f>
        <v>662311070922</v>
      </c>
      <c r="B19381" t="s">
        <v>27495</v>
      </c>
      <c r="C19381" t="s">
        <v>7</v>
      </c>
      <c r="D19381" t="s">
        <v>14</v>
      </c>
      <c r="E19381" t="s">
        <v>26179</v>
      </c>
    </row>
    <row r="19382" spans="1:6" x14ac:dyDescent="0.25">
      <c r="A19382" t="str">
        <f>"663211852572"</f>
        <v>663211852572</v>
      </c>
      <c r="B19382" t="s">
        <v>27496</v>
      </c>
      <c r="C19382" t="s">
        <v>7</v>
      </c>
      <c r="D19382" t="s">
        <v>14</v>
      </c>
      <c r="E19382" t="s">
        <v>26179</v>
      </c>
    </row>
    <row r="19383" spans="1:6" x14ac:dyDescent="0.25">
      <c r="A19383" t="str">
        <f>"760200164204"</f>
        <v>760200164204</v>
      </c>
      <c r="B19383" t="s">
        <v>27497</v>
      </c>
      <c r="C19383" t="s">
        <v>7</v>
      </c>
      <c r="D19383" t="s">
        <v>14</v>
      </c>
      <c r="E19383" t="s">
        <v>26179</v>
      </c>
    </row>
    <row r="19384" spans="1:6" x14ac:dyDescent="0.25">
      <c r="A19384" t="str">
        <f>"5027219960"</f>
        <v>5027219960</v>
      </c>
      <c r="B19384" t="s">
        <v>27498</v>
      </c>
      <c r="C19384" t="s">
        <v>7</v>
      </c>
      <c r="D19384" t="s">
        <v>28</v>
      </c>
      <c r="E19384" t="s">
        <v>26179</v>
      </c>
      <c r="F19384" t="s">
        <v>27499</v>
      </c>
    </row>
    <row r="19385" spans="1:6" x14ac:dyDescent="0.25">
      <c r="A19385" t="str">
        <f>"282501048035"</f>
        <v>282501048035</v>
      </c>
      <c r="B19385" t="s">
        <v>27500</v>
      </c>
      <c r="C19385" t="s">
        <v>7</v>
      </c>
      <c r="D19385" t="s">
        <v>14</v>
      </c>
      <c r="E19385" t="s">
        <v>26179</v>
      </c>
    </row>
    <row r="19386" spans="1:6" x14ac:dyDescent="0.25">
      <c r="A19386" t="str">
        <f>"860319854705"</f>
        <v>860319854705</v>
      </c>
      <c r="B19386" t="s">
        <v>27501</v>
      </c>
      <c r="C19386" t="s">
        <v>7</v>
      </c>
      <c r="D19386" t="s">
        <v>14</v>
      </c>
      <c r="E19386" t="s">
        <v>26179</v>
      </c>
    </row>
    <row r="19387" spans="1:6" x14ac:dyDescent="0.25">
      <c r="A19387" t="str">
        <f>"390103395282"</f>
        <v>390103395282</v>
      </c>
      <c r="B19387" t="s">
        <v>27502</v>
      </c>
      <c r="C19387" t="s">
        <v>7</v>
      </c>
      <c r="D19387" t="s">
        <v>14</v>
      </c>
      <c r="E19387" t="s">
        <v>26179</v>
      </c>
    </row>
    <row r="19388" spans="1:6" x14ac:dyDescent="0.25">
      <c r="A19388" t="str">
        <f>"752903881788"</f>
        <v>752903881788</v>
      </c>
      <c r="B19388" t="s">
        <v>27503</v>
      </c>
      <c r="C19388" t="s">
        <v>7</v>
      </c>
      <c r="D19388" t="s">
        <v>14</v>
      </c>
      <c r="E19388" t="s">
        <v>26179</v>
      </c>
    </row>
    <row r="19389" spans="1:6" x14ac:dyDescent="0.25">
      <c r="A19389" t="str">
        <f>"662401769063"</f>
        <v>662401769063</v>
      </c>
      <c r="B19389" t="s">
        <v>27504</v>
      </c>
      <c r="C19389" t="s">
        <v>7</v>
      </c>
      <c r="D19389" t="s">
        <v>33</v>
      </c>
      <c r="E19389" t="s">
        <v>26179</v>
      </c>
    </row>
    <row r="19390" spans="1:6" x14ac:dyDescent="0.25">
      <c r="A19390" t="str">
        <f>"344597006203"</f>
        <v>344597006203</v>
      </c>
      <c r="B19390" t="s">
        <v>27505</v>
      </c>
      <c r="C19390" t="s">
        <v>7</v>
      </c>
      <c r="D19390" t="s">
        <v>14</v>
      </c>
      <c r="E19390" t="s">
        <v>26179</v>
      </c>
    </row>
    <row r="19391" spans="1:6" x14ac:dyDescent="0.25">
      <c r="A19391" t="str">
        <f>"290219597422"</f>
        <v>290219597422</v>
      </c>
      <c r="B19391" t="s">
        <v>27506</v>
      </c>
      <c r="C19391" t="s">
        <v>7</v>
      </c>
      <c r="D19391" t="s">
        <v>33</v>
      </c>
      <c r="E19391" t="s">
        <v>26179</v>
      </c>
    </row>
    <row r="19392" spans="1:6" x14ac:dyDescent="0.25">
      <c r="A19392" t="str">
        <f>"590707748955"</f>
        <v>590707748955</v>
      </c>
      <c r="B19392" t="s">
        <v>27507</v>
      </c>
      <c r="C19392" t="s">
        <v>7</v>
      </c>
      <c r="D19392" t="s">
        <v>14</v>
      </c>
      <c r="E19392" t="s">
        <v>26179</v>
      </c>
    </row>
    <row r="19393" spans="1:6" x14ac:dyDescent="0.25">
      <c r="A19393" t="str">
        <f>"290303610030"</f>
        <v>290303610030</v>
      </c>
      <c r="B19393" t="s">
        <v>27508</v>
      </c>
      <c r="C19393" t="s">
        <v>7</v>
      </c>
      <c r="D19393" t="s">
        <v>12</v>
      </c>
      <c r="E19393" t="s">
        <v>26179</v>
      </c>
    </row>
    <row r="19394" spans="1:6" x14ac:dyDescent="0.25">
      <c r="A19394" t="str">
        <f>"3801120023"</f>
        <v>3801120023</v>
      </c>
      <c r="B19394" t="s">
        <v>27509</v>
      </c>
      <c r="C19394" t="s">
        <v>7</v>
      </c>
      <c r="D19394" t="s">
        <v>33</v>
      </c>
      <c r="E19394" t="s">
        <v>26179</v>
      </c>
      <c r="F19394" t="s">
        <v>27510</v>
      </c>
    </row>
    <row r="19395" spans="1:6" x14ac:dyDescent="0.25">
      <c r="A19395" t="str">
        <f>"600100784845"</f>
        <v>600100784845</v>
      </c>
      <c r="B19395" t="s">
        <v>27511</v>
      </c>
      <c r="C19395" t="s">
        <v>7</v>
      </c>
      <c r="D19395" t="s">
        <v>14</v>
      </c>
      <c r="E19395" t="s">
        <v>26179</v>
      </c>
    </row>
    <row r="19396" spans="1:6" x14ac:dyDescent="0.25">
      <c r="A19396" t="str">
        <f>"601502325138"</f>
        <v>601502325138</v>
      </c>
      <c r="B19396" t="s">
        <v>27512</v>
      </c>
      <c r="C19396" t="s">
        <v>7</v>
      </c>
      <c r="D19396" t="s">
        <v>14</v>
      </c>
      <c r="E19396" t="s">
        <v>26179</v>
      </c>
    </row>
    <row r="19397" spans="1:6" x14ac:dyDescent="0.25">
      <c r="A19397" t="str">
        <f>"410117750789"</f>
        <v>410117750789</v>
      </c>
      <c r="B19397" t="s">
        <v>27513</v>
      </c>
      <c r="C19397" t="s">
        <v>7</v>
      </c>
      <c r="D19397" t="s">
        <v>12</v>
      </c>
      <c r="E19397" t="s">
        <v>26179</v>
      </c>
    </row>
    <row r="19398" spans="1:6" x14ac:dyDescent="0.25">
      <c r="A19398" t="str">
        <f>"164604824175"</f>
        <v>164604824175</v>
      </c>
      <c r="B19398" t="s">
        <v>27514</v>
      </c>
      <c r="C19398" t="s">
        <v>7</v>
      </c>
      <c r="D19398" t="s">
        <v>14</v>
      </c>
      <c r="E19398" t="s">
        <v>26179</v>
      </c>
    </row>
    <row r="19399" spans="1:6" x14ac:dyDescent="0.25">
      <c r="A19399" t="str">
        <f>"164812306047"</f>
        <v>164812306047</v>
      </c>
      <c r="B19399" t="s">
        <v>27515</v>
      </c>
      <c r="C19399" t="s">
        <v>7</v>
      </c>
      <c r="D19399" t="s">
        <v>14</v>
      </c>
      <c r="E19399" t="s">
        <v>26179</v>
      </c>
    </row>
    <row r="19400" spans="1:6" x14ac:dyDescent="0.25">
      <c r="A19400" t="str">
        <f>"7801336291"</f>
        <v>7801336291</v>
      </c>
      <c r="B19400" t="s">
        <v>27516</v>
      </c>
      <c r="C19400" t="s">
        <v>7</v>
      </c>
      <c r="D19400" t="s">
        <v>189</v>
      </c>
      <c r="E19400" t="s">
        <v>26179</v>
      </c>
      <c r="F19400" t="s">
        <v>27517</v>
      </c>
    </row>
    <row r="19401" spans="1:6" x14ac:dyDescent="0.25">
      <c r="A19401" t="str">
        <f>"672403261105"</f>
        <v>672403261105</v>
      </c>
      <c r="B19401" t="s">
        <v>27518</v>
      </c>
      <c r="C19401" t="s">
        <v>7</v>
      </c>
      <c r="D19401" t="s">
        <v>14</v>
      </c>
      <c r="E19401" t="s">
        <v>26179</v>
      </c>
    </row>
    <row r="19402" spans="1:6" x14ac:dyDescent="0.25">
      <c r="A19402" t="str">
        <f>"672508713863"</f>
        <v>672508713863</v>
      </c>
      <c r="B19402" t="s">
        <v>27519</v>
      </c>
      <c r="C19402" t="s">
        <v>7</v>
      </c>
      <c r="D19402" t="s">
        <v>14</v>
      </c>
      <c r="E19402" t="s">
        <v>26179</v>
      </c>
    </row>
    <row r="19403" spans="1:6" x14ac:dyDescent="0.25">
      <c r="A19403" t="str">
        <f>"510500272669"</f>
        <v>510500272669</v>
      </c>
      <c r="B19403" t="s">
        <v>27520</v>
      </c>
      <c r="C19403" t="s">
        <v>7</v>
      </c>
      <c r="D19403" t="s">
        <v>14</v>
      </c>
      <c r="E19403" t="s">
        <v>26179</v>
      </c>
    </row>
    <row r="19404" spans="1:6" x14ac:dyDescent="0.25">
      <c r="A19404" t="str">
        <f>"510516191775"</f>
        <v>510516191775</v>
      </c>
      <c r="B19404" t="s">
        <v>27521</v>
      </c>
      <c r="C19404" t="s">
        <v>7</v>
      </c>
      <c r="D19404" t="s">
        <v>33</v>
      </c>
      <c r="E19404" t="s">
        <v>26179</v>
      </c>
    </row>
    <row r="19405" spans="1:6" x14ac:dyDescent="0.25">
      <c r="A19405" t="str">
        <f>"510902395950"</f>
        <v>510902395950</v>
      </c>
      <c r="B19405" t="s">
        <v>27522</v>
      </c>
      <c r="C19405" t="s">
        <v>7</v>
      </c>
      <c r="D19405" t="s">
        <v>12</v>
      </c>
      <c r="E19405" t="s">
        <v>26179</v>
      </c>
    </row>
    <row r="19406" spans="1:6" x14ac:dyDescent="0.25">
      <c r="A19406" t="str">
        <f>"1683013170"</f>
        <v>1683013170</v>
      </c>
      <c r="B19406" t="s">
        <v>27523</v>
      </c>
      <c r="C19406" t="s">
        <v>7</v>
      </c>
      <c r="D19406" t="s">
        <v>33</v>
      </c>
      <c r="E19406" t="s">
        <v>26179</v>
      </c>
      <c r="F19406" t="s">
        <v>27524</v>
      </c>
    </row>
    <row r="19407" spans="1:6" x14ac:dyDescent="0.25">
      <c r="A19407" t="str">
        <f>"510303506702"</f>
        <v>510303506702</v>
      </c>
      <c r="B19407" t="s">
        <v>27525</v>
      </c>
      <c r="C19407" t="s">
        <v>7</v>
      </c>
      <c r="D19407" t="s">
        <v>28</v>
      </c>
      <c r="E19407" t="s">
        <v>26179</v>
      </c>
    </row>
    <row r="19408" spans="1:6" x14ac:dyDescent="0.25">
      <c r="A19408" t="str">
        <f>"511601982402"</f>
        <v>511601982402</v>
      </c>
      <c r="B19408" t="s">
        <v>27526</v>
      </c>
      <c r="C19408" t="s">
        <v>7</v>
      </c>
      <c r="D19408" t="s">
        <v>14</v>
      </c>
      <c r="E19408" t="s">
        <v>26179</v>
      </c>
    </row>
    <row r="19409" spans="1:6" x14ac:dyDescent="0.25">
      <c r="A19409" t="str">
        <f>"3123343483"</f>
        <v>3123343483</v>
      </c>
      <c r="B19409" t="s">
        <v>27527</v>
      </c>
      <c r="C19409" t="s">
        <v>7</v>
      </c>
      <c r="D19409" t="s">
        <v>146</v>
      </c>
      <c r="E19409" t="s">
        <v>26179</v>
      </c>
      <c r="F19409" t="s">
        <v>27528</v>
      </c>
    </row>
    <row r="19410" spans="1:6" x14ac:dyDescent="0.25">
      <c r="A19410" t="str">
        <f>"3123412360"</f>
        <v>3123412360</v>
      </c>
      <c r="B19410" t="s">
        <v>27529</v>
      </c>
      <c r="C19410" t="s">
        <v>7</v>
      </c>
      <c r="D19410" t="s">
        <v>33</v>
      </c>
      <c r="E19410" t="s">
        <v>26179</v>
      </c>
      <c r="F19410" t="s">
        <v>27530</v>
      </c>
    </row>
    <row r="19411" spans="1:6" x14ac:dyDescent="0.25">
      <c r="A19411" t="str">
        <f>"3123424862"</f>
        <v>3123424862</v>
      </c>
      <c r="B19411" t="s">
        <v>27531</v>
      </c>
      <c r="C19411" t="s">
        <v>7</v>
      </c>
      <c r="D19411" t="s">
        <v>33</v>
      </c>
      <c r="E19411" t="s">
        <v>26179</v>
      </c>
      <c r="F19411" t="s">
        <v>27532</v>
      </c>
    </row>
    <row r="19412" spans="1:6" x14ac:dyDescent="0.25">
      <c r="A19412" t="str">
        <f>"3123430619"</f>
        <v>3123430619</v>
      </c>
      <c r="B19412" t="s">
        <v>27533</v>
      </c>
      <c r="C19412" t="s">
        <v>7</v>
      </c>
      <c r="D19412" t="s">
        <v>33</v>
      </c>
      <c r="E19412" t="s">
        <v>26179</v>
      </c>
      <c r="F19412" t="s">
        <v>27534</v>
      </c>
    </row>
    <row r="19413" spans="1:6" x14ac:dyDescent="0.25">
      <c r="A19413" t="str">
        <f>"321202626812"</f>
        <v>321202626812</v>
      </c>
      <c r="B19413" t="s">
        <v>27535</v>
      </c>
      <c r="C19413" t="s">
        <v>7</v>
      </c>
      <c r="D19413" t="s">
        <v>14</v>
      </c>
      <c r="E19413" t="s">
        <v>26179</v>
      </c>
    </row>
    <row r="19414" spans="1:6" x14ac:dyDescent="0.25">
      <c r="A19414" t="str">
        <f>"780158281176"</f>
        <v>780158281176</v>
      </c>
      <c r="B19414" t="s">
        <v>27536</v>
      </c>
      <c r="C19414" t="s">
        <v>7</v>
      </c>
      <c r="D19414" t="s">
        <v>14</v>
      </c>
      <c r="E19414" t="s">
        <v>26179</v>
      </c>
    </row>
    <row r="19415" spans="1:6" x14ac:dyDescent="0.25">
      <c r="A19415" t="str">
        <f>"7801608280"</f>
        <v>7801608280</v>
      </c>
      <c r="B19415" t="s">
        <v>27537</v>
      </c>
      <c r="C19415" t="s">
        <v>7</v>
      </c>
      <c r="D19415" t="s">
        <v>146</v>
      </c>
      <c r="E19415" t="s">
        <v>26179</v>
      </c>
      <c r="F19415" t="s">
        <v>27538</v>
      </c>
    </row>
    <row r="19416" spans="1:6" x14ac:dyDescent="0.25">
      <c r="A19416" t="str">
        <f>"7801701900"</f>
        <v>7801701900</v>
      </c>
      <c r="B19416" t="s">
        <v>27539</v>
      </c>
      <c r="C19416" t="s">
        <v>7</v>
      </c>
      <c r="D19416" t="s">
        <v>98</v>
      </c>
      <c r="E19416" t="s">
        <v>26179</v>
      </c>
      <c r="F19416" t="s">
        <v>27540</v>
      </c>
    </row>
    <row r="19417" spans="1:6" x14ac:dyDescent="0.25">
      <c r="A19417" t="str">
        <f>"780228799870"</f>
        <v>780228799870</v>
      </c>
      <c r="B19417" t="s">
        <v>27541</v>
      </c>
      <c r="C19417" t="s">
        <v>7</v>
      </c>
      <c r="D19417" t="s">
        <v>33</v>
      </c>
      <c r="E19417" t="s">
        <v>26179</v>
      </c>
    </row>
    <row r="19418" spans="1:6" x14ac:dyDescent="0.25">
      <c r="A19418" t="str">
        <f>"7802348846"</f>
        <v>7802348846</v>
      </c>
      <c r="B19418" t="s">
        <v>27542</v>
      </c>
      <c r="C19418" t="s">
        <v>7</v>
      </c>
      <c r="D19418" t="s">
        <v>12</v>
      </c>
      <c r="E19418" t="s">
        <v>26179</v>
      </c>
      <c r="F19418" t="s">
        <v>27543</v>
      </c>
    </row>
    <row r="19419" spans="1:6" x14ac:dyDescent="0.25">
      <c r="A19419" t="str">
        <f>"780243496327"</f>
        <v>780243496327</v>
      </c>
      <c r="B19419" t="s">
        <v>27544</v>
      </c>
      <c r="C19419" t="s">
        <v>7</v>
      </c>
      <c r="D19419" t="s">
        <v>12</v>
      </c>
      <c r="E19419" t="s">
        <v>26179</v>
      </c>
    </row>
    <row r="19420" spans="1:6" x14ac:dyDescent="0.25">
      <c r="A19420" t="str">
        <f>"780250610369"</f>
        <v>780250610369</v>
      </c>
      <c r="B19420" t="s">
        <v>27545</v>
      </c>
      <c r="C19420" t="s">
        <v>7</v>
      </c>
      <c r="D19420" t="s">
        <v>14</v>
      </c>
      <c r="E19420" t="s">
        <v>26179</v>
      </c>
    </row>
    <row r="19421" spans="1:6" x14ac:dyDescent="0.25">
      <c r="A19421" t="str">
        <f>"7802574531"</f>
        <v>7802574531</v>
      </c>
      <c r="B19421" t="s">
        <v>27546</v>
      </c>
      <c r="C19421" t="s">
        <v>7</v>
      </c>
      <c r="D19421" t="s">
        <v>14</v>
      </c>
      <c r="E19421" t="s">
        <v>26179</v>
      </c>
      <c r="F19421" t="s">
        <v>27547</v>
      </c>
    </row>
    <row r="19422" spans="1:6" x14ac:dyDescent="0.25">
      <c r="A19422" t="str">
        <f>"7802794953"</f>
        <v>7802794953</v>
      </c>
      <c r="B19422" t="s">
        <v>27548</v>
      </c>
      <c r="C19422" t="s">
        <v>7</v>
      </c>
      <c r="D19422" t="s">
        <v>33</v>
      </c>
      <c r="E19422" t="s">
        <v>26179</v>
      </c>
      <c r="F19422" t="s">
        <v>27549</v>
      </c>
    </row>
    <row r="19423" spans="1:6" x14ac:dyDescent="0.25">
      <c r="A19423" t="str">
        <f>"7802874334"</f>
        <v>7802874334</v>
      </c>
      <c r="B19423" t="s">
        <v>27550</v>
      </c>
      <c r="C19423" t="s">
        <v>7</v>
      </c>
      <c r="D19423" t="s">
        <v>33</v>
      </c>
      <c r="E19423" t="s">
        <v>26179</v>
      </c>
      <c r="F19423" t="s">
        <v>27551</v>
      </c>
    </row>
    <row r="19424" spans="1:6" x14ac:dyDescent="0.25">
      <c r="A19424" t="str">
        <f>"7802881042"</f>
        <v>7802881042</v>
      </c>
      <c r="B19424" t="s">
        <v>27552</v>
      </c>
      <c r="C19424" t="s">
        <v>7</v>
      </c>
      <c r="D19424" t="s">
        <v>28</v>
      </c>
      <c r="E19424" t="s">
        <v>26179</v>
      </c>
      <c r="F19424" t="s">
        <v>27553</v>
      </c>
    </row>
    <row r="19425" spans="1:6" x14ac:dyDescent="0.25">
      <c r="A19425" t="str">
        <f>"780436583865"</f>
        <v>780436583865</v>
      </c>
      <c r="B19425" t="s">
        <v>27554</v>
      </c>
      <c r="C19425" t="s">
        <v>7</v>
      </c>
      <c r="D19425" t="s">
        <v>14</v>
      </c>
      <c r="E19425" t="s">
        <v>26179</v>
      </c>
    </row>
    <row r="19426" spans="1:6" x14ac:dyDescent="0.25">
      <c r="A19426" t="str">
        <f>"7804653468"</f>
        <v>7804653468</v>
      </c>
      <c r="B19426" t="s">
        <v>27555</v>
      </c>
      <c r="C19426" t="s">
        <v>7</v>
      </c>
      <c r="D19426" t="s">
        <v>14</v>
      </c>
      <c r="E19426" t="s">
        <v>26179</v>
      </c>
      <c r="F19426" t="s">
        <v>27556</v>
      </c>
    </row>
    <row r="19427" spans="1:6" x14ac:dyDescent="0.25">
      <c r="A19427" t="str">
        <f>"7804703101"</f>
        <v>7804703101</v>
      </c>
      <c r="B19427" t="s">
        <v>27557</v>
      </c>
      <c r="C19427" t="s">
        <v>7</v>
      </c>
      <c r="D19427" t="s">
        <v>14</v>
      </c>
      <c r="E19427" t="s">
        <v>26179</v>
      </c>
      <c r="F19427" t="s">
        <v>27558</v>
      </c>
    </row>
    <row r="19428" spans="1:6" x14ac:dyDescent="0.25">
      <c r="A19428" t="str">
        <f>"780490026894"</f>
        <v>780490026894</v>
      </c>
      <c r="B19428" t="s">
        <v>27559</v>
      </c>
      <c r="C19428" t="s">
        <v>7</v>
      </c>
      <c r="D19428" t="s">
        <v>12</v>
      </c>
      <c r="E19428" t="s">
        <v>26179</v>
      </c>
    </row>
    <row r="19429" spans="1:6" x14ac:dyDescent="0.25">
      <c r="A19429" t="str">
        <f>"7805009760"</f>
        <v>7805009760</v>
      </c>
      <c r="B19429" t="s">
        <v>27560</v>
      </c>
      <c r="C19429" t="s">
        <v>7</v>
      </c>
      <c r="D19429" t="s">
        <v>14</v>
      </c>
      <c r="E19429" t="s">
        <v>26179</v>
      </c>
      <c r="F19429" t="s">
        <v>27561</v>
      </c>
    </row>
    <row r="19430" spans="1:6" x14ac:dyDescent="0.25">
      <c r="A19430" t="str">
        <f>"7805094438"</f>
        <v>7805094438</v>
      </c>
      <c r="B19430" t="s">
        <v>27562</v>
      </c>
      <c r="C19430" t="s">
        <v>7</v>
      </c>
      <c r="D19430" t="s">
        <v>98</v>
      </c>
      <c r="E19430" t="s">
        <v>26179</v>
      </c>
      <c r="F19430" t="s">
        <v>27563</v>
      </c>
    </row>
    <row r="19431" spans="1:6" x14ac:dyDescent="0.25">
      <c r="A19431" t="str">
        <f>"7805112045"</f>
        <v>7805112045</v>
      </c>
      <c r="B19431" t="s">
        <v>27564</v>
      </c>
      <c r="C19431" t="s">
        <v>7</v>
      </c>
      <c r="D19431" t="s">
        <v>146</v>
      </c>
      <c r="E19431" t="s">
        <v>26179</v>
      </c>
      <c r="F19431" t="s">
        <v>27565</v>
      </c>
    </row>
    <row r="19432" spans="1:6" x14ac:dyDescent="0.25">
      <c r="A19432" t="str">
        <f>"7805640824"</f>
        <v>7805640824</v>
      </c>
      <c r="B19432" t="s">
        <v>6023</v>
      </c>
      <c r="C19432" t="s">
        <v>7</v>
      </c>
      <c r="D19432" t="s">
        <v>12</v>
      </c>
      <c r="E19432" t="s">
        <v>26179</v>
      </c>
      <c r="F19432" t="s">
        <v>27566</v>
      </c>
    </row>
    <row r="19433" spans="1:6" x14ac:dyDescent="0.25">
      <c r="A19433" t="str">
        <f>"7805696746"</f>
        <v>7805696746</v>
      </c>
      <c r="B19433" t="s">
        <v>27567</v>
      </c>
      <c r="C19433" t="s">
        <v>7</v>
      </c>
      <c r="D19433" t="s">
        <v>33</v>
      </c>
      <c r="E19433" t="s">
        <v>26179</v>
      </c>
      <c r="F19433" t="s">
        <v>27568</v>
      </c>
    </row>
    <row r="19434" spans="1:6" x14ac:dyDescent="0.25">
      <c r="A19434" t="str">
        <f>"7806589698"</f>
        <v>7806589698</v>
      </c>
      <c r="B19434" t="s">
        <v>27569</v>
      </c>
      <c r="C19434" t="s">
        <v>7</v>
      </c>
      <c r="D19434" t="s">
        <v>8</v>
      </c>
      <c r="E19434" t="s">
        <v>26179</v>
      </c>
      <c r="F19434" t="s">
        <v>27570</v>
      </c>
    </row>
    <row r="19435" spans="1:6" x14ac:dyDescent="0.25">
      <c r="A19435" t="str">
        <f>"7807166046"</f>
        <v>7807166046</v>
      </c>
      <c r="B19435" t="s">
        <v>27571</v>
      </c>
      <c r="C19435" t="s">
        <v>7</v>
      </c>
      <c r="D19435" t="s">
        <v>12</v>
      </c>
      <c r="E19435" t="s">
        <v>26179</v>
      </c>
      <c r="F19435" t="s">
        <v>27572</v>
      </c>
    </row>
    <row r="19436" spans="1:6" x14ac:dyDescent="0.25">
      <c r="A19436" t="str">
        <f>"7807259244"</f>
        <v>7807259244</v>
      </c>
      <c r="B19436" t="s">
        <v>27573</v>
      </c>
      <c r="C19436" t="s">
        <v>7</v>
      </c>
      <c r="D19436" t="s">
        <v>8</v>
      </c>
      <c r="E19436" t="s">
        <v>26179</v>
      </c>
      <c r="F19436" t="s">
        <v>27574</v>
      </c>
    </row>
    <row r="19437" spans="1:6" x14ac:dyDescent="0.25">
      <c r="A19437" t="str">
        <f>"7810145092"</f>
        <v>7810145092</v>
      </c>
      <c r="B19437" t="s">
        <v>27575</v>
      </c>
      <c r="C19437" t="s">
        <v>7</v>
      </c>
      <c r="D19437" t="s">
        <v>12</v>
      </c>
      <c r="E19437" t="s">
        <v>26179</v>
      </c>
      <c r="F19437" t="s">
        <v>27576</v>
      </c>
    </row>
    <row r="19438" spans="1:6" x14ac:dyDescent="0.25">
      <c r="A19438" t="str">
        <f>"7810246767"</f>
        <v>7810246767</v>
      </c>
      <c r="B19438" t="s">
        <v>27577</v>
      </c>
      <c r="C19438" t="s">
        <v>7</v>
      </c>
      <c r="D19438" t="s">
        <v>14</v>
      </c>
      <c r="E19438" t="s">
        <v>26179</v>
      </c>
      <c r="F19438" t="s">
        <v>27578</v>
      </c>
    </row>
    <row r="19439" spans="1:6" x14ac:dyDescent="0.25">
      <c r="A19439" t="str">
        <f>"7810337380"</f>
        <v>7810337380</v>
      </c>
      <c r="B19439" t="s">
        <v>27579</v>
      </c>
      <c r="C19439" t="s">
        <v>7</v>
      </c>
      <c r="D19439" t="s">
        <v>14</v>
      </c>
      <c r="E19439" t="s">
        <v>26179</v>
      </c>
      <c r="F19439" t="s">
        <v>27580</v>
      </c>
    </row>
    <row r="19440" spans="1:6" x14ac:dyDescent="0.25">
      <c r="A19440" t="str">
        <f>"7810379238"</f>
        <v>7810379238</v>
      </c>
      <c r="B19440" t="s">
        <v>27581</v>
      </c>
      <c r="C19440" t="s">
        <v>7</v>
      </c>
      <c r="D19440" t="s">
        <v>189</v>
      </c>
      <c r="E19440" t="s">
        <v>26179</v>
      </c>
      <c r="F19440" t="s">
        <v>27582</v>
      </c>
    </row>
    <row r="19441" spans="1:6" x14ac:dyDescent="0.25">
      <c r="A19441" t="str">
        <f>"7810408930"</f>
        <v>7810408930</v>
      </c>
      <c r="B19441" t="s">
        <v>27583</v>
      </c>
      <c r="C19441" t="s">
        <v>7</v>
      </c>
      <c r="D19441" t="s">
        <v>33</v>
      </c>
      <c r="E19441" t="s">
        <v>26179</v>
      </c>
      <c r="F19441" t="s">
        <v>27584</v>
      </c>
    </row>
    <row r="19442" spans="1:6" x14ac:dyDescent="0.25">
      <c r="A19442" t="str">
        <f>"7810430029"</f>
        <v>7810430029</v>
      </c>
      <c r="B19442" t="s">
        <v>27585</v>
      </c>
      <c r="C19442" t="s">
        <v>7</v>
      </c>
      <c r="D19442" t="s">
        <v>12</v>
      </c>
      <c r="E19442" t="s">
        <v>26179</v>
      </c>
      <c r="F19442" t="s">
        <v>27586</v>
      </c>
    </row>
    <row r="19443" spans="1:6" x14ac:dyDescent="0.25">
      <c r="A19443" t="str">
        <f>"7810636358"</f>
        <v>7810636358</v>
      </c>
      <c r="B19443" t="s">
        <v>27587</v>
      </c>
      <c r="C19443" t="s">
        <v>7</v>
      </c>
      <c r="D19443" t="s">
        <v>98</v>
      </c>
      <c r="E19443" t="s">
        <v>26179</v>
      </c>
      <c r="F19443" t="s">
        <v>27588</v>
      </c>
    </row>
    <row r="19444" spans="1:6" x14ac:dyDescent="0.25">
      <c r="A19444" t="str">
        <f>"7810904582"</f>
        <v>7810904582</v>
      </c>
      <c r="B19444" t="s">
        <v>27589</v>
      </c>
      <c r="C19444" t="s">
        <v>7</v>
      </c>
      <c r="D19444" t="s">
        <v>12</v>
      </c>
      <c r="E19444" t="s">
        <v>26179</v>
      </c>
      <c r="F19444" t="s">
        <v>27590</v>
      </c>
    </row>
    <row r="19445" spans="1:6" x14ac:dyDescent="0.25">
      <c r="A19445" t="str">
        <f>"7810934876"</f>
        <v>7810934876</v>
      </c>
      <c r="B19445" t="s">
        <v>27591</v>
      </c>
      <c r="C19445" t="s">
        <v>7</v>
      </c>
      <c r="D19445" t="s">
        <v>33</v>
      </c>
      <c r="E19445" t="s">
        <v>26179</v>
      </c>
      <c r="F19445" t="s">
        <v>27592</v>
      </c>
    </row>
    <row r="19446" spans="1:6" x14ac:dyDescent="0.25">
      <c r="A19446" t="str">
        <f>"7810956213"</f>
        <v>7810956213</v>
      </c>
      <c r="B19446" t="s">
        <v>27593</v>
      </c>
      <c r="C19446" t="s">
        <v>7</v>
      </c>
      <c r="D19446" t="s">
        <v>189</v>
      </c>
      <c r="E19446" t="s">
        <v>26179</v>
      </c>
      <c r="F19446" t="s">
        <v>27594</v>
      </c>
    </row>
    <row r="19447" spans="1:6" x14ac:dyDescent="0.25">
      <c r="A19447" t="str">
        <f>"781120556313"</f>
        <v>781120556313</v>
      </c>
      <c r="B19447" t="s">
        <v>27595</v>
      </c>
      <c r="C19447" t="s">
        <v>7</v>
      </c>
      <c r="D19447" t="s">
        <v>14</v>
      </c>
      <c r="E19447" t="s">
        <v>26179</v>
      </c>
    </row>
    <row r="19448" spans="1:6" x14ac:dyDescent="0.25">
      <c r="A19448" t="str">
        <f>"7811240006"</f>
        <v>7811240006</v>
      </c>
      <c r="B19448" t="s">
        <v>14613</v>
      </c>
      <c r="C19448" t="s">
        <v>7</v>
      </c>
      <c r="D19448" t="s">
        <v>14</v>
      </c>
      <c r="E19448" t="s">
        <v>26179</v>
      </c>
      <c r="F19448" t="s">
        <v>27596</v>
      </c>
    </row>
    <row r="19449" spans="1:6" x14ac:dyDescent="0.25">
      <c r="A19449" t="str">
        <f>"781138427051"</f>
        <v>781138427051</v>
      </c>
      <c r="B19449" t="s">
        <v>27597</v>
      </c>
      <c r="C19449" t="s">
        <v>7</v>
      </c>
      <c r="D19449" t="s">
        <v>14</v>
      </c>
      <c r="E19449" t="s">
        <v>26179</v>
      </c>
    </row>
    <row r="19450" spans="1:6" x14ac:dyDescent="0.25">
      <c r="A19450" t="str">
        <f>"781146774764"</f>
        <v>781146774764</v>
      </c>
      <c r="B19450" t="s">
        <v>27598</v>
      </c>
      <c r="C19450" t="s">
        <v>7</v>
      </c>
      <c r="D19450" t="s">
        <v>14</v>
      </c>
      <c r="E19450" t="s">
        <v>26179</v>
      </c>
    </row>
    <row r="19451" spans="1:6" x14ac:dyDescent="0.25">
      <c r="A19451" t="str">
        <f>"7811671789"</f>
        <v>7811671789</v>
      </c>
      <c r="B19451" t="s">
        <v>27599</v>
      </c>
      <c r="C19451" t="s">
        <v>7</v>
      </c>
      <c r="D19451" t="s">
        <v>33</v>
      </c>
      <c r="E19451" t="s">
        <v>26179</v>
      </c>
      <c r="F19451" t="s">
        <v>27600</v>
      </c>
    </row>
    <row r="19452" spans="1:6" x14ac:dyDescent="0.25">
      <c r="A19452" t="str">
        <f>"7811680141"</f>
        <v>7811680141</v>
      </c>
      <c r="B19452" t="s">
        <v>25170</v>
      </c>
      <c r="C19452" t="s">
        <v>7</v>
      </c>
      <c r="D19452" t="s">
        <v>146</v>
      </c>
      <c r="E19452" t="s">
        <v>26179</v>
      </c>
      <c r="F19452" t="s">
        <v>27601</v>
      </c>
    </row>
    <row r="19453" spans="1:6" x14ac:dyDescent="0.25">
      <c r="A19453" t="str">
        <f>"7811788191"</f>
        <v>7811788191</v>
      </c>
      <c r="B19453" t="s">
        <v>687</v>
      </c>
      <c r="C19453" t="s">
        <v>7</v>
      </c>
      <c r="D19453" t="s">
        <v>33</v>
      </c>
      <c r="E19453" t="s">
        <v>26179</v>
      </c>
      <c r="F19453" t="s">
        <v>27602</v>
      </c>
    </row>
    <row r="19454" spans="1:6" x14ac:dyDescent="0.25">
      <c r="A19454" t="str">
        <f>"7813689781"</f>
        <v>7813689781</v>
      </c>
      <c r="B19454" t="s">
        <v>27603</v>
      </c>
      <c r="C19454" t="s">
        <v>7</v>
      </c>
      <c r="D19454" t="s">
        <v>674</v>
      </c>
      <c r="E19454" t="s">
        <v>26179</v>
      </c>
      <c r="F19454" t="s">
        <v>27604</v>
      </c>
    </row>
    <row r="19455" spans="1:6" x14ac:dyDescent="0.25">
      <c r="A19455" t="str">
        <f>"781415489060"</f>
        <v>781415489060</v>
      </c>
      <c r="B19455" t="s">
        <v>27605</v>
      </c>
      <c r="C19455" t="s">
        <v>7</v>
      </c>
      <c r="D19455" t="s">
        <v>14</v>
      </c>
      <c r="E19455" t="s">
        <v>26179</v>
      </c>
    </row>
    <row r="19456" spans="1:6" x14ac:dyDescent="0.25">
      <c r="A19456" t="str">
        <f>"781426513356"</f>
        <v>781426513356</v>
      </c>
      <c r="B19456" t="s">
        <v>27606</v>
      </c>
      <c r="C19456" t="s">
        <v>7</v>
      </c>
      <c r="D19456" t="s">
        <v>14</v>
      </c>
      <c r="E19456" t="s">
        <v>26179</v>
      </c>
    </row>
    <row r="19457" spans="1:6" x14ac:dyDescent="0.25">
      <c r="A19457" t="str">
        <f>"7814813801"</f>
        <v>7814813801</v>
      </c>
      <c r="B19457" t="s">
        <v>27607</v>
      </c>
      <c r="C19457" t="s">
        <v>7</v>
      </c>
      <c r="D19457" t="s">
        <v>674</v>
      </c>
      <c r="E19457" t="s">
        <v>26179</v>
      </c>
      <c r="F19457" t="s">
        <v>27608</v>
      </c>
    </row>
    <row r="19458" spans="1:6" x14ac:dyDescent="0.25">
      <c r="A19458" t="str">
        <f>"7814819144"</f>
        <v>7814819144</v>
      </c>
      <c r="B19458" t="s">
        <v>27609</v>
      </c>
      <c r="C19458" t="s">
        <v>7</v>
      </c>
      <c r="D19458" t="s">
        <v>12</v>
      </c>
      <c r="E19458" t="s">
        <v>26179</v>
      </c>
      <c r="F19458" t="s">
        <v>27610</v>
      </c>
    </row>
    <row r="19459" spans="1:6" x14ac:dyDescent="0.25">
      <c r="A19459" t="str">
        <f>"7814822796"</f>
        <v>7814822796</v>
      </c>
      <c r="B19459" t="s">
        <v>27611</v>
      </c>
      <c r="C19459" t="s">
        <v>7</v>
      </c>
      <c r="D19459" t="s">
        <v>8</v>
      </c>
      <c r="E19459" t="s">
        <v>26179</v>
      </c>
      <c r="F19459" t="s">
        <v>27612</v>
      </c>
    </row>
    <row r="19460" spans="1:6" x14ac:dyDescent="0.25">
      <c r="A19460" t="str">
        <f>"7814841069"</f>
        <v>7814841069</v>
      </c>
      <c r="B19460" t="s">
        <v>27613</v>
      </c>
      <c r="C19460" t="s">
        <v>7</v>
      </c>
      <c r="D19460" t="s">
        <v>33</v>
      </c>
      <c r="E19460" t="s">
        <v>26179</v>
      </c>
      <c r="F19460" t="s">
        <v>27614</v>
      </c>
    </row>
    <row r="19461" spans="1:6" x14ac:dyDescent="0.25">
      <c r="A19461" t="str">
        <f>"7814844373"</f>
        <v>7814844373</v>
      </c>
      <c r="B19461" t="s">
        <v>9980</v>
      </c>
      <c r="C19461" t="s">
        <v>7</v>
      </c>
      <c r="D19461" t="s">
        <v>14</v>
      </c>
      <c r="E19461" t="s">
        <v>26179</v>
      </c>
      <c r="F19461" t="s">
        <v>27615</v>
      </c>
    </row>
    <row r="19462" spans="1:6" x14ac:dyDescent="0.25">
      <c r="A19462" t="str">
        <f>"7814846123"</f>
        <v>7814846123</v>
      </c>
      <c r="B19462" t="s">
        <v>27616</v>
      </c>
      <c r="C19462" t="s">
        <v>7</v>
      </c>
      <c r="D19462" t="s">
        <v>33</v>
      </c>
      <c r="E19462" t="s">
        <v>26179</v>
      </c>
      <c r="F19462" t="s">
        <v>27617</v>
      </c>
    </row>
    <row r="19463" spans="1:6" x14ac:dyDescent="0.25">
      <c r="A19463" t="str">
        <f>"781604042580"</f>
        <v>781604042580</v>
      </c>
      <c r="B19463" t="s">
        <v>27618</v>
      </c>
      <c r="C19463" t="s">
        <v>7</v>
      </c>
      <c r="D19463" t="s">
        <v>33</v>
      </c>
      <c r="E19463" t="s">
        <v>26179</v>
      </c>
    </row>
    <row r="19464" spans="1:6" x14ac:dyDescent="0.25">
      <c r="A19464" t="str">
        <f>"7816223452"</f>
        <v>7816223452</v>
      </c>
      <c r="B19464" t="s">
        <v>27619</v>
      </c>
      <c r="C19464" t="s">
        <v>7</v>
      </c>
      <c r="D19464" t="s">
        <v>12</v>
      </c>
      <c r="E19464" t="s">
        <v>26179</v>
      </c>
      <c r="F19464" t="s">
        <v>27620</v>
      </c>
    </row>
    <row r="19465" spans="1:6" x14ac:dyDescent="0.25">
      <c r="A19465" t="str">
        <f>"7816584988"</f>
        <v>7816584988</v>
      </c>
      <c r="B19465" t="s">
        <v>27621</v>
      </c>
      <c r="C19465" t="s">
        <v>7</v>
      </c>
      <c r="D19465" t="s">
        <v>189</v>
      </c>
      <c r="E19465" t="s">
        <v>26179</v>
      </c>
      <c r="F19465" t="s">
        <v>27622</v>
      </c>
    </row>
    <row r="19466" spans="1:6" x14ac:dyDescent="0.25">
      <c r="A19466" t="str">
        <f>"7816652652"</f>
        <v>7816652652</v>
      </c>
      <c r="B19466" t="s">
        <v>22378</v>
      </c>
      <c r="C19466" t="s">
        <v>7</v>
      </c>
      <c r="D19466" t="s">
        <v>14</v>
      </c>
      <c r="E19466" t="s">
        <v>26179</v>
      </c>
      <c r="F19466" t="s">
        <v>27623</v>
      </c>
    </row>
    <row r="19467" spans="1:6" x14ac:dyDescent="0.25">
      <c r="A19467" t="str">
        <f>"7816655702"</f>
        <v>7816655702</v>
      </c>
      <c r="B19467" t="s">
        <v>27624</v>
      </c>
      <c r="C19467" t="s">
        <v>7</v>
      </c>
      <c r="D19467" t="s">
        <v>33</v>
      </c>
      <c r="E19467" t="s">
        <v>26179</v>
      </c>
      <c r="F19467" t="s">
        <v>27625</v>
      </c>
    </row>
    <row r="19468" spans="1:6" x14ac:dyDescent="0.25">
      <c r="A19468" t="str">
        <f>"7816694444"</f>
        <v>7816694444</v>
      </c>
      <c r="B19468" t="s">
        <v>27626</v>
      </c>
      <c r="C19468" t="s">
        <v>7</v>
      </c>
      <c r="D19468" t="s">
        <v>12</v>
      </c>
      <c r="E19468" t="s">
        <v>26179</v>
      </c>
      <c r="F19468" t="s">
        <v>27627</v>
      </c>
    </row>
    <row r="19469" spans="1:6" x14ac:dyDescent="0.25">
      <c r="A19469" t="str">
        <f>"7816755633"</f>
        <v>7816755633</v>
      </c>
      <c r="B19469" t="s">
        <v>27628</v>
      </c>
      <c r="C19469" t="s">
        <v>7</v>
      </c>
      <c r="D19469" t="s">
        <v>674</v>
      </c>
      <c r="E19469" t="s">
        <v>26179</v>
      </c>
      <c r="F19469" t="s">
        <v>27629</v>
      </c>
    </row>
    <row r="19470" spans="1:6" x14ac:dyDescent="0.25">
      <c r="A19470" t="str">
        <f>"781700443320"</f>
        <v>781700443320</v>
      </c>
      <c r="B19470" t="s">
        <v>27630</v>
      </c>
      <c r="C19470" t="s">
        <v>7</v>
      </c>
      <c r="D19470" t="s">
        <v>12</v>
      </c>
      <c r="E19470" t="s">
        <v>26179</v>
      </c>
    </row>
    <row r="19471" spans="1:6" x14ac:dyDescent="0.25">
      <c r="A19471" t="str">
        <f>"7817122400"</f>
        <v>7817122400</v>
      </c>
      <c r="B19471" t="s">
        <v>27631</v>
      </c>
      <c r="C19471" t="s">
        <v>7</v>
      </c>
      <c r="D19471" t="s">
        <v>674</v>
      </c>
      <c r="E19471" t="s">
        <v>26179</v>
      </c>
      <c r="F19471" t="s">
        <v>27632</v>
      </c>
    </row>
    <row r="19472" spans="1:6" x14ac:dyDescent="0.25">
      <c r="A19472" t="str">
        <f>"7819000831"</f>
        <v>7819000831</v>
      </c>
      <c r="B19472" t="s">
        <v>27633</v>
      </c>
      <c r="C19472" t="s">
        <v>7</v>
      </c>
      <c r="D19472" t="s">
        <v>14</v>
      </c>
      <c r="E19472" t="s">
        <v>26179</v>
      </c>
      <c r="F19472" t="s">
        <v>27634</v>
      </c>
    </row>
    <row r="19473" spans="1:6" x14ac:dyDescent="0.25">
      <c r="A19473" t="str">
        <f>"7826152874"</f>
        <v>7826152874</v>
      </c>
      <c r="B19473" t="s">
        <v>27635</v>
      </c>
      <c r="C19473" t="s">
        <v>7</v>
      </c>
      <c r="D19473" t="s">
        <v>14</v>
      </c>
      <c r="E19473" t="s">
        <v>26179</v>
      </c>
      <c r="F19473" t="s">
        <v>27636</v>
      </c>
    </row>
    <row r="19474" spans="1:6" x14ac:dyDescent="0.25">
      <c r="A19474" t="str">
        <f>"7838104160"</f>
        <v>7838104160</v>
      </c>
      <c r="B19474" t="s">
        <v>27637</v>
      </c>
      <c r="C19474" t="s">
        <v>7</v>
      </c>
      <c r="D19474" t="s">
        <v>8</v>
      </c>
      <c r="E19474" t="s">
        <v>26179</v>
      </c>
      <c r="F19474" t="s">
        <v>27638</v>
      </c>
    </row>
    <row r="19475" spans="1:6" x14ac:dyDescent="0.25">
      <c r="A19475" t="str">
        <f>"7839004312"</f>
        <v>7839004312</v>
      </c>
      <c r="B19475" t="s">
        <v>27639</v>
      </c>
      <c r="C19475" t="s">
        <v>7</v>
      </c>
      <c r="D19475" t="s">
        <v>12</v>
      </c>
      <c r="E19475" t="s">
        <v>26179</v>
      </c>
      <c r="F19475" t="s">
        <v>27640</v>
      </c>
    </row>
    <row r="19476" spans="1:6" x14ac:dyDescent="0.25">
      <c r="A19476" t="str">
        <f>"7839087502"</f>
        <v>7839087502</v>
      </c>
      <c r="B19476" t="s">
        <v>27641</v>
      </c>
      <c r="C19476" t="s">
        <v>7</v>
      </c>
      <c r="D19476" t="s">
        <v>14</v>
      </c>
      <c r="E19476" t="s">
        <v>26179</v>
      </c>
      <c r="F19476" t="s">
        <v>27642</v>
      </c>
    </row>
    <row r="19477" spans="1:6" x14ac:dyDescent="0.25">
      <c r="A19477" t="str">
        <f>"7841036047"</f>
        <v>7841036047</v>
      </c>
      <c r="B19477" t="s">
        <v>27643</v>
      </c>
      <c r="C19477" t="s">
        <v>7</v>
      </c>
      <c r="D19477" t="s">
        <v>33</v>
      </c>
      <c r="E19477" t="s">
        <v>26179</v>
      </c>
      <c r="F19477" t="s">
        <v>27644</v>
      </c>
    </row>
    <row r="19478" spans="1:6" x14ac:dyDescent="0.25">
      <c r="A19478" t="str">
        <f>"7842209060"</f>
        <v>7842209060</v>
      </c>
      <c r="B19478" t="s">
        <v>27645</v>
      </c>
      <c r="C19478" t="s">
        <v>7</v>
      </c>
      <c r="D19478" t="s">
        <v>8</v>
      </c>
      <c r="E19478" t="s">
        <v>26179</v>
      </c>
      <c r="F19478" t="s">
        <v>27646</v>
      </c>
    </row>
    <row r="19479" spans="1:6" x14ac:dyDescent="0.25">
      <c r="A19479" t="str">
        <f>"7842406283"</f>
        <v>7842406283</v>
      </c>
      <c r="B19479" t="s">
        <v>27647</v>
      </c>
      <c r="C19479" t="s">
        <v>7</v>
      </c>
      <c r="D19479" t="s">
        <v>14</v>
      </c>
      <c r="E19479" t="s">
        <v>26179</v>
      </c>
      <c r="F19479" t="s">
        <v>27648</v>
      </c>
    </row>
    <row r="19480" spans="1:6" x14ac:dyDescent="0.25">
      <c r="A19480" t="str">
        <f>"272395446476"</f>
        <v>272395446476</v>
      </c>
      <c r="B19480" t="s">
        <v>27649</v>
      </c>
      <c r="C19480" t="s">
        <v>7</v>
      </c>
      <c r="D19480" t="s">
        <v>14</v>
      </c>
      <c r="E19480" t="s">
        <v>27650</v>
      </c>
    </row>
    <row r="19481" spans="1:6" x14ac:dyDescent="0.25">
      <c r="A19481" t="str">
        <f>"790100405007"</f>
        <v>790100405007</v>
      </c>
      <c r="B19481" t="s">
        <v>27651</v>
      </c>
      <c r="C19481" t="s">
        <v>7</v>
      </c>
      <c r="D19481" t="s">
        <v>14</v>
      </c>
      <c r="E19481" t="s">
        <v>27650</v>
      </c>
    </row>
    <row r="19482" spans="1:6" x14ac:dyDescent="0.25">
      <c r="A19482" t="str">
        <f>"790100477530"</f>
        <v>790100477530</v>
      </c>
      <c r="B19482" t="s">
        <v>27652</v>
      </c>
      <c r="C19482" t="s">
        <v>7</v>
      </c>
      <c r="D19482" t="s">
        <v>14</v>
      </c>
      <c r="E19482" t="s">
        <v>27650</v>
      </c>
    </row>
    <row r="19483" spans="1:6" x14ac:dyDescent="0.25">
      <c r="A19483" t="str">
        <f>"790102573663"</f>
        <v>790102573663</v>
      </c>
      <c r="B19483" t="s">
        <v>27653</v>
      </c>
      <c r="C19483" t="s">
        <v>7</v>
      </c>
      <c r="D19483" t="s">
        <v>14</v>
      </c>
      <c r="E19483" t="s">
        <v>27650</v>
      </c>
    </row>
    <row r="19484" spans="1:6" x14ac:dyDescent="0.25">
      <c r="A19484" t="str">
        <f>"790200029388"</f>
        <v>790200029388</v>
      </c>
      <c r="B19484" t="s">
        <v>27654</v>
      </c>
      <c r="C19484" t="s">
        <v>7</v>
      </c>
      <c r="D19484" t="s">
        <v>14</v>
      </c>
      <c r="E19484" t="s">
        <v>27650</v>
      </c>
    </row>
    <row r="19485" spans="1:6" x14ac:dyDescent="0.25">
      <c r="A19485" t="str">
        <f>"790201630432"</f>
        <v>790201630432</v>
      </c>
      <c r="B19485" t="s">
        <v>27655</v>
      </c>
      <c r="C19485" t="s">
        <v>7</v>
      </c>
      <c r="D19485" t="s">
        <v>14</v>
      </c>
      <c r="E19485" t="s">
        <v>27650</v>
      </c>
    </row>
    <row r="19486" spans="1:6" x14ac:dyDescent="0.25">
      <c r="A19486" t="str">
        <f>"7905410327"</f>
        <v>7905410327</v>
      </c>
      <c r="B19486" t="s">
        <v>27656</v>
      </c>
      <c r="C19486" t="s">
        <v>7</v>
      </c>
      <c r="D19486" t="s">
        <v>14</v>
      </c>
      <c r="E19486" t="s">
        <v>27650</v>
      </c>
      <c r="F19486" t="s">
        <v>27657</v>
      </c>
    </row>
    <row r="19487" spans="1:6" x14ac:dyDescent="0.25">
      <c r="A19487" t="str">
        <f>"790100006429"</f>
        <v>790100006429</v>
      </c>
      <c r="B19487" t="s">
        <v>27658</v>
      </c>
      <c r="C19487" t="s">
        <v>7</v>
      </c>
      <c r="D19487" t="s">
        <v>14</v>
      </c>
      <c r="E19487" t="s">
        <v>27650</v>
      </c>
    </row>
    <row r="19488" spans="1:6" x14ac:dyDescent="0.25">
      <c r="A19488" t="str">
        <f>"790100258627"</f>
        <v>790100258627</v>
      </c>
      <c r="B19488" t="s">
        <v>27659</v>
      </c>
      <c r="C19488" t="s">
        <v>7</v>
      </c>
      <c r="D19488" t="s">
        <v>14</v>
      </c>
      <c r="E19488" t="s">
        <v>27650</v>
      </c>
    </row>
    <row r="19489" spans="1:6" x14ac:dyDescent="0.25">
      <c r="A19489" t="str">
        <f>"790100697960"</f>
        <v>790100697960</v>
      </c>
      <c r="B19489" t="s">
        <v>27660</v>
      </c>
      <c r="C19489" t="s">
        <v>7</v>
      </c>
      <c r="D19489" t="s">
        <v>14</v>
      </c>
      <c r="E19489" t="s">
        <v>27650</v>
      </c>
    </row>
    <row r="19490" spans="1:6" x14ac:dyDescent="0.25">
      <c r="A19490" t="str">
        <f>"790104565555"</f>
        <v>790104565555</v>
      </c>
      <c r="B19490" t="s">
        <v>27661</v>
      </c>
      <c r="C19490" t="s">
        <v>7</v>
      </c>
      <c r="D19490" t="s">
        <v>14</v>
      </c>
      <c r="E19490" t="s">
        <v>27650</v>
      </c>
    </row>
    <row r="19491" spans="1:6" x14ac:dyDescent="0.25">
      <c r="A19491" t="str">
        <f>"790300572380"</f>
        <v>790300572380</v>
      </c>
      <c r="B19491" t="s">
        <v>27662</v>
      </c>
      <c r="C19491" t="s">
        <v>7</v>
      </c>
      <c r="D19491" t="s">
        <v>14</v>
      </c>
      <c r="E19491" t="s">
        <v>27650</v>
      </c>
    </row>
    <row r="19492" spans="1:6" x14ac:dyDescent="0.25">
      <c r="A19492" t="str">
        <f>"790301851026"</f>
        <v>790301851026</v>
      </c>
      <c r="B19492" t="s">
        <v>27663</v>
      </c>
      <c r="C19492" t="s">
        <v>7</v>
      </c>
      <c r="D19492" t="s">
        <v>14</v>
      </c>
      <c r="E19492" t="s">
        <v>27650</v>
      </c>
    </row>
    <row r="19493" spans="1:6" x14ac:dyDescent="0.25">
      <c r="A19493" t="str">
        <f>"790101403757"</f>
        <v>790101403757</v>
      </c>
      <c r="B19493" t="s">
        <v>27664</v>
      </c>
      <c r="C19493" t="s">
        <v>7</v>
      </c>
      <c r="D19493" t="s">
        <v>14</v>
      </c>
      <c r="E19493" t="s">
        <v>27650</v>
      </c>
    </row>
    <row r="19494" spans="1:6" x14ac:dyDescent="0.25">
      <c r="A19494" t="str">
        <f>"790307770038"</f>
        <v>790307770038</v>
      </c>
      <c r="B19494" t="s">
        <v>27665</v>
      </c>
      <c r="C19494" t="s">
        <v>7</v>
      </c>
      <c r="D19494" t="s">
        <v>12</v>
      </c>
      <c r="E19494" t="s">
        <v>27650</v>
      </c>
    </row>
    <row r="19495" spans="1:6" x14ac:dyDescent="0.25">
      <c r="A19495" t="str">
        <f>"7903529430"</f>
        <v>7903529430</v>
      </c>
      <c r="B19495" t="s">
        <v>687</v>
      </c>
      <c r="C19495" t="s">
        <v>7</v>
      </c>
      <c r="D19495" t="s">
        <v>14</v>
      </c>
      <c r="E19495" t="s">
        <v>27650</v>
      </c>
      <c r="F19495" t="s">
        <v>27666</v>
      </c>
    </row>
    <row r="19496" spans="1:6" x14ac:dyDescent="0.25">
      <c r="A19496" t="str">
        <f>"790401675688"</f>
        <v>790401675688</v>
      </c>
      <c r="B19496" t="s">
        <v>27667</v>
      </c>
      <c r="C19496" t="s">
        <v>7</v>
      </c>
      <c r="D19496" t="s">
        <v>14</v>
      </c>
      <c r="E19496" t="s">
        <v>27650</v>
      </c>
    </row>
    <row r="19497" spans="1:6" x14ac:dyDescent="0.25">
      <c r="A19497" t="str">
        <f>"790501424350"</f>
        <v>790501424350</v>
      </c>
      <c r="B19497" t="s">
        <v>27668</v>
      </c>
      <c r="C19497" t="s">
        <v>7</v>
      </c>
      <c r="D19497" t="s">
        <v>14</v>
      </c>
      <c r="E19497" t="s">
        <v>27650</v>
      </c>
    </row>
    <row r="19498" spans="1:6" x14ac:dyDescent="0.25">
      <c r="A19498" t="str">
        <f>"790153140322"</f>
        <v>790153140322</v>
      </c>
      <c r="B19498" t="s">
        <v>27669</v>
      </c>
      <c r="C19498" t="s">
        <v>7</v>
      </c>
      <c r="D19498" t="s">
        <v>14</v>
      </c>
      <c r="E19498" t="s">
        <v>27650</v>
      </c>
    </row>
    <row r="19499" spans="1:6" x14ac:dyDescent="0.25">
      <c r="A19499" t="str">
        <f>"543306281770"</f>
        <v>543306281770</v>
      </c>
      <c r="B19499" t="s">
        <v>27670</v>
      </c>
      <c r="C19499" t="s">
        <v>7</v>
      </c>
      <c r="D19499" t="s">
        <v>12</v>
      </c>
      <c r="E19499" t="s">
        <v>27671</v>
      </c>
    </row>
    <row r="19500" spans="1:6" x14ac:dyDescent="0.25">
      <c r="A19500" t="str">
        <f>"2900006986"</f>
        <v>2900006986</v>
      </c>
      <c r="B19500" t="s">
        <v>27672</v>
      </c>
      <c r="C19500" t="s">
        <v>7</v>
      </c>
      <c r="D19500" t="s">
        <v>14</v>
      </c>
      <c r="E19500" t="s">
        <v>27671</v>
      </c>
      <c r="F19500" t="s">
        <v>27673</v>
      </c>
    </row>
    <row r="19501" spans="1:6" x14ac:dyDescent="0.25">
      <c r="A19501" t="str">
        <f>"830002112303"</f>
        <v>830002112303</v>
      </c>
      <c r="B19501" t="s">
        <v>27674</v>
      </c>
      <c r="C19501" t="s">
        <v>7</v>
      </c>
      <c r="D19501" t="s">
        <v>14</v>
      </c>
      <c r="E19501" t="s">
        <v>27671</v>
      </c>
    </row>
    <row r="19502" spans="1:6" x14ac:dyDescent="0.25">
      <c r="A19502" t="str">
        <f>"290113350930"</f>
        <v>290113350930</v>
      </c>
      <c r="B19502" t="s">
        <v>27675</v>
      </c>
      <c r="C19502" t="s">
        <v>7</v>
      </c>
      <c r="D19502" t="s">
        <v>14</v>
      </c>
      <c r="E19502" t="s">
        <v>27671</v>
      </c>
    </row>
    <row r="19503" spans="1:6" x14ac:dyDescent="0.25">
      <c r="A19503" t="str">
        <f>"830000095469"</f>
        <v>830000095469</v>
      </c>
      <c r="B19503" t="s">
        <v>27676</v>
      </c>
      <c r="C19503" t="s">
        <v>7</v>
      </c>
      <c r="D19503" t="s">
        <v>14</v>
      </c>
      <c r="E19503" t="s">
        <v>27671</v>
      </c>
    </row>
    <row r="19504" spans="1:6" x14ac:dyDescent="0.25">
      <c r="A19504" t="str">
        <f>"298302426152"</f>
        <v>298302426152</v>
      </c>
      <c r="B19504" t="s">
        <v>27677</v>
      </c>
      <c r="C19504" t="s">
        <v>7</v>
      </c>
      <c r="D19504" t="s">
        <v>14</v>
      </c>
      <c r="E19504" t="s">
        <v>27671</v>
      </c>
    </row>
    <row r="19505" spans="1:6" x14ac:dyDescent="0.25">
      <c r="A19505" t="str">
        <f>"298300011378"</f>
        <v>298300011378</v>
      </c>
      <c r="B19505" t="s">
        <v>27678</v>
      </c>
      <c r="C19505" t="s">
        <v>7</v>
      </c>
      <c r="D19505" t="s">
        <v>12</v>
      </c>
      <c r="E19505" t="s">
        <v>27671</v>
      </c>
    </row>
    <row r="19506" spans="1:6" x14ac:dyDescent="0.25">
      <c r="A19506" t="str">
        <f>"830000262529"</f>
        <v>830000262529</v>
      </c>
      <c r="B19506" t="s">
        <v>27679</v>
      </c>
      <c r="C19506" t="s">
        <v>7</v>
      </c>
      <c r="D19506" t="s">
        <v>14</v>
      </c>
      <c r="E19506" t="s">
        <v>27671</v>
      </c>
    </row>
    <row r="19507" spans="1:6" x14ac:dyDescent="0.25">
      <c r="A19507" t="str">
        <f>"8300006047"</f>
        <v>8300006047</v>
      </c>
      <c r="B19507" t="s">
        <v>2296</v>
      </c>
      <c r="C19507" t="s">
        <v>7</v>
      </c>
      <c r="D19507" t="s">
        <v>14</v>
      </c>
      <c r="E19507" t="s">
        <v>27671</v>
      </c>
      <c r="F19507" t="s">
        <v>27680</v>
      </c>
    </row>
    <row r="19508" spans="1:6" x14ac:dyDescent="0.25">
      <c r="A19508" t="str">
        <f>"027900912950"</f>
        <v>027900912950</v>
      </c>
      <c r="B19508" t="s">
        <v>27681</v>
      </c>
      <c r="C19508" t="s">
        <v>7</v>
      </c>
      <c r="D19508" t="s">
        <v>12</v>
      </c>
      <c r="E19508" t="s">
        <v>27682</v>
      </c>
    </row>
    <row r="19509" spans="1:6" x14ac:dyDescent="0.25">
      <c r="A19509" t="str">
        <f>"182709232263"</f>
        <v>182709232263</v>
      </c>
      <c r="B19509" t="s">
        <v>27683</v>
      </c>
      <c r="C19509" t="s">
        <v>7</v>
      </c>
      <c r="D19509" t="s">
        <v>33</v>
      </c>
      <c r="E19509" t="s">
        <v>27682</v>
      </c>
    </row>
    <row r="19510" spans="1:6" x14ac:dyDescent="0.25">
      <c r="A19510" t="str">
        <f>"430702679866"</f>
        <v>430702679866</v>
      </c>
      <c r="B19510" t="s">
        <v>27684</v>
      </c>
      <c r="C19510" t="s">
        <v>7</v>
      </c>
      <c r="D19510" t="s">
        <v>12</v>
      </c>
      <c r="E19510" t="s">
        <v>27682</v>
      </c>
    </row>
    <row r="19511" spans="1:6" x14ac:dyDescent="0.25">
      <c r="A19511" t="str">
        <f>"026301477111"</f>
        <v>026301477111</v>
      </c>
      <c r="B19511" t="s">
        <v>27685</v>
      </c>
      <c r="C19511" t="s">
        <v>7</v>
      </c>
      <c r="D19511" t="s">
        <v>14</v>
      </c>
      <c r="E19511" t="s">
        <v>27682</v>
      </c>
    </row>
    <row r="19512" spans="1:6" x14ac:dyDescent="0.25">
      <c r="A19512" t="str">
        <f>"5403079820"</f>
        <v>5403079820</v>
      </c>
      <c r="B19512" t="s">
        <v>27686</v>
      </c>
      <c r="C19512" t="s">
        <v>7</v>
      </c>
      <c r="D19512" t="s">
        <v>14</v>
      </c>
      <c r="E19512" t="s">
        <v>27682</v>
      </c>
      <c r="F19512" t="s">
        <v>27687</v>
      </c>
    </row>
    <row r="19513" spans="1:6" x14ac:dyDescent="0.25">
      <c r="A19513" t="str">
        <f>"450212190846"</f>
        <v>450212190846</v>
      </c>
      <c r="B19513" t="s">
        <v>27688</v>
      </c>
      <c r="C19513" t="s">
        <v>7</v>
      </c>
      <c r="D19513" t="s">
        <v>14</v>
      </c>
      <c r="E19513" t="s">
        <v>27682</v>
      </c>
    </row>
    <row r="19514" spans="1:6" x14ac:dyDescent="0.25">
      <c r="A19514" t="str">
        <f>"5503061143"</f>
        <v>5503061143</v>
      </c>
      <c r="B19514" t="s">
        <v>27689</v>
      </c>
      <c r="C19514" t="s">
        <v>7</v>
      </c>
      <c r="D19514" t="s">
        <v>12</v>
      </c>
      <c r="E19514" t="s">
        <v>27682</v>
      </c>
      <c r="F19514" t="s">
        <v>27690</v>
      </c>
    </row>
    <row r="19515" spans="1:6" x14ac:dyDescent="0.25">
      <c r="A19515" t="str">
        <f>"182908638405"</f>
        <v>182908638405</v>
      </c>
      <c r="B19515" t="s">
        <v>27691</v>
      </c>
      <c r="C19515" t="s">
        <v>7</v>
      </c>
      <c r="D19515" t="s">
        <v>12</v>
      </c>
      <c r="E19515" t="s">
        <v>27682</v>
      </c>
    </row>
    <row r="19516" spans="1:6" x14ac:dyDescent="0.25">
      <c r="A19516" t="str">
        <f>"221100724381"</f>
        <v>221100724381</v>
      </c>
      <c r="B19516" t="s">
        <v>27692</v>
      </c>
      <c r="C19516" t="s">
        <v>7</v>
      </c>
      <c r="D19516" t="s">
        <v>14</v>
      </c>
      <c r="E19516" t="s">
        <v>27682</v>
      </c>
    </row>
    <row r="19517" spans="1:6" x14ac:dyDescent="0.25">
      <c r="A19517" t="str">
        <f>"720508804155"</f>
        <v>720508804155</v>
      </c>
      <c r="B19517" t="s">
        <v>27693</v>
      </c>
      <c r="C19517" t="s">
        <v>7</v>
      </c>
      <c r="D19517" t="s">
        <v>14</v>
      </c>
      <c r="E19517" t="s">
        <v>27682</v>
      </c>
    </row>
    <row r="19518" spans="1:6" x14ac:dyDescent="0.25">
      <c r="A19518" t="str">
        <f>"451801758055"</f>
        <v>451801758055</v>
      </c>
      <c r="B19518" t="s">
        <v>27694</v>
      </c>
      <c r="C19518" t="s">
        <v>7</v>
      </c>
      <c r="D19518" t="s">
        <v>12</v>
      </c>
      <c r="E19518" t="s">
        <v>27682</v>
      </c>
    </row>
    <row r="19519" spans="1:6" x14ac:dyDescent="0.25">
      <c r="A19519" t="str">
        <f>"720601473412"</f>
        <v>720601473412</v>
      </c>
      <c r="B19519" t="s">
        <v>27695</v>
      </c>
      <c r="C19519" t="s">
        <v>7</v>
      </c>
      <c r="D19519" t="s">
        <v>14</v>
      </c>
      <c r="E19519" t="s">
        <v>27682</v>
      </c>
    </row>
    <row r="19520" spans="1:6" x14ac:dyDescent="0.25">
      <c r="A19520" t="str">
        <f>"221101752328"</f>
        <v>221101752328</v>
      </c>
      <c r="B19520" t="s">
        <v>27696</v>
      </c>
      <c r="C19520" t="s">
        <v>7</v>
      </c>
      <c r="D19520" t="s">
        <v>14</v>
      </c>
      <c r="E19520" t="s">
        <v>27682</v>
      </c>
    </row>
    <row r="19521" spans="1:6" x14ac:dyDescent="0.25">
      <c r="A19521" t="str">
        <f>"550204438126"</f>
        <v>550204438126</v>
      </c>
      <c r="B19521" t="s">
        <v>27697</v>
      </c>
      <c r="C19521" t="s">
        <v>7</v>
      </c>
      <c r="D19521" t="s">
        <v>14</v>
      </c>
      <c r="E19521" t="s">
        <v>27682</v>
      </c>
    </row>
    <row r="19522" spans="1:6" x14ac:dyDescent="0.25">
      <c r="A19522" t="str">
        <f>"720200190544"</f>
        <v>720200190544</v>
      </c>
      <c r="B19522" t="s">
        <v>27698</v>
      </c>
      <c r="C19522" t="s">
        <v>7</v>
      </c>
      <c r="D19522" t="s">
        <v>14</v>
      </c>
      <c r="E19522" t="s">
        <v>27682</v>
      </c>
    </row>
    <row r="19523" spans="1:6" x14ac:dyDescent="0.25">
      <c r="A19523" t="str">
        <f>"560200917854"</f>
        <v>560200917854</v>
      </c>
      <c r="B19523" t="s">
        <v>27699</v>
      </c>
      <c r="C19523" t="s">
        <v>7</v>
      </c>
      <c r="D19523" t="s">
        <v>14</v>
      </c>
      <c r="E19523" t="s">
        <v>27682</v>
      </c>
    </row>
    <row r="19524" spans="1:6" x14ac:dyDescent="0.25">
      <c r="A19524" t="str">
        <f>"230307249472"</f>
        <v>230307249472</v>
      </c>
      <c r="B19524" t="s">
        <v>27700</v>
      </c>
      <c r="C19524" t="s">
        <v>7</v>
      </c>
      <c r="D19524" t="s">
        <v>33</v>
      </c>
      <c r="E19524" t="s">
        <v>27682</v>
      </c>
    </row>
    <row r="19525" spans="1:6" x14ac:dyDescent="0.25">
      <c r="A19525" t="str">
        <f>"553402745780"</f>
        <v>553402745780</v>
      </c>
      <c r="B19525" t="s">
        <v>27701</v>
      </c>
      <c r="C19525" t="s">
        <v>7</v>
      </c>
      <c r="D19525" t="s">
        <v>14</v>
      </c>
      <c r="E19525" t="s">
        <v>27682</v>
      </c>
    </row>
    <row r="19526" spans="1:6" x14ac:dyDescent="0.25">
      <c r="A19526" t="str">
        <f>"632510396630"</f>
        <v>632510396630</v>
      </c>
      <c r="B19526" t="s">
        <v>27702</v>
      </c>
      <c r="C19526" t="s">
        <v>7</v>
      </c>
      <c r="D19526" t="s">
        <v>14</v>
      </c>
      <c r="E19526" t="s">
        <v>27682</v>
      </c>
    </row>
    <row r="19527" spans="1:6" x14ac:dyDescent="0.25">
      <c r="A19527" t="str">
        <f>"263411126464"</f>
        <v>263411126464</v>
      </c>
      <c r="B19527" t="s">
        <v>27703</v>
      </c>
      <c r="C19527" t="s">
        <v>7</v>
      </c>
      <c r="D19527" t="s">
        <v>14</v>
      </c>
      <c r="E19527" t="s">
        <v>27682</v>
      </c>
    </row>
    <row r="19528" spans="1:6" x14ac:dyDescent="0.25">
      <c r="A19528" t="str">
        <f>"663106106617"</f>
        <v>663106106617</v>
      </c>
      <c r="B19528" t="s">
        <v>27704</v>
      </c>
      <c r="C19528" t="s">
        <v>7</v>
      </c>
      <c r="D19528" t="s">
        <v>586</v>
      </c>
      <c r="E19528" t="s">
        <v>27682</v>
      </c>
    </row>
    <row r="19529" spans="1:6" x14ac:dyDescent="0.25">
      <c r="A19529" t="str">
        <f>"663211682440"</f>
        <v>663211682440</v>
      </c>
      <c r="B19529" t="s">
        <v>27705</v>
      </c>
      <c r="C19529" t="s">
        <v>7</v>
      </c>
      <c r="D19529" t="s">
        <v>14</v>
      </c>
      <c r="E19529" t="s">
        <v>27682</v>
      </c>
    </row>
    <row r="19530" spans="1:6" x14ac:dyDescent="0.25">
      <c r="A19530" t="str">
        <f>"661217741427"</f>
        <v>661217741427</v>
      </c>
      <c r="B19530" t="s">
        <v>27706</v>
      </c>
      <c r="C19530" t="s">
        <v>7</v>
      </c>
      <c r="D19530" t="s">
        <v>33</v>
      </c>
      <c r="E19530" t="s">
        <v>27682</v>
      </c>
    </row>
    <row r="19531" spans="1:6" x14ac:dyDescent="0.25">
      <c r="A19531" t="str">
        <f>"720317100091"</f>
        <v>720317100091</v>
      </c>
      <c r="B19531" t="s">
        <v>27707</v>
      </c>
      <c r="C19531" t="s">
        <v>7</v>
      </c>
      <c r="D19531" t="s">
        <v>12</v>
      </c>
      <c r="E19531" t="s">
        <v>27682</v>
      </c>
    </row>
    <row r="19532" spans="1:6" x14ac:dyDescent="0.25">
      <c r="A19532" t="str">
        <f>"663200162560"</f>
        <v>663200162560</v>
      </c>
      <c r="B19532" t="s">
        <v>27708</v>
      </c>
      <c r="C19532" t="s">
        <v>7</v>
      </c>
      <c r="D19532" t="s">
        <v>14</v>
      </c>
      <c r="E19532" t="s">
        <v>27682</v>
      </c>
    </row>
    <row r="19533" spans="1:6" x14ac:dyDescent="0.25">
      <c r="A19533" t="str">
        <f>"860100027398"</f>
        <v>860100027398</v>
      </c>
      <c r="B19533" t="s">
        <v>27709</v>
      </c>
      <c r="C19533" t="s">
        <v>7</v>
      </c>
      <c r="D19533" t="s">
        <v>12</v>
      </c>
      <c r="E19533" t="s">
        <v>27682</v>
      </c>
    </row>
    <row r="19534" spans="1:6" x14ac:dyDescent="0.25">
      <c r="A19534" t="str">
        <f>"860104075106"</f>
        <v>860104075106</v>
      </c>
      <c r="B19534" t="s">
        <v>27710</v>
      </c>
      <c r="C19534" t="s">
        <v>7</v>
      </c>
      <c r="D19534" t="s">
        <v>14</v>
      </c>
      <c r="E19534" t="s">
        <v>27682</v>
      </c>
    </row>
    <row r="19535" spans="1:6" x14ac:dyDescent="0.25">
      <c r="A19535" t="str">
        <f>"8601044039"</f>
        <v>8601044039</v>
      </c>
      <c r="B19535" t="s">
        <v>27711</v>
      </c>
      <c r="C19535" t="s">
        <v>7</v>
      </c>
      <c r="D19535" t="s">
        <v>12</v>
      </c>
      <c r="E19535" t="s">
        <v>27682</v>
      </c>
      <c r="F19535" t="s">
        <v>27712</v>
      </c>
    </row>
    <row r="19536" spans="1:6" x14ac:dyDescent="0.25">
      <c r="A19536" t="str">
        <f>"8601057905"</f>
        <v>8601057905</v>
      </c>
      <c r="B19536" t="s">
        <v>26162</v>
      </c>
      <c r="C19536" t="s">
        <v>7</v>
      </c>
      <c r="D19536" t="s">
        <v>14</v>
      </c>
      <c r="E19536" t="s">
        <v>27682</v>
      </c>
      <c r="F19536" t="s">
        <v>27713</v>
      </c>
    </row>
    <row r="19537" spans="1:6" x14ac:dyDescent="0.25">
      <c r="A19537" t="str">
        <f>"8601070776"</f>
        <v>8601070776</v>
      </c>
      <c r="B19537" t="s">
        <v>27714</v>
      </c>
      <c r="C19537" t="s">
        <v>7</v>
      </c>
      <c r="D19537" t="s">
        <v>12</v>
      </c>
      <c r="E19537" t="s">
        <v>27682</v>
      </c>
      <c r="F19537" t="s">
        <v>27715</v>
      </c>
    </row>
    <row r="19538" spans="1:6" x14ac:dyDescent="0.25">
      <c r="A19538" t="str">
        <f>"860201731480"</f>
        <v>860201731480</v>
      </c>
      <c r="B19538" t="s">
        <v>27716</v>
      </c>
      <c r="C19538" t="s">
        <v>7</v>
      </c>
      <c r="D19538" t="s">
        <v>14</v>
      </c>
      <c r="E19538" t="s">
        <v>27682</v>
      </c>
    </row>
    <row r="19539" spans="1:6" x14ac:dyDescent="0.25">
      <c r="A19539" t="str">
        <f>"8602018120"</f>
        <v>8602018120</v>
      </c>
      <c r="B19539" t="s">
        <v>27717</v>
      </c>
      <c r="C19539" t="s">
        <v>7</v>
      </c>
      <c r="D19539" t="s">
        <v>33</v>
      </c>
      <c r="E19539" t="s">
        <v>27682</v>
      </c>
      <c r="F19539" t="s">
        <v>27718</v>
      </c>
    </row>
    <row r="19540" spans="1:6" x14ac:dyDescent="0.25">
      <c r="A19540" t="str">
        <f>"8602020513"</f>
        <v>8602020513</v>
      </c>
      <c r="B19540" t="s">
        <v>27719</v>
      </c>
      <c r="C19540" t="s">
        <v>7</v>
      </c>
      <c r="D19540" t="s">
        <v>12</v>
      </c>
      <c r="E19540" t="s">
        <v>27682</v>
      </c>
      <c r="F19540" t="s">
        <v>27720</v>
      </c>
    </row>
    <row r="19541" spans="1:6" x14ac:dyDescent="0.25">
      <c r="A19541" t="str">
        <f>"8602093430"</f>
        <v>8602093430</v>
      </c>
      <c r="B19541" t="s">
        <v>27721</v>
      </c>
      <c r="C19541" t="s">
        <v>7</v>
      </c>
      <c r="D19541" t="s">
        <v>14</v>
      </c>
      <c r="E19541" t="s">
        <v>27682</v>
      </c>
      <c r="F19541" t="s">
        <v>27722</v>
      </c>
    </row>
    <row r="19542" spans="1:6" x14ac:dyDescent="0.25">
      <c r="A19542" t="str">
        <f>"8602138219"</f>
        <v>8602138219</v>
      </c>
      <c r="B19542" t="s">
        <v>27723</v>
      </c>
      <c r="C19542" t="s">
        <v>7</v>
      </c>
      <c r="D19542" t="s">
        <v>12</v>
      </c>
      <c r="E19542" t="s">
        <v>27682</v>
      </c>
      <c r="F19542" t="s">
        <v>27724</v>
      </c>
    </row>
    <row r="19543" spans="1:6" x14ac:dyDescent="0.25">
      <c r="A19543" t="str">
        <f>"860215552523"</f>
        <v>860215552523</v>
      </c>
      <c r="B19543" t="s">
        <v>27725</v>
      </c>
      <c r="C19543" t="s">
        <v>7</v>
      </c>
      <c r="D19543" t="s">
        <v>14</v>
      </c>
      <c r="E19543" t="s">
        <v>27682</v>
      </c>
    </row>
    <row r="19544" spans="1:6" x14ac:dyDescent="0.25">
      <c r="A19544" t="str">
        <f>"8602166456"</f>
        <v>8602166456</v>
      </c>
      <c r="B19544" t="s">
        <v>27726</v>
      </c>
      <c r="C19544" t="s">
        <v>7</v>
      </c>
      <c r="D19544" t="s">
        <v>14</v>
      </c>
      <c r="E19544" t="s">
        <v>27682</v>
      </c>
      <c r="F19544" t="s">
        <v>27727</v>
      </c>
    </row>
    <row r="19545" spans="1:6" x14ac:dyDescent="0.25">
      <c r="A19545" t="str">
        <f>"8602190339"</f>
        <v>8602190339</v>
      </c>
      <c r="B19545" t="s">
        <v>27728</v>
      </c>
      <c r="C19545" t="s">
        <v>7</v>
      </c>
      <c r="D19545" t="s">
        <v>33</v>
      </c>
      <c r="E19545" t="s">
        <v>27682</v>
      </c>
      <c r="F19545" t="s">
        <v>27729</v>
      </c>
    </row>
    <row r="19546" spans="1:6" x14ac:dyDescent="0.25">
      <c r="A19546" t="str">
        <f>"8602240702"</f>
        <v>8602240702</v>
      </c>
      <c r="B19546" t="s">
        <v>7385</v>
      </c>
      <c r="C19546" t="s">
        <v>7</v>
      </c>
      <c r="D19546" t="s">
        <v>14</v>
      </c>
      <c r="E19546" t="s">
        <v>27682</v>
      </c>
      <c r="F19546" t="s">
        <v>27730</v>
      </c>
    </row>
    <row r="19547" spans="1:6" x14ac:dyDescent="0.25">
      <c r="A19547" t="str">
        <f>"8602255402"</f>
        <v>8602255402</v>
      </c>
      <c r="B19547" t="s">
        <v>27731</v>
      </c>
      <c r="C19547" t="s">
        <v>7</v>
      </c>
      <c r="D19547" t="s">
        <v>14</v>
      </c>
      <c r="E19547" t="s">
        <v>27682</v>
      </c>
      <c r="F19547" t="s">
        <v>27732</v>
      </c>
    </row>
    <row r="19548" spans="1:6" x14ac:dyDescent="0.25">
      <c r="A19548" t="str">
        <f>"8602274885"</f>
        <v>8602274885</v>
      </c>
      <c r="B19548" t="s">
        <v>20730</v>
      </c>
      <c r="C19548" t="s">
        <v>7</v>
      </c>
      <c r="D19548" t="s">
        <v>12</v>
      </c>
      <c r="E19548" t="s">
        <v>27682</v>
      </c>
      <c r="F19548" t="s">
        <v>27733</v>
      </c>
    </row>
    <row r="19549" spans="1:6" x14ac:dyDescent="0.25">
      <c r="A19549" t="str">
        <f>"860228023069"</f>
        <v>860228023069</v>
      </c>
      <c r="B19549" t="s">
        <v>27734</v>
      </c>
      <c r="C19549" t="s">
        <v>7</v>
      </c>
      <c r="D19549" t="s">
        <v>33</v>
      </c>
      <c r="E19549" t="s">
        <v>27682</v>
      </c>
    </row>
    <row r="19550" spans="1:6" x14ac:dyDescent="0.25">
      <c r="A19550" t="str">
        <f>"8602286175"</f>
        <v>8602286175</v>
      </c>
      <c r="B19550" t="s">
        <v>1957</v>
      </c>
      <c r="C19550" t="s">
        <v>7</v>
      </c>
      <c r="D19550" t="s">
        <v>12</v>
      </c>
      <c r="E19550" t="s">
        <v>27682</v>
      </c>
      <c r="F19550" t="s">
        <v>27735</v>
      </c>
    </row>
    <row r="19551" spans="1:6" x14ac:dyDescent="0.25">
      <c r="A19551" t="str">
        <f>"8602291930"</f>
        <v>8602291930</v>
      </c>
      <c r="B19551" t="s">
        <v>27736</v>
      </c>
      <c r="C19551" t="s">
        <v>7</v>
      </c>
      <c r="D19551" t="s">
        <v>12</v>
      </c>
      <c r="E19551" t="s">
        <v>27682</v>
      </c>
      <c r="F19551" t="s">
        <v>27737</v>
      </c>
    </row>
    <row r="19552" spans="1:6" x14ac:dyDescent="0.25">
      <c r="A19552" t="str">
        <f>"8602296832"</f>
        <v>8602296832</v>
      </c>
      <c r="B19552" t="s">
        <v>27738</v>
      </c>
      <c r="C19552" t="s">
        <v>7</v>
      </c>
      <c r="D19552" t="s">
        <v>14</v>
      </c>
      <c r="E19552" t="s">
        <v>27682</v>
      </c>
      <c r="F19552" t="s">
        <v>27739</v>
      </c>
    </row>
    <row r="19553" spans="1:6" x14ac:dyDescent="0.25">
      <c r="A19553" t="str">
        <f>"8602307280"</f>
        <v>8602307280</v>
      </c>
      <c r="B19553" t="s">
        <v>27740</v>
      </c>
      <c r="C19553" t="s">
        <v>7</v>
      </c>
      <c r="D19553" t="s">
        <v>33</v>
      </c>
      <c r="E19553" t="s">
        <v>27682</v>
      </c>
      <c r="F19553" t="s">
        <v>27741</v>
      </c>
    </row>
    <row r="19554" spans="1:6" x14ac:dyDescent="0.25">
      <c r="A19554" t="str">
        <f>"860301318774"</f>
        <v>860301318774</v>
      </c>
      <c r="B19554" t="s">
        <v>27742</v>
      </c>
      <c r="C19554" t="s">
        <v>7</v>
      </c>
      <c r="D19554" t="s">
        <v>33</v>
      </c>
      <c r="E19554" t="s">
        <v>27682</v>
      </c>
    </row>
    <row r="19555" spans="1:6" x14ac:dyDescent="0.25">
      <c r="A19555" t="str">
        <f>"860304415409"</f>
        <v>860304415409</v>
      </c>
      <c r="B19555" t="s">
        <v>27743</v>
      </c>
      <c r="C19555" t="s">
        <v>7</v>
      </c>
      <c r="D19555" t="s">
        <v>14</v>
      </c>
      <c r="E19555" t="s">
        <v>27682</v>
      </c>
    </row>
    <row r="19556" spans="1:6" x14ac:dyDescent="0.25">
      <c r="A19556" t="str">
        <f>"8603091789"</f>
        <v>8603091789</v>
      </c>
      <c r="B19556" t="s">
        <v>27744</v>
      </c>
      <c r="C19556" t="s">
        <v>7</v>
      </c>
      <c r="D19556" t="s">
        <v>33</v>
      </c>
      <c r="E19556" t="s">
        <v>27682</v>
      </c>
      <c r="F19556" t="s">
        <v>27745</v>
      </c>
    </row>
    <row r="19557" spans="1:6" x14ac:dyDescent="0.25">
      <c r="A19557" t="str">
        <f>"8603115528"</f>
        <v>8603115528</v>
      </c>
      <c r="B19557" t="s">
        <v>27746</v>
      </c>
      <c r="C19557" t="s">
        <v>7</v>
      </c>
      <c r="D19557" t="s">
        <v>14</v>
      </c>
      <c r="E19557" t="s">
        <v>27682</v>
      </c>
      <c r="F19557" t="s">
        <v>27747</v>
      </c>
    </row>
    <row r="19558" spans="1:6" x14ac:dyDescent="0.25">
      <c r="A19558" t="str">
        <f>"8603163384"</f>
        <v>8603163384</v>
      </c>
      <c r="B19558" t="s">
        <v>27748</v>
      </c>
      <c r="C19558" t="s">
        <v>7</v>
      </c>
      <c r="D19558" t="s">
        <v>33</v>
      </c>
      <c r="E19558" t="s">
        <v>27682</v>
      </c>
      <c r="F19558" t="s">
        <v>27749</v>
      </c>
    </row>
    <row r="19559" spans="1:6" x14ac:dyDescent="0.25">
      <c r="A19559" t="str">
        <f>"8603164846"</f>
        <v>8603164846</v>
      </c>
      <c r="B19559" t="s">
        <v>27750</v>
      </c>
      <c r="C19559" t="s">
        <v>7</v>
      </c>
      <c r="D19559" t="s">
        <v>12</v>
      </c>
      <c r="E19559" t="s">
        <v>27682</v>
      </c>
      <c r="F19559" t="s">
        <v>27751</v>
      </c>
    </row>
    <row r="19560" spans="1:6" x14ac:dyDescent="0.25">
      <c r="A19560" t="str">
        <f>"860317335920"</f>
        <v>860317335920</v>
      </c>
      <c r="B19560" t="s">
        <v>27752</v>
      </c>
      <c r="C19560" t="s">
        <v>7</v>
      </c>
      <c r="D19560" t="s">
        <v>12</v>
      </c>
      <c r="E19560" t="s">
        <v>27682</v>
      </c>
    </row>
    <row r="19561" spans="1:6" x14ac:dyDescent="0.25">
      <c r="A19561" t="str">
        <f>"860317726264"</f>
        <v>860317726264</v>
      </c>
      <c r="B19561" t="s">
        <v>27753</v>
      </c>
      <c r="C19561" t="s">
        <v>7</v>
      </c>
      <c r="D19561" t="s">
        <v>12</v>
      </c>
      <c r="E19561" t="s">
        <v>27682</v>
      </c>
    </row>
    <row r="19562" spans="1:6" x14ac:dyDescent="0.25">
      <c r="A19562" t="str">
        <f>"860318802447"</f>
        <v>860318802447</v>
      </c>
      <c r="B19562" t="s">
        <v>27754</v>
      </c>
      <c r="C19562" t="s">
        <v>7</v>
      </c>
      <c r="D19562" t="s">
        <v>14</v>
      </c>
      <c r="E19562" t="s">
        <v>27682</v>
      </c>
    </row>
    <row r="19563" spans="1:6" x14ac:dyDescent="0.25">
      <c r="A19563" t="str">
        <f>"8603191783"</f>
        <v>8603191783</v>
      </c>
      <c r="B19563" t="s">
        <v>27755</v>
      </c>
      <c r="C19563" t="s">
        <v>7</v>
      </c>
      <c r="D19563" t="s">
        <v>33</v>
      </c>
      <c r="E19563" t="s">
        <v>27682</v>
      </c>
      <c r="F19563" t="s">
        <v>27756</v>
      </c>
    </row>
    <row r="19564" spans="1:6" x14ac:dyDescent="0.25">
      <c r="A19564" t="str">
        <f>"860321011237"</f>
        <v>860321011237</v>
      </c>
      <c r="B19564" t="s">
        <v>27757</v>
      </c>
      <c r="C19564" t="s">
        <v>7</v>
      </c>
      <c r="D19564" t="s">
        <v>14</v>
      </c>
      <c r="E19564" t="s">
        <v>27682</v>
      </c>
    </row>
    <row r="19565" spans="1:6" x14ac:dyDescent="0.25">
      <c r="A19565" t="str">
        <f>"8603226651"</f>
        <v>8603226651</v>
      </c>
      <c r="B19565" t="s">
        <v>27758</v>
      </c>
      <c r="C19565" t="s">
        <v>7</v>
      </c>
      <c r="D19565" t="s">
        <v>14</v>
      </c>
      <c r="E19565" t="s">
        <v>27682</v>
      </c>
      <c r="F19565" t="s">
        <v>27759</v>
      </c>
    </row>
    <row r="19566" spans="1:6" x14ac:dyDescent="0.25">
      <c r="A19566" t="str">
        <f>"8603245982"</f>
        <v>8603245982</v>
      </c>
      <c r="B19566" t="s">
        <v>27760</v>
      </c>
      <c r="C19566" t="s">
        <v>7</v>
      </c>
      <c r="D19566" t="s">
        <v>463</v>
      </c>
      <c r="E19566" t="s">
        <v>27682</v>
      </c>
      <c r="F19566" t="s">
        <v>27761</v>
      </c>
    </row>
    <row r="19567" spans="1:6" x14ac:dyDescent="0.25">
      <c r="A19567" t="str">
        <f>"8603248133"</f>
        <v>8603248133</v>
      </c>
      <c r="B19567" t="s">
        <v>27762</v>
      </c>
      <c r="C19567" t="s">
        <v>7</v>
      </c>
      <c r="D19567" t="s">
        <v>14</v>
      </c>
      <c r="E19567" t="s">
        <v>27682</v>
      </c>
      <c r="F19567" t="s">
        <v>27763</v>
      </c>
    </row>
    <row r="19568" spans="1:6" x14ac:dyDescent="0.25">
      <c r="A19568" t="str">
        <f>"8603248140"</f>
        <v>8603248140</v>
      </c>
      <c r="B19568" t="s">
        <v>27764</v>
      </c>
      <c r="C19568" t="s">
        <v>7</v>
      </c>
      <c r="D19568" t="s">
        <v>14</v>
      </c>
      <c r="E19568" t="s">
        <v>27682</v>
      </c>
      <c r="F19568" t="s">
        <v>27763</v>
      </c>
    </row>
    <row r="19569" spans="1:6" x14ac:dyDescent="0.25">
      <c r="A19569" t="str">
        <f>"8603251175"</f>
        <v>8603251175</v>
      </c>
      <c r="B19569" t="s">
        <v>27765</v>
      </c>
      <c r="C19569" t="s">
        <v>7</v>
      </c>
      <c r="D19569" t="s">
        <v>14</v>
      </c>
      <c r="E19569" t="s">
        <v>27682</v>
      </c>
      <c r="F19569" t="s">
        <v>27766</v>
      </c>
    </row>
    <row r="19570" spans="1:6" x14ac:dyDescent="0.25">
      <c r="A19570" t="str">
        <f>"8603251270"</f>
        <v>8603251270</v>
      </c>
      <c r="B19570" t="s">
        <v>27767</v>
      </c>
      <c r="C19570" t="s">
        <v>7</v>
      </c>
      <c r="D19570" t="s">
        <v>8</v>
      </c>
      <c r="E19570" t="s">
        <v>27682</v>
      </c>
      <c r="F19570" t="s">
        <v>27768</v>
      </c>
    </row>
    <row r="19571" spans="1:6" x14ac:dyDescent="0.25">
      <c r="A19571" t="str">
        <f>"860332092894"</f>
        <v>860332092894</v>
      </c>
      <c r="B19571" t="s">
        <v>27769</v>
      </c>
      <c r="C19571" t="s">
        <v>7</v>
      </c>
      <c r="D19571" t="s">
        <v>14</v>
      </c>
      <c r="E19571" t="s">
        <v>27682</v>
      </c>
    </row>
    <row r="19572" spans="1:6" x14ac:dyDescent="0.25">
      <c r="A19572" t="str">
        <f>"860336615908"</f>
        <v>860336615908</v>
      </c>
      <c r="B19572" t="s">
        <v>27770</v>
      </c>
      <c r="C19572" t="s">
        <v>7</v>
      </c>
      <c r="D19572" t="s">
        <v>14</v>
      </c>
      <c r="E19572" t="s">
        <v>27682</v>
      </c>
    </row>
    <row r="19573" spans="1:6" x14ac:dyDescent="0.25">
      <c r="A19573" t="str">
        <f>"8604022058"</f>
        <v>8604022058</v>
      </c>
      <c r="B19573" t="s">
        <v>27771</v>
      </c>
      <c r="C19573" t="s">
        <v>7</v>
      </c>
      <c r="D19573" t="s">
        <v>14</v>
      </c>
      <c r="E19573" t="s">
        <v>27682</v>
      </c>
      <c r="F19573" t="s">
        <v>27772</v>
      </c>
    </row>
    <row r="19574" spans="1:6" x14ac:dyDescent="0.25">
      <c r="A19574" t="str">
        <f>"860404066582"</f>
        <v>860404066582</v>
      </c>
      <c r="B19574" t="s">
        <v>27773</v>
      </c>
      <c r="C19574" t="s">
        <v>7</v>
      </c>
      <c r="D19574" t="s">
        <v>14</v>
      </c>
      <c r="E19574" t="s">
        <v>27682</v>
      </c>
    </row>
    <row r="19575" spans="1:6" x14ac:dyDescent="0.25">
      <c r="A19575" t="str">
        <f>"8604067972"</f>
        <v>8604067972</v>
      </c>
      <c r="B19575" t="s">
        <v>27774</v>
      </c>
      <c r="C19575" t="s">
        <v>7</v>
      </c>
      <c r="D19575" t="s">
        <v>12</v>
      </c>
      <c r="E19575" t="s">
        <v>27682</v>
      </c>
      <c r="F19575" t="s">
        <v>27775</v>
      </c>
    </row>
    <row r="19576" spans="1:6" x14ac:dyDescent="0.25">
      <c r="A19576" t="str">
        <f>"860409411585"</f>
        <v>860409411585</v>
      </c>
      <c r="B19576" t="s">
        <v>27776</v>
      </c>
      <c r="C19576" t="s">
        <v>7</v>
      </c>
      <c r="D19576" t="s">
        <v>14</v>
      </c>
      <c r="E19576" t="s">
        <v>27682</v>
      </c>
    </row>
    <row r="19577" spans="1:6" x14ac:dyDescent="0.25">
      <c r="A19577" t="str">
        <f>"8605031601"</f>
        <v>8605031601</v>
      </c>
      <c r="B19577" t="s">
        <v>2417</v>
      </c>
      <c r="C19577" t="s">
        <v>7</v>
      </c>
      <c r="D19577" t="s">
        <v>14</v>
      </c>
      <c r="E19577" t="s">
        <v>27682</v>
      </c>
      <c r="F19577" t="s">
        <v>27777</v>
      </c>
    </row>
    <row r="19578" spans="1:6" x14ac:dyDescent="0.25">
      <c r="A19578" t="str">
        <f>"860600977430"</f>
        <v>860600977430</v>
      </c>
      <c r="B19578" t="s">
        <v>27778</v>
      </c>
      <c r="C19578" t="s">
        <v>7</v>
      </c>
      <c r="D19578" t="s">
        <v>14</v>
      </c>
      <c r="E19578" t="s">
        <v>27682</v>
      </c>
    </row>
    <row r="19579" spans="1:6" x14ac:dyDescent="0.25">
      <c r="A19579" t="str">
        <f>"8606013330"</f>
        <v>8606013330</v>
      </c>
      <c r="B19579" t="s">
        <v>27779</v>
      </c>
      <c r="C19579" t="s">
        <v>7</v>
      </c>
      <c r="D19579" t="s">
        <v>14</v>
      </c>
      <c r="E19579" t="s">
        <v>27682</v>
      </c>
      <c r="F19579" t="s">
        <v>27780</v>
      </c>
    </row>
    <row r="19580" spans="1:6" x14ac:dyDescent="0.25">
      <c r="A19580" t="str">
        <f>"8606014341"</f>
        <v>8606014341</v>
      </c>
      <c r="B19580" t="s">
        <v>111</v>
      </c>
      <c r="C19580" t="s">
        <v>7</v>
      </c>
      <c r="D19580" t="s">
        <v>33</v>
      </c>
      <c r="E19580" t="s">
        <v>27682</v>
      </c>
      <c r="F19580" t="s">
        <v>27781</v>
      </c>
    </row>
    <row r="19581" spans="1:6" x14ac:dyDescent="0.25">
      <c r="A19581" t="str">
        <f>"860602468364"</f>
        <v>860602468364</v>
      </c>
      <c r="B19581" t="s">
        <v>27782</v>
      </c>
      <c r="C19581" t="s">
        <v>7</v>
      </c>
      <c r="D19581" t="s">
        <v>14</v>
      </c>
      <c r="E19581" t="s">
        <v>27682</v>
      </c>
    </row>
    <row r="19582" spans="1:6" x14ac:dyDescent="0.25">
      <c r="A19582" t="str">
        <f>"860605029848"</f>
        <v>860605029848</v>
      </c>
      <c r="B19582" t="s">
        <v>27783</v>
      </c>
      <c r="C19582" t="s">
        <v>7</v>
      </c>
      <c r="D19582" t="s">
        <v>14</v>
      </c>
      <c r="E19582" t="s">
        <v>27682</v>
      </c>
    </row>
    <row r="19583" spans="1:6" x14ac:dyDescent="0.25">
      <c r="A19583" t="str">
        <f>"860703643703"</f>
        <v>860703643703</v>
      </c>
      <c r="B19583" t="s">
        <v>27784</v>
      </c>
      <c r="C19583" t="s">
        <v>7</v>
      </c>
      <c r="D19583" t="s">
        <v>14</v>
      </c>
      <c r="E19583" t="s">
        <v>27682</v>
      </c>
    </row>
    <row r="19584" spans="1:6" x14ac:dyDescent="0.25">
      <c r="A19584" t="str">
        <f>"860105084449"</f>
        <v>860105084449</v>
      </c>
      <c r="B19584" t="s">
        <v>27785</v>
      </c>
      <c r="C19584" t="s">
        <v>7</v>
      </c>
      <c r="D19584" t="s">
        <v>14</v>
      </c>
      <c r="E19584" t="s">
        <v>27682</v>
      </c>
    </row>
    <row r="19585" spans="1:6" x14ac:dyDescent="0.25">
      <c r="A19585" t="str">
        <f>"8601076471"</f>
        <v>8601076471</v>
      </c>
      <c r="B19585" t="s">
        <v>27786</v>
      </c>
      <c r="C19585" t="s">
        <v>7</v>
      </c>
      <c r="D19585" t="s">
        <v>12</v>
      </c>
      <c r="E19585" t="s">
        <v>27682</v>
      </c>
      <c r="F19585" t="s">
        <v>27787</v>
      </c>
    </row>
    <row r="19586" spans="1:6" x14ac:dyDescent="0.25">
      <c r="A19586" t="str">
        <f>"860109181901"</f>
        <v>860109181901</v>
      </c>
      <c r="B19586" t="s">
        <v>27788</v>
      </c>
      <c r="C19586" t="s">
        <v>7</v>
      </c>
      <c r="D19586" t="s">
        <v>12</v>
      </c>
      <c r="E19586" t="s">
        <v>27682</v>
      </c>
    </row>
    <row r="19587" spans="1:6" x14ac:dyDescent="0.25">
      <c r="A19587" t="str">
        <f>"860200080003"</f>
        <v>860200080003</v>
      </c>
      <c r="B19587" t="s">
        <v>27789</v>
      </c>
      <c r="C19587" t="s">
        <v>7</v>
      </c>
      <c r="D19587" t="s">
        <v>33</v>
      </c>
      <c r="E19587" t="s">
        <v>27682</v>
      </c>
    </row>
    <row r="19588" spans="1:6" x14ac:dyDescent="0.25">
      <c r="A19588" t="str">
        <f>"860200337114"</f>
        <v>860200337114</v>
      </c>
      <c r="B19588" t="s">
        <v>27790</v>
      </c>
      <c r="C19588" t="s">
        <v>7</v>
      </c>
      <c r="D19588" t="s">
        <v>14</v>
      </c>
      <c r="E19588" t="s">
        <v>27682</v>
      </c>
    </row>
    <row r="19589" spans="1:6" x14ac:dyDescent="0.25">
      <c r="A19589" t="str">
        <f>"860200480668"</f>
        <v>860200480668</v>
      </c>
      <c r="B19589" t="s">
        <v>27791</v>
      </c>
      <c r="C19589" t="s">
        <v>7</v>
      </c>
      <c r="D19589" t="s">
        <v>14</v>
      </c>
      <c r="E19589" t="s">
        <v>27682</v>
      </c>
    </row>
    <row r="19590" spans="1:6" x14ac:dyDescent="0.25">
      <c r="A19590" t="str">
        <f>"860201080119"</f>
        <v>860201080119</v>
      </c>
      <c r="B19590" t="s">
        <v>27792</v>
      </c>
      <c r="C19590" t="s">
        <v>7</v>
      </c>
      <c r="D19590" t="s">
        <v>12</v>
      </c>
      <c r="E19590" t="s">
        <v>27682</v>
      </c>
    </row>
    <row r="19591" spans="1:6" x14ac:dyDescent="0.25">
      <c r="A19591" t="str">
        <f>"8602147301"</f>
        <v>8602147301</v>
      </c>
      <c r="B19591" t="s">
        <v>27793</v>
      </c>
      <c r="C19591" t="s">
        <v>7</v>
      </c>
      <c r="D19591" t="s">
        <v>12</v>
      </c>
      <c r="E19591" t="s">
        <v>27682</v>
      </c>
      <c r="F19591" t="s">
        <v>27794</v>
      </c>
    </row>
    <row r="19592" spans="1:6" x14ac:dyDescent="0.25">
      <c r="A19592" t="str">
        <f>"8602152206"</f>
        <v>8602152206</v>
      </c>
      <c r="B19592" t="s">
        <v>27795</v>
      </c>
      <c r="C19592" t="s">
        <v>7</v>
      </c>
      <c r="D19592" t="s">
        <v>12</v>
      </c>
      <c r="E19592" t="s">
        <v>27682</v>
      </c>
      <c r="F19592" t="s">
        <v>27796</v>
      </c>
    </row>
    <row r="19593" spans="1:6" x14ac:dyDescent="0.25">
      <c r="A19593" t="str">
        <f>"8602152750"</f>
        <v>8602152750</v>
      </c>
      <c r="B19593" t="s">
        <v>27797</v>
      </c>
      <c r="C19593" t="s">
        <v>7</v>
      </c>
      <c r="D19593" t="s">
        <v>12</v>
      </c>
      <c r="E19593" t="s">
        <v>27682</v>
      </c>
      <c r="F19593" t="s">
        <v>27798</v>
      </c>
    </row>
    <row r="19594" spans="1:6" x14ac:dyDescent="0.25">
      <c r="A19594" t="str">
        <f>"860219582053"</f>
        <v>860219582053</v>
      </c>
      <c r="B19594" t="s">
        <v>27799</v>
      </c>
      <c r="C19594" t="s">
        <v>7</v>
      </c>
      <c r="D19594" t="s">
        <v>12</v>
      </c>
      <c r="E19594" t="s">
        <v>27682</v>
      </c>
    </row>
    <row r="19595" spans="1:6" x14ac:dyDescent="0.25">
      <c r="A19595" t="str">
        <f>"8602199620"</f>
        <v>8602199620</v>
      </c>
      <c r="B19595" t="s">
        <v>27800</v>
      </c>
      <c r="C19595" t="s">
        <v>7</v>
      </c>
      <c r="D19595" t="s">
        <v>14</v>
      </c>
      <c r="E19595" t="s">
        <v>27682</v>
      </c>
      <c r="F19595" t="s">
        <v>27801</v>
      </c>
    </row>
    <row r="19596" spans="1:6" x14ac:dyDescent="0.25">
      <c r="A19596" t="str">
        <f>"8602203958"</f>
        <v>8602203958</v>
      </c>
      <c r="B19596" t="s">
        <v>27361</v>
      </c>
      <c r="C19596" t="s">
        <v>7</v>
      </c>
      <c r="D19596" t="s">
        <v>12</v>
      </c>
      <c r="E19596" t="s">
        <v>27682</v>
      </c>
      <c r="F19596" t="s">
        <v>27802</v>
      </c>
    </row>
    <row r="19597" spans="1:6" x14ac:dyDescent="0.25">
      <c r="A19597" t="str">
        <f>"8602206540"</f>
        <v>8602206540</v>
      </c>
      <c r="B19597" t="s">
        <v>27803</v>
      </c>
      <c r="C19597" t="s">
        <v>7</v>
      </c>
      <c r="D19597" t="s">
        <v>12</v>
      </c>
      <c r="E19597" t="s">
        <v>27682</v>
      </c>
      <c r="F19597" t="s">
        <v>27804</v>
      </c>
    </row>
    <row r="19598" spans="1:6" x14ac:dyDescent="0.25">
      <c r="A19598" t="str">
        <f>"860220856661"</f>
        <v>860220856661</v>
      </c>
      <c r="B19598" t="s">
        <v>27805</v>
      </c>
      <c r="C19598" t="s">
        <v>7</v>
      </c>
      <c r="D19598" t="s">
        <v>14</v>
      </c>
      <c r="E19598" t="s">
        <v>27682</v>
      </c>
    </row>
    <row r="19599" spans="1:6" x14ac:dyDescent="0.25">
      <c r="A19599" t="str">
        <f>"8602212173"</f>
        <v>8602212173</v>
      </c>
      <c r="B19599" t="s">
        <v>27806</v>
      </c>
      <c r="C19599" t="s">
        <v>7</v>
      </c>
      <c r="D19599" t="s">
        <v>14</v>
      </c>
      <c r="E19599" t="s">
        <v>27682</v>
      </c>
      <c r="F19599" t="s">
        <v>27807</v>
      </c>
    </row>
    <row r="19600" spans="1:6" x14ac:dyDescent="0.25">
      <c r="A19600" t="str">
        <f>"8602217598"</f>
        <v>8602217598</v>
      </c>
      <c r="B19600" t="s">
        <v>27808</v>
      </c>
      <c r="C19600" t="s">
        <v>7</v>
      </c>
      <c r="D19600" t="s">
        <v>33</v>
      </c>
      <c r="E19600" t="s">
        <v>27682</v>
      </c>
      <c r="F19600" t="s">
        <v>27809</v>
      </c>
    </row>
    <row r="19601" spans="1:6" x14ac:dyDescent="0.25">
      <c r="A19601" t="str">
        <f>"8602234709"</f>
        <v>8602234709</v>
      </c>
      <c r="B19601" t="s">
        <v>1750</v>
      </c>
      <c r="C19601" t="s">
        <v>7</v>
      </c>
      <c r="D19601" t="s">
        <v>14</v>
      </c>
      <c r="E19601" t="s">
        <v>27682</v>
      </c>
      <c r="F19601" t="s">
        <v>27810</v>
      </c>
    </row>
    <row r="19602" spans="1:6" x14ac:dyDescent="0.25">
      <c r="A19602" t="str">
        <f>"8602238213"</f>
        <v>8602238213</v>
      </c>
      <c r="B19602" t="s">
        <v>27811</v>
      </c>
      <c r="C19602" t="s">
        <v>7</v>
      </c>
      <c r="D19602" t="s">
        <v>12</v>
      </c>
      <c r="E19602" t="s">
        <v>27682</v>
      </c>
      <c r="F19602" t="s">
        <v>27812</v>
      </c>
    </row>
    <row r="19603" spans="1:6" x14ac:dyDescent="0.25">
      <c r="A19603" t="str">
        <f>"860224427102"</f>
        <v>860224427102</v>
      </c>
      <c r="B19603" t="s">
        <v>27813</v>
      </c>
      <c r="C19603" t="s">
        <v>7</v>
      </c>
      <c r="D19603" t="s">
        <v>33</v>
      </c>
      <c r="E19603" t="s">
        <v>27682</v>
      </c>
    </row>
    <row r="19604" spans="1:6" x14ac:dyDescent="0.25">
      <c r="A19604" t="str">
        <f>"8602248980"</f>
        <v>8602248980</v>
      </c>
      <c r="B19604" t="s">
        <v>11483</v>
      </c>
      <c r="C19604" t="s">
        <v>7</v>
      </c>
      <c r="D19604" t="s">
        <v>14</v>
      </c>
      <c r="E19604" t="s">
        <v>27682</v>
      </c>
      <c r="F19604" t="s">
        <v>27814</v>
      </c>
    </row>
    <row r="19605" spans="1:6" x14ac:dyDescent="0.25">
      <c r="A19605" t="str">
        <f>"8602257618"</f>
        <v>8602257618</v>
      </c>
      <c r="B19605" t="s">
        <v>27815</v>
      </c>
      <c r="C19605" t="s">
        <v>7</v>
      </c>
      <c r="D19605" t="s">
        <v>33</v>
      </c>
      <c r="E19605" t="s">
        <v>27682</v>
      </c>
      <c r="F19605" t="s">
        <v>27816</v>
      </c>
    </row>
    <row r="19606" spans="1:6" x14ac:dyDescent="0.25">
      <c r="A19606" t="str">
        <f>"8602287316"</f>
        <v>8602287316</v>
      </c>
      <c r="B19606" t="s">
        <v>1516</v>
      </c>
      <c r="C19606" t="s">
        <v>7</v>
      </c>
      <c r="D19606" t="s">
        <v>14</v>
      </c>
      <c r="E19606" t="s">
        <v>27682</v>
      </c>
      <c r="F19606" t="s">
        <v>27817</v>
      </c>
    </row>
    <row r="19607" spans="1:6" x14ac:dyDescent="0.25">
      <c r="A19607" t="str">
        <f>"8602289151"</f>
        <v>8602289151</v>
      </c>
      <c r="B19607" t="s">
        <v>27818</v>
      </c>
      <c r="C19607" t="s">
        <v>7</v>
      </c>
      <c r="D19607" t="s">
        <v>33</v>
      </c>
      <c r="E19607" t="s">
        <v>27682</v>
      </c>
      <c r="F19607" t="s">
        <v>27819</v>
      </c>
    </row>
    <row r="19608" spans="1:6" x14ac:dyDescent="0.25">
      <c r="A19608" t="str">
        <f>"8602299520"</f>
        <v>8602299520</v>
      </c>
      <c r="B19608" t="s">
        <v>27820</v>
      </c>
      <c r="C19608" t="s">
        <v>7</v>
      </c>
      <c r="D19608" t="s">
        <v>33</v>
      </c>
      <c r="E19608" t="s">
        <v>27682</v>
      </c>
      <c r="F19608" t="s">
        <v>27821</v>
      </c>
    </row>
    <row r="19609" spans="1:6" x14ac:dyDescent="0.25">
      <c r="A19609" t="str">
        <f>"8602306706"</f>
        <v>8602306706</v>
      </c>
      <c r="B19609" t="s">
        <v>27822</v>
      </c>
      <c r="C19609" t="s">
        <v>7</v>
      </c>
      <c r="D19609" t="s">
        <v>14</v>
      </c>
      <c r="E19609" t="s">
        <v>27682</v>
      </c>
      <c r="F19609" t="s">
        <v>27823</v>
      </c>
    </row>
    <row r="19610" spans="1:6" x14ac:dyDescent="0.25">
      <c r="A19610" t="str">
        <f>"8602306760"</f>
        <v>8602306760</v>
      </c>
      <c r="B19610" t="s">
        <v>27824</v>
      </c>
      <c r="C19610" t="s">
        <v>7</v>
      </c>
      <c r="D19610" t="s">
        <v>33</v>
      </c>
      <c r="E19610" t="s">
        <v>27682</v>
      </c>
      <c r="F19610" t="s">
        <v>27825</v>
      </c>
    </row>
    <row r="19611" spans="1:6" x14ac:dyDescent="0.25">
      <c r="A19611" t="str">
        <f>"8602319102"</f>
        <v>8602319102</v>
      </c>
      <c r="B19611" t="s">
        <v>27826</v>
      </c>
      <c r="C19611" t="s">
        <v>7</v>
      </c>
      <c r="D19611" t="s">
        <v>12</v>
      </c>
      <c r="E19611" t="s">
        <v>27682</v>
      </c>
      <c r="F19611" t="s">
        <v>27827</v>
      </c>
    </row>
    <row r="19612" spans="1:6" x14ac:dyDescent="0.25">
      <c r="A19612" t="str">
        <f>"860232784387"</f>
        <v>860232784387</v>
      </c>
      <c r="B19612" t="s">
        <v>27828</v>
      </c>
      <c r="C19612" t="s">
        <v>7</v>
      </c>
      <c r="D19612" t="s">
        <v>14</v>
      </c>
      <c r="E19612" t="s">
        <v>27682</v>
      </c>
    </row>
    <row r="19613" spans="1:6" x14ac:dyDescent="0.25">
      <c r="A19613" t="str">
        <f>"860234201231"</f>
        <v>860234201231</v>
      </c>
      <c r="B19613" t="s">
        <v>27829</v>
      </c>
      <c r="C19613" t="s">
        <v>7</v>
      </c>
      <c r="D19613" t="s">
        <v>14</v>
      </c>
      <c r="E19613" t="s">
        <v>27682</v>
      </c>
    </row>
    <row r="19614" spans="1:6" x14ac:dyDescent="0.25">
      <c r="A19614" t="str">
        <f>"860236194484"</f>
        <v>860236194484</v>
      </c>
      <c r="B19614" t="s">
        <v>27830</v>
      </c>
      <c r="C19614" t="s">
        <v>7</v>
      </c>
      <c r="D19614" t="s">
        <v>14</v>
      </c>
      <c r="E19614" t="s">
        <v>27682</v>
      </c>
    </row>
    <row r="19615" spans="1:6" x14ac:dyDescent="0.25">
      <c r="A19615" t="str">
        <f>"860300185507"</f>
        <v>860300185507</v>
      </c>
      <c r="B19615" t="s">
        <v>27831</v>
      </c>
      <c r="C19615" t="s">
        <v>7</v>
      </c>
      <c r="D19615" t="s">
        <v>14</v>
      </c>
      <c r="E19615" t="s">
        <v>27682</v>
      </c>
    </row>
    <row r="19616" spans="1:6" x14ac:dyDescent="0.25">
      <c r="A19616" t="str">
        <f>"8603099107"</f>
        <v>8603099107</v>
      </c>
      <c r="B19616" t="s">
        <v>27832</v>
      </c>
      <c r="C19616" t="s">
        <v>7</v>
      </c>
      <c r="D19616" t="s">
        <v>12</v>
      </c>
      <c r="E19616" t="s">
        <v>27682</v>
      </c>
      <c r="F19616" t="s">
        <v>27833</v>
      </c>
    </row>
    <row r="19617" spans="1:6" x14ac:dyDescent="0.25">
      <c r="A19617" t="str">
        <f>"8603156940"</f>
        <v>8603156940</v>
      </c>
      <c r="B19617" t="s">
        <v>27834</v>
      </c>
      <c r="C19617" t="s">
        <v>7</v>
      </c>
      <c r="D19617" t="s">
        <v>33</v>
      </c>
      <c r="E19617" t="s">
        <v>27682</v>
      </c>
      <c r="F19617" t="s">
        <v>27835</v>
      </c>
    </row>
    <row r="19618" spans="1:6" x14ac:dyDescent="0.25">
      <c r="A19618" t="str">
        <f>"8603183574"</f>
        <v>8603183574</v>
      </c>
      <c r="B19618" t="s">
        <v>27836</v>
      </c>
      <c r="C19618" t="s">
        <v>7</v>
      </c>
      <c r="D19618" t="s">
        <v>12</v>
      </c>
      <c r="E19618" t="s">
        <v>27682</v>
      </c>
      <c r="F19618" t="s">
        <v>27837</v>
      </c>
    </row>
    <row r="19619" spans="1:6" x14ac:dyDescent="0.25">
      <c r="A19619" t="str">
        <f>"860318654862"</f>
        <v>860318654862</v>
      </c>
      <c r="B19619" t="s">
        <v>27838</v>
      </c>
      <c r="C19619" t="s">
        <v>7</v>
      </c>
      <c r="D19619" t="s">
        <v>14</v>
      </c>
      <c r="E19619" t="s">
        <v>27682</v>
      </c>
    </row>
    <row r="19620" spans="1:6" x14ac:dyDescent="0.25">
      <c r="A19620" t="str">
        <f>"8603215650"</f>
        <v>8603215650</v>
      </c>
      <c r="B19620" t="s">
        <v>27839</v>
      </c>
      <c r="C19620" t="s">
        <v>7</v>
      </c>
      <c r="D19620" t="s">
        <v>12</v>
      </c>
      <c r="E19620" t="s">
        <v>27682</v>
      </c>
      <c r="F19620" t="s">
        <v>27840</v>
      </c>
    </row>
    <row r="19621" spans="1:6" x14ac:dyDescent="0.25">
      <c r="A19621" t="str">
        <f>"8603219414"</f>
        <v>8603219414</v>
      </c>
      <c r="B19621" t="s">
        <v>27841</v>
      </c>
      <c r="C19621" t="s">
        <v>7</v>
      </c>
      <c r="D19621" t="s">
        <v>12</v>
      </c>
      <c r="E19621" t="s">
        <v>27682</v>
      </c>
      <c r="F19621" t="s">
        <v>27842</v>
      </c>
    </row>
    <row r="19622" spans="1:6" x14ac:dyDescent="0.25">
      <c r="A19622" t="str">
        <f>"8603225746"</f>
        <v>8603225746</v>
      </c>
      <c r="B19622" t="s">
        <v>27843</v>
      </c>
      <c r="C19622" t="s">
        <v>7</v>
      </c>
      <c r="D19622" t="s">
        <v>33</v>
      </c>
      <c r="E19622" t="s">
        <v>27682</v>
      </c>
      <c r="F19622" t="s">
        <v>27844</v>
      </c>
    </row>
    <row r="19623" spans="1:6" x14ac:dyDescent="0.25">
      <c r="A19623" t="str">
        <f>"8603231080"</f>
        <v>8603231080</v>
      </c>
      <c r="B19623" t="s">
        <v>2697</v>
      </c>
      <c r="C19623" t="s">
        <v>7</v>
      </c>
      <c r="D19623" t="s">
        <v>33</v>
      </c>
      <c r="E19623" t="s">
        <v>27682</v>
      </c>
      <c r="F19623" t="s">
        <v>27845</v>
      </c>
    </row>
    <row r="19624" spans="1:6" x14ac:dyDescent="0.25">
      <c r="A19624" t="str">
        <f>"8603249264"</f>
        <v>8603249264</v>
      </c>
      <c r="B19624" t="s">
        <v>27846</v>
      </c>
      <c r="C19624" t="s">
        <v>7</v>
      </c>
      <c r="D19624" t="s">
        <v>14</v>
      </c>
      <c r="E19624" t="s">
        <v>27682</v>
      </c>
      <c r="F19624" t="s">
        <v>27847</v>
      </c>
    </row>
    <row r="19625" spans="1:6" x14ac:dyDescent="0.25">
      <c r="A19625" t="str">
        <f>"860400045969"</f>
        <v>860400045969</v>
      </c>
      <c r="B19625" t="s">
        <v>27848</v>
      </c>
      <c r="C19625" t="s">
        <v>7</v>
      </c>
      <c r="D19625" t="s">
        <v>14</v>
      </c>
      <c r="E19625" t="s">
        <v>27682</v>
      </c>
    </row>
    <row r="19626" spans="1:6" x14ac:dyDescent="0.25">
      <c r="A19626" t="str">
        <f>"8604028123"</f>
        <v>8604028123</v>
      </c>
      <c r="B19626" t="s">
        <v>27849</v>
      </c>
      <c r="C19626" t="s">
        <v>7</v>
      </c>
      <c r="D19626" t="s">
        <v>12</v>
      </c>
      <c r="E19626" t="s">
        <v>27682</v>
      </c>
      <c r="F19626" t="s">
        <v>27850</v>
      </c>
    </row>
    <row r="19627" spans="1:6" x14ac:dyDescent="0.25">
      <c r="A19627" t="str">
        <f>"8604048433"</f>
        <v>8604048433</v>
      </c>
      <c r="B19627" t="s">
        <v>27851</v>
      </c>
      <c r="C19627" t="s">
        <v>7</v>
      </c>
      <c r="D19627" t="s">
        <v>12</v>
      </c>
      <c r="E19627" t="s">
        <v>27682</v>
      </c>
      <c r="F19627" t="s">
        <v>27852</v>
      </c>
    </row>
    <row r="19628" spans="1:6" x14ac:dyDescent="0.25">
      <c r="A19628" t="str">
        <f>"8604072475"</f>
        <v>8604072475</v>
      </c>
      <c r="B19628" t="s">
        <v>27853</v>
      </c>
      <c r="C19628" t="s">
        <v>7</v>
      </c>
      <c r="D19628" t="s">
        <v>12</v>
      </c>
      <c r="E19628" t="s">
        <v>27682</v>
      </c>
      <c r="F19628" t="s">
        <v>27854</v>
      </c>
    </row>
    <row r="19629" spans="1:6" x14ac:dyDescent="0.25">
      <c r="A19629" t="str">
        <f>"8604073905"</f>
        <v>8604073905</v>
      </c>
      <c r="B19629" t="s">
        <v>27855</v>
      </c>
      <c r="C19629" t="s">
        <v>7</v>
      </c>
      <c r="D19629" t="s">
        <v>12</v>
      </c>
      <c r="E19629" t="s">
        <v>27682</v>
      </c>
      <c r="F19629" t="s">
        <v>27856</v>
      </c>
    </row>
    <row r="19630" spans="1:6" x14ac:dyDescent="0.25">
      <c r="A19630" t="str">
        <f>"860412185054"</f>
        <v>860412185054</v>
      </c>
      <c r="B19630" t="s">
        <v>27857</v>
      </c>
      <c r="C19630" t="s">
        <v>7</v>
      </c>
      <c r="D19630" t="s">
        <v>12</v>
      </c>
      <c r="E19630" t="s">
        <v>27682</v>
      </c>
    </row>
    <row r="19631" spans="1:6" x14ac:dyDescent="0.25">
      <c r="A19631" t="str">
        <f>"860414819933"</f>
        <v>860414819933</v>
      </c>
      <c r="B19631" t="s">
        <v>27858</v>
      </c>
      <c r="C19631" t="s">
        <v>7</v>
      </c>
      <c r="D19631" t="s">
        <v>14</v>
      </c>
      <c r="E19631" t="s">
        <v>27682</v>
      </c>
    </row>
    <row r="19632" spans="1:6" x14ac:dyDescent="0.25">
      <c r="A19632" t="str">
        <f>"8605019890"</f>
        <v>8605019890</v>
      </c>
      <c r="B19632" t="s">
        <v>8907</v>
      </c>
      <c r="C19632" t="s">
        <v>7</v>
      </c>
      <c r="D19632" t="s">
        <v>14</v>
      </c>
      <c r="E19632" t="s">
        <v>27682</v>
      </c>
      <c r="F19632" t="s">
        <v>27859</v>
      </c>
    </row>
    <row r="19633" spans="1:6" x14ac:dyDescent="0.25">
      <c r="A19633" t="str">
        <f>"860600125636"</f>
        <v>860600125636</v>
      </c>
      <c r="B19633" t="s">
        <v>27860</v>
      </c>
      <c r="C19633" t="s">
        <v>7</v>
      </c>
      <c r="D19633" t="s">
        <v>14</v>
      </c>
      <c r="E19633" t="s">
        <v>27682</v>
      </c>
    </row>
    <row r="19634" spans="1:6" x14ac:dyDescent="0.25">
      <c r="A19634" t="str">
        <f>"860701535491"</f>
        <v>860701535491</v>
      </c>
      <c r="B19634" t="s">
        <v>27861</v>
      </c>
      <c r="C19634" t="s">
        <v>7</v>
      </c>
      <c r="D19634" t="s">
        <v>12</v>
      </c>
      <c r="E19634" t="s">
        <v>27682</v>
      </c>
    </row>
    <row r="19635" spans="1:6" x14ac:dyDescent="0.25">
      <c r="A19635" t="str">
        <f>"860704084906"</f>
        <v>860704084906</v>
      </c>
      <c r="B19635" t="s">
        <v>27862</v>
      </c>
      <c r="C19635" t="s">
        <v>7</v>
      </c>
      <c r="D19635" t="s">
        <v>14</v>
      </c>
      <c r="E19635" t="s">
        <v>27682</v>
      </c>
    </row>
    <row r="19636" spans="1:6" x14ac:dyDescent="0.25">
      <c r="A19636" t="str">
        <f>"860806296040"</f>
        <v>860806296040</v>
      </c>
      <c r="B19636" t="s">
        <v>27863</v>
      </c>
      <c r="C19636" t="s">
        <v>7</v>
      </c>
      <c r="D19636" t="s">
        <v>14</v>
      </c>
      <c r="E19636" t="s">
        <v>27682</v>
      </c>
    </row>
    <row r="19637" spans="1:6" x14ac:dyDescent="0.25">
      <c r="A19637" t="str">
        <f>"860905963167"</f>
        <v>860905963167</v>
      </c>
      <c r="B19637" t="s">
        <v>27864</v>
      </c>
      <c r="C19637" t="s">
        <v>7</v>
      </c>
      <c r="D19637" t="s">
        <v>14</v>
      </c>
      <c r="E19637" t="s">
        <v>27682</v>
      </c>
    </row>
    <row r="19638" spans="1:6" x14ac:dyDescent="0.25">
      <c r="A19638" t="str">
        <f>"8610008380"</f>
        <v>8610008380</v>
      </c>
      <c r="B19638" t="s">
        <v>27865</v>
      </c>
      <c r="C19638" t="s">
        <v>7</v>
      </c>
      <c r="D19638" t="s">
        <v>14</v>
      </c>
      <c r="E19638" t="s">
        <v>27682</v>
      </c>
      <c r="F19638" t="s">
        <v>27866</v>
      </c>
    </row>
    <row r="19639" spans="1:6" x14ac:dyDescent="0.25">
      <c r="A19639" t="str">
        <f>"8610026501"</f>
        <v>8610026501</v>
      </c>
      <c r="B19639" t="s">
        <v>27867</v>
      </c>
      <c r="C19639" t="s">
        <v>7</v>
      </c>
      <c r="D19639" t="s">
        <v>14</v>
      </c>
      <c r="E19639" t="s">
        <v>27682</v>
      </c>
      <c r="F19639" t="s">
        <v>27868</v>
      </c>
    </row>
    <row r="19640" spans="1:6" x14ac:dyDescent="0.25">
      <c r="A19640" t="str">
        <f>"861004997483"</f>
        <v>861004997483</v>
      </c>
      <c r="B19640" t="s">
        <v>27869</v>
      </c>
      <c r="C19640" t="s">
        <v>7</v>
      </c>
      <c r="D19640" t="s">
        <v>14</v>
      </c>
      <c r="E19640" t="s">
        <v>27682</v>
      </c>
    </row>
    <row r="19641" spans="1:6" x14ac:dyDescent="0.25">
      <c r="A19641" t="str">
        <f>"861202854092"</f>
        <v>861202854092</v>
      </c>
      <c r="B19641" t="s">
        <v>27870</v>
      </c>
      <c r="C19641" t="s">
        <v>7</v>
      </c>
      <c r="D19641" t="s">
        <v>14</v>
      </c>
      <c r="E19641" t="s">
        <v>27682</v>
      </c>
    </row>
    <row r="19642" spans="1:6" x14ac:dyDescent="0.25">
      <c r="A19642" t="str">
        <f>"861203089528"</f>
        <v>861203089528</v>
      </c>
      <c r="B19642" t="s">
        <v>27871</v>
      </c>
      <c r="C19642" t="s">
        <v>7</v>
      </c>
      <c r="D19642" t="s">
        <v>14</v>
      </c>
      <c r="E19642" t="s">
        <v>27682</v>
      </c>
    </row>
    <row r="19643" spans="1:6" x14ac:dyDescent="0.25">
      <c r="A19643" t="str">
        <f>"860100115252"</f>
        <v>860100115252</v>
      </c>
      <c r="B19643" t="s">
        <v>27872</v>
      </c>
      <c r="C19643" t="s">
        <v>7</v>
      </c>
      <c r="D19643" t="s">
        <v>14</v>
      </c>
      <c r="E19643" t="s">
        <v>27682</v>
      </c>
    </row>
    <row r="19644" spans="1:6" x14ac:dyDescent="0.25">
      <c r="A19644" t="str">
        <f>"860101417714"</f>
        <v>860101417714</v>
      </c>
      <c r="B19644" t="s">
        <v>27873</v>
      </c>
      <c r="C19644" t="s">
        <v>7</v>
      </c>
      <c r="D19644" t="s">
        <v>14</v>
      </c>
      <c r="E19644" t="s">
        <v>27682</v>
      </c>
    </row>
    <row r="19645" spans="1:6" x14ac:dyDescent="0.25">
      <c r="A19645" t="str">
        <f>"860101934279"</f>
        <v>860101934279</v>
      </c>
      <c r="B19645" t="s">
        <v>27874</v>
      </c>
      <c r="C19645" t="s">
        <v>7</v>
      </c>
      <c r="D19645" t="s">
        <v>14</v>
      </c>
      <c r="E19645" t="s">
        <v>27682</v>
      </c>
    </row>
    <row r="19646" spans="1:6" x14ac:dyDescent="0.25">
      <c r="A19646" t="str">
        <f>"8601032523"</f>
        <v>8601032523</v>
      </c>
      <c r="B19646" t="s">
        <v>27875</v>
      </c>
      <c r="C19646" t="s">
        <v>7</v>
      </c>
      <c r="D19646" t="s">
        <v>12</v>
      </c>
      <c r="E19646" t="s">
        <v>27682</v>
      </c>
      <c r="F19646" t="s">
        <v>27876</v>
      </c>
    </row>
    <row r="19647" spans="1:6" x14ac:dyDescent="0.25">
      <c r="A19647" t="str">
        <f>"860103912104"</f>
        <v>860103912104</v>
      </c>
      <c r="B19647" t="s">
        <v>27877</v>
      </c>
      <c r="C19647" t="s">
        <v>7</v>
      </c>
      <c r="D19647" t="s">
        <v>14</v>
      </c>
      <c r="E19647" t="s">
        <v>27682</v>
      </c>
    </row>
    <row r="19648" spans="1:6" x14ac:dyDescent="0.25">
      <c r="A19648" t="str">
        <f>"860105072250"</f>
        <v>860105072250</v>
      </c>
      <c r="B19648" t="s">
        <v>27878</v>
      </c>
      <c r="C19648" t="s">
        <v>7</v>
      </c>
      <c r="D19648" t="s">
        <v>14</v>
      </c>
      <c r="E19648" t="s">
        <v>27682</v>
      </c>
    </row>
    <row r="19649" spans="1:6" x14ac:dyDescent="0.25">
      <c r="A19649" t="str">
        <f>"8601071160"</f>
        <v>8601071160</v>
      </c>
      <c r="B19649" t="s">
        <v>27879</v>
      </c>
      <c r="C19649" t="s">
        <v>7</v>
      </c>
      <c r="D19649" t="s">
        <v>14</v>
      </c>
      <c r="E19649" t="s">
        <v>27682</v>
      </c>
      <c r="F19649" t="s">
        <v>27880</v>
      </c>
    </row>
    <row r="19650" spans="1:6" x14ac:dyDescent="0.25">
      <c r="A19650" t="str">
        <f>"860200380504"</f>
        <v>860200380504</v>
      </c>
      <c r="B19650" t="s">
        <v>27881</v>
      </c>
      <c r="C19650" t="s">
        <v>7</v>
      </c>
      <c r="D19650" t="s">
        <v>14</v>
      </c>
      <c r="E19650" t="s">
        <v>27682</v>
      </c>
    </row>
    <row r="19651" spans="1:6" x14ac:dyDescent="0.25">
      <c r="A19651" t="str">
        <f>"860200507630"</f>
        <v>860200507630</v>
      </c>
      <c r="B19651" t="s">
        <v>27882</v>
      </c>
      <c r="C19651" t="s">
        <v>7</v>
      </c>
      <c r="D19651" t="s">
        <v>14</v>
      </c>
      <c r="E19651" t="s">
        <v>27682</v>
      </c>
    </row>
    <row r="19652" spans="1:6" x14ac:dyDescent="0.25">
      <c r="A19652" t="str">
        <f>"860200786952"</f>
        <v>860200786952</v>
      </c>
      <c r="B19652" t="s">
        <v>27883</v>
      </c>
      <c r="C19652" t="s">
        <v>7</v>
      </c>
      <c r="D19652" t="s">
        <v>14</v>
      </c>
      <c r="E19652" t="s">
        <v>27682</v>
      </c>
    </row>
    <row r="19653" spans="1:6" x14ac:dyDescent="0.25">
      <c r="A19653" t="str">
        <f>"8602023144"</f>
        <v>8602023144</v>
      </c>
      <c r="B19653" t="s">
        <v>27884</v>
      </c>
      <c r="C19653" t="s">
        <v>7</v>
      </c>
      <c r="D19653" t="s">
        <v>12</v>
      </c>
      <c r="E19653" t="s">
        <v>27682</v>
      </c>
      <c r="F19653" t="s">
        <v>27885</v>
      </c>
    </row>
    <row r="19654" spans="1:6" x14ac:dyDescent="0.25">
      <c r="A19654" t="str">
        <f>"8602074082"</f>
        <v>8602074082</v>
      </c>
      <c r="B19654" t="s">
        <v>27886</v>
      </c>
      <c r="C19654" t="s">
        <v>7</v>
      </c>
      <c r="D19654" t="s">
        <v>12</v>
      </c>
      <c r="E19654" t="s">
        <v>27682</v>
      </c>
      <c r="F19654" t="s">
        <v>27887</v>
      </c>
    </row>
    <row r="19655" spans="1:6" x14ac:dyDescent="0.25">
      <c r="A19655" t="str">
        <f>"8602166463"</f>
        <v>8602166463</v>
      </c>
      <c r="B19655" t="s">
        <v>27888</v>
      </c>
      <c r="C19655" t="s">
        <v>7</v>
      </c>
      <c r="D19655" t="s">
        <v>33</v>
      </c>
      <c r="E19655" t="s">
        <v>27682</v>
      </c>
      <c r="F19655" t="s">
        <v>27889</v>
      </c>
    </row>
    <row r="19656" spans="1:6" x14ac:dyDescent="0.25">
      <c r="A19656" t="str">
        <f>"860220697919"</f>
        <v>860220697919</v>
      </c>
      <c r="B19656" t="s">
        <v>27890</v>
      </c>
      <c r="C19656" t="s">
        <v>7</v>
      </c>
      <c r="D19656" t="s">
        <v>14</v>
      </c>
      <c r="E19656" t="s">
        <v>27682</v>
      </c>
    </row>
    <row r="19657" spans="1:6" x14ac:dyDescent="0.25">
      <c r="A19657" t="str">
        <f>"860221351871"</f>
        <v>860221351871</v>
      </c>
      <c r="B19657" t="s">
        <v>27891</v>
      </c>
      <c r="C19657" t="s">
        <v>7</v>
      </c>
      <c r="D19657" t="s">
        <v>14</v>
      </c>
      <c r="E19657" t="s">
        <v>27682</v>
      </c>
    </row>
    <row r="19658" spans="1:6" x14ac:dyDescent="0.25">
      <c r="A19658" t="str">
        <f>"8602214893"</f>
        <v>8602214893</v>
      </c>
      <c r="B19658" t="s">
        <v>27892</v>
      </c>
      <c r="C19658" t="s">
        <v>7</v>
      </c>
      <c r="D19658" t="s">
        <v>14</v>
      </c>
      <c r="E19658" t="s">
        <v>27682</v>
      </c>
      <c r="F19658" t="s">
        <v>27893</v>
      </c>
    </row>
    <row r="19659" spans="1:6" x14ac:dyDescent="0.25">
      <c r="A19659" t="str">
        <f>"860222863167"</f>
        <v>860222863167</v>
      </c>
      <c r="B19659" t="s">
        <v>27894</v>
      </c>
      <c r="C19659" t="s">
        <v>7</v>
      </c>
      <c r="D19659" t="s">
        <v>12</v>
      </c>
      <c r="E19659" t="s">
        <v>27682</v>
      </c>
    </row>
    <row r="19660" spans="1:6" x14ac:dyDescent="0.25">
      <c r="A19660" t="str">
        <f>"8602230743"</f>
        <v>8602230743</v>
      </c>
      <c r="B19660" t="s">
        <v>27895</v>
      </c>
      <c r="C19660" t="s">
        <v>7</v>
      </c>
      <c r="D19660" t="s">
        <v>14</v>
      </c>
      <c r="E19660" t="s">
        <v>27682</v>
      </c>
      <c r="F19660" t="s">
        <v>27896</v>
      </c>
    </row>
    <row r="19661" spans="1:6" x14ac:dyDescent="0.25">
      <c r="A19661" t="str">
        <f>"8602231458"</f>
        <v>8602231458</v>
      </c>
      <c r="B19661" t="s">
        <v>27897</v>
      </c>
      <c r="C19661" t="s">
        <v>7</v>
      </c>
      <c r="D19661" t="s">
        <v>12</v>
      </c>
      <c r="E19661" t="s">
        <v>27682</v>
      </c>
      <c r="F19661" t="s">
        <v>27898</v>
      </c>
    </row>
    <row r="19662" spans="1:6" x14ac:dyDescent="0.25">
      <c r="A19662" t="str">
        <f>"860223506425"</f>
        <v>860223506425</v>
      </c>
      <c r="B19662" t="s">
        <v>27899</v>
      </c>
      <c r="C19662" t="s">
        <v>7</v>
      </c>
      <c r="D19662" t="s">
        <v>14</v>
      </c>
      <c r="E19662" t="s">
        <v>27682</v>
      </c>
    </row>
    <row r="19663" spans="1:6" x14ac:dyDescent="0.25">
      <c r="A19663" t="str">
        <f>"860223893439"</f>
        <v>860223893439</v>
      </c>
      <c r="B19663" t="s">
        <v>27900</v>
      </c>
      <c r="C19663" t="s">
        <v>7</v>
      </c>
      <c r="D19663" t="s">
        <v>12</v>
      </c>
      <c r="E19663" t="s">
        <v>27682</v>
      </c>
    </row>
    <row r="19664" spans="1:6" x14ac:dyDescent="0.25">
      <c r="A19664" t="str">
        <f>"860224487687"</f>
        <v>860224487687</v>
      </c>
      <c r="B19664" t="s">
        <v>27901</v>
      </c>
      <c r="C19664" t="s">
        <v>7</v>
      </c>
      <c r="D19664" t="s">
        <v>12</v>
      </c>
      <c r="E19664" t="s">
        <v>27682</v>
      </c>
    </row>
    <row r="19665" spans="1:6" x14ac:dyDescent="0.25">
      <c r="A19665" t="str">
        <f>"8602248613"</f>
        <v>8602248613</v>
      </c>
      <c r="B19665" t="s">
        <v>27902</v>
      </c>
      <c r="C19665" t="s">
        <v>7</v>
      </c>
      <c r="D19665" t="s">
        <v>12</v>
      </c>
      <c r="E19665" t="s">
        <v>27682</v>
      </c>
      <c r="F19665" t="s">
        <v>27903</v>
      </c>
    </row>
    <row r="19666" spans="1:6" x14ac:dyDescent="0.25">
      <c r="A19666" t="str">
        <f>"860224922386"</f>
        <v>860224922386</v>
      </c>
      <c r="B19666" t="s">
        <v>27904</v>
      </c>
      <c r="C19666" t="s">
        <v>7</v>
      </c>
      <c r="D19666" t="s">
        <v>14</v>
      </c>
      <c r="E19666" t="s">
        <v>27682</v>
      </c>
    </row>
    <row r="19667" spans="1:6" x14ac:dyDescent="0.25">
      <c r="A19667" t="str">
        <f>"8602262960"</f>
        <v>8602262960</v>
      </c>
      <c r="B19667" t="s">
        <v>27905</v>
      </c>
      <c r="C19667" t="s">
        <v>7</v>
      </c>
      <c r="D19667" t="s">
        <v>14</v>
      </c>
      <c r="E19667" t="s">
        <v>27682</v>
      </c>
      <c r="F19667" t="s">
        <v>27906</v>
      </c>
    </row>
    <row r="19668" spans="1:6" x14ac:dyDescent="0.25">
      <c r="A19668" t="str">
        <f>"860226706101"</f>
        <v>860226706101</v>
      </c>
      <c r="B19668" t="s">
        <v>27907</v>
      </c>
      <c r="C19668" t="s">
        <v>7</v>
      </c>
      <c r="D19668" t="s">
        <v>14</v>
      </c>
      <c r="E19668" t="s">
        <v>27682</v>
      </c>
    </row>
    <row r="19669" spans="1:6" x14ac:dyDescent="0.25">
      <c r="A19669" t="str">
        <f>"860226788506"</f>
        <v>860226788506</v>
      </c>
      <c r="B19669" t="s">
        <v>27908</v>
      </c>
      <c r="C19669" t="s">
        <v>7</v>
      </c>
      <c r="D19669" t="s">
        <v>14</v>
      </c>
      <c r="E19669" t="s">
        <v>27682</v>
      </c>
    </row>
    <row r="19670" spans="1:6" x14ac:dyDescent="0.25">
      <c r="A19670" t="str">
        <f>"8602277340"</f>
        <v>8602277340</v>
      </c>
      <c r="B19670" t="s">
        <v>27909</v>
      </c>
      <c r="C19670" t="s">
        <v>7</v>
      </c>
      <c r="D19670" t="s">
        <v>12</v>
      </c>
      <c r="E19670" t="s">
        <v>27682</v>
      </c>
      <c r="F19670" t="s">
        <v>27910</v>
      </c>
    </row>
    <row r="19671" spans="1:6" x14ac:dyDescent="0.25">
      <c r="A19671" t="str">
        <f>"8602282484"</f>
        <v>8602282484</v>
      </c>
      <c r="B19671" t="s">
        <v>27911</v>
      </c>
      <c r="C19671" t="s">
        <v>7</v>
      </c>
      <c r="D19671" t="s">
        <v>12</v>
      </c>
      <c r="E19671" t="s">
        <v>27682</v>
      </c>
      <c r="F19671" t="s">
        <v>27912</v>
      </c>
    </row>
    <row r="19672" spans="1:6" x14ac:dyDescent="0.25">
      <c r="A19672" t="str">
        <f>"8602286182"</f>
        <v>8602286182</v>
      </c>
      <c r="B19672" t="s">
        <v>27913</v>
      </c>
      <c r="C19672" t="s">
        <v>7</v>
      </c>
      <c r="D19672" t="s">
        <v>14</v>
      </c>
      <c r="E19672" t="s">
        <v>27682</v>
      </c>
      <c r="F19672" t="s">
        <v>27914</v>
      </c>
    </row>
    <row r="19673" spans="1:6" x14ac:dyDescent="0.25">
      <c r="A19673" t="str">
        <f>"8602288060"</f>
        <v>8602288060</v>
      </c>
      <c r="B19673" t="s">
        <v>7996</v>
      </c>
      <c r="C19673" t="s">
        <v>7</v>
      </c>
      <c r="D19673" t="s">
        <v>33</v>
      </c>
      <c r="E19673" t="s">
        <v>27682</v>
      </c>
      <c r="F19673" t="s">
        <v>27915</v>
      </c>
    </row>
    <row r="19674" spans="1:6" x14ac:dyDescent="0.25">
      <c r="A19674" t="str">
        <f>"8602291873"</f>
        <v>8602291873</v>
      </c>
      <c r="B19674" t="s">
        <v>27916</v>
      </c>
      <c r="C19674" t="s">
        <v>7</v>
      </c>
      <c r="D19674" t="s">
        <v>14</v>
      </c>
      <c r="E19674" t="s">
        <v>27682</v>
      </c>
      <c r="F19674" t="s">
        <v>27917</v>
      </c>
    </row>
    <row r="19675" spans="1:6" x14ac:dyDescent="0.25">
      <c r="A19675" t="str">
        <f>"8602292926"</f>
        <v>8602292926</v>
      </c>
      <c r="B19675" t="s">
        <v>27918</v>
      </c>
      <c r="C19675" t="s">
        <v>7</v>
      </c>
      <c r="D19675" t="s">
        <v>12</v>
      </c>
      <c r="E19675" t="s">
        <v>27682</v>
      </c>
      <c r="F19675" t="s">
        <v>27919</v>
      </c>
    </row>
    <row r="19676" spans="1:6" x14ac:dyDescent="0.25">
      <c r="A19676" t="str">
        <f>"8602296670"</f>
        <v>8602296670</v>
      </c>
      <c r="B19676" t="s">
        <v>27920</v>
      </c>
      <c r="C19676" t="s">
        <v>7</v>
      </c>
      <c r="D19676" t="s">
        <v>12</v>
      </c>
      <c r="E19676" t="s">
        <v>27682</v>
      </c>
      <c r="F19676" t="s">
        <v>27921</v>
      </c>
    </row>
    <row r="19677" spans="1:6" x14ac:dyDescent="0.25">
      <c r="A19677" t="str">
        <f>"8602307474"</f>
        <v>8602307474</v>
      </c>
      <c r="B19677" t="s">
        <v>27922</v>
      </c>
      <c r="C19677" t="s">
        <v>7</v>
      </c>
      <c r="D19677" t="s">
        <v>14</v>
      </c>
      <c r="E19677" t="s">
        <v>27682</v>
      </c>
      <c r="F19677" t="s">
        <v>27923</v>
      </c>
    </row>
    <row r="19678" spans="1:6" x14ac:dyDescent="0.25">
      <c r="A19678" t="str">
        <f>"8602309753"</f>
        <v>8602309753</v>
      </c>
      <c r="B19678" t="s">
        <v>27924</v>
      </c>
      <c r="C19678" t="s">
        <v>7</v>
      </c>
      <c r="D19678" t="s">
        <v>14</v>
      </c>
      <c r="E19678" t="s">
        <v>27682</v>
      </c>
      <c r="F19678" t="s">
        <v>27925</v>
      </c>
    </row>
    <row r="19679" spans="1:6" x14ac:dyDescent="0.25">
      <c r="A19679" t="str">
        <f>"860231409513"</f>
        <v>860231409513</v>
      </c>
      <c r="B19679" t="s">
        <v>27926</v>
      </c>
      <c r="C19679" t="s">
        <v>7</v>
      </c>
      <c r="D19679" t="s">
        <v>14</v>
      </c>
      <c r="E19679" t="s">
        <v>27682</v>
      </c>
    </row>
    <row r="19680" spans="1:6" x14ac:dyDescent="0.25">
      <c r="A19680" t="str">
        <f>"8602315891"</f>
        <v>8602315891</v>
      </c>
      <c r="B19680" t="s">
        <v>27927</v>
      </c>
      <c r="C19680" t="s">
        <v>7</v>
      </c>
      <c r="D19680" t="s">
        <v>14</v>
      </c>
      <c r="E19680" t="s">
        <v>27682</v>
      </c>
      <c r="F19680" t="s">
        <v>27928</v>
      </c>
    </row>
    <row r="19681" spans="1:6" x14ac:dyDescent="0.25">
      <c r="A19681" t="str">
        <f>"8602317169"</f>
        <v>8602317169</v>
      </c>
      <c r="B19681" t="s">
        <v>27929</v>
      </c>
      <c r="C19681" t="s">
        <v>7</v>
      </c>
      <c r="D19681" t="s">
        <v>12</v>
      </c>
      <c r="E19681" t="s">
        <v>27682</v>
      </c>
      <c r="F19681" t="s">
        <v>27930</v>
      </c>
    </row>
    <row r="19682" spans="1:6" x14ac:dyDescent="0.25">
      <c r="A19682" t="str">
        <f>"8602318518"</f>
        <v>8602318518</v>
      </c>
      <c r="B19682" t="s">
        <v>10799</v>
      </c>
      <c r="C19682" t="s">
        <v>7</v>
      </c>
      <c r="D19682" t="s">
        <v>98</v>
      </c>
      <c r="E19682" t="s">
        <v>27682</v>
      </c>
      <c r="F19682" t="s">
        <v>27931</v>
      </c>
    </row>
    <row r="19683" spans="1:6" x14ac:dyDescent="0.25">
      <c r="A19683" t="str">
        <f>"860236639207"</f>
        <v>860236639207</v>
      </c>
      <c r="B19683" t="s">
        <v>27932</v>
      </c>
      <c r="C19683" t="s">
        <v>7</v>
      </c>
      <c r="D19683" t="s">
        <v>14</v>
      </c>
      <c r="E19683" t="s">
        <v>27682</v>
      </c>
    </row>
    <row r="19684" spans="1:6" x14ac:dyDescent="0.25">
      <c r="A19684" t="str">
        <f>"860300566372"</f>
        <v>860300566372</v>
      </c>
      <c r="B19684" t="s">
        <v>27933</v>
      </c>
      <c r="C19684" t="s">
        <v>7</v>
      </c>
      <c r="D19684" t="s">
        <v>14</v>
      </c>
      <c r="E19684" t="s">
        <v>27682</v>
      </c>
    </row>
    <row r="19685" spans="1:6" x14ac:dyDescent="0.25">
      <c r="A19685" t="str">
        <f>"860300618380"</f>
        <v>860300618380</v>
      </c>
      <c r="B19685" t="s">
        <v>27934</v>
      </c>
      <c r="C19685" t="s">
        <v>7</v>
      </c>
      <c r="D19685" t="s">
        <v>14</v>
      </c>
      <c r="E19685" t="s">
        <v>27682</v>
      </c>
    </row>
    <row r="19686" spans="1:6" x14ac:dyDescent="0.25">
      <c r="A19686" t="str">
        <f>"860307347940"</f>
        <v>860307347940</v>
      </c>
      <c r="B19686" t="s">
        <v>27935</v>
      </c>
      <c r="C19686" t="s">
        <v>7</v>
      </c>
      <c r="D19686" t="s">
        <v>14</v>
      </c>
      <c r="E19686" t="s">
        <v>27682</v>
      </c>
    </row>
    <row r="19687" spans="1:6" x14ac:dyDescent="0.25">
      <c r="A19687" t="str">
        <f>"860310198142"</f>
        <v>860310198142</v>
      </c>
      <c r="B19687" t="s">
        <v>27936</v>
      </c>
      <c r="C19687" t="s">
        <v>7</v>
      </c>
      <c r="D19687" t="s">
        <v>33</v>
      </c>
      <c r="E19687" t="s">
        <v>27682</v>
      </c>
    </row>
    <row r="19688" spans="1:6" x14ac:dyDescent="0.25">
      <c r="A19688" t="str">
        <f>"8603122540"</f>
        <v>8603122540</v>
      </c>
      <c r="B19688" t="s">
        <v>27937</v>
      </c>
      <c r="C19688" t="s">
        <v>7</v>
      </c>
      <c r="D19688" t="s">
        <v>12</v>
      </c>
      <c r="E19688" t="s">
        <v>27682</v>
      </c>
      <c r="F19688" t="s">
        <v>27938</v>
      </c>
    </row>
    <row r="19689" spans="1:6" x14ac:dyDescent="0.25">
      <c r="A19689" t="str">
        <f>"8603123790"</f>
        <v>8603123790</v>
      </c>
      <c r="B19689" t="s">
        <v>27939</v>
      </c>
      <c r="C19689" t="s">
        <v>7</v>
      </c>
      <c r="D19689" t="s">
        <v>33</v>
      </c>
      <c r="E19689" t="s">
        <v>27682</v>
      </c>
      <c r="F19689" t="s">
        <v>27940</v>
      </c>
    </row>
    <row r="19690" spans="1:6" x14ac:dyDescent="0.25">
      <c r="A19690" t="str">
        <f>"8603129591"</f>
        <v>8603129591</v>
      </c>
      <c r="B19690" t="s">
        <v>27941</v>
      </c>
      <c r="C19690" t="s">
        <v>7</v>
      </c>
      <c r="D19690" t="s">
        <v>33</v>
      </c>
      <c r="E19690" t="s">
        <v>27682</v>
      </c>
      <c r="F19690" t="s">
        <v>27942</v>
      </c>
    </row>
    <row r="19691" spans="1:6" x14ac:dyDescent="0.25">
      <c r="A19691" t="str">
        <f>"860313869737"</f>
        <v>860313869737</v>
      </c>
      <c r="B19691" t="s">
        <v>27943</v>
      </c>
      <c r="C19691" t="s">
        <v>7</v>
      </c>
      <c r="D19691" t="s">
        <v>14</v>
      </c>
      <c r="E19691" t="s">
        <v>27682</v>
      </c>
    </row>
    <row r="19692" spans="1:6" x14ac:dyDescent="0.25">
      <c r="A19692" t="str">
        <f>"8603193798"</f>
        <v>8603193798</v>
      </c>
      <c r="B19692" t="s">
        <v>6501</v>
      </c>
      <c r="C19692" t="s">
        <v>7</v>
      </c>
      <c r="D19692" t="s">
        <v>14</v>
      </c>
      <c r="E19692" t="s">
        <v>27682</v>
      </c>
      <c r="F19692" t="s">
        <v>27944</v>
      </c>
    </row>
    <row r="19693" spans="1:6" x14ac:dyDescent="0.25">
      <c r="A19693" t="str">
        <f>"860319900398"</f>
        <v>860319900398</v>
      </c>
      <c r="B19693" t="s">
        <v>27945</v>
      </c>
      <c r="C19693" t="s">
        <v>7</v>
      </c>
      <c r="D19693" t="s">
        <v>14</v>
      </c>
      <c r="E19693" t="s">
        <v>27682</v>
      </c>
    </row>
    <row r="19694" spans="1:6" x14ac:dyDescent="0.25">
      <c r="A19694" t="str">
        <f>"8603205034"</f>
        <v>8603205034</v>
      </c>
      <c r="B19694" t="s">
        <v>27946</v>
      </c>
      <c r="C19694" t="s">
        <v>7</v>
      </c>
      <c r="D19694" t="s">
        <v>33</v>
      </c>
      <c r="E19694" t="s">
        <v>27682</v>
      </c>
      <c r="F19694" t="s">
        <v>27947</v>
      </c>
    </row>
    <row r="19695" spans="1:6" x14ac:dyDescent="0.25">
      <c r="A19695" t="str">
        <f>"860321358380"</f>
        <v>860321358380</v>
      </c>
      <c r="B19695" t="s">
        <v>27948</v>
      </c>
      <c r="C19695" t="s">
        <v>7</v>
      </c>
      <c r="D19695" t="s">
        <v>14</v>
      </c>
      <c r="E19695" t="s">
        <v>27682</v>
      </c>
    </row>
    <row r="19696" spans="1:6" x14ac:dyDescent="0.25">
      <c r="A19696" t="str">
        <f>"8603217223"</f>
        <v>8603217223</v>
      </c>
      <c r="B19696" t="s">
        <v>27949</v>
      </c>
      <c r="C19696" t="s">
        <v>7</v>
      </c>
      <c r="D19696" t="s">
        <v>12</v>
      </c>
      <c r="E19696" t="s">
        <v>27682</v>
      </c>
      <c r="F19696" t="s">
        <v>27950</v>
      </c>
    </row>
    <row r="19697" spans="1:6" x14ac:dyDescent="0.25">
      <c r="A19697" t="str">
        <f>"8603237910"</f>
        <v>8603237910</v>
      </c>
      <c r="B19697" t="s">
        <v>27951</v>
      </c>
      <c r="C19697" t="s">
        <v>7</v>
      </c>
      <c r="D19697" t="s">
        <v>12</v>
      </c>
      <c r="E19697" t="s">
        <v>27682</v>
      </c>
      <c r="F19697" t="s">
        <v>27952</v>
      </c>
    </row>
    <row r="19698" spans="1:6" x14ac:dyDescent="0.25">
      <c r="A19698" t="str">
        <f>"8603244918"</f>
        <v>8603244918</v>
      </c>
      <c r="B19698" t="s">
        <v>10463</v>
      </c>
      <c r="C19698" t="s">
        <v>7</v>
      </c>
      <c r="D19698" t="s">
        <v>12</v>
      </c>
      <c r="E19698" t="s">
        <v>27682</v>
      </c>
      <c r="F19698" t="s">
        <v>27953</v>
      </c>
    </row>
    <row r="19699" spans="1:6" x14ac:dyDescent="0.25">
      <c r="A19699" t="str">
        <f>"8603248800"</f>
        <v>8603248800</v>
      </c>
      <c r="B19699" t="s">
        <v>6618</v>
      </c>
      <c r="C19699" t="s">
        <v>7</v>
      </c>
      <c r="D19699" t="s">
        <v>12</v>
      </c>
      <c r="E19699" t="s">
        <v>27682</v>
      </c>
      <c r="F19699" t="s">
        <v>27954</v>
      </c>
    </row>
    <row r="19700" spans="1:6" x14ac:dyDescent="0.25">
      <c r="A19700" t="str">
        <f>"860327935556"</f>
        <v>860327935556</v>
      </c>
      <c r="B19700" t="s">
        <v>27955</v>
      </c>
      <c r="C19700" t="s">
        <v>7</v>
      </c>
      <c r="D19700" t="s">
        <v>14</v>
      </c>
      <c r="E19700" t="s">
        <v>27682</v>
      </c>
    </row>
    <row r="19701" spans="1:6" x14ac:dyDescent="0.25">
      <c r="A19701" t="str">
        <f>"860335681753"</f>
        <v>860335681753</v>
      </c>
      <c r="B19701" t="s">
        <v>27956</v>
      </c>
      <c r="C19701" t="s">
        <v>7</v>
      </c>
      <c r="D19701" t="s">
        <v>14</v>
      </c>
      <c r="E19701" t="s">
        <v>27682</v>
      </c>
    </row>
    <row r="19702" spans="1:6" x14ac:dyDescent="0.25">
      <c r="A19702" t="str">
        <f>"860400100070"</f>
        <v>860400100070</v>
      </c>
      <c r="B19702" t="s">
        <v>27957</v>
      </c>
      <c r="C19702" t="s">
        <v>7</v>
      </c>
      <c r="D19702" t="s">
        <v>14</v>
      </c>
      <c r="E19702" t="s">
        <v>27682</v>
      </c>
    </row>
    <row r="19703" spans="1:6" x14ac:dyDescent="0.25">
      <c r="A19703" t="str">
        <f>"860400142024"</f>
        <v>860400142024</v>
      </c>
      <c r="B19703" t="s">
        <v>27958</v>
      </c>
      <c r="C19703" t="s">
        <v>7</v>
      </c>
      <c r="D19703" t="s">
        <v>14</v>
      </c>
      <c r="E19703" t="s">
        <v>27682</v>
      </c>
    </row>
    <row r="19704" spans="1:6" x14ac:dyDescent="0.25">
      <c r="A19704" t="str">
        <f>"860400322404"</f>
        <v>860400322404</v>
      </c>
      <c r="B19704" t="s">
        <v>27959</v>
      </c>
      <c r="C19704" t="s">
        <v>7</v>
      </c>
      <c r="D19704" t="s">
        <v>14</v>
      </c>
      <c r="E19704" t="s">
        <v>27682</v>
      </c>
    </row>
    <row r="19705" spans="1:6" x14ac:dyDescent="0.25">
      <c r="A19705" t="str">
        <f>"860402575263"</f>
        <v>860402575263</v>
      </c>
      <c r="B19705" t="s">
        <v>27960</v>
      </c>
      <c r="C19705" t="s">
        <v>7</v>
      </c>
      <c r="D19705" t="s">
        <v>14</v>
      </c>
      <c r="E19705" t="s">
        <v>27682</v>
      </c>
    </row>
    <row r="19706" spans="1:6" x14ac:dyDescent="0.25">
      <c r="A19706" t="str">
        <f>"8604034624"</f>
        <v>8604034624</v>
      </c>
      <c r="B19706" t="s">
        <v>27961</v>
      </c>
      <c r="C19706" t="s">
        <v>7</v>
      </c>
      <c r="D19706" t="s">
        <v>12</v>
      </c>
      <c r="E19706" t="s">
        <v>27682</v>
      </c>
      <c r="F19706" t="s">
        <v>27962</v>
      </c>
    </row>
    <row r="19707" spans="1:6" x14ac:dyDescent="0.25">
      <c r="A19707" t="str">
        <f>"860404006174"</f>
        <v>860404006174</v>
      </c>
      <c r="B19707" t="s">
        <v>27963</v>
      </c>
      <c r="C19707" t="s">
        <v>7</v>
      </c>
      <c r="D19707" t="s">
        <v>12</v>
      </c>
      <c r="E19707" t="s">
        <v>27682</v>
      </c>
    </row>
    <row r="19708" spans="1:6" x14ac:dyDescent="0.25">
      <c r="A19708" t="str">
        <f>"8604048722"</f>
        <v>8604048722</v>
      </c>
      <c r="B19708" t="s">
        <v>27964</v>
      </c>
      <c r="C19708" t="s">
        <v>7</v>
      </c>
      <c r="D19708" t="s">
        <v>14</v>
      </c>
      <c r="E19708" t="s">
        <v>27682</v>
      </c>
      <c r="F19708" t="s">
        <v>27965</v>
      </c>
    </row>
    <row r="19709" spans="1:6" x14ac:dyDescent="0.25">
      <c r="A19709" t="str">
        <f>"8604072517"</f>
        <v>8604072517</v>
      </c>
      <c r="B19709" t="s">
        <v>27966</v>
      </c>
      <c r="C19709" t="s">
        <v>7</v>
      </c>
      <c r="D19709" t="s">
        <v>14</v>
      </c>
      <c r="E19709" t="s">
        <v>27682</v>
      </c>
      <c r="F19709" t="s">
        <v>27967</v>
      </c>
    </row>
    <row r="19710" spans="1:6" x14ac:dyDescent="0.25">
      <c r="A19710" t="str">
        <f>"860411523007"</f>
        <v>860411523007</v>
      </c>
      <c r="B19710" t="s">
        <v>27968</v>
      </c>
      <c r="C19710" t="s">
        <v>7</v>
      </c>
      <c r="D19710" t="s">
        <v>12</v>
      </c>
      <c r="E19710" t="s">
        <v>27682</v>
      </c>
    </row>
    <row r="19711" spans="1:6" x14ac:dyDescent="0.25">
      <c r="A19711" t="str">
        <f>"8605010457"</f>
        <v>8605010457</v>
      </c>
      <c r="B19711" t="s">
        <v>27969</v>
      </c>
      <c r="C19711" t="s">
        <v>7</v>
      </c>
      <c r="D19711" t="s">
        <v>14</v>
      </c>
      <c r="E19711" t="s">
        <v>27682</v>
      </c>
      <c r="F19711" t="s">
        <v>27970</v>
      </c>
    </row>
    <row r="19712" spans="1:6" x14ac:dyDescent="0.25">
      <c r="A19712" t="str">
        <f>"860504802660"</f>
        <v>860504802660</v>
      </c>
      <c r="B19712" t="s">
        <v>27971</v>
      </c>
      <c r="C19712" t="s">
        <v>7</v>
      </c>
      <c r="D19712" t="s">
        <v>14</v>
      </c>
      <c r="E19712" t="s">
        <v>27682</v>
      </c>
    </row>
    <row r="19713" spans="1:6" x14ac:dyDescent="0.25">
      <c r="A19713" t="str">
        <f>"860600362683"</f>
        <v>860600362683</v>
      </c>
      <c r="B19713" t="s">
        <v>27972</v>
      </c>
      <c r="C19713" t="s">
        <v>7</v>
      </c>
      <c r="D19713" t="s">
        <v>14</v>
      </c>
      <c r="E19713" t="s">
        <v>27682</v>
      </c>
    </row>
    <row r="19714" spans="1:6" x14ac:dyDescent="0.25">
      <c r="A19714" t="str">
        <f>"860700068808"</f>
        <v>860700068808</v>
      </c>
      <c r="B19714" t="s">
        <v>27973</v>
      </c>
      <c r="C19714" t="s">
        <v>7</v>
      </c>
      <c r="D19714" t="s">
        <v>12</v>
      </c>
      <c r="E19714" t="s">
        <v>27682</v>
      </c>
    </row>
    <row r="19715" spans="1:6" x14ac:dyDescent="0.25">
      <c r="A19715" t="str">
        <f>"860700109740"</f>
        <v>860700109740</v>
      </c>
      <c r="B19715" t="s">
        <v>27974</v>
      </c>
      <c r="C19715" t="s">
        <v>7</v>
      </c>
      <c r="D19715" t="s">
        <v>12</v>
      </c>
      <c r="E19715" t="s">
        <v>27682</v>
      </c>
    </row>
    <row r="19716" spans="1:6" x14ac:dyDescent="0.25">
      <c r="A19716" t="str">
        <f>"860702010169"</f>
        <v>860702010169</v>
      </c>
      <c r="B19716" t="s">
        <v>27975</v>
      </c>
      <c r="C19716" t="s">
        <v>7</v>
      </c>
      <c r="D19716" t="s">
        <v>12</v>
      </c>
      <c r="E19716" t="s">
        <v>27682</v>
      </c>
    </row>
    <row r="19717" spans="1:6" x14ac:dyDescent="0.25">
      <c r="A19717" t="str">
        <f>"663303632986"</f>
        <v>663303632986</v>
      </c>
      <c r="B19717" t="s">
        <v>27976</v>
      </c>
      <c r="C19717" t="s">
        <v>7</v>
      </c>
      <c r="D19717" t="s">
        <v>14</v>
      </c>
      <c r="E19717" t="s">
        <v>27682</v>
      </c>
    </row>
    <row r="19718" spans="1:6" x14ac:dyDescent="0.25">
      <c r="A19718" t="str">
        <f>"667101489314"</f>
        <v>667101489314</v>
      </c>
      <c r="B19718" t="s">
        <v>27977</v>
      </c>
      <c r="C19718" t="s">
        <v>7</v>
      </c>
      <c r="D19718" t="s">
        <v>14</v>
      </c>
      <c r="E19718" t="s">
        <v>27682</v>
      </c>
    </row>
    <row r="19719" spans="1:6" x14ac:dyDescent="0.25">
      <c r="A19719" t="str">
        <f>"667220625661"</f>
        <v>667220625661</v>
      </c>
      <c r="B19719" t="s">
        <v>27978</v>
      </c>
      <c r="C19719" t="s">
        <v>7</v>
      </c>
      <c r="D19719" t="s">
        <v>14</v>
      </c>
      <c r="E19719" t="s">
        <v>27682</v>
      </c>
    </row>
    <row r="19720" spans="1:6" x14ac:dyDescent="0.25">
      <c r="A19720" t="str">
        <f>"860904502822"</f>
        <v>860904502822</v>
      </c>
      <c r="B19720" t="s">
        <v>27979</v>
      </c>
      <c r="C19720" t="s">
        <v>7</v>
      </c>
      <c r="D19720" t="s">
        <v>14</v>
      </c>
      <c r="E19720" t="s">
        <v>27682</v>
      </c>
    </row>
    <row r="19721" spans="1:6" x14ac:dyDescent="0.25">
      <c r="A19721" t="str">
        <f>"860944120308"</f>
        <v>860944120308</v>
      </c>
      <c r="B19721" t="s">
        <v>27980</v>
      </c>
      <c r="C19721" t="s">
        <v>7</v>
      </c>
      <c r="D19721" t="s">
        <v>14</v>
      </c>
      <c r="E19721" t="s">
        <v>27682</v>
      </c>
    </row>
    <row r="19722" spans="1:6" x14ac:dyDescent="0.25">
      <c r="A19722" t="str">
        <f>"861000081259"</f>
        <v>861000081259</v>
      </c>
      <c r="B19722" t="s">
        <v>27981</v>
      </c>
      <c r="C19722" t="s">
        <v>7</v>
      </c>
      <c r="D19722" t="s">
        <v>14</v>
      </c>
      <c r="E19722" t="s">
        <v>27682</v>
      </c>
    </row>
    <row r="19723" spans="1:6" x14ac:dyDescent="0.25">
      <c r="A19723" t="str">
        <f>"861000092170"</f>
        <v>861000092170</v>
      </c>
      <c r="B19723" t="s">
        <v>27982</v>
      </c>
      <c r="C19723" t="s">
        <v>7</v>
      </c>
      <c r="D19723" t="s">
        <v>14</v>
      </c>
      <c r="E19723" t="s">
        <v>27682</v>
      </c>
    </row>
    <row r="19724" spans="1:6" x14ac:dyDescent="0.25">
      <c r="A19724" t="str">
        <f>"861002671768"</f>
        <v>861002671768</v>
      </c>
      <c r="B19724" t="s">
        <v>27983</v>
      </c>
      <c r="C19724" t="s">
        <v>7</v>
      </c>
      <c r="D19724" t="s">
        <v>12</v>
      </c>
      <c r="E19724" t="s">
        <v>27682</v>
      </c>
    </row>
    <row r="19725" spans="1:6" x14ac:dyDescent="0.25">
      <c r="A19725" t="str">
        <f>"861002860980"</f>
        <v>861002860980</v>
      </c>
      <c r="B19725" t="s">
        <v>27984</v>
      </c>
      <c r="C19725" t="s">
        <v>7</v>
      </c>
      <c r="D19725" t="s">
        <v>12</v>
      </c>
      <c r="E19725" t="s">
        <v>27682</v>
      </c>
    </row>
    <row r="19726" spans="1:6" x14ac:dyDescent="0.25">
      <c r="A19726" t="str">
        <f>"8610029453"</f>
        <v>8610029453</v>
      </c>
      <c r="B19726" t="s">
        <v>27985</v>
      </c>
      <c r="C19726" t="s">
        <v>7</v>
      </c>
      <c r="D19726" t="s">
        <v>12</v>
      </c>
      <c r="E19726" t="s">
        <v>27682</v>
      </c>
      <c r="F19726" t="s">
        <v>27986</v>
      </c>
    </row>
    <row r="19727" spans="1:6" x14ac:dyDescent="0.25">
      <c r="A19727" t="str">
        <f>"861003584726"</f>
        <v>861003584726</v>
      </c>
      <c r="B19727" t="s">
        <v>27987</v>
      </c>
      <c r="C19727" t="s">
        <v>7</v>
      </c>
      <c r="D19727" t="s">
        <v>14</v>
      </c>
      <c r="E19727" t="s">
        <v>27682</v>
      </c>
    </row>
    <row r="19728" spans="1:6" x14ac:dyDescent="0.25">
      <c r="A19728" t="str">
        <f>"861003690805"</f>
        <v>861003690805</v>
      </c>
      <c r="B19728" t="s">
        <v>27988</v>
      </c>
      <c r="C19728" t="s">
        <v>7</v>
      </c>
      <c r="D19728" t="s">
        <v>14</v>
      </c>
      <c r="E19728" t="s">
        <v>27682</v>
      </c>
    </row>
    <row r="19729" spans="1:6" x14ac:dyDescent="0.25">
      <c r="A19729" t="str">
        <f>"861102012945"</f>
        <v>861102012945</v>
      </c>
      <c r="B19729" t="s">
        <v>27989</v>
      </c>
      <c r="C19729" t="s">
        <v>7</v>
      </c>
      <c r="D19729" t="s">
        <v>14</v>
      </c>
      <c r="E19729" t="s">
        <v>27682</v>
      </c>
    </row>
    <row r="19730" spans="1:6" x14ac:dyDescent="0.25">
      <c r="A19730" t="str">
        <f>"861205792158"</f>
        <v>861205792158</v>
      </c>
      <c r="B19730" t="s">
        <v>27990</v>
      </c>
      <c r="C19730" t="s">
        <v>7</v>
      </c>
      <c r="D19730" t="s">
        <v>14</v>
      </c>
      <c r="E19730" t="s">
        <v>27682</v>
      </c>
    </row>
    <row r="19731" spans="1:6" x14ac:dyDescent="0.25">
      <c r="A19731" t="str">
        <f>"861302678644"</f>
        <v>861302678644</v>
      </c>
      <c r="B19731" t="s">
        <v>27991</v>
      </c>
      <c r="C19731" t="s">
        <v>7</v>
      </c>
      <c r="D19731" t="s">
        <v>14</v>
      </c>
      <c r="E19731" t="s">
        <v>27682</v>
      </c>
    </row>
    <row r="19732" spans="1:6" x14ac:dyDescent="0.25">
      <c r="A19732" t="str">
        <f>"8614008983"</f>
        <v>8614008983</v>
      </c>
      <c r="B19732" t="s">
        <v>2913</v>
      </c>
      <c r="C19732" t="s">
        <v>7</v>
      </c>
      <c r="D19732" t="s">
        <v>12</v>
      </c>
      <c r="E19732" t="s">
        <v>27682</v>
      </c>
      <c r="F19732" t="s">
        <v>27992</v>
      </c>
    </row>
    <row r="19733" spans="1:6" x14ac:dyDescent="0.25">
      <c r="A19733" t="str">
        <f>"861500023696"</f>
        <v>861500023696</v>
      </c>
      <c r="B19733" t="s">
        <v>27993</v>
      </c>
      <c r="C19733" t="s">
        <v>7</v>
      </c>
      <c r="D19733" t="s">
        <v>14</v>
      </c>
      <c r="E19733" t="s">
        <v>27682</v>
      </c>
    </row>
    <row r="19734" spans="1:6" x14ac:dyDescent="0.25">
      <c r="A19734" t="str">
        <f>"861500094915"</f>
        <v>861500094915</v>
      </c>
      <c r="B19734" t="s">
        <v>27994</v>
      </c>
      <c r="C19734" t="s">
        <v>7</v>
      </c>
      <c r="D19734" t="s">
        <v>14</v>
      </c>
      <c r="E19734" t="s">
        <v>27682</v>
      </c>
    </row>
    <row r="19735" spans="1:6" x14ac:dyDescent="0.25">
      <c r="A19735" t="str">
        <f>"861502412225"</f>
        <v>861502412225</v>
      </c>
      <c r="B19735" t="s">
        <v>27995</v>
      </c>
      <c r="C19735" t="s">
        <v>7</v>
      </c>
      <c r="D19735" t="s">
        <v>14</v>
      </c>
      <c r="E19735" t="s">
        <v>27682</v>
      </c>
    </row>
    <row r="19736" spans="1:6" x14ac:dyDescent="0.25">
      <c r="A19736" t="str">
        <f>"861600002019"</f>
        <v>861600002019</v>
      </c>
      <c r="B19736" t="s">
        <v>27996</v>
      </c>
      <c r="C19736" t="s">
        <v>7</v>
      </c>
      <c r="D19736" t="s">
        <v>14</v>
      </c>
      <c r="E19736" t="s">
        <v>27682</v>
      </c>
    </row>
    <row r="19737" spans="1:6" x14ac:dyDescent="0.25">
      <c r="A19737" t="str">
        <f>"861600804220"</f>
        <v>861600804220</v>
      </c>
      <c r="B19737" t="s">
        <v>27997</v>
      </c>
      <c r="C19737" t="s">
        <v>7</v>
      </c>
      <c r="D19737" t="s">
        <v>14</v>
      </c>
      <c r="E19737" t="s">
        <v>27682</v>
      </c>
    </row>
    <row r="19738" spans="1:6" x14ac:dyDescent="0.25">
      <c r="A19738" t="str">
        <f>"861601909794"</f>
        <v>861601909794</v>
      </c>
      <c r="B19738" t="s">
        <v>27998</v>
      </c>
      <c r="C19738" t="s">
        <v>7</v>
      </c>
      <c r="D19738" t="s">
        <v>14</v>
      </c>
      <c r="E19738" t="s">
        <v>27682</v>
      </c>
    </row>
    <row r="19739" spans="1:6" x14ac:dyDescent="0.25">
      <c r="A19739" t="str">
        <f>"861602048153"</f>
        <v>861602048153</v>
      </c>
      <c r="B19739" t="s">
        <v>27999</v>
      </c>
      <c r="C19739" t="s">
        <v>7</v>
      </c>
      <c r="D19739" t="s">
        <v>14</v>
      </c>
      <c r="E19739" t="s">
        <v>27682</v>
      </c>
    </row>
    <row r="19740" spans="1:6" x14ac:dyDescent="0.25">
      <c r="A19740" t="str">
        <f>"8617013773"</f>
        <v>8617013773</v>
      </c>
      <c r="B19740" t="s">
        <v>28000</v>
      </c>
      <c r="C19740" t="s">
        <v>7</v>
      </c>
      <c r="D19740" t="s">
        <v>12</v>
      </c>
      <c r="E19740" t="s">
        <v>27682</v>
      </c>
      <c r="F19740" t="s">
        <v>28001</v>
      </c>
    </row>
    <row r="19741" spans="1:6" x14ac:dyDescent="0.25">
      <c r="A19741" t="str">
        <f>"861901220606"</f>
        <v>861901220606</v>
      </c>
      <c r="B19741" t="s">
        <v>28002</v>
      </c>
      <c r="C19741" t="s">
        <v>7</v>
      </c>
      <c r="D19741" t="s">
        <v>14</v>
      </c>
      <c r="E19741" t="s">
        <v>27682</v>
      </c>
    </row>
    <row r="19742" spans="1:6" x14ac:dyDescent="0.25">
      <c r="A19742" t="str">
        <f>"861903119986"</f>
        <v>861903119986</v>
      </c>
      <c r="B19742" t="s">
        <v>28003</v>
      </c>
      <c r="C19742" t="s">
        <v>7</v>
      </c>
      <c r="D19742" t="s">
        <v>14</v>
      </c>
      <c r="E19742" t="s">
        <v>27682</v>
      </c>
    </row>
    <row r="19743" spans="1:6" x14ac:dyDescent="0.25">
      <c r="A19743" t="str">
        <f>"862000845925"</f>
        <v>862000845925</v>
      </c>
      <c r="B19743" t="s">
        <v>28004</v>
      </c>
      <c r="C19743" t="s">
        <v>7</v>
      </c>
      <c r="D19743" t="s">
        <v>14</v>
      </c>
      <c r="E19743" t="s">
        <v>27682</v>
      </c>
    </row>
    <row r="19744" spans="1:6" x14ac:dyDescent="0.25">
      <c r="A19744" t="str">
        <f>"862202595869"</f>
        <v>862202595869</v>
      </c>
      <c r="B19744" t="s">
        <v>28005</v>
      </c>
      <c r="C19744" t="s">
        <v>7</v>
      </c>
      <c r="D19744" t="s">
        <v>14</v>
      </c>
      <c r="E19744" t="s">
        <v>27682</v>
      </c>
    </row>
    <row r="19745" spans="1:6" x14ac:dyDescent="0.25">
      <c r="A19745" t="str">
        <f>"862204032798"</f>
        <v>862204032798</v>
      </c>
      <c r="B19745" t="s">
        <v>28006</v>
      </c>
      <c r="C19745" t="s">
        <v>7</v>
      </c>
      <c r="D19745" t="s">
        <v>14</v>
      </c>
      <c r="E19745" t="s">
        <v>27682</v>
      </c>
    </row>
    <row r="19746" spans="1:6" x14ac:dyDescent="0.25">
      <c r="A19746" t="str">
        <f>"890500474992"</f>
        <v>890500474992</v>
      </c>
      <c r="B19746" t="s">
        <v>28007</v>
      </c>
      <c r="C19746" t="s">
        <v>7</v>
      </c>
      <c r="D19746" t="s">
        <v>14</v>
      </c>
      <c r="E19746" t="s">
        <v>27682</v>
      </c>
    </row>
    <row r="19747" spans="1:6" x14ac:dyDescent="0.25">
      <c r="A19747" t="str">
        <f>"861204617354"</f>
        <v>861204617354</v>
      </c>
      <c r="B19747" t="s">
        <v>28008</v>
      </c>
      <c r="C19747" t="s">
        <v>7</v>
      </c>
      <c r="D19747" t="s">
        <v>14</v>
      </c>
      <c r="E19747" t="s">
        <v>27682</v>
      </c>
    </row>
    <row r="19748" spans="1:6" x14ac:dyDescent="0.25">
      <c r="A19748" t="str">
        <f>"861500909685"</f>
        <v>861500909685</v>
      </c>
      <c r="B19748" t="s">
        <v>28009</v>
      </c>
      <c r="C19748" t="s">
        <v>7</v>
      </c>
      <c r="D19748" t="s">
        <v>33</v>
      </c>
      <c r="E19748" t="s">
        <v>27682</v>
      </c>
    </row>
    <row r="19749" spans="1:6" x14ac:dyDescent="0.25">
      <c r="A19749" t="str">
        <f>"861501148803"</f>
        <v>861501148803</v>
      </c>
      <c r="B19749" t="s">
        <v>28010</v>
      </c>
      <c r="C19749" t="s">
        <v>7</v>
      </c>
      <c r="D19749" t="s">
        <v>14</v>
      </c>
      <c r="E19749" t="s">
        <v>27682</v>
      </c>
    </row>
    <row r="19750" spans="1:6" x14ac:dyDescent="0.25">
      <c r="A19750" t="str">
        <f>"861503594257"</f>
        <v>861503594257</v>
      </c>
      <c r="B19750" t="s">
        <v>28011</v>
      </c>
      <c r="C19750" t="s">
        <v>7</v>
      </c>
      <c r="D19750" t="s">
        <v>14</v>
      </c>
      <c r="E19750" t="s">
        <v>27682</v>
      </c>
    </row>
    <row r="19751" spans="1:6" x14ac:dyDescent="0.25">
      <c r="A19751" t="str">
        <f>"861504702868"</f>
        <v>861504702868</v>
      </c>
      <c r="B19751" t="s">
        <v>28012</v>
      </c>
      <c r="C19751" t="s">
        <v>7</v>
      </c>
      <c r="D19751" t="s">
        <v>12</v>
      </c>
      <c r="E19751" t="s">
        <v>27682</v>
      </c>
    </row>
    <row r="19752" spans="1:6" x14ac:dyDescent="0.25">
      <c r="A19752" t="str">
        <f>"861602737918"</f>
        <v>861602737918</v>
      </c>
      <c r="B19752" t="s">
        <v>28013</v>
      </c>
      <c r="C19752" t="s">
        <v>7</v>
      </c>
      <c r="D19752" t="s">
        <v>14</v>
      </c>
      <c r="E19752" t="s">
        <v>27682</v>
      </c>
    </row>
    <row r="19753" spans="1:6" x14ac:dyDescent="0.25">
      <c r="A19753" t="str">
        <f>"8617039926"</f>
        <v>8617039926</v>
      </c>
      <c r="B19753" t="s">
        <v>28014</v>
      </c>
      <c r="C19753" t="s">
        <v>7</v>
      </c>
      <c r="D19753" t="s">
        <v>14</v>
      </c>
      <c r="E19753" t="s">
        <v>27682</v>
      </c>
      <c r="F19753" t="s">
        <v>28015</v>
      </c>
    </row>
    <row r="19754" spans="1:6" x14ac:dyDescent="0.25">
      <c r="A19754" t="str">
        <f>"861900752502"</f>
        <v>861900752502</v>
      </c>
      <c r="B19754" t="s">
        <v>28016</v>
      </c>
      <c r="C19754" t="s">
        <v>7</v>
      </c>
      <c r="D19754" t="s">
        <v>14</v>
      </c>
      <c r="E19754" t="s">
        <v>27682</v>
      </c>
    </row>
    <row r="19755" spans="1:6" x14ac:dyDescent="0.25">
      <c r="A19755" t="str">
        <f>"861901618309"</f>
        <v>861901618309</v>
      </c>
      <c r="B19755" t="s">
        <v>28017</v>
      </c>
      <c r="C19755" t="s">
        <v>7</v>
      </c>
      <c r="D19755" t="s">
        <v>14</v>
      </c>
      <c r="E19755" t="s">
        <v>27682</v>
      </c>
    </row>
    <row r="19756" spans="1:6" x14ac:dyDescent="0.25">
      <c r="A19756" t="str">
        <f>"8620001915"</f>
        <v>8620001915</v>
      </c>
      <c r="B19756" t="s">
        <v>28018</v>
      </c>
      <c r="C19756" t="s">
        <v>7</v>
      </c>
      <c r="D19756" t="s">
        <v>12</v>
      </c>
      <c r="E19756" t="s">
        <v>27682</v>
      </c>
      <c r="F19756" t="s">
        <v>28019</v>
      </c>
    </row>
    <row r="19757" spans="1:6" x14ac:dyDescent="0.25">
      <c r="A19757" t="str">
        <f>"862100022072"</f>
        <v>862100022072</v>
      </c>
      <c r="B19757" t="s">
        <v>28020</v>
      </c>
      <c r="C19757" t="s">
        <v>7</v>
      </c>
      <c r="D19757" t="s">
        <v>14</v>
      </c>
      <c r="E19757" t="s">
        <v>27682</v>
      </c>
    </row>
    <row r="19758" spans="1:6" x14ac:dyDescent="0.25">
      <c r="A19758" t="str">
        <f>"862200463708"</f>
        <v>862200463708</v>
      </c>
      <c r="B19758" t="s">
        <v>28021</v>
      </c>
      <c r="C19758" t="s">
        <v>7</v>
      </c>
      <c r="D19758" t="s">
        <v>14</v>
      </c>
      <c r="E19758" t="s">
        <v>27682</v>
      </c>
    </row>
    <row r="19759" spans="1:6" x14ac:dyDescent="0.25">
      <c r="A19759" t="str">
        <f>"862202519716"</f>
        <v>862202519716</v>
      </c>
      <c r="B19759" t="s">
        <v>28022</v>
      </c>
      <c r="C19759" t="s">
        <v>7</v>
      </c>
      <c r="D19759" t="s">
        <v>14</v>
      </c>
      <c r="E19759" t="s">
        <v>27682</v>
      </c>
    </row>
    <row r="19760" spans="1:6" x14ac:dyDescent="0.25">
      <c r="A19760" t="str">
        <f>"8622026538"</f>
        <v>8622026538</v>
      </c>
      <c r="B19760" t="s">
        <v>28023</v>
      </c>
      <c r="C19760" t="s">
        <v>7</v>
      </c>
      <c r="D19760" t="s">
        <v>14</v>
      </c>
      <c r="E19760" t="s">
        <v>27682</v>
      </c>
      <c r="F19760" t="s">
        <v>28024</v>
      </c>
    </row>
    <row r="19761" spans="1:6" x14ac:dyDescent="0.25">
      <c r="A19761" t="str">
        <f>"862203202944"</f>
        <v>862203202944</v>
      </c>
      <c r="B19761" t="s">
        <v>28025</v>
      </c>
      <c r="C19761" t="s">
        <v>7</v>
      </c>
      <c r="D19761" t="s">
        <v>14</v>
      </c>
      <c r="E19761" t="s">
        <v>27682</v>
      </c>
    </row>
    <row r="19762" spans="1:6" x14ac:dyDescent="0.25">
      <c r="A19762" t="str">
        <f>"862204087035"</f>
        <v>862204087035</v>
      </c>
      <c r="B19762" t="s">
        <v>28026</v>
      </c>
      <c r="C19762" t="s">
        <v>7</v>
      </c>
      <c r="D19762" t="s">
        <v>14</v>
      </c>
      <c r="E19762" t="s">
        <v>27682</v>
      </c>
    </row>
    <row r="19763" spans="1:6" x14ac:dyDescent="0.25">
      <c r="A19763" t="str">
        <f>"862204462198"</f>
        <v>862204462198</v>
      </c>
      <c r="B19763" t="s">
        <v>28027</v>
      </c>
      <c r="C19763" t="s">
        <v>7</v>
      </c>
      <c r="D19763" t="s">
        <v>14</v>
      </c>
      <c r="E19763" t="s">
        <v>27682</v>
      </c>
    </row>
    <row r="19764" spans="1:6" x14ac:dyDescent="0.25">
      <c r="A19764" t="str">
        <f>"862205711217"</f>
        <v>862205711217</v>
      </c>
      <c r="B19764" t="s">
        <v>28028</v>
      </c>
      <c r="C19764" t="s">
        <v>7</v>
      </c>
      <c r="D19764" t="s">
        <v>14</v>
      </c>
      <c r="E19764" t="s">
        <v>27682</v>
      </c>
    </row>
    <row r="19765" spans="1:6" x14ac:dyDescent="0.25">
      <c r="A19765" t="str">
        <f>"860702379291"</f>
        <v>860702379291</v>
      </c>
      <c r="B19765" t="s">
        <v>28029</v>
      </c>
      <c r="C19765" t="s">
        <v>7</v>
      </c>
      <c r="D19765" t="s">
        <v>14</v>
      </c>
      <c r="E19765" t="s">
        <v>27682</v>
      </c>
    </row>
    <row r="19766" spans="1:6" x14ac:dyDescent="0.25">
      <c r="A19766" t="str">
        <f>"860799110679"</f>
        <v>860799110679</v>
      </c>
      <c r="B19766" t="s">
        <v>28030</v>
      </c>
      <c r="C19766" t="s">
        <v>7</v>
      </c>
      <c r="D19766" t="s">
        <v>14</v>
      </c>
      <c r="E19766" t="s">
        <v>27682</v>
      </c>
    </row>
    <row r="19767" spans="1:6" x14ac:dyDescent="0.25">
      <c r="A19767" t="str">
        <f>"860800042257"</f>
        <v>860800042257</v>
      </c>
      <c r="B19767" t="s">
        <v>28031</v>
      </c>
      <c r="C19767" t="s">
        <v>7</v>
      </c>
      <c r="D19767" t="s">
        <v>14</v>
      </c>
      <c r="E19767" t="s">
        <v>27682</v>
      </c>
    </row>
    <row r="19768" spans="1:6" x14ac:dyDescent="0.25">
      <c r="A19768" t="str">
        <f>"8608060223"</f>
        <v>8608060223</v>
      </c>
      <c r="B19768" t="s">
        <v>24305</v>
      </c>
      <c r="C19768" t="s">
        <v>7</v>
      </c>
      <c r="D19768" t="s">
        <v>33</v>
      </c>
      <c r="E19768" t="s">
        <v>27682</v>
      </c>
      <c r="F19768" t="s">
        <v>28032</v>
      </c>
    </row>
    <row r="19769" spans="1:6" x14ac:dyDescent="0.25">
      <c r="A19769" t="str">
        <f>"860905256753"</f>
        <v>860905256753</v>
      </c>
      <c r="B19769" t="s">
        <v>28033</v>
      </c>
      <c r="C19769" t="s">
        <v>7</v>
      </c>
      <c r="D19769" t="s">
        <v>14</v>
      </c>
      <c r="E19769" t="s">
        <v>27682</v>
      </c>
    </row>
    <row r="19770" spans="1:6" x14ac:dyDescent="0.25">
      <c r="A19770" t="str">
        <f>"8610016373"</f>
        <v>8610016373</v>
      </c>
      <c r="B19770" t="s">
        <v>28034</v>
      </c>
      <c r="C19770" t="s">
        <v>7</v>
      </c>
      <c r="D19770" t="s">
        <v>12</v>
      </c>
      <c r="E19770" t="s">
        <v>27682</v>
      </c>
      <c r="F19770" t="s">
        <v>28035</v>
      </c>
    </row>
    <row r="19771" spans="1:6" x14ac:dyDescent="0.25">
      <c r="A19771" t="str">
        <f>"861002061804"</f>
        <v>861002061804</v>
      </c>
      <c r="B19771" t="s">
        <v>28036</v>
      </c>
      <c r="C19771" t="s">
        <v>7</v>
      </c>
      <c r="D19771" t="s">
        <v>14</v>
      </c>
      <c r="E19771" t="s">
        <v>27682</v>
      </c>
    </row>
    <row r="19772" spans="1:6" x14ac:dyDescent="0.25">
      <c r="A19772" t="str">
        <f>"861002766787"</f>
        <v>861002766787</v>
      </c>
      <c r="B19772" t="s">
        <v>28037</v>
      </c>
      <c r="C19772" t="s">
        <v>7</v>
      </c>
      <c r="D19772" t="s">
        <v>14</v>
      </c>
      <c r="E19772" t="s">
        <v>27682</v>
      </c>
    </row>
    <row r="19773" spans="1:6" x14ac:dyDescent="0.25">
      <c r="A19773" t="str">
        <f>"8610030360"</f>
        <v>8610030360</v>
      </c>
      <c r="B19773" t="s">
        <v>28038</v>
      </c>
      <c r="C19773" t="s">
        <v>7</v>
      </c>
      <c r="D19773" t="s">
        <v>33</v>
      </c>
      <c r="E19773" t="s">
        <v>27682</v>
      </c>
      <c r="F19773" t="s">
        <v>28039</v>
      </c>
    </row>
    <row r="19774" spans="1:6" x14ac:dyDescent="0.25">
      <c r="A19774" t="str">
        <f>"861005444869"</f>
        <v>861005444869</v>
      </c>
      <c r="B19774" t="s">
        <v>28040</v>
      </c>
      <c r="C19774" t="s">
        <v>7</v>
      </c>
      <c r="D19774" t="s">
        <v>14</v>
      </c>
      <c r="E19774" t="s">
        <v>27682</v>
      </c>
    </row>
    <row r="19775" spans="1:6" x14ac:dyDescent="0.25">
      <c r="A19775" t="str">
        <f>"861201622525"</f>
        <v>861201622525</v>
      </c>
      <c r="B19775" t="s">
        <v>28041</v>
      </c>
      <c r="C19775" t="s">
        <v>7</v>
      </c>
      <c r="D19775" t="s">
        <v>14</v>
      </c>
      <c r="E19775" t="s">
        <v>27682</v>
      </c>
    </row>
    <row r="19776" spans="1:6" x14ac:dyDescent="0.25">
      <c r="A19776" t="str">
        <f>"861202361058"</f>
        <v>861202361058</v>
      </c>
      <c r="B19776" t="s">
        <v>28042</v>
      </c>
      <c r="C19776" t="s">
        <v>7</v>
      </c>
      <c r="D19776" t="s">
        <v>14</v>
      </c>
      <c r="E19776" t="s">
        <v>27682</v>
      </c>
    </row>
    <row r="19777" spans="1:6" x14ac:dyDescent="0.25">
      <c r="A19777" t="str">
        <f>"8613000100"</f>
        <v>8613000100</v>
      </c>
      <c r="B19777" t="s">
        <v>28043</v>
      </c>
      <c r="C19777" t="s">
        <v>7</v>
      </c>
      <c r="D19777" t="s">
        <v>14</v>
      </c>
      <c r="E19777" t="s">
        <v>27682</v>
      </c>
      <c r="F19777" t="s">
        <v>28044</v>
      </c>
    </row>
    <row r="19778" spans="1:6" x14ac:dyDescent="0.25">
      <c r="A19778" t="str">
        <f>"861400109491"</f>
        <v>861400109491</v>
      </c>
      <c r="B19778" t="s">
        <v>28045</v>
      </c>
      <c r="C19778" t="s">
        <v>7</v>
      </c>
      <c r="D19778" t="s">
        <v>14</v>
      </c>
      <c r="E19778" t="s">
        <v>27682</v>
      </c>
    </row>
    <row r="19779" spans="1:6" x14ac:dyDescent="0.25">
      <c r="A19779" t="str">
        <f>"861404843463"</f>
        <v>861404843463</v>
      </c>
      <c r="B19779" t="s">
        <v>28046</v>
      </c>
      <c r="C19779" t="s">
        <v>7</v>
      </c>
      <c r="D19779" t="s">
        <v>14</v>
      </c>
      <c r="E19779" t="s">
        <v>27682</v>
      </c>
    </row>
    <row r="19780" spans="1:6" x14ac:dyDescent="0.25">
      <c r="A19780" t="str">
        <f>"861500023375"</f>
        <v>861500023375</v>
      </c>
      <c r="B19780" t="s">
        <v>28047</v>
      </c>
      <c r="C19780" t="s">
        <v>7</v>
      </c>
      <c r="D19780" t="s">
        <v>14</v>
      </c>
      <c r="E19780" t="s">
        <v>27682</v>
      </c>
    </row>
    <row r="19781" spans="1:6" x14ac:dyDescent="0.25">
      <c r="A19781" t="str">
        <f>"861504318010"</f>
        <v>861504318010</v>
      </c>
      <c r="B19781" t="s">
        <v>28048</v>
      </c>
      <c r="C19781" t="s">
        <v>7</v>
      </c>
      <c r="D19781" t="s">
        <v>12</v>
      </c>
      <c r="E19781" t="s">
        <v>27682</v>
      </c>
    </row>
    <row r="19782" spans="1:6" x14ac:dyDescent="0.25">
      <c r="A19782" t="str">
        <f>"861504346970"</f>
        <v>861504346970</v>
      </c>
      <c r="B19782" t="s">
        <v>28049</v>
      </c>
      <c r="C19782" t="s">
        <v>7</v>
      </c>
      <c r="D19782" t="s">
        <v>14</v>
      </c>
      <c r="E19782" t="s">
        <v>27682</v>
      </c>
    </row>
    <row r="19783" spans="1:6" x14ac:dyDescent="0.25">
      <c r="A19783" t="str">
        <f>"861600700616"</f>
        <v>861600700616</v>
      </c>
      <c r="B19783" t="s">
        <v>28050</v>
      </c>
      <c r="C19783" t="s">
        <v>7</v>
      </c>
      <c r="D19783" t="s">
        <v>14</v>
      </c>
      <c r="E19783" t="s">
        <v>27682</v>
      </c>
    </row>
    <row r="19784" spans="1:6" x14ac:dyDescent="0.25">
      <c r="A19784" t="str">
        <f>"861700834081"</f>
        <v>861700834081</v>
      </c>
      <c r="B19784" t="s">
        <v>28051</v>
      </c>
      <c r="C19784" t="s">
        <v>7</v>
      </c>
      <c r="D19784" t="s">
        <v>12</v>
      </c>
      <c r="E19784" t="s">
        <v>27682</v>
      </c>
    </row>
    <row r="19785" spans="1:6" x14ac:dyDescent="0.25">
      <c r="A19785" t="str">
        <f>"861707577130"</f>
        <v>861707577130</v>
      </c>
      <c r="B19785" t="s">
        <v>28052</v>
      </c>
      <c r="C19785" t="s">
        <v>7</v>
      </c>
      <c r="D19785" t="s">
        <v>12</v>
      </c>
      <c r="E19785" t="s">
        <v>27682</v>
      </c>
    </row>
    <row r="19786" spans="1:6" x14ac:dyDescent="0.25">
      <c r="A19786" t="str">
        <f>"861900046200"</f>
        <v>861900046200</v>
      </c>
      <c r="B19786" t="s">
        <v>28053</v>
      </c>
      <c r="C19786" t="s">
        <v>7</v>
      </c>
      <c r="D19786" t="s">
        <v>14</v>
      </c>
      <c r="E19786" t="s">
        <v>27682</v>
      </c>
    </row>
    <row r="19787" spans="1:6" x14ac:dyDescent="0.25">
      <c r="A19787" t="str">
        <f>"8619016547"</f>
        <v>8619016547</v>
      </c>
      <c r="B19787" t="s">
        <v>2280</v>
      </c>
      <c r="C19787" t="s">
        <v>7</v>
      </c>
      <c r="D19787" t="s">
        <v>33</v>
      </c>
      <c r="E19787" t="s">
        <v>27682</v>
      </c>
      <c r="F19787" t="s">
        <v>28054</v>
      </c>
    </row>
    <row r="19788" spans="1:6" x14ac:dyDescent="0.25">
      <c r="A19788" t="str">
        <f>"861902874312"</f>
        <v>861902874312</v>
      </c>
      <c r="B19788" t="s">
        <v>28055</v>
      </c>
      <c r="C19788" t="s">
        <v>7</v>
      </c>
      <c r="D19788" t="s">
        <v>14</v>
      </c>
      <c r="E19788" t="s">
        <v>27682</v>
      </c>
    </row>
    <row r="19789" spans="1:6" x14ac:dyDescent="0.25">
      <c r="A19789" t="str">
        <f>"862000052877"</f>
        <v>862000052877</v>
      </c>
      <c r="B19789" t="s">
        <v>28056</v>
      </c>
      <c r="C19789" t="s">
        <v>7</v>
      </c>
      <c r="D19789" t="s">
        <v>14</v>
      </c>
      <c r="E19789" t="s">
        <v>27682</v>
      </c>
    </row>
    <row r="19790" spans="1:6" x14ac:dyDescent="0.25">
      <c r="A19790" t="str">
        <f>"862002393022"</f>
        <v>862002393022</v>
      </c>
      <c r="B19790" t="s">
        <v>28057</v>
      </c>
      <c r="C19790" t="s">
        <v>7</v>
      </c>
      <c r="D19790" t="s">
        <v>14</v>
      </c>
      <c r="E19790" t="s">
        <v>27682</v>
      </c>
    </row>
    <row r="19791" spans="1:6" x14ac:dyDescent="0.25">
      <c r="A19791" t="str">
        <f>"8622025284"</f>
        <v>8622025284</v>
      </c>
      <c r="B19791" t="s">
        <v>3571</v>
      </c>
      <c r="C19791" t="s">
        <v>7</v>
      </c>
      <c r="D19791" t="s">
        <v>14</v>
      </c>
      <c r="E19791" t="s">
        <v>27682</v>
      </c>
      <c r="F19791" t="s">
        <v>28058</v>
      </c>
    </row>
    <row r="19792" spans="1:6" x14ac:dyDescent="0.25">
      <c r="A19792" t="str">
        <f>"591800222703"</f>
        <v>591800222703</v>
      </c>
      <c r="B19792" t="s">
        <v>28059</v>
      </c>
      <c r="C19792" t="s">
        <v>7</v>
      </c>
      <c r="D19792" t="s">
        <v>14</v>
      </c>
      <c r="E19792" t="s">
        <v>27682</v>
      </c>
    </row>
    <row r="19793" spans="1:6" x14ac:dyDescent="0.25">
      <c r="A19793" t="str">
        <f>"234601018565"</f>
        <v>234601018565</v>
      </c>
      <c r="B19793" t="s">
        <v>28060</v>
      </c>
      <c r="C19793" t="s">
        <v>7</v>
      </c>
      <c r="D19793" t="s">
        <v>14</v>
      </c>
      <c r="E19793" t="s">
        <v>27682</v>
      </c>
    </row>
    <row r="19794" spans="1:6" x14ac:dyDescent="0.25">
      <c r="A19794" t="str">
        <f>"667208208245"</f>
        <v>667208208245</v>
      </c>
      <c r="B19794" t="s">
        <v>28061</v>
      </c>
      <c r="C19794" t="s">
        <v>7</v>
      </c>
      <c r="D19794" t="s">
        <v>14</v>
      </c>
      <c r="E19794" t="s">
        <v>27682</v>
      </c>
    </row>
    <row r="19795" spans="1:6" x14ac:dyDescent="0.25">
      <c r="A19795" t="str">
        <f>"771385862655"</f>
        <v>771385862655</v>
      </c>
      <c r="B19795" t="s">
        <v>28062</v>
      </c>
      <c r="C19795" t="s">
        <v>7</v>
      </c>
      <c r="D19795" t="s">
        <v>14</v>
      </c>
      <c r="E19795" t="s">
        <v>27682</v>
      </c>
    </row>
    <row r="19796" spans="1:6" x14ac:dyDescent="0.25">
      <c r="A19796" t="str">
        <f>"860103538320"</f>
        <v>860103538320</v>
      </c>
      <c r="B19796" t="s">
        <v>28063</v>
      </c>
      <c r="C19796" t="s">
        <v>7</v>
      </c>
      <c r="D19796" t="s">
        <v>14</v>
      </c>
      <c r="E19796" t="s">
        <v>27682</v>
      </c>
    </row>
    <row r="19797" spans="1:6" x14ac:dyDescent="0.25">
      <c r="A19797" t="str">
        <f>"860104217223"</f>
        <v>860104217223</v>
      </c>
      <c r="B19797" t="s">
        <v>28064</v>
      </c>
      <c r="C19797" t="s">
        <v>7</v>
      </c>
      <c r="D19797" t="s">
        <v>14</v>
      </c>
      <c r="E19797" t="s">
        <v>27682</v>
      </c>
    </row>
    <row r="19798" spans="1:6" x14ac:dyDescent="0.25">
      <c r="A19798" t="str">
        <f>"860104719953"</f>
        <v>860104719953</v>
      </c>
      <c r="B19798" t="s">
        <v>28065</v>
      </c>
      <c r="C19798" t="s">
        <v>7</v>
      </c>
      <c r="D19798" t="s">
        <v>14</v>
      </c>
      <c r="E19798" t="s">
        <v>27682</v>
      </c>
    </row>
    <row r="19799" spans="1:6" x14ac:dyDescent="0.25">
      <c r="A19799" t="str">
        <f>"8602023190"</f>
        <v>8602023190</v>
      </c>
      <c r="B19799" t="s">
        <v>28066</v>
      </c>
      <c r="C19799" t="s">
        <v>7</v>
      </c>
      <c r="D19799" t="s">
        <v>12</v>
      </c>
      <c r="E19799" t="s">
        <v>27682</v>
      </c>
      <c r="F19799" t="s">
        <v>28067</v>
      </c>
    </row>
    <row r="19800" spans="1:6" x14ac:dyDescent="0.25">
      <c r="A19800" t="str">
        <f>"860206988507"</f>
        <v>860206988507</v>
      </c>
      <c r="B19800" t="s">
        <v>28068</v>
      </c>
      <c r="C19800" t="s">
        <v>7</v>
      </c>
      <c r="D19800" t="s">
        <v>14</v>
      </c>
      <c r="E19800" t="s">
        <v>27682</v>
      </c>
    </row>
    <row r="19801" spans="1:6" x14ac:dyDescent="0.25">
      <c r="A19801" t="str">
        <f>"8602244993"</f>
        <v>8602244993</v>
      </c>
      <c r="B19801" t="s">
        <v>28069</v>
      </c>
      <c r="C19801" t="s">
        <v>7</v>
      </c>
      <c r="D19801" t="s">
        <v>674</v>
      </c>
      <c r="E19801" t="s">
        <v>27682</v>
      </c>
      <c r="F19801" t="s">
        <v>28070</v>
      </c>
    </row>
    <row r="19802" spans="1:6" x14ac:dyDescent="0.25">
      <c r="A19802" t="str">
        <f>"8602250370"</f>
        <v>8602250370</v>
      </c>
      <c r="B19802" t="s">
        <v>4739</v>
      </c>
      <c r="C19802" t="s">
        <v>7</v>
      </c>
      <c r="D19802" t="s">
        <v>12</v>
      </c>
      <c r="E19802" t="s">
        <v>27682</v>
      </c>
      <c r="F19802" t="s">
        <v>27898</v>
      </c>
    </row>
    <row r="19803" spans="1:6" x14ac:dyDescent="0.25">
      <c r="A19803" t="str">
        <f>"860301240694"</f>
        <v>860301240694</v>
      </c>
      <c r="B19803" t="s">
        <v>28071</v>
      </c>
      <c r="C19803" t="s">
        <v>7</v>
      </c>
      <c r="D19803" t="s">
        <v>12</v>
      </c>
      <c r="E19803" t="s">
        <v>27682</v>
      </c>
    </row>
    <row r="19804" spans="1:6" x14ac:dyDescent="0.25">
      <c r="A19804" t="str">
        <f>"860320682507"</f>
        <v>860320682507</v>
      </c>
      <c r="B19804" t="s">
        <v>28072</v>
      </c>
      <c r="C19804" t="s">
        <v>7</v>
      </c>
      <c r="D19804" t="s">
        <v>14</v>
      </c>
      <c r="E19804" t="s">
        <v>27682</v>
      </c>
    </row>
    <row r="19805" spans="1:6" x14ac:dyDescent="0.25">
      <c r="A19805" t="str">
        <f>"8603250936"</f>
        <v>8603250936</v>
      </c>
      <c r="B19805" t="s">
        <v>21430</v>
      </c>
      <c r="C19805" t="s">
        <v>7</v>
      </c>
      <c r="D19805" t="s">
        <v>14</v>
      </c>
      <c r="E19805" t="s">
        <v>27682</v>
      </c>
      <c r="F19805" t="s">
        <v>28073</v>
      </c>
    </row>
    <row r="19806" spans="1:6" x14ac:dyDescent="0.25">
      <c r="A19806" t="str">
        <f>"860329809571"</f>
        <v>860329809571</v>
      </c>
      <c r="B19806" t="s">
        <v>28074</v>
      </c>
      <c r="C19806" t="s">
        <v>7</v>
      </c>
      <c r="D19806" t="s">
        <v>12</v>
      </c>
      <c r="E19806" t="s">
        <v>27682</v>
      </c>
    </row>
    <row r="19807" spans="1:6" x14ac:dyDescent="0.25">
      <c r="A19807" t="str">
        <f>"8604057572"</f>
        <v>8604057572</v>
      </c>
      <c r="B19807" t="s">
        <v>757</v>
      </c>
      <c r="C19807" t="s">
        <v>7</v>
      </c>
      <c r="D19807" t="s">
        <v>14</v>
      </c>
      <c r="E19807" t="s">
        <v>27682</v>
      </c>
      <c r="F19807" t="s">
        <v>28075</v>
      </c>
    </row>
    <row r="19808" spans="1:6" x14ac:dyDescent="0.25">
      <c r="A19808" t="str">
        <f>"860600083418"</f>
        <v>860600083418</v>
      </c>
      <c r="B19808" t="s">
        <v>28076</v>
      </c>
      <c r="C19808" t="s">
        <v>7</v>
      </c>
      <c r="D19808" t="s">
        <v>14</v>
      </c>
      <c r="E19808" t="s">
        <v>27682</v>
      </c>
    </row>
    <row r="19809" spans="1:6" x14ac:dyDescent="0.25">
      <c r="A19809" t="str">
        <f>"860904684107"</f>
        <v>860904684107</v>
      </c>
      <c r="B19809" t="s">
        <v>28077</v>
      </c>
      <c r="C19809" t="s">
        <v>7</v>
      </c>
      <c r="D19809" t="s">
        <v>14</v>
      </c>
      <c r="E19809" t="s">
        <v>27682</v>
      </c>
    </row>
    <row r="19810" spans="1:6" x14ac:dyDescent="0.25">
      <c r="A19810" t="str">
        <f>"8610025410"</f>
        <v>8610025410</v>
      </c>
      <c r="B19810" t="s">
        <v>28078</v>
      </c>
      <c r="C19810" t="s">
        <v>7</v>
      </c>
      <c r="D19810" t="s">
        <v>33</v>
      </c>
      <c r="E19810" t="s">
        <v>27682</v>
      </c>
      <c r="F19810" t="s">
        <v>28079</v>
      </c>
    </row>
    <row r="19811" spans="1:6" x14ac:dyDescent="0.25">
      <c r="A19811" t="str">
        <f>"861102751512"</f>
        <v>861102751512</v>
      </c>
      <c r="B19811" t="s">
        <v>28080</v>
      </c>
      <c r="C19811" t="s">
        <v>7</v>
      </c>
      <c r="D19811" t="s">
        <v>14</v>
      </c>
      <c r="E19811" t="s">
        <v>27682</v>
      </c>
    </row>
    <row r="19812" spans="1:6" x14ac:dyDescent="0.25">
      <c r="A19812" t="str">
        <f>"861201106496"</f>
        <v>861201106496</v>
      </c>
      <c r="B19812" t="s">
        <v>28081</v>
      </c>
      <c r="C19812" t="s">
        <v>7</v>
      </c>
      <c r="D19812" t="s">
        <v>14</v>
      </c>
      <c r="E19812" t="s">
        <v>27682</v>
      </c>
    </row>
    <row r="19813" spans="1:6" x14ac:dyDescent="0.25">
      <c r="A19813" t="str">
        <f>"861404232947"</f>
        <v>861404232947</v>
      </c>
      <c r="B19813" t="s">
        <v>28082</v>
      </c>
      <c r="C19813" t="s">
        <v>7</v>
      </c>
      <c r="D19813" t="s">
        <v>14</v>
      </c>
      <c r="E19813" t="s">
        <v>27682</v>
      </c>
    </row>
    <row r="19814" spans="1:6" x14ac:dyDescent="0.25">
      <c r="A19814" t="str">
        <f>"861603391927"</f>
        <v>861603391927</v>
      </c>
      <c r="B19814" t="s">
        <v>28083</v>
      </c>
      <c r="C19814" t="s">
        <v>7</v>
      </c>
      <c r="D19814" t="s">
        <v>14</v>
      </c>
      <c r="E19814" t="s">
        <v>27682</v>
      </c>
    </row>
    <row r="19815" spans="1:6" x14ac:dyDescent="0.25">
      <c r="A19815" t="str">
        <f>"861712886239"</f>
        <v>861712886239</v>
      </c>
      <c r="B19815" t="s">
        <v>28084</v>
      </c>
      <c r="C19815" t="s">
        <v>7</v>
      </c>
      <c r="D19815" t="s">
        <v>14</v>
      </c>
      <c r="E19815" t="s">
        <v>27682</v>
      </c>
    </row>
    <row r="19816" spans="1:6" x14ac:dyDescent="0.25">
      <c r="A19816" t="str">
        <f>"870300003087"</f>
        <v>870300003087</v>
      </c>
      <c r="B19816" t="s">
        <v>28085</v>
      </c>
      <c r="C19816" t="s">
        <v>7</v>
      </c>
      <c r="D19816" t="s">
        <v>14</v>
      </c>
      <c r="E19816" t="s">
        <v>28086</v>
      </c>
    </row>
    <row r="19817" spans="1:6" x14ac:dyDescent="0.25">
      <c r="A19817" t="str">
        <f>"8700000924"</f>
        <v>8700000924</v>
      </c>
      <c r="B19817" t="s">
        <v>28087</v>
      </c>
      <c r="C19817" t="s">
        <v>7</v>
      </c>
      <c r="D19817" t="s">
        <v>674</v>
      </c>
      <c r="E19817" t="s">
        <v>28086</v>
      </c>
      <c r="F19817" t="s">
        <v>28088</v>
      </c>
    </row>
    <row r="19818" spans="1:6" x14ac:dyDescent="0.25">
      <c r="A19818" t="str">
        <f>"870100571124"</f>
        <v>870100571124</v>
      </c>
      <c r="B19818" t="s">
        <v>28089</v>
      </c>
      <c r="C19818" t="s">
        <v>7</v>
      </c>
      <c r="D19818" t="s">
        <v>14</v>
      </c>
      <c r="E19818" t="s">
        <v>28086</v>
      </c>
    </row>
    <row r="19819" spans="1:6" x14ac:dyDescent="0.25">
      <c r="A19819" t="str">
        <f>"201181255365"</f>
        <v>201181255365</v>
      </c>
      <c r="B19819" t="s">
        <v>28090</v>
      </c>
      <c r="C19819" t="s">
        <v>7</v>
      </c>
      <c r="D19819" t="s">
        <v>14</v>
      </c>
      <c r="E19819" t="s">
        <v>28091</v>
      </c>
    </row>
    <row r="19820" spans="1:6" x14ac:dyDescent="0.25">
      <c r="A19820" t="str">
        <f>"4345470773"</f>
        <v>4345470773</v>
      </c>
      <c r="B19820" t="s">
        <v>28092</v>
      </c>
      <c r="C19820" t="s">
        <v>7</v>
      </c>
      <c r="D19820" t="s">
        <v>14</v>
      </c>
      <c r="E19820" t="s">
        <v>28091</v>
      </c>
      <c r="F19820" t="s">
        <v>28093</v>
      </c>
    </row>
    <row r="19821" spans="1:6" x14ac:dyDescent="0.25">
      <c r="A19821" t="str">
        <f>"451003323646"</f>
        <v>451003323646</v>
      </c>
      <c r="B19821" t="s">
        <v>28094</v>
      </c>
      <c r="C19821" t="s">
        <v>7</v>
      </c>
      <c r="D19821" t="s">
        <v>14</v>
      </c>
      <c r="E19821" t="s">
        <v>28091</v>
      </c>
    </row>
    <row r="19822" spans="1:6" x14ac:dyDescent="0.25">
      <c r="A19822" t="str">
        <f>"227001066333"</f>
        <v>227001066333</v>
      </c>
      <c r="B19822" t="s">
        <v>28095</v>
      </c>
      <c r="C19822" t="s">
        <v>7</v>
      </c>
      <c r="D19822" t="s">
        <v>14</v>
      </c>
      <c r="E19822" t="s">
        <v>28091</v>
      </c>
    </row>
    <row r="19823" spans="1:6" x14ac:dyDescent="0.25">
      <c r="A19823" t="str">
        <f>"0411130648"</f>
        <v>0411130648</v>
      </c>
      <c r="B19823" t="s">
        <v>28096</v>
      </c>
      <c r="C19823" t="s">
        <v>7</v>
      </c>
      <c r="D19823" t="s">
        <v>12</v>
      </c>
      <c r="E19823" t="s">
        <v>28091</v>
      </c>
      <c r="F19823" t="s">
        <v>28097</v>
      </c>
    </row>
    <row r="19824" spans="1:6" x14ac:dyDescent="0.25">
      <c r="A19824" t="str">
        <f>"370201234435"</f>
        <v>370201234435</v>
      </c>
      <c r="B19824" t="s">
        <v>28098</v>
      </c>
      <c r="C19824" t="s">
        <v>7</v>
      </c>
      <c r="D19824" t="s">
        <v>14</v>
      </c>
      <c r="E19824" t="s">
        <v>28091</v>
      </c>
    </row>
    <row r="19825" spans="1:6" x14ac:dyDescent="0.25">
      <c r="A19825" t="str">
        <f>"860105529264"</f>
        <v>860105529264</v>
      </c>
      <c r="B19825" t="s">
        <v>28099</v>
      </c>
      <c r="C19825" t="s">
        <v>7</v>
      </c>
      <c r="D19825" t="s">
        <v>14</v>
      </c>
      <c r="E19825" t="s">
        <v>28091</v>
      </c>
    </row>
    <row r="19826" spans="1:6" x14ac:dyDescent="0.25">
      <c r="A19826" t="str">
        <f>"890103519502"</f>
        <v>890103519502</v>
      </c>
      <c r="B19826" t="s">
        <v>28100</v>
      </c>
      <c r="C19826" t="s">
        <v>7</v>
      </c>
      <c r="D19826" t="s">
        <v>14</v>
      </c>
      <c r="E19826" t="s">
        <v>28091</v>
      </c>
    </row>
    <row r="19827" spans="1:6" x14ac:dyDescent="0.25">
      <c r="A19827" t="str">
        <f>"8901040282"</f>
        <v>8901040282</v>
      </c>
      <c r="B19827" t="s">
        <v>28101</v>
      </c>
      <c r="C19827" t="s">
        <v>7</v>
      </c>
      <c r="D19827" t="s">
        <v>14</v>
      </c>
      <c r="E19827" t="s">
        <v>28091</v>
      </c>
      <c r="F19827" t="s">
        <v>28102</v>
      </c>
    </row>
    <row r="19828" spans="1:6" x14ac:dyDescent="0.25">
      <c r="A19828" t="str">
        <f>"890201684712"</f>
        <v>890201684712</v>
      </c>
      <c r="B19828" t="s">
        <v>28103</v>
      </c>
      <c r="C19828" t="s">
        <v>7</v>
      </c>
      <c r="D19828" t="s">
        <v>14</v>
      </c>
      <c r="E19828" t="s">
        <v>28091</v>
      </c>
    </row>
    <row r="19829" spans="1:6" x14ac:dyDescent="0.25">
      <c r="A19829" t="str">
        <f>"890303208550"</f>
        <v>890303208550</v>
      </c>
      <c r="B19829" t="s">
        <v>28104</v>
      </c>
      <c r="C19829" t="s">
        <v>7</v>
      </c>
      <c r="D19829" t="s">
        <v>14</v>
      </c>
      <c r="E19829" t="s">
        <v>28091</v>
      </c>
    </row>
    <row r="19830" spans="1:6" x14ac:dyDescent="0.25">
      <c r="A19830" t="str">
        <f>"8904059348"</f>
        <v>8904059348</v>
      </c>
      <c r="B19830" t="s">
        <v>28105</v>
      </c>
      <c r="C19830" t="s">
        <v>7</v>
      </c>
      <c r="D19830" t="s">
        <v>12</v>
      </c>
      <c r="E19830" t="s">
        <v>28091</v>
      </c>
      <c r="F19830" t="s">
        <v>28106</v>
      </c>
    </row>
    <row r="19831" spans="1:6" x14ac:dyDescent="0.25">
      <c r="A19831" t="str">
        <f>"890411808964"</f>
        <v>890411808964</v>
      </c>
      <c r="B19831" t="s">
        <v>28107</v>
      </c>
      <c r="C19831" t="s">
        <v>7</v>
      </c>
      <c r="D19831" t="s">
        <v>14</v>
      </c>
      <c r="E19831" t="s">
        <v>28091</v>
      </c>
    </row>
    <row r="19832" spans="1:6" x14ac:dyDescent="0.25">
      <c r="A19832" t="str">
        <f>"890500393782"</f>
        <v>890500393782</v>
      </c>
      <c r="B19832" t="s">
        <v>28108</v>
      </c>
      <c r="C19832" t="s">
        <v>7</v>
      </c>
      <c r="D19832" t="s">
        <v>14</v>
      </c>
      <c r="E19832" t="s">
        <v>28091</v>
      </c>
    </row>
    <row r="19833" spans="1:6" x14ac:dyDescent="0.25">
      <c r="A19833" t="str">
        <f>"890501175949"</f>
        <v>890501175949</v>
      </c>
      <c r="B19833" t="s">
        <v>28109</v>
      </c>
      <c r="C19833" t="s">
        <v>7</v>
      </c>
      <c r="D19833" t="s">
        <v>33</v>
      </c>
      <c r="E19833" t="s">
        <v>28091</v>
      </c>
    </row>
    <row r="19834" spans="1:6" x14ac:dyDescent="0.25">
      <c r="A19834" t="str">
        <f>"890501299133"</f>
        <v>890501299133</v>
      </c>
      <c r="B19834" t="s">
        <v>28110</v>
      </c>
      <c r="C19834" t="s">
        <v>7</v>
      </c>
      <c r="D19834" t="s">
        <v>14</v>
      </c>
      <c r="E19834" t="s">
        <v>28091</v>
      </c>
    </row>
    <row r="19835" spans="1:6" x14ac:dyDescent="0.25">
      <c r="A19835" t="str">
        <f>"8905068049"</f>
        <v>8905068049</v>
      </c>
      <c r="B19835" t="s">
        <v>28111</v>
      </c>
      <c r="C19835" t="s">
        <v>7</v>
      </c>
      <c r="D19835" t="s">
        <v>14</v>
      </c>
      <c r="E19835" t="s">
        <v>28091</v>
      </c>
      <c r="F19835" t="s">
        <v>28112</v>
      </c>
    </row>
    <row r="19836" spans="1:6" x14ac:dyDescent="0.25">
      <c r="A19836" t="str">
        <f>"8905068761"</f>
        <v>8905068761</v>
      </c>
      <c r="B19836" t="s">
        <v>28113</v>
      </c>
      <c r="C19836" t="s">
        <v>7</v>
      </c>
      <c r="D19836" t="s">
        <v>12</v>
      </c>
      <c r="E19836" t="s">
        <v>28091</v>
      </c>
      <c r="F19836" t="s">
        <v>28114</v>
      </c>
    </row>
    <row r="19837" spans="1:6" x14ac:dyDescent="0.25">
      <c r="A19837" t="str">
        <f>"890510364822"</f>
        <v>890510364822</v>
      </c>
      <c r="B19837" t="s">
        <v>28115</v>
      </c>
      <c r="C19837" t="s">
        <v>7</v>
      </c>
      <c r="D19837" t="s">
        <v>12</v>
      </c>
      <c r="E19837" t="s">
        <v>28091</v>
      </c>
    </row>
    <row r="19838" spans="1:6" x14ac:dyDescent="0.25">
      <c r="A19838" t="str">
        <f>"890510623234"</f>
        <v>890510623234</v>
      </c>
      <c r="B19838" t="s">
        <v>28116</v>
      </c>
      <c r="C19838" t="s">
        <v>7</v>
      </c>
      <c r="D19838" t="s">
        <v>12</v>
      </c>
      <c r="E19838" t="s">
        <v>28091</v>
      </c>
    </row>
    <row r="19839" spans="1:6" x14ac:dyDescent="0.25">
      <c r="A19839" t="str">
        <f>"890603213022"</f>
        <v>890603213022</v>
      </c>
      <c r="B19839" t="s">
        <v>28117</v>
      </c>
      <c r="C19839" t="s">
        <v>7</v>
      </c>
      <c r="D19839" t="s">
        <v>14</v>
      </c>
      <c r="E19839" t="s">
        <v>28091</v>
      </c>
    </row>
    <row r="19840" spans="1:6" x14ac:dyDescent="0.25">
      <c r="A19840" t="str">
        <f>"890604870800"</f>
        <v>890604870800</v>
      </c>
      <c r="B19840" t="s">
        <v>28118</v>
      </c>
      <c r="C19840" t="s">
        <v>7</v>
      </c>
      <c r="D19840" t="s">
        <v>14</v>
      </c>
      <c r="E19840" t="s">
        <v>28091</v>
      </c>
    </row>
    <row r="19841" spans="1:6" x14ac:dyDescent="0.25">
      <c r="A19841" t="str">
        <f>"8911033936"</f>
        <v>8911033936</v>
      </c>
      <c r="B19841" t="s">
        <v>28119</v>
      </c>
      <c r="C19841" t="s">
        <v>7</v>
      </c>
      <c r="D19841" t="s">
        <v>33</v>
      </c>
      <c r="E19841" t="s">
        <v>28091</v>
      </c>
      <c r="F19841" t="s">
        <v>28120</v>
      </c>
    </row>
    <row r="19842" spans="1:6" x14ac:dyDescent="0.25">
      <c r="A19842" t="str">
        <f>"891103499872"</f>
        <v>891103499872</v>
      </c>
      <c r="B19842" t="s">
        <v>28121</v>
      </c>
      <c r="C19842" t="s">
        <v>7</v>
      </c>
      <c r="D19842" t="s">
        <v>14</v>
      </c>
      <c r="E19842" t="s">
        <v>28091</v>
      </c>
    </row>
    <row r="19843" spans="1:6" x14ac:dyDescent="0.25">
      <c r="A19843" t="str">
        <f>"8913007681"</f>
        <v>8913007681</v>
      </c>
      <c r="B19843" t="s">
        <v>4282</v>
      </c>
      <c r="C19843" t="s">
        <v>7</v>
      </c>
      <c r="D19843" t="s">
        <v>14</v>
      </c>
      <c r="E19843" t="s">
        <v>28091</v>
      </c>
      <c r="F19843" t="s">
        <v>28122</v>
      </c>
    </row>
    <row r="19844" spans="1:6" x14ac:dyDescent="0.25">
      <c r="A19844" t="str">
        <f>"891301265629"</f>
        <v>891301265629</v>
      </c>
      <c r="B19844" t="s">
        <v>28123</v>
      </c>
      <c r="C19844" t="s">
        <v>7</v>
      </c>
      <c r="D19844" t="s">
        <v>14</v>
      </c>
      <c r="E19844" t="s">
        <v>28091</v>
      </c>
    </row>
    <row r="19845" spans="1:6" x14ac:dyDescent="0.25">
      <c r="A19845" t="str">
        <f>"890102648992"</f>
        <v>890102648992</v>
      </c>
      <c r="B19845" t="s">
        <v>28124</v>
      </c>
      <c r="C19845" t="s">
        <v>7</v>
      </c>
      <c r="D19845" t="s">
        <v>14</v>
      </c>
      <c r="E19845" t="s">
        <v>28091</v>
      </c>
    </row>
    <row r="19846" spans="1:6" x14ac:dyDescent="0.25">
      <c r="A19846" t="str">
        <f>"890103858086"</f>
        <v>890103858086</v>
      </c>
      <c r="B19846" t="s">
        <v>28125</v>
      </c>
      <c r="C19846" t="s">
        <v>7</v>
      </c>
      <c r="D19846" t="s">
        <v>14</v>
      </c>
      <c r="E19846" t="s">
        <v>28091</v>
      </c>
    </row>
    <row r="19847" spans="1:6" x14ac:dyDescent="0.25">
      <c r="A19847" t="str">
        <f>"8901043614"</f>
        <v>8901043614</v>
      </c>
      <c r="B19847" t="s">
        <v>28126</v>
      </c>
      <c r="C19847" t="s">
        <v>7</v>
      </c>
      <c r="D19847" t="s">
        <v>14</v>
      </c>
      <c r="E19847" t="s">
        <v>28091</v>
      </c>
      <c r="F19847" t="s">
        <v>28127</v>
      </c>
    </row>
    <row r="19848" spans="1:6" x14ac:dyDescent="0.25">
      <c r="A19848" t="str">
        <f>"890202594187"</f>
        <v>890202594187</v>
      </c>
      <c r="B19848" t="s">
        <v>28128</v>
      </c>
      <c r="C19848" t="s">
        <v>7</v>
      </c>
      <c r="D19848" t="s">
        <v>14</v>
      </c>
      <c r="E19848" t="s">
        <v>28091</v>
      </c>
    </row>
    <row r="19849" spans="1:6" x14ac:dyDescent="0.25">
      <c r="A19849" t="str">
        <f>"890300034610"</f>
        <v>890300034610</v>
      </c>
      <c r="B19849" t="s">
        <v>28129</v>
      </c>
      <c r="C19849" t="s">
        <v>7</v>
      </c>
      <c r="D19849" t="s">
        <v>14</v>
      </c>
      <c r="E19849" t="s">
        <v>28091</v>
      </c>
    </row>
    <row r="19850" spans="1:6" x14ac:dyDescent="0.25">
      <c r="A19850" t="str">
        <f>"890300173839"</f>
        <v>890300173839</v>
      </c>
      <c r="B19850" t="s">
        <v>28130</v>
      </c>
      <c r="C19850" t="s">
        <v>7</v>
      </c>
      <c r="D19850" t="s">
        <v>14</v>
      </c>
      <c r="E19850" t="s">
        <v>28091</v>
      </c>
    </row>
    <row r="19851" spans="1:6" x14ac:dyDescent="0.25">
      <c r="A19851" t="str">
        <f>"8903001842"</f>
        <v>8903001842</v>
      </c>
      <c r="B19851" t="s">
        <v>28131</v>
      </c>
      <c r="C19851" t="s">
        <v>7</v>
      </c>
      <c r="D19851" t="s">
        <v>14</v>
      </c>
      <c r="E19851" t="s">
        <v>28091</v>
      </c>
      <c r="F19851" t="s">
        <v>28132</v>
      </c>
    </row>
    <row r="19852" spans="1:6" x14ac:dyDescent="0.25">
      <c r="A19852" t="str">
        <f>"8903032583"</f>
        <v>8903032583</v>
      </c>
      <c r="B19852" t="s">
        <v>28133</v>
      </c>
      <c r="C19852" t="s">
        <v>7</v>
      </c>
      <c r="D19852" t="s">
        <v>12</v>
      </c>
      <c r="E19852" t="s">
        <v>28091</v>
      </c>
      <c r="F19852" t="s">
        <v>28134</v>
      </c>
    </row>
    <row r="19853" spans="1:6" x14ac:dyDescent="0.25">
      <c r="A19853" t="str">
        <f>"890403444142"</f>
        <v>890403444142</v>
      </c>
      <c r="B19853" t="s">
        <v>28135</v>
      </c>
      <c r="C19853" t="s">
        <v>7</v>
      </c>
      <c r="D19853" t="s">
        <v>14</v>
      </c>
      <c r="E19853" t="s">
        <v>28091</v>
      </c>
    </row>
    <row r="19854" spans="1:6" x14ac:dyDescent="0.25">
      <c r="A19854" t="str">
        <f>"890408976278"</f>
        <v>890408976278</v>
      </c>
      <c r="B19854" t="s">
        <v>28136</v>
      </c>
      <c r="C19854" t="s">
        <v>7</v>
      </c>
      <c r="D19854" t="s">
        <v>14</v>
      </c>
      <c r="E19854" t="s">
        <v>28091</v>
      </c>
    </row>
    <row r="19855" spans="1:6" x14ac:dyDescent="0.25">
      <c r="A19855" t="str">
        <f>"8904090281"</f>
        <v>8904090281</v>
      </c>
      <c r="B19855" t="s">
        <v>28137</v>
      </c>
      <c r="C19855" t="s">
        <v>7</v>
      </c>
      <c r="D19855" t="s">
        <v>12</v>
      </c>
      <c r="E19855" t="s">
        <v>28091</v>
      </c>
      <c r="F19855" t="s">
        <v>28138</v>
      </c>
    </row>
    <row r="19856" spans="1:6" x14ac:dyDescent="0.25">
      <c r="A19856" t="str">
        <f>"890411399158"</f>
        <v>890411399158</v>
      </c>
      <c r="B19856" t="s">
        <v>28139</v>
      </c>
      <c r="C19856" t="s">
        <v>7</v>
      </c>
      <c r="D19856" t="s">
        <v>14</v>
      </c>
      <c r="E19856" t="s">
        <v>28091</v>
      </c>
    </row>
    <row r="19857" spans="1:6" x14ac:dyDescent="0.25">
      <c r="A19857" t="str">
        <f>"890416252631"</f>
        <v>890416252631</v>
      </c>
      <c r="B19857" t="s">
        <v>28140</v>
      </c>
      <c r="C19857" t="s">
        <v>7</v>
      </c>
      <c r="D19857" t="s">
        <v>14</v>
      </c>
      <c r="E19857" t="s">
        <v>28091</v>
      </c>
    </row>
    <row r="19858" spans="1:6" x14ac:dyDescent="0.25">
      <c r="A19858" t="str">
        <f>"890502373622"</f>
        <v>890502373622</v>
      </c>
      <c r="B19858" t="s">
        <v>28141</v>
      </c>
      <c r="C19858" t="s">
        <v>7</v>
      </c>
      <c r="D19858" t="s">
        <v>14</v>
      </c>
      <c r="E19858" t="s">
        <v>28091</v>
      </c>
    </row>
    <row r="19859" spans="1:6" x14ac:dyDescent="0.25">
      <c r="A19859" t="str">
        <f>"8905045274"</f>
        <v>8905045274</v>
      </c>
      <c r="B19859" t="s">
        <v>28142</v>
      </c>
      <c r="C19859" t="s">
        <v>7</v>
      </c>
      <c r="D19859" t="s">
        <v>8</v>
      </c>
      <c r="E19859" t="s">
        <v>28091</v>
      </c>
      <c r="F19859" t="s">
        <v>28143</v>
      </c>
    </row>
    <row r="19860" spans="1:6" x14ac:dyDescent="0.25">
      <c r="A19860" t="str">
        <f>"890505049247"</f>
        <v>890505049247</v>
      </c>
      <c r="B19860" t="s">
        <v>28144</v>
      </c>
      <c r="C19860" t="s">
        <v>7</v>
      </c>
      <c r="D19860" t="s">
        <v>14</v>
      </c>
      <c r="E19860" t="s">
        <v>28091</v>
      </c>
    </row>
    <row r="19861" spans="1:6" x14ac:dyDescent="0.25">
      <c r="A19861" t="str">
        <f>"890600007007"</f>
        <v>890600007007</v>
      </c>
      <c r="B19861" t="s">
        <v>28145</v>
      </c>
      <c r="C19861" t="s">
        <v>7</v>
      </c>
      <c r="D19861" t="s">
        <v>14</v>
      </c>
      <c r="E19861" t="s">
        <v>28091</v>
      </c>
    </row>
    <row r="19862" spans="1:6" x14ac:dyDescent="0.25">
      <c r="A19862" t="str">
        <f>"890800929577"</f>
        <v>890800929577</v>
      </c>
      <c r="B19862" t="s">
        <v>28146</v>
      </c>
      <c r="C19862" t="s">
        <v>7</v>
      </c>
      <c r="D19862" t="s">
        <v>14</v>
      </c>
      <c r="E19862" t="s">
        <v>28091</v>
      </c>
    </row>
    <row r="19863" spans="1:6" x14ac:dyDescent="0.25">
      <c r="A19863" t="str">
        <f>"891100016460"</f>
        <v>891100016460</v>
      </c>
      <c r="B19863" t="s">
        <v>28147</v>
      </c>
      <c r="C19863" t="s">
        <v>7</v>
      </c>
      <c r="D19863" t="s">
        <v>14</v>
      </c>
      <c r="E19863" t="s">
        <v>28091</v>
      </c>
    </row>
    <row r="19864" spans="1:6" x14ac:dyDescent="0.25">
      <c r="A19864" t="str">
        <f>"891101433121"</f>
        <v>891101433121</v>
      </c>
      <c r="B19864" t="s">
        <v>28148</v>
      </c>
      <c r="C19864" t="s">
        <v>7</v>
      </c>
      <c r="D19864" t="s">
        <v>14</v>
      </c>
      <c r="E19864" t="s">
        <v>28091</v>
      </c>
    </row>
    <row r="19865" spans="1:6" x14ac:dyDescent="0.25">
      <c r="A19865" t="str">
        <f>"891102280830"</f>
        <v>891102280830</v>
      </c>
      <c r="B19865" t="s">
        <v>28149</v>
      </c>
      <c r="C19865" t="s">
        <v>7</v>
      </c>
      <c r="D19865" t="s">
        <v>14</v>
      </c>
      <c r="E19865" t="s">
        <v>28091</v>
      </c>
    </row>
    <row r="19866" spans="1:6" x14ac:dyDescent="0.25">
      <c r="A19866" t="str">
        <f>"891103790680"</f>
        <v>891103790680</v>
      </c>
      <c r="B19866" t="s">
        <v>28150</v>
      </c>
      <c r="C19866" t="s">
        <v>7</v>
      </c>
      <c r="D19866" t="s">
        <v>14</v>
      </c>
      <c r="E19866" t="s">
        <v>28091</v>
      </c>
    </row>
    <row r="19867" spans="1:6" x14ac:dyDescent="0.25">
      <c r="A19867" t="str">
        <f>"891105094790"</f>
        <v>891105094790</v>
      </c>
      <c r="B19867" t="s">
        <v>28151</v>
      </c>
      <c r="C19867" t="s">
        <v>7</v>
      </c>
      <c r="D19867" t="s">
        <v>14</v>
      </c>
      <c r="E19867" t="s">
        <v>28091</v>
      </c>
    </row>
    <row r="19868" spans="1:6" x14ac:dyDescent="0.25">
      <c r="A19868" t="str">
        <f>"891302108178"</f>
        <v>891302108178</v>
      </c>
      <c r="B19868" t="s">
        <v>28152</v>
      </c>
      <c r="C19868" t="s">
        <v>7</v>
      </c>
      <c r="D19868" t="s">
        <v>14</v>
      </c>
      <c r="E19868" t="s">
        <v>28091</v>
      </c>
    </row>
    <row r="19869" spans="1:6" x14ac:dyDescent="0.25">
      <c r="A19869" t="str">
        <f>"891302212309"</f>
        <v>891302212309</v>
      </c>
      <c r="B19869" t="s">
        <v>28153</v>
      </c>
      <c r="C19869" t="s">
        <v>7</v>
      </c>
      <c r="D19869" t="s">
        <v>14</v>
      </c>
      <c r="E19869" t="s">
        <v>28091</v>
      </c>
    </row>
    <row r="19870" spans="1:6" x14ac:dyDescent="0.25">
      <c r="A19870" t="str">
        <f>"890100014736"</f>
        <v>890100014736</v>
      </c>
      <c r="B19870" t="s">
        <v>28154</v>
      </c>
      <c r="C19870" t="s">
        <v>7</v>
      </c>
      <c r="D19870" t="s">
        <v>14</v>
      </c>
      <c r="E19870" t="s">
        <v>28091</v>
      </c>
    </row>
    <row r="19871" spans="1:6" x14ac:dyDescent="0.25">
      <c r="A19871" t="str">
        <f>"890101308009"</f>
        <v>890101308009</v>
      </c>
      <c r="B19871" t="s">
        <v>28155</v>
      </c>
      <c r="C19871" t="s">
        <v>7</v>
      </c>
      <c r="D19871" t="s">
        <v>586</v>
      </c>
      <c r="E19871" t="s">
        <v>28091</v>
      </c>
    </row>
    <row r="19872" spans="1:6" x14ac:dyDescent="0.25">
      <c r="A19872" t="str">
        <f>"890104024502"</f>
        <v>890104024502</v>
      </c>
      <c r="B19872" t="s">
        <v>28156</v>
      </c>
      <c r="C19872" t="s">
        <v>7</v>
      </c>
      <c r="D19872" t="s">
        <v>14</v>
      </c>
      <c r="E19872" t="s">
        <v>28091</v>
      </c>
    </row>
    <row r="19873" spans="1:6" x14ac:dyDescent="0.25">
      <c r="A19873" t="str">
        <f>"890200086935"</f>
        <v>890200086935</v>
      </c>
      <c r="B19873" t="s">
        <v>28157</v>
      </c>
      <c r="C19873" t="s">
        <v>7</v>
      </c>
      <c r="D19873" t="s">
        <v>12</v>
      </c>
      <c r="E19873" t="s">
        <v>28091</v>
      </c>
    </row>
    <row r="19874" spans="1:6" x14ac:dyDescent="0.25">
      <c r="A19874" t="str">
        <f>"890201335359"</f>
        <v>890201335359</v>
      </c>
      <c r="B19874" t="s">
        <v>28158</v>
      </c>
      <c r="C19874" t="s">
        <v>7</v>
      </c>
      <c r="D19874" t="s">
        <v>12</v>
      </c>
      <c r="E19874" t="s">
        <v>28091</v>
      </c>
    </row>
    <row r="19875" spans="1:6" x14ac:dyDescent="0.25">
      <c r="A19875" t="str">
        <f>"890300946775"</f>
        <v>890300946775</v>
      </c>
      <c r="B19875" t="s">
        <v>28159</v>
      </c>
      <c r="C19875" t="s">
        <v>7</v>
      </c>
      <c r="D19875" t="s">
        <v>14</v>
      </c>
      <c r="E19875" t="s">
        <v>28091</v>
      </c>
    </row>
    <row r="19876" spans="1:6" x14ac:dyDescent="0.25">
      <c r="A19876" t="str">
        <f>"8904054075"</f>
        <v>8904054075</v>
      </c>
      <c r="B19876" t="s">
        <v>28160</v>
      </c>
      <c r="C19876" t="s">
        <v>7</v>
      </c>
      <c r="D19876" t="s">
        <v>12</v>
      </c>
      <c r="E19876" t="s">
        <v>28091</v>
      </c>
      <c r="F19876" t="s">
        <v>28161</v>
      </c>
    </row>
    <row r="19877" spans="1:6" x14ac:dyDescent="0.25">
      <c r="A19877" t="str">
        <f>"8904068825"</f>
        <v>8904068825</v>
      </c>
      <c r="B19877" t="s">
        <v>15903</v>
      </c>
      <c r="C19877" t="s">
        <v>7</v>
      </c>
      <c r="D19877" t="s">
        <v>12</v>
      </c>
      <c r="E19877" t="s">
        <v>28091</v>
      </c>
      <c r="F19877" t="s">
        <v>28162</v>
      </c>
    </row>
    <row r="19878" spans="1:6" x14ac:dyDescent="0.25">
      <c r="A19878" t="str">
        <f>"8904093099"</f>
        <v>8904093099</v>
      </c>
      <c r="B19878" t="s">
        <v>28163</v>
      </c>
      <c r="C19878" t="s">
        <v>7</v>
      </c>
      <c r="D19878" t="s">
        <v>14</v>
      </c>
      <c r="E19878" t="s">
        <v>28091</v>
      </c>
      <c r="F19878" t="s">
        <v>28164</v>
      </c>
    </row>
    <row r="19879" spans="1:6" x14ac:dyDescent="0.25">
      <c r="A19879" t="str">
        <f>"890417128796"</f>
        <v>890417128796</v>
      </c>
      <c r="B19879" t="s">
        <v>28165</v>
      </c>
      <c r="C19879" t="s">
        <v>7</v>
      </c>
      <c r="D19879" t="s">
        <v>14</v>
      </c>
      <c r="E19879" t="s">
        <v>28091</v>
      </c>
    </row>
    <row r="19880" spans="1:6" x14ac:dyDescent="0.25">
      <c r="A19880" t="str">
        <f>"890506471500"</f>
        <v>890506471500</v>
      </c>
      <c r="B19880" t="s">
        <v>28166</v>
      </c>
      <c r="C19880" t="s">
        <v>7</v>
      </c>
      <c r="D19880" t="s">
        <v>14</v>
      </c>
      <c r="E19880" t="s">
        <v>28091</v>
      </c>
    </row>
    <row r="19881" spans="1:6" x14ac:dyDescent="0.25">
      <c r="A19881" t="str">
        <f>"890507061271"</f>
        <v>890507061271</v>
      </c>
      <c r="B19881" t="s">
        <v>28167</v>
      </c>
      <c r="C19881" t="s">
        <v>7</v>
      </c>
      <c r="D19881" t="s">
        <v>14</v>
      </c>
      <c r="E19881" t="s">
        <v>28091</v>
      </c>
    </row>
    <row r="19882" spans="1:6" x14ac:dyDescent="0.25">
      <c r="A19882" t="str">
        <f>"890603125552"</f>
        <v>890603125552</v>
      </c>
      <c r="B19882" t="s">
        <v>28168</v>
      </c>
      <c r="C19882" t="s">
        <v>7</v>
      </c>
      <c r="D19882" t="s">
        <v>14</v>
      </c>
      <c r="E19882" t="s">
        <v>28091</v>
      </c>
    </row>
    <row r="19883" spans="1:6" x14ac:dyDescent="0.25">
      <c r="A19883" t="str">
        <f>"890604631520"</f>
        <v>890604631520</v>
      </c>
      <c r="B19883" t="s">
        <v>28169</v>
      </c>
      <c r="C19883" t="s">
        <v>7</v>
      </c>
      <c r="D19883" t="s">
        <v>14</v>
      </c>
      <c r="E19883" t="s">
        <v>28091</v>
      </c>
    </row>
    <row r="19884" spans="1:6" x14ac:dyDescent="0.25">
      <c r="A19884" t="str">
        <f>"890900365035"</f>
        <v>890900365035</v>
      </c>
      <c r="B19884" t="s">
        <v>28170</v>
      </c>
      <c r="C19884" t="s">
        <v>7</v>
      </c>
      <c r="D19884" t="s">
        <v>12</v>
      </c>
      <c r="E19884" t="s">
        <v>28091</v>
      </c>
    </row>
    <row r="19885" spans="1:6" x14ac:dyDescent="0.25">
      <c r="A19885" t="str">
        <f>"890900755028"</f>
        <v>890900755028</v>
      </c>
      <c r="B19885" t="s">
        <v>28171</v>
      </c>
      <c r="C19885" t="s">
        <v>7</v>
      </c>
      <c r="D19885" t="s">
        <v>14</v>
      </c>
      <c r="E19885" t="s">
        <v>28091</v>
      </c>
    </row>
    <row r="19886" spans="1:6" x14ac:dyDescent="0.25">
      <c r="A19886" t="str">
        <f>"891101834500"</f>
        <v>891101834500</v>
      </c>
      <c r="B19886" t="s">
        <v>28172</v>
      </c>
      <c r="C19886" t="s">
        <v>7</v>
      </c>
      <c r="D19886" t="s">
        <v>14</v>
      </c>
      <c r="E19886" t="s">
        <v>28091</v>
      </c>
    </row>
    <row r="19887" spans="1:6" x14ac:dyDescent="0.25">
      <c r="A19887" t="str">
        <f>"402702126908"</f>
        <v>402702126908</v>
      </c>
      <c r="B19887" t="s">
        <v>28173</v>
      </c>
      <c r="C19887" t="s">
        <v>7</v>
      </c>
      <c r="D19887" t="s">
        <v>14</v>
      </c>
      <c r="E19887" t="s">
        <v>28091</v>
      </c>
    </row>
    <row r="19888" spans="1:6" x14ac:dyDescent="0.25">
      <c r="A19888" t="str">
        <f>"8904086366"</f>
        <v>8904086366</v>
      </c>
      <c r="B19888" t="s">
        <v>28174</v>
      </c>
      <c r="C19888" t="s">
        <v>7</v>
      </c>
      <c r="D19888" t="s">
        <v>12</v>
      </c>
      <c r="E19888" t="s">
        <v>28091</v>
      </c>
      <c r="F19888" t="s">
        <v>28175</v>
      </c>
    </row>
    <row r="19889" spans="1:6" x14ac:dyDescent="0.25">
      <c r="A19889" t="str">
        <f>"8904087962"</f>
        <v>8904087962</v>
      </c>
      <c r="B19889" t="s">
        <v>21673</v>
      </c>
      <c r="C19889" t="s">
        <v>7</v>
      </c>
      <c r="D19889" t="s">
        <v>14</v>
      </c>
      <c r="E19889" t="s">
        <v>28091</v>
      </c>
      <c r="F19889" t="s">
        <v>28176</v>
      </c>
    </row>
    <row r="19890" spans="1:6" x14ac:dyDescent="0.25">
      <c r="A19890" t="str">
        <f>"891001168889"</f>
        <v>891001168889</v>
      </c>
      <c r="B19890" t="s">
        <v>28177</v>
      </c>
      <c r="C19890" t="s">
        <v>7</v>
      </c>
      <c r="D19890" t="s">
        <v>14</v>
      </c>
      <c r="E19890" t="s">
        <v>28091</v>
      </c>
    </row>
    <row r="19891" spans="1:6" x14ac:dyDescent="0.25">
      <c r="A19891" t="str">
        <f>"361609820343"</f>
        <v>361609820343</v>
      </c>
      <c r="B19891" t="s">
        <v>28178</v>
      </c>
      <c r="C19891" t="s">
        <v>7</v>
      </c>
      <c r="D19891" t="s">
        <v>12</v>
      </c>
      <c r="E19891" t="s">
        <v>28179</v>
      </c>
    </row>
    <row r="19892" spans="1:6" x14ac:dyDescent="0.25">
      <c r="A19892" t="str">
        <f>"2312310562"</f>
        <v>2312310562</v>
      </c>
      <c r="B19892" t="s">
        <v>26868</v>
      </c>
      <c r="C19892" t="s">
        <v>7</v>
      </c>
      <c r="D19892" t="s">
        <v>14</v>
      </c>
      <c r="E19892" t="s">
        <v>28179</v>
      </c>
      <c r="F19892" t="s">
        <v>28180</v>
      </c>
    </row>
    <row r="19893" spans="1:6" x14ac:dyDescent="0.25">
      <c r="A19893" t="str">
        <f>"231541563416"</f>
        <v>231541563416</v>
      </c>
      <c r="B19893" t="s">
        <v>28181</v>
      </c>
      <c r="C19893" t="s">
        <v>7</v>
      </c>
      <c r="D19893" t="s">
        <v>14</v>
      </c>
      <c r="E19893" t="s">
        <v>28179</v>
      </c>
    </row>
    <row r="19894" spans="1:6" x14ac:dyDescent="0.25">
      <c r="A19894" t="str">
        <f>"231543245257"</f>
        <v>231543245257</v>
      </c>
      <c r="B19894" t="s">
        <v>28182</v>
      </c>
      <c r="C19894" t="s">
        <v>7</v>
      </c>
      <c r="D19894" t="s">
        <v>14</v>
      </c>
      <c r="E19894" t="s">
        <v>28179</v>
      </c>
    </row>
    <row r="19895" spans="1:6" x14ac:dyDescent="0.25">
      <c r="A19895" t="str">
        <f>"231552641497"</f>
        <v>231552641497</v>
      </c>
      <c r="B19895" t="s">
        <v>28183</v>
      </c>
      <c r="C19895" t="s">
        <v>7</v>
      </c>
      <c r="D19895" t="s">
        <v>14</v>
      </c>
      <c r="E19895" t="s">
        <v>28179</v>
      </c>
    </row>
    <row r="19896" spans="1:6" x14ac:dyDescent="0.25">
      <c r="A19896" t="str">
        <f>"720415586352"</f>
        <v>720415586352</v>
      </c>
      <c r="B19896" t="s">
        <v>28184</v>
      </c>
      <c r="C19896" t="s">
        <v>7</v>
      </c>
      <c r="D19896" t="s">
        <v>14</v>
      </c>
      <c r="E19896" t="s">
        <v>28179</v>
      </c>
    </row>
    <row r="19897" spans="1:6" x14ac:dyDescent="0.25">
      <c r="A19897" t="str">
        <f>"9001011080"</f>
        <v>9001011080</v>
      </c>
      <c r="B19897" t="s">
        <v>28185</v>
      </c>
      <c r="C19897" t="s">
        <v>7</v>
      </c>
      <c r="D19897" t="s">
        <v>14</v>
      </c>
      <c r="E19897" t="s">
        <v>28179</v>
      </c>
      <c r="F19897" t="s">
        <v>28186</v>
      </c>
    </row>
    <row r="19898" spans="1:6" x14ac:dyDescent="0.25">
      <c r="A19898" t="str">
        <f>"9001012076"</f>
        <v>9001012076</v>
      </c>
      <c r="B19898" t="s">
        <v>28187</v>
      </c>
      <c r="C19898" t="s">
        <v>7</v>
      </c>
      <c r="D19898" t="s">
        <v>14</v>
      </c>
      <c r="E19898" t="s">
        <v>28179</v>
      </c>
      <c r="F19898" t="s">
        <v>28188</v>
      </c>
    </row>
    <row r="19899" spans="1:6" x14ac:dyDescent="0.25">
      <c r="A19899" t="str">
        <f>"9001019716"</f>
        <v>9001019716</v>
      </c>
      <c r="B19899" t="s">
        <v>28189</v>
      </c>
      <c r="C19899" t="s">
        <v>7</v>
      </c>
      <c r="D19899" t="s">
        <v>12</v>
      </c>
      <c r="E19899" t="s">
        <v>28179</v>
      </c>
      <c r="F19899" t="s">
        <v>28190</v>
      </c>
    </row>
    <row r="19900" spans="1:6" x14ac:dyDescent="0.25">
      <c r="A19900" t="str">
        <f>"900200351755"</f>
        <v>900200351755</v>
      </c>
      <c r="B19900" t="s">
        <v>28191</v>
      </c>
      <c r="C19900" t="s">
        <v>7</v>
      </c>
      <c r="D19900" t="s">
        <v>14</v>
      </c>
      <c r="E19900" t="s">
        <v>28179</v>
      </c>
    </row>
    <row r="19901" spans="1:6" x14ac:dyDescent="0.25">
      <c r="A19901" t="str">
        <f>"900201831803"</f>
        <v>900201831803</v>
      </c>
      <c r="B19901" t="s">
        <v>28192</v>
      </c>
      <c r="C19901" t="s">
        <v>7</v>
      </c>
      <c r="D19901" t="s">
        <v>14</v>
      </c>
      <c r="E19901" t="s">
        <v>28179</v>
      </c>
    </row>
    <row r="19902" spans="1:6" x14ac:dyDescent="0.25">
      <c r="A19902" t="str">
        <f>"900100060551"</f>
        <v>900100060551</v>
      </c>
      <c r="B19902" t="s">
        <v>28193</v>
      </c>
      <c r="C19902" t="s">
        <v>7</v>
      </c>
      <c r="D19902" t="s">
        <v>14</v>
      </c>
      <c r="E19902" t="s">
        <v>28179</v>
      </c>
    </row>
    <row r="19903" spans="1:6" x14ac:dyDescent="0.25">
      <c r="A19903" t="str">
        <f>"9002017454"</f>
        <v>9002017454</v>
      </c>
      <c r="B19903" t="s">
        <v>28194</v>
      </c>
      <c r="C19903" t="s">
        <v>7</v>
      </c>
      <c r="D19903" t="s">
        <v>14</v>
      </c>
      <c r="E19903" t="s">
        <v>28179</v>
      </c>
      <c r="F19903" t="s">
        <v>28195</v>
      </c>
    </row>
    <row r="19904" spans="1:6" x14ac:dyDescent="0.25">
      <c r="A19904" t="str">
        <f>"9001023712"</f>
        <v>9001023712</v>
      </c>
      <c r="B19904" t="s">
        <v>28196</v>
      </c>
      <c r="C19904" t="s">
        <v>7</v>
      </c>
      <c r="D19904" t="s">
        <v>463</v>
      </c>
      <c r="E19904" t="s">
        <v>28179</v>
      </c>
      <c r="F19904" t="s">
        <v>28197</v>
      </c>
    </row>
    <row r="19905" spans="1:6" x14ac:dyDescent="0.25">
      <c r="A19905" t="str">
        <f>"9001031745"</f>
        <v>9001031745</v>
      </c>
      <c r="B19905" t="s">
        <v>28198</v>
      </c>
      <c r="C19905" t="s">
        <v>7</v>
      </c>
      <c r="D19905" t="s">
        <v>12</v>
      </c>
      <c r="E19905" t="s">
        <v>28179</v>
      </c>
      <c r="F19905" t="s">
        <v>28199</v>
      </c>
    </row>
    <row r="19906" spans="1:6" x14ac:dyDescent="0.25">
      <c r="A19906" t="str">
        <f>"9002001013"</f>
        <v>9002001013</v>
      </c>
      <c r="B19906" t="s">
        <v>28200</v>
      </c>
      <c r="C19906" t="s">
        <v>7</v>
      </c>
      <c r="D19906" t="s">
        <v>146</v>
      </c>
      <c r="E19906" t="s">
        <v>28179</v>
      </c>
      <c r="F19906" t="s">
        <v>28201</v>
      </c>
    </row>
    <row r="19907" spans="1:6" x14ac:dyDescent="0.25">
      <c r="A19907" t="str">
        <f>"9102007690"</f>
        <v>9102007690</v>
      </c>
      <c r="B19907" t="s">
        <v>28202</v>
      </c>
      <c r="C19907" t="s">
        <v>7</v>
      </c>
      <c r="D19907" t="s">
        <v>14</v>
      </c>
      <c r="E19907" t="s">
        <v>28179</v>
      </c>
      <c r="F19907" t="s">
        <v>28203</v>
      </c>
    </row>
    <row r="19908" spans="1:6" x14ac:dyDescent="0.25">
      <c r="A19908" t="str">
        <f>"9001029658"</f>
        <v>9001029658</v>
      </c>
      <c r="B19908" t="s">
        <v>28204</v>
      </c>
      <c r="C19908" t="s">
        <v>7</v>
      </c>
      <c r="D19908" t="s">
        <v>12</v>
      </c>
      <c r="E19908" t="s">
        <v>28179</v>
      </c>
      <c r="F19908" t="s">
        <v>28205</v>
      </c>
    </row>
    <row r="19909" spans="1:6" x14ac:dyDescent="0.25">
      <c r="A19909" t="str">
        <f>"900202108788"</f>
        <v>900202108788</v>
      </c>
      <c r="B19909" t="s">
        <v>28206</v>
      </c>
      <c r="C19909" t="s">
        <v>7</v>
      </c>
      <c r="D19909" t="s">
        <v>14</v>
      </c>
      <c r="E19909" t="s">
        <v>28179</v>
      </c>
    </row>
    <row r="19910" spans="1:6" x14ac:dyDescent="0.25">
      <c r="A19910" t="str">
        <f>"9109027991"</f>
        <v>9109027991</v>
      </c>
      <c r="B19910" t="s">
        <v>28207</v>
      </c>
      <c r="C19910" t="s">
        <v>7</v>
      </c>
      <c r="D19910" t="s">
        <v>14</v>
      </c>
      <c r="E19910" t="s">
        <v>28179</v>
      </c>
      <c r="F19910" t="s">
        <v>28208</v>
      </c>
    </row>
    <row r="19911" spans="1:6" x14ac:dyDescent="0.25">
      <c r="A19911" t="str">
        <f>"523102406001"</f>
        <v>523102406001</v>
      </c>
      <c r="B19911" t="s">
        <v>28209</v>
      </c>
      <c r="C19911" t="s">
        <v>7</v>
      </c>
      <c r="D19911" t="s">
        <v>28</v>
      </c>
      <c r="E19911" t="s">
        <v>28210</v>
      </c>
    </row>
    <row r="19912" spans="1:6" x14ac:dyDescent="0.25">
      <c r="A19912" t="str">
        <f>"342303676807"</f>
        <v>342303676807</v>
      </c>
      <c r="B19912" t="s">
        <v>28211</v>
      </c>
      <c r="C19912" t="s">
        <v>7</v>
      </c>
      <c r="D19912" t="s">
        <v>14</v>
      </c>
      <c r="E19912" t="s">
        <v>28210</v>
      </c>
    </row>
    <row r="19913" spans="1:6" x14ac:dyDescent="0.25">
      <c r="A19913" t="str">
        <f>"223505116963"</f>
        <v>223505116963</v>
      </c>
      <c r="B19913" t="s">
        <v>28212</v>
      </c>
      <c r="C19913" t="s">
        <v>7</v>
      </c>
      <c r="D19913" t="s">
        <v>14</v>
      </c>
      <c r="E19913" t="s">
        <v>28210</v>
      </c>
    </row>
    <row r="19914" spans="1:6" x14ac:dyDescent="0.25">
      <c r="A19914" t="str">
        <f>"720404793702"</f>
        <v>720404793702</v>
      </c>
      <c r="B19914" t="s">
        <v>28213</v>
      </c>
      <c r="C19914" t="s">
        <v>7</v>
      </c>
      <c r="D19914" t="s">
        <v>12</v>
      </c>
      <c r="E19914" t="s">
        <v>28210</v>
      </c>
    </row>
    <row r="19915" spans="1:6" x14ac:dyDescent="0.25">
      <c r="A19915" t="str">
        <f>"775109244304"</f>
        <v>775109244304</v>
      </c>
      <c r="B19915" t="s">
        <v>28214</v>
      </c>
      <c r="C19915" t="s">
        <v>7</v>
      </c>
      <c r="D19915" t="s">
        <v>12</v>
      </c>
      <c r="E19915" t="s">
        <v>28210</v>
      </c>
    </row>
    <row r="19916" spans="1:6" x14ac:dyDescent="0.25">
      <c r="A19916" t="str">
        <f>"550317446671"</f>
        <v>550317446671</v>
      </c>
      <c r="B19916" t="s">
        <v>28215</v>
      </c>
      <c r="C19916" t="s">
        <v>7</v>
      </c>
      <c r="D19916" t="s">
        <v>14</v>
      </c>
      <c r="E19916" t="s">
        <v>28210</v>
      </c>
    </row>
    <row r="19917" spans="1:6" x14ac:dyDescent="0.25">
      <c r="A19917" t="str">
        <f>"612204299025"</f>
        <v>612204299025</v>
      </c>
      <c r="B19917" t="s">
        <v>28216</v>
      </c>
      <c r="C19917" t="s">
        <v>7</v>
      </c>
      <c r="D19917" t="s">
        <v>14</v>
      </c>
      <c r="E19917" t="s">
        <v>28210</v>
      </c>
    </row>
    <row r="19918" spans="1:6" x14ac:dyDescent="0.25">
      <c r="A19918" t="str">
        <f>"230115870750"</f>
        <v>230115870750</v>
      </c>
      <c r="B19918" t="s">
        <v>28217</v>
      </c>
      <c r="C19918" t="s">
        <v>7</v>
      </c>
      <c r="D19918" t="s">
        <v>12</v>
      </c>
      <c r="E19918" t="s">
        <v>28210</v>
      </c>
    </row>
    <row r="19919" spans="1:6" x14ac:dyDescent="0.25">
      <c r="A19919" t="str">
        <f>"5609187636"</f>
        <v>5609187636</v>
      </c>
      <c r="B19919" t="s">
        <v>28218</v>
      </c>
      <c r="C19919" t="s">
        <v>7</v>
      </c>
      <c r="D19919" t="s">
        <v>12</v>
      </c>
      <c r="E19919" t="s">
        <v>28210</v>
      </c>
      <c r="F19919" t="s">
        <v>28219</v>
      </c>
    </row>
    <row r="19920" spans="1:6" x14ac:dyDescent="0.25">
      <c r="A19920" t="str">
        <f>"2634081324"</f>
        <v>2634081324</v>
      </c>
      <c r="B19920" t="s">
        <v>28220</v>
      </c>
      <c r="C19920" t="s">
        <v>7</v>
      </c>
      <c r="D19920" t="s">
        <v>33</v>
      </c>
      <c r="E19920" t="s">
        <v>28210</v>
      </c>
      <c r="F19920" t="s">
        <v>28221</v>
      </c>
    </row>
    <row r="19921" spans="1:6" x14ac:dyDescent="0.25">
      <c r="A19921" t="str">
        <f>"263600146120"</f>
        <v>263600146120</v>
      </c>
      <c r="B19921" t="s">
        <v>28222</v>
      </c>
      <c r="C19921" t="s">
        <v>7</v>
      </c>
      <c r="D19921" t="s">
        <v>14</v>
      </c>
      <c r="E19921" t="s">
        <v>28210</v>
      </c>
    </row>
    <row r="19922" spans="1:6" x14ac:dyDescent="0.25">
      <c r="A19922" t="str">
        <f>"2312295667"</f>
        <v>2312295667</v>
      </c>
      <c r="B19922" t="s">
        <v>28223</v>
      </c>
      <c r="C19922" t="s">
        <v>7</v>
      </c>
      <c r="D19922" t="s">
        <v>33</v>
      </c>
      <c r="E19922" t="s">
        <v>28210</v>
      </c>
      <c r="F19922" t="s">
        <v>28224</v>
      </c>
    </row>
    <row r="19923" spans="1:6" x14ac:dyDescent="0.25">
      <c r="A19923" t="str">
        <f>"110115264506"</f>
        <v>110115264506</v>
      </c>
      <c r="B19923" t="s">
        <v>28225</v>
      </c>
      <c r="C19923" t="s">
        <v>7</v>
      </c>
      <c r="D19923" t="s">
        <v>12</v>
      </c>
      <c r="E19923" t="s">
        <v>28210</v>
      </c>
    </row>
    <row r="19924" spans="1:6" x14ac:dyDescent="0.25">
      <c r="A19924" t="str">
        <f>"661902091980"</f>
        <v>661902091980</v>
      </c>
      <c r="B19924" t="s">
        <v>28226</v>
      </c>
      <c r="C19924" t="s">
        <v>7</v>
      </c>
      <c r="D19924" t="s">
        <v>14</v>
      </c>
      <c r="E19924" t="s">
        <v>28210</v>
      </c>
    </row>
    <row r="19925" spans="1:6" x14ac:dyDescent="0.25">
      <c r="A19925" t="str">
        <f>"910100015700"</f>
        <v>910100015700</v>
      </c>
      <c r="B19925" t="s">
        <v>28227</v>
      </c>
      <c r="C19925" t="s">
        <v>7</v>
      </c>
      <c r="D19925" t="s">
        <v>14</v>
      </c>
      <c r="E19925" t="s">
        <v>28210</v>
      </c>
    </row>
    <row r="19926" spans="1:6" x14ac:dyDescent="0.25">
      <c r="A19926" t="str">
        <f>"910100021975"</f>
        <v>910100021975</v>
      </c>
      <c r="B19926" t="s">
        <v>28228</v>
      </c>
      <c r="C19926" t="s">
        <v>7</v>
      </c>
      <c r="D19926" t="s">
        <v>14</v>
      </c>
      <c r="E19926" t="s">
        <v>28210</v>
      </c>
    </row>
    <row r="19927" spans="1:6" x14ac:dyDescent="0.25">
      <c r="A19927" t="str">
        <f>"910100034808"</f>
        <v>910100034808</v>
      </c>
      <c r="B19927" t="s">
        <v>28229</v>
      </c>
      <c r="C19927" t="s">
        <v>7</v>
      </c>
      <c r="D19927" t="s">
        <v>14</v>
      </c>
      <c r="E19927" t="s">
        <v>28210</v>
      </c>
    </row>
    <row r="19928" spans="1:6" x14ac:dyDescent="0.25">
      <c r="A19928" t="str">
        <f>"592008122485"</f>
        <v>592008122485</v>
      </c>
      <c r="B19928" t="s">
        <v>28230</v>
      </c>
      <c r="C19928" t="s">
        <v>7</v>
      </c>
      <c r="D19928" t="s">
        <v>14</v>
      </c>
      <c r="E19928" t="s">
        <v>28210</v>
      </c>
    </row>
    <row r="19929" spans="1:6" x14ac:dyDescent="0.25">
      <c r="A19929" t="str">
        <f>"410102480152"</f>
        <v>410102480152</v>
      </c>
      <c r="B19929" t="s">
        <v>28231</v>
      </c>
      <c r="C19929" t="s">
        <v>7</v>
      </c>
      <c r="D19929" t="s">
        <v>586</v>
      </c>
      <c r="E19929" t="s">
        <v>28210</v>
      </c>
    </row>
    <row r="19930" spans="1:6" x14ac:dyDescent="0.25">
      <c r="A19930" t="str">
        <f>"235100142242"</f>
        <v>235100142242</v>
      </c>
      <c r="B19930" t="s">
        <v>28232</v>
      </c>
      <c r="C19930" t="s">
        <v>7</v>
      </c>
      <c r="D19930" t="s">
        <v>14</v>
      </c>
      <c r="E19930" t="s">
        <v>28210</v>
      </c>
    </row>
    <row r="19931" spans="1:6" x14ac:dyDescent="0.25">
      <c r="A19931" t="str">
        <f>"9102001659"</f>
        <v>9102001659</v>
      </c>
      <c r="B19931" t="s">
        <v>28233</v>
      </c>
      <c r="C19931" t="s">
        <v>7</v>
      </c>
      <c r="D19931" t="s">
        <v>14</v>
      </c>
      <c r="E19931" t="s">
        <v>28210</v>
      </c>
      <c r="F19931" t="s">
        <v>28234</v>
      </c>
    </row>
    <row r="19932" spans="1:6" x14ac:dyDescent="0.25">
      <c r="A19932" t="str">
        <f>"910200195774"</f>
        <v>910200195774</v>
      </c>
      <c r="B19932" t="s">
        <v>28235</v>
      </c>
      <c r="C19932" t="s">
        <v>7</v>
      </c>
      <c r="D19932" t="s">
        <v>14</v>
      </c>
      <c r="E19932" t="s">
        <v>28210</v>
      </c>
    </row>
    <row r="19933" spans="1:6" x14ac:dyDescent="0.25">
      <c r="A19933" t="str">
        <f>"9102001994"</f>
        <v>9102001994</v>
      </c>
      <c r="B19933" t="s">
        <v>26792</v>
      </c>
      <c r="C19933" t="s">
        <v>7</v>
      </c>
      <c r="D19933" t="s">
        <v>14</v>
      </c>
      <c r="E19933" t="s">
        <v>28210</v>
      </c>
      <c r="F19933" t="s">
        <v>28236</v>
      </c>
    </row>
    <row r="19934" spans="1:6" x14ac:dyDescent="0.25">
      <c r="A19934" t="str">
        <f>"910200244252"</f>
        <v>910200244252</v>
      </c>
      <c r="B19934" t="s">
        <v>28237</v>
      </c>
      <c r="C19934" t="s">
        <v>7</v>
      </c>
      <c r="D19934" t="s">
        <v>12</v>
      </c>
      <c r="E19934" t="s">
        <v>28210</v>
      </c>
    </row>
    <row r="19935" spans="1:6" x14ac:dyDescent="0.25">
      <c r="A19935" t="str">
        <f>"9102003014"</f>
        <v>9102003014</v>
      </c>
      <c r="B19935" t="s">
        <v>28238</v>
      </c>
      <c r="C19935" t="s">
        <v>7</v>
      </c>
      <c r="D19935" t="s">
        <v>14</v>
      </c>
      <c r="E19935" t="s">
        <v>28210</v>
      </c>
      <c r="F19935" t="s">
        <v>28239</v>
      </c>
    </row>
    <row r="19936" spans="1:6" x14ac:dyDescent="0.25">
      <c r="A19936" t="str">
        <f>"9102003134"</f>
        <v>9102003134</v>
      </c>
      <c r="B19936" t="s">
        <v>28240</v>
      </c>
      <c r="C19936" t="s">
        <v>7</v>
      </c>
      <c r="D19936" t="s">
        <v>33</v>
      </c>
      <c r="E19936" t="s">
        <v>28210</v>
      </c>
      <c r="F19936" t="s">
        <v>28241</v>
      </c>
    </row>
    <row r="19937" spans="1:6" x14ac:dyDescent="0.25">
      <c r="A19937" t="str">
        <f>"9102003448"</f>
        <v>9102003448</v>
      </c>
      <c r="B19937" t="s">
        <v>28242</v>
      </c>
      <c r="C19937" t="s">
        <v>7</v>
      </c>
      <c r="D19937" t="s">
        <v>14</v>
      </c>
      <c r="E19937" t="s">
        <v>28210</v>
      </c>
      <c r="F19937" t="s">
        <v>28243</v>
      </c>
    </row>
    <row r="19938" spans="1:6" x14ac:dyDescent="0.25">
      <c r="A19938" t="str">
        <f>"910200349600"</f>
        <v>910200349600</v>
      </c>
      <c r="B19938" t="s">
        <v>28244</v>
      </c>
      <c r="C19938" t="s">
        <v>7</v>
      </c>
      <c r="D19938" t="s">
        <v>14</v>
      </c>
      <c r="E19938" t="s">
        <v>28210</v>
      </c>
    </row>
    <row r="19939" spans="1:6" x14ac:dyDescent="0.25">
      <c r="A19939" t="str">
        <f>"910200443650"</f>
        <v>910200443650</v>
      </c>
      <c r="B19939" t="s">
        <v>28245</v>
      </c>
      <c r="C19939" t="s">
        <v>7</v>
      </c>
      <c r="D19939" t="s">
        <v>33</v>
      </c>
      <c r="E19939" t="s">
        <v>28210</v>
      </c>
    </row>
    <row r="19940" spans="1:6" x14ac:dyDescent="0.25">
      <c r="A19940" t="str">
        <f>"9102006953"</f>
        <v>9102006953</v>
      </c>
      <c r="B19940" t="s">
        <v>28246</v>
      </c>
      <c r="C19940" t="s">
        <v>7</v>
      </c>
      <c r="D19940" t="s">
        <v>14</v>
      </c>
      <c r="E19940" t="s">
        <v>28210</v>
      </c>
      <c r="F19940" t="s">
        <v>28247</v>
      </c>
    </row>
    <row r="19941" spans="1:6" x14ac:dyDescent="0.25">
      <c r="A19941" t="str">
        <f>"910202533901"</f>
        <v>910202533901</v>
      </c>
      <c r="B19941" t="s">
        <v>28248</v>
      </c>
      <c r="C19941" t="s">
        <v>7</v>
      </c>
      <c r="D19941" t="s">
        <v>12</v>
      </c>
      <c r="E19941" t="s">
        <v>28210</v>
      </c>
    </row>
    <row r="19942" spans="1:6" x14ac:dyDescent="0.25">
      <c r="A19942" t="str">
        <f>"9102026780"</f>
        <v>9102026780</v>
      </c>
      <c r="B19942" t="s">
        <v>28249</v>
      </c>
      <c r="C19942" t="s">
        <v>7</v>
      </c>
      <c r="D19942" t="s">
        <v>14</v>
      </c>
      <c r="E19942" t="s">
        <v>28210</v>
      </c>
      <c r="F19942" t="s">
        <v>28250</v>
      </c>
    </row>
    <row r="19943" spans="1:6" x14ac:dyDescent="0.25">
      <c r="A19943" t="str">
        <f>"910203477618"</f>
        <v>910203477618</v>
      </c>
      <c r="B19943" t="s">
        <v>28251</v>
      </c>
      <c r="C19943" t="s">
        <v>7</v>
      </c>
      <c r="D19943" t="s">
        <v>14</v>
      </c>
      <c r="E19943" t="s">
        <v>28210</v>
      </c>
    </row>
    <row r="19944" spans="1:6" x14ac:dyDescent="0.25">
      <c r="A19944" t="str">
        <f>"9102045688"</f>
        <v>9102045688</v>
      </c>
      <c r="B19944" t="s">
        <v>28252</v>
      </c>
      <c r="C19944" t="s">
        <v>7</v>
      </c>
      <c r="D19944" t="s">
        <v>14</v>
      </c>
      <c r="E19944" t="s">
        <v>28210</v>
      </c>
      <c r="F19944" t="s">
        <v>28253</v>
      </c>
    </row>
    <row r="19945" spans="1:6" x14ac:dyDescent="0.25">
      <c r="A19945" t="str">
        <f>"9102046610"</f>
        <v>9102046610</v>
      </c>
      <c r="B19945" t="s">
        <v>28254</v>
      </c>
      <c r="C19945" t="s">
        <v>7</v>
      </c>
      <c r="D19945" t="s">
        <v>14</v>
      </c>
      <c r="E19945" t="s">
        <v>28210</v>
      </c>
      <c r="F19945" t="s">
        <v>28255</v>
      </c>
    </row>
    <row r="19946" spans="1:6" x14ac:dyDescent="0.25">
      <c r="A19946" t="str">
        <f>"910210167092"</f>
        <v>910210167092</v>
      </c>
      <c r="B19946" t="s">
        <v>28256</v>
      </c>
      <c r="C19946" t="s">
        <v>7</v>
      </c>
      <c r="D19946" t="s">
        <v>14</v>
      </c>
      <c r="E19946" t="s">
        <v>28210</v>
      </c>
    </row>
    <row r="19947" spans="1:6" x14ac:dyDescent="0.25">
      <c r="A19947" t="str">
        <f>"910213564620"</f>
        <v>910213564620</v>
      </c>
      <c r="B19947" t="s">
        <v>28257</v>
      </c>
      <c r="C19947" t="s">
        <v>7</v>
      </c>
      <c r="D19947" t="s">
        <v>12</v>
      </c>
      <c r="E19947" t="s">
        <v>28210</v>
      </c>
    </row>
    <row r="19948" spans="1:6" x14ac:dyDescent="0.25">
      <c r="A19948" t="str">
        <f>"910213590796"</f>
        <v>910213590796</v>
      </c>
      <c r="B19948" t="s">
        <v>28258</v>
      </c>
      <c r="C19948" t="s">
        <v>7</v>
      </c>
      <c r="D19948" t="s">
        <v>14</v>
      </c>
      <c r="E19948" t="s">
        <v>28210</v>
      </c>
    </row>
    <row r="19949" spans="1:6" x14ac:dyDescent="0.25">
      <c r="A19949" t="str">
        <f>"910213860724"</f>
        <v>910213860724</v>
      </c>
      <c r="B19949" t="s">
        <v>28259</v>
      </c>
      <c r="C19949" t="s">
        <v>7</v>
      </c>
      <c r="D19949" t="s">
        <v>14</v>
      </c>
      <c r="E19949" t="s">
        <v>28210</v>
      </c>
    </row>
    <row r="19950" spans="1:6" x14ac:dyDescent="0.25">
      <c r="A19950" t="str">
        <f>"910215338665"</f>
        <v>910215338665</v>
      </c>
      <c r="B19950" t="s">
        <v>28260</v>
      </c>
      <c r="C19950" t="s">
        <v>7</v>
      </c>
      <c r="D19950" t="s">
        <v>33</v>
      </c>
      <c r="E19950" t="s">
        <v>28210</v>
      </c>
    </row>
    <row r="19951" spans="1:6" x14ac:dyDescent="0.25">
      <c r="A19951" t="str">
        <f>"910216231570"</f>
        <v>910216231570</v>
      </c>
      <c r="B19951" t="s">
        <v>28261</v>
      </c>
      <c r="C19951" t="s">
        <v>7</v>
      </c>
      <c r="D19951" t="s">
        <v>12</v>
      </c>
      <c r="E19951" t="s">
        <v>28210</v>
      </c>
    </row>
    <row r="19952" spans="1:6" x14ac:dyDescent="0.25">
      <c r="A19952" t="str">
        <f>"9102191047"</f>
        <v>9102191047</v>
      </c>
      <c r="B19952" t="s">
        <v>28262</v>
      </c>
      <c r="C19952" t="s">
        <v>7</v>
      </c>
      <c r="D19952" t="s">
        <v>12</v>
      </c>
      <c r="E19952" t="s">
        <v>28210</v>
      </c>
      <c r="F19952" t="s">
        <v>28263</v>
      </c>
    </row>
    <row r="19953" spans="1:6" x14ac:dyDescent="0.25">
      <c r="A19953" t="str">
        <f>"9102198557"</f>
        <v>9102198557</v>
      </c>
      <c r="B19953" t="s">
        <v>28264</v>
      </c>
      <c r="C19953" t="s">
        <v>7</v>
      </c>
      <c r="D19953" t="s">
        <v>14</v>
      </c>
      <c r="E19953" t="s">
        <v>28210</v>
      </c>
      <c r="F19953" t="s">
        <v>28265</v>
      </c>
    </row>
    <row r="19954" spans="1:6" x14ac:dyDescent="0.25">
      <c r="A19954" t="str">
        <f>"9102230151"</f>
        <v>9102230151</v>
      </c>
      <c r="B19954" t="s">
        <v>28266</v>
      </c>
      <c r="C19954" t="s">
        <v>7</v>
      </c>
      <c r="D19954" t="s">
        <v>12</v>
      </c>
      <c r="E19954" t="s">
        <v>28210</v>
      </c>
      <c r="F19954" t="s">
        <v>28267</v>
      </c>
    </row>
    <row r="19955" spans="1:6" x14ac:dyDescent="0.25">
      <c r="A19955" t="str">
        <f>"9102271920"</f>
        <v>9102271920</v>
      </c>
      <c r="B19955" t="s">
        <v>28268</v>
      </c>
      <c r="C19955" t="s">
        <v>7</v>
      </c>
      <c r="D19955" t="s">
        <v>33</v>
      </c>
      <c r="E19955" t="s">
        <v>28210</v>
      </c>
      <c r="F19955" t="s">
        <v>28269</v>
      </c>
    </row>
    <row r="19956" spans="1:6" x14ac:dyDescent="0.25">
      <c r="A19956" t="str">
        <f>"910227747207"</f>
        <v>910227747207</v>
      </c>
      <c r="B19956" t="s">
        <v>28270</v>
      </c>
      <c r="C19956" t="s">
        <v>7</v>
      </c>
      <c r="D19956" t="s">
        <v>14</v>
      </c>
      <c r="E19956" t="s">
        <v>28210</v>
      </c>
    </row>
    <row r="19957" spans="1:6" x14ac:dyDescent="0.25">
      <c r="A19957" t="str">
        <f>"9102278668"</f>
        <v>9102278668</v>
      </c>
      <c r="B19957" t="s">
        <v>28271</v>
      </c>
      <c r="C19957" t="s">
        <v>7</v>
      </c>
      <c r="D19957" t="s">
        <v>12</v>
      </c>
      <c r="E19957" t="s">
        <v>28210</v>
      </c>
      <c r="F19957" t="s">
        <v>28272</v>
      </c>
    </row>
    <row r="19958" spans="1:6" x14ac:dyDescent="0.25">
      <c r="A19958" t="str">
        <f>"9102282914"</f>
        <v>9102282914</v>
      </c>
      <c r="B19958" t="s">
        <v>28273</v>
      </c>
      <c r="C19958" t="s">
        <v>7</v>
      </c>
      <c r="D19958" t="s">
        <v>12</v>
      </c>
      <c r="E19958" t="s">
        <v>28210</v>
      </c>
      <c r="F19958" t="s">
        <v>28274</v>
      </c>
    </row>
    <row r="19959" spans="1:6" x14ac:dyDescent="0.25">
      <c r="A19959" t="str">
        <f>"9102294797"</f>
        <v>9102294797</v>
      </c>
      <c r="B19959" t="s">
        <v>28275</v>
      </c>
      <c r="C19959" t="s">
        <v>7</v>
      </c>
      <c r="D19959" t="s">
        <v>14</v>
      </c>
      <c r="E19959" t="s">
        <v>28210</v>
      </c>
      <c r="F19959" t="s">
        <v>28276</v>
      </c>
    </row>
    <row r="19960" spans="1:6" x14ac:dyDescent="0.25">
      <c r="A19960" t="str">
        <f>"910237142338"</f>
        <v>910237142338</v>
      </c>
      <c r="B19960" t="s">
        <v>28277</v>
      </c>
      <c r="C19960" t="s">
        <v>7</v>
      </c>
      <c r="D19960" t="s">
        <v>14</v>
      </c>
      <c r="E19960" t="s">
        <v>28210</v>
      </c>
    </row>
    <row r="19961" spans="1:6" x14ac:dyDescent="0.25">
      <c r="A19961" t="str">
        <f>"910300020827"</f>
        <v>910300020827</v>
      </c>
      <c r="B19961" t="s">
        <v>28278</v>
      </c>
      <c r="C19961" t="s">
        <v>7</v>
      </c>
      <c r="D19961" t="s">
        <v>586</v>
      </c>
      <c r="E19961" t="s">
        <v>28210</v>
      </c>
    </row>
    <row r="19962" spans="1:6" x14ac:dyDescent="0.25">
      <c r="A19962" t="str">
        <f>"9103004941"</f>
        <v>9103004941</v>
      </c>
      <c r="B19962" t="s">
        <v>28279</v>
      </c>
      <c r="C19962" t="s">
        <v>7</v>
      </c>
      <c r="D19962" t="s">
        <v>14</v>
      </c>
      <c r="E19962" t="s">
        <v>28210</v>
      </c>
      <c r="F19962" t="s">
        <v>28280</v>
      </c>
    </row>
    <row r="19963" spans="1:6" x14ac:dyDescent="0.25">
      <c r="A19963" t="str">
        <f>"910308034772"</f>
        <v>910308034772</v>
      </c>
      <c r="B19963" t="s">
        <v>28281</v>
      </c>
      <c r="C19963" t="s">
        <v>7</v>
      </c>
      <c r="D19963" t="s">
        <v>14</v>
      </c>
      <c r="E19963" t="s">
        <v>28210</v>
      </c>
    </row>
    <row r="19964" spans="1:6" x14ac:dyDescent="0.25">
      <c r="A19964" t="str">
        <f>"9102002483"</f>
        <v>9102002483</v>
      </c>
      <c r="B19964" t="s">
        <v>28282</v>
      </c>
      <c r="C19964" t="s">
        <v>7</v>
      </c>
      <c r="D19964" t="s">
        <v>12</v>
      </c>
      <c r="E19964" t="s">
        <v>28210</v>
      </c>
      <c r="F19964" t="s">
        <v>28283</v>
      </c>
    </row>
    <row r="19965" spans="1:6" x14ac:dyDescent="0.25">
      <c r="A19965" t="str">
        <f>"9102166795"</f>
        <v>9102166795</v>
      </c>
      <c r="B19965" t="s">
        <v>28284</v>
      </c>
      <c r="C19965" t="s">
        <v>7</v>
      </c>
      <c r="D19965" t="s">
        <v>14</v>
      </c>
      <c r="E19965" t="s">
        <v>28210</v>
      </c>
      <c r="F19965" t="s">
        <v>28285</v>
      </c>
    </row>
    <row r="19966" spans="1:6" x14ac:dyDescent="0.25">
      <c r="A19966" t="str">
        <f>"9102179265"</f>
        <v>9102179265</v>
      </c>
      <c r="B19966" t="s">
        <v>28286</v>
      </c>
      <c r="C19966" t="s">
        <v>7</v>
      </c>
      <c r="D19966" t="s">
        <v>33</v>
      </c>
      <c r="E19966" t="s">
        <v>28210</v>
      </c>
      <c r="F19966" t="s">
        <v>28287</v>
      </c>
    </row>
    <row r="19967" spans="1:6" x14ac:dyDescent="0.25">
      <c r="A19967" t="str">
        <f>"9102185082"</f>
        <v>9102185082</v>
      </c>
      <c r="B19967" t="s">
        <v>28288</v>
      </c>
      <c r="C19967" t="s">
        <v>7</v>
      </c>
      <c r="D19967" t="s">
        <v>12</v>
      </c>
      <c r="E19967" t="s">
        <v>28210</v>
      </c>
      <c r="F19967" t="s">
        <v>28289</v>
      </c>
    </row>
    <row r="19968" spans="1:6" x14ac:dyDescent="0.25">
      <c r="A19968" t="str">
        <f>"9102204916"</f>
        <v>9102204916</v>
      </c>
      <c r="B19968" t="s">
        <v>2669</v>
      </c>
      <c r="C19968" t="s">
        <v>7</v>
      </c>
      <c r="D19968" t="s">
        <v>12</v>
      </c>
      <c r="E19968" t="s">
        <v>28210</v>
      </c>
      <c r="F19968" t="s">
        <v>28290</v>
      </c>
    </row>
    <row r="19969" spans="1:6" x14ac:dyDescent="0.25">
      <c r="A19969" t="str">
        <f>"9102228321"</f>
        <v>9102228321</v>
      </c>
      <c r="B19969" t="s">
        <v>28291</v>
      </c>
      <c r="C19969" t="s">
        <v>7</v>
      </c>
      <c r="D19969" t="s">
        <v>14</v>
      </c>
      <c r="E19969" t="s">
        <v>28210</v>
      </c>
      <c r="F19969" t="s">
        <v>28292</v>
      </c>
    </row>
    <row r="19970" spans="1:6" x14ac:dyDescent="0.25">
      <c r="A19970" t="str">
        <f>"910224645599"</f>
        <v>910224645599</v>
      </c>
      <c r="B19970" t="s">
        <v>28293</v>
      </c>
      <c r="C19970" t="s">
        <v>7</v>
      </c>
      <c r="D19970" t="s">
        <v>12</v>
      </c>
      <c r="E19970" t="s">
        <v>28210</v>
      </c>
    </row>
    <row r="19971" spans="1:6" x14ac:dyDescent="0.25">
      <c r="A19971" t="str">
        <f>"910225265335"</f>
        <v>910225265335</v>
      </c>
      <c r="B19971" t="s">
        <v>28294</v>
      </c>
      <c r="C19971" t="s">
        <v>7</v>
      </c>
      <c r="D19971" t="s">
        <v>14</v>
      </c>
      <c r="E19971" t="s">
        <v>28210</v>
      </c>
    </row>
    <row r="19972" spans="1:6" x14ac:dyDescent="0.25">
      <c r="A19972" t="str">
        <f>"910226471115"</f>
        <v>910226471115</v>
      </c>
      <c r="B19972" t="s">
        <v>28295</v>
      </c>
      <c r="C19972" t="s">
        <v>7</v>
      </c>
      <c r="D19972" t="s">
        <v>14</v>
      </c>
      <c r="E19972" t="s">
        <v>28210</v>
      </c>
    </row>
    <row r="19973" spans="1:6" x14ac:dyDescent="0.25">
      <c r="A19973" t="str">
        <f>"910228216417"</f>
        <v>910228216417</v>
      </c>
      <c r="B19973" t="s">
        <v>28296</v>
      </c>
      <c r="C19973" t="s">
        <v>7</v>
      </c>
      <c r="D19973" t="s">
        <v>12</v>
      </c>
      <c r="E19973" t="s">
        <v>28210</v>
      </c>
    </row>
    <row r="19974" spans="1:6" x14ac:dyDescent="0.25">
      <c r="A19974" t="str">
        <f>"9102289123"</f>
        <v>9102289123</v>
      </c>
      <c r="B19974" t="s">
        <v>450</v>
      </c>
      <c r="C19974" t="s">
        <v>7</v>
      </c>
      <c r="D19974" t="s">
        <v>14</v>
      </c>
      <c r="E19974" t="s">
        <v>28210</v>
      </c>
      <c r="F19974" t="s">
        <v>28297</v>
      </c>
    </row>
    <row r="19975" spans="1:6" x14ac:dyDescent="0.25">
      <c r="A19975" t="str">
        <f>"9102294660"</f>
        <v>9102294660</v>
      </c>
      <c r="B19975" t="s">
        <v>20187</v>
      </c>
      <c r="C19975" t="s">
        <v>7</v>
      </c>
      <c r="D19975" t="s">
        <v>14</v>
      </c>
      <c r="E19975" t="s">
        <v>28210</v>
      </c>
      <c r="F19975" t="s">
        <v>28298</v>
      </c>
    </row>
    <row r="19976" spans="1:6" x14ac:dyDescent="0.25">
      <c r="A19976" t="str">
        <f>"910230141751"</f>
        <v>910230141751</v>
      </c>
      <c r="B19976" t="s">
        <v>28299</v>
      </c>
      <c r="C19976" t="s">
        <v>7</v>
      </c>
      <c r="D19976" t="s">
        <v>14</v>
      </c>
      <c r="E19976" t="s">
        <v>28210</v>
      </c>
    </row>
    <row r="19977" spans="1:6" x14ac:dyDescent="0.25">
      <c r="A19977" t="str">
        <f>"910300186212"</f>
        <v>910300186212</v>
      </c>
      <c r="B19977" t="s">
        <v>28300</v>
      </c>
      <c r="C19977" t="s">
        <v>7</v>
      </c>
      <c r="D19977" t="s">
        <v>14</v>
      </c>
      <c r="E19977" t="s">
        <v>28210</v>
      </c>
    </row>
    <row r="19978" spans="1:6" x14ac:dyDescent="0.25">
      <c r="A19978" t="str">
        <f>"9103106936"</f>
        <v>9103106936</v>
      </c>
      <c r="B19978" t="s">
        <v>28301</v>
      </c>
      <c r="C19978" t="s">
        <v>7</v>
      </c>
      <c r="D19978" t="s">
        <v>14</v>
      </c>
      <c r="E19978" t="s">
        <v>28210</v>
      </c>
      <c r="F19978" t="s">
        <v>28302</v>
      </c>
    </row>
    <row r="19979" spans="1:6" x14ac:dyDescent="0.25">
      <c r="A19979" t="str">
        <f>"9104000481"</f>
        <v>9104000481</v>
      </c>
      <c r="B19979" t="s">
        <v>28303</v>
      </c>
      <c r="C19979" t="s">
        <v>7</v>
      </c>
      <c r="D19979" t="s">
        <v>33</v>
      </c>
      <c r="E19979" t="s">
        <v>28210</v>
      </c>
      <c r="F19979" t="s">
        <v>28304</v>
      </c>
    </row>
    <row r="19980" spans="1:6" x14ac:dyDescent="0.25">
      <c r="A19980" t="str">
        <f>"9104001069"</f>
        <v>9104001069</v>
      </c>
      <c r="B19980" t="s">
        <v>28305</v>
      </c>
      <c r="C19980" t="s">
        <v>7</v>
      </c>
      <c r="D19980" t="s">
        <v>14</v>
      </c>
      <c r="E19980" t="s">
        <v>28210</v>
      </c>
      <c r="F19980" t="s">
        <v>28306</v>
      </c>
    </row>
    <row r="19981" spans="1:6" x14ac:dyDescent="0.25">
      <c r="A19981" t="str">
        <f>"910402567200"</f>
        <v>910402567200</v>
      </c>
      <c r="B19981" t="s">
        <v>28307</v>
      </c>
      <c r="C19981" t="s">
        <v>7</v>
      </c>
      <c r="D19981" t="s">
        <v>14</v>
      </c>
      <c r="E19981" t="s">
        <v>28210</v>
      </c>
    </row>
    <row r="19982" spans="1:6" x14ac:dyDescent="0.25">
      <c r="A19982" t="str">
        <f>"910101421091"</f>
        <v>910101421091</v>
      </c>
      <c r="B19982" t="s">
        <v>28308</v>
      </c>
      <c r="C19982" t="s">
        <v>7</v>
      </c>
      <c r="D19982" t="s">
        <v>14</v>
      </c>
      <c r="E19982" t="s">
        <v>28210</v>
      </c>
    </row>
    <row r="19983" spans="1:6" x14ac:dyDescent="0.25">
      <c r="A19983" t="str">
        <f>"910200045634"</f>
        <v>910200045634</v>
      </c>
      <c r="B19983" t="s">
        <v>28309</v>
      </c>
      <c r="C19983" t="s">
        <v>7</v>
      </c>
      <c r="D19983" t="s">
        <v>12</v>
      </c>
      <c r="E19983" t="s">
        <v>28210</v>
      </c>
    </row>
    <row r="19984" spans="1:6" x14ac:dyDescent="0.25">
      <c r="A19984" t="str">
        <f>"9102006907"</f>
        <v>9102006907</v>
      </c>
      <c r="B19984" t="s">
        <v>28310</v>
      </c>
      <c r="C19984" t="s">
        <v>7</v>
      </c>
      <c r="D19984" t="s">
        <v>14</v>
      </c>
      <c r="E19984" t="s">
        <v>28210</v>
      </c>
      <c r="F19984" t="s">
        <v>28311</v>
      </c>
    </row>
    <row r="19985" spans="1:6" x14ac:dyDescent="0.25">
      <c r="A19985" t="str">
        <f>"9102008830"</f>
        <v>9102008830</v>
      </c>
      <c r="B19985" t="s">
        <v>28312</v>
      </c>
      <c r="C19985" t="s">
        <v>7</v>
      </c>
      <c r="D19985" t="s">
        <v>463</v>
      </c>
      <c r="E19985" t="s">
        <v>28210</v>
      </c>
      <c r="F19985" t="s">
        <v>28313</v>
      </c>
    </row>
    <row r="19986" spans="1:6" x14ac:dyDescent="0.25">
      <c r="A19986" t="str">
        <f>"9102020034"</f>
        <v>9102020034</v>
      </c>
      <c r="B19986" t="s">
        <v>28314</v>
      </c>
      <c r="C19986" t="s">
        <v>7</v>
      </c>
      <c r="D19986" t="s">
        <v>98</v>
      </c>
      <c r="E19986" t="s">
        <v>28210</v>
      </c>
      <c r="F19986" t="s">
        <v>28315</v>
      </c>
    </row>
    <row r="19987" spans="1:6" x14ac:dyDescent="0.25">
      <c r="A19987" t="str">
        <f>"910204441090"</f>
        <v>910204441090</v>
      </c>
      <c r="B19987" t="s">
        <v>28316</v>
      </c>
      <c r="C19987" t="s">
        <v>7</v>
      </c>
      <c r="D19987" t="s">
        <v>33</v>
      </c>
      <c r="E19987" t="s">
        <v>28210</v>
      </c>
    </row>
    <row r="19988" spans="1:6" x14ac:dyDescent="0.25">
      <c r="A19988" t="str">
        <f>"910204507054"</f>
        <v>910204507054</v>
      </c>
      <c r="B19988" t="s">
        <v>28317</v>
      </c>
      <c r="C19988" t="s">
        <v>7</v>
      </c>
      <c r="D19988" t="s">
        <v>12</v>
      </c>
      <c r="E19988" t="s">
        <v>28210</v>
      </c>
    </row>
    <row r="19989" spans="1:6" x14ac:dyDescent="0.25">
      <c r="A19989" t="str">
        <f>"9102045695"</f>
        <v>9102045695</v>
      </c>
      <c r="B19989" t="s">
        <v>28318</v>
      </c>
      <c r="C19989" t="s">
        <v>7</v>
      </c>
      <c r="D19989" t="s">
        <v>14</v>
      </c>
      <c r="E19989" t="s">
        <v>28210</v>
      </c>
      <c r="F19989" t="s">
        <v>28319</v>
      </c>
    </row>
    <row r="19990" spans="1:6" x14ac:dyDescent="0.25">
      <c r="A19990" t="str">
        <f>"9102048745"</f>
        <v>9102048745</v>
      </c>
      <c r="B19990" t="s">
        <v>28320</v>
      </c>
      <c r="C19990" t="s">
        <v>7</v>
      </c>
      <c r="D19990" t="s">
        <v>14</v>
      </c>
      <c r="E19990" t="s">
        <v>28210</v>
      </c>
      <c r="F19990" t="s">
        <v>28321</v>
      </c>
    </row>
    <row r="19991" spans="1:6" x14ac:dyDescent="0.25">
      <c r="A19991" t="str">
        <f>"910204919026"</f>
        <v>910204919026</v>
      </c>
      <c r="B19991" t="s">
        <v>28322</v>
      </c>
      <c r="C19991" t="s">
        <v>7</v>
      </c>
      <c r="D19991" t="s">
        <v>14</v>
      </c>
      <c r="E19991" t="s">
        <v>28210</v>
      </c>
    </row>
    <row r="19992" spans="1:6" x14ac:dyDescent="0.25">
      <c r="A19992" t="str">
        <f>"9102050046"</f>
        <v>9102050046</v>
      </c>
      <c r="B19992" t="s">
        <v>28323</v>
      </c>
      <c r="C19992" t="s">
        <v>7</v>
      </c>
      <c r="D19992" t="s">
        <v>12</v>
      </c>
      <c r="E19992" t="s">
        <v>28210</v>
      </c>
      <c r="F19992" t="s">
        <v>28324</v>
      </c>
    </row>
    <row r="19993" spans="1:6" x14ac:dyDescent="0.25">
      <c r="A19993" t="str">
        <f>"9102060929"</f>
        <v>9102060929</v>
      </c>
      <c r="B19993" t="s">
        <v>28325</v>
      </c>
      <c r="C19993" t="s">
        <v>7</v>
      </c>
      <c r="D19993" t="s">
        <v>14</v>
      </c>
      <c r="E19993" t="s">
        <v>28210</v>
      </c>
      <c r="F19993" t="s">
        <v>28326</v>
      </c>
    </row>
    <row r="19994" spans="1:6" x14ac:dyDescent="0.25">
      <c r="A19994" t="str">
        <f>"910211844928"</f>
        <v>910211844928</v>
      </c>
      <c r="B19994" t="s">
        <v>28327</v>
      </c>
      <c r="C19994" t="s">
        <v>7</v>
      </c>
      <c r="D19994" t="s">
        <v>12</v>
      </c>
      <c r="E19994" t="s">
        <v>28210</v>
      </c>
    </row>
    <row r="19995" spans="1:6" x14ac:dyDescent="0.25">
      <c r="A19995" t="str">
        <f>"910213811300"</f>
        <v>910213811300</v>
      </c>
      <c r="B19995" t="s">
        <v>28328</v>
      </c>
      <c r="C19995" t="s">
        <v>7</v>
      </c>
      <c r="D19995" t="s">
        <v>14</v>
      </c>
      <c r="E19995" t="s">
        <v>28210</v>
      </c>
    </row>
    <row r="19996" spans="1:6" x14ac:dyDescent="0.25">
      <c r="A19996" t="str">
        <f>"910215201371"</f>
        <v>910215201371</v>
      </c>
      <c r="B19996" t="s">
        <v>28329</v>
      </c>
      <c r="C19996" t="s">
        <v>7</v>
      </c>
      <c r="D19996" t="s">
        <v>14</v>
      </c>
      <c r="E19996" t="s">
        <v>28210</v>
      </c>
    </row>
    <row r="19997" spans="1:6" x14ac:dyDescent="0.25">
      <c r="A19997" t="str">
        <f>"910215342679"</f>
        <v>910215342679</v>
      </c>
      <c r="B19997" t="s">
        <v>28330</v>
      </c>
      <c r="C19997" t="s">
        <v>7</v>
      </c>
      <c r="D19997" t="s">
        <v>14</v>
      </c>
      <c r="E19997" t="s">
        <v>28210</v>
      </c>
    </row>
    <row r="19998" spans="1:6" x14ac:dyDescent="0.25">
      <c r="A19998" t="str">
        <f>"9102189714"</f>
        <v>9102189714</v>
      </c>
      <c r="B19998" t="s">
        <v>28331</v>
      </c>
      <c r="C19998" t="s">
        <v>7</v>
      </c>
      <c r="D19998" t="s">
        <v>14</v>
      </c>
      <c r="E19998" t="s">
        <v>28210</v>
      </c>
      <c r="F19998" t="s">
        <v>28332</v>
      </c>
    </row>
    <row r="19999" spans="1:6" x14ac:dyDescent="0.25">
      <c r="A19999" t="str">
        <f>"910219565267"</f>
        <v>910219565267</v>
      </c>
      <c r="B19999" t="s">
        <v>28333</v>
      </c>
      <c r="C19999" t="s">
        <v>7</v>
      </c>
      <c r="D19999" t="s">
        <v>12</v>
      </c>
      <c r="E19999" t="s">
        <v>28210</v>
      </c>
    </row>
    <row r="20000" spans="1:6" x14ac:dyDescent="0.25">
      <c r="A20000" t="str">
        <f>"910222297956"</f>
        <v>910222297956</v>
      </c>
      <c r="B20000" t="s">
        <v>28334</v>
      </c>
      <c r="C20000" t="s">
        <v>7</v>
      </c>
      <c r="D20000" t="s">
        <v>14</v>
      </c>
      <c r="E20000" t="s">
        <v>28210</v>
      </c>
    </row>
    <row r="20001" spans="1:6" x14ac:dyDescent="0.25">
      <c r="A20001" t="str">
        <f>"9102277167"</f>
        <v>9102277167</v>
      </c>
      <c r="B20001" t="s">
        <v>28335</v>
      </c>
      <c r="C20001" t="s">
        <v>7</v>
      </c>
      <c r="D20001" t="s">
        <v>33</v>
      </c>
      <c r="E20001" t="s">
        <v>28210</v>
      </c>
      <c r="F20001" t="s">
        <v>28336</v>
      </c>
    </row>
    <row r="20002" spans="1:6" x14ac:dyDescent="0.25">
      <c r="A20002" t="str">
        <f>"910229361600"</f>
        <v>910229361600</v>
      </c>
      <c r="B20002" t="s">
        <v>28337</v>
      </c>
      <c r="C20002" t="s">
        <v>7</v>
      </c>
      <c r="D20002" t="s">
        <v>14</v>
      </c>
      <c r="E20002" t="s">
        <v>28210</v>
      </c>
    </row>
    <row r="20003" spans="1:6" x14ac:dyDescent="0.25">
      <c r="A20003" t="str">
        <f>"9102306361"</f>
        <v>9102306361</v>
      </c>
      <c r="B20003" t="s">
        <v>28338</v>
      </c>
      <c r="C20003" t="s">
        <v>7</v>
      </c>
      <c r="D20003" t="s">
        <v>33</v>
      </c>
      <c r="E20003" t="s">
        <v>28210</v>
      </c>
      <c r="F20003" t="s">
        <v>28339</v>
      </c>
    </row>
    <row r="20004" spans="1:6" x14ac:dyDescent="0.25">
      <c r="A20004" t="str">
        <f>"9103008801"</f>
        <v>9103008801</v>
      </c>
      <c r="B20004" t="s">
        <v>28340</v>
      </c>
      <c r="C20004" t="s">
        <v>7</v>
      </c>
      <c r="D20004" t="s">
        <v>14</v>
      </c>
      <c r="E20004" t="s">
        <v>28210</v>
      </c>
      <c r="F20004" t="s">
        <v>28341</v>
      </c>
    </row>
    <row r="20005" spans="1:6" x14ac:dyDescent="0.25">
      <c r="A20005" t="str">
        <f>"9103018687"</f>
        <v>9103018687</v>
      </c>
      <c r="B20005" t="s">
        <v>28342</v>
      </c>
      <c r="C20005" t="s">
        <v>7</v>
      </c>
      <c r="D20005" t="s">
        <v>14</v>
      </c>
      <c r="E20005" t="s">
        <v>28210</v>
      </c>
      <c r="F20005" t="s">
        <v>28343</v>
      </c>
    </row>
    <row r="20006" spans="1:6" x14ac:dyDescent="0.25">
      <c r="A20006" t="str">
        <f>"910303954367"</f>
        <v>910303954367</v>
      </c>
      <c r="B20006" t="s">
        <v>28344</v>
      </c>
      <c r="C20006" t="s">
        <v>7</v>
      </c>
      <c r="D20006" t="s">
        <v>12</v>
      </c>
      <c r="E20006" t="s">
        <v>28210</v>
      </c>
    </row>
    <row r="20007" spans="1:6" x14ac:dyDescent="0.25">
      <c r="A20007" t="str">
        <f>"910306226895"</f>
        <v>910306226895</v>
      </c>
      <c r="B20007" t="s">
        <v>28345</v>
      </c>
      <c r="C20007" t="s">
        <v>7</v>
      </c>
      <c r="D20007" t="s">
        <v>33</v>
      </c>
      <c r="E20007" t="s">
        <v>28210</v>
      </c>
    </row>
    <row r="20008" spans="1:6" x14ac:dyDescent="0.25">
      <c r="A20008" t="str">
        <f>"9103062446"</f>
        <v>9103062446</v>
      </c>
      <c r="B20008" t="s">
        <v>28346</v>
      </c>
      <c r="C20008" t="s">
        <v>7</v>
      </c>
      <c r="D20008" t="s">
        <v>14</v>
      </c>
      <c r="E20008" t="s">
        <v>28210</v>
      </c>
      <c r="F20008" t="s">
        <v>28347</v>
      </c>
    </row>
    <row r="20009" spans="1:6" x14ac:dyDescent="0.25">
      <c r="A20009" t="str">
        <f>"421106987640"</f>
        <v>421106987640</v>
      </c>
      <c r="B20009" t="s">
        <v>28348</v>
      </c>
      <c r="C20009" t="s">
        <v>7</v>
      </c>
      <c r="D20009" t="s">
        <v>14</v>
      </c>
      <c r="E20009" t="s">
        <v>28210</v>
      </c>
    </row>
    <row r="20010" spans="1:6" x14ac:dyDescent="0.25">
      <c r="A20010" t="str">
        <f>"910310123973"</f>
        <v>910310123973</v>
      </c>
      <c r="B20010" t="s">
        <v>28349</v>
      </c>
      <c r="C20010" t="s">
        <v>7</v>
      </c>
      <c r="D20010" t="s">
        <v>14</v>
      </c>
      <c r="E20010" t="s">
        <v>28210</v>
      </c>
    </row>
    <row r="20011" spans="1:6" x14ac:dyDescent="0.25">
      <c r="A20011" t="str">
        <f>"910402032074"</f>
        <v>910402032074</v>
      </c>
      <c r="B20011" t="s">
        <v>28350</v>
      </c>
      <c r="C20011" t="s">
        <v>7</v>
      </c>
      <c r="D20011" t="s">
        <v>14</v>
      </c>
      <c r="E20011" t="s">
        <v>28210</v>
      </c>
    </row>
    <row r="20012" spans="1:6" x14ac:dyDescent="0.25">
      <c r="A20012" t="str">
        <f>"9104029561"</f>
        <v>9104029561</v>
      </c>
      <c r="B20012" t="s">
        <v>28351</v>
      </c>
      <c r="C20012" t="s">
        <v>7</v>
      </c>
      <c r="D20012" t="s">
        <v>14</v>
      </c>
      <c r="E20012" t="s">
        <v>28210</v>
      </c>
      <c r="F20012" t="s">
        <v>28352</v>
      </c>
    </row>
    <row r="20013" spans="1:6" x14ac:dyDescent="0.25">
      <c r="A20013" t="str">
        <f>"910402972906"</f>
        <v>910402972906</v>
      </c>
      <c r="B20013" t="s">
        <v>28353</v>
      </c>
      <c r="C20013" t="s">
        <v>7</v>
      </c>
      <c r="D20013" t="s">
        <v>14</v>
      </c>
      <c r="E20013" t="s">
        <v>28210</v>
      </c>
    </row>
    <row r="20014" spans="1:6" x14ac:dyDescent="0.25">
      <c r="A20014" t="str">
        <f>"910405853304"</f>
        <v>910405853304</v>
      </c>
      <c r="B20014" t="s">
        <v>28354</v>
      </c>
      <c r="C20014" t="s">
        <v>7</v>
      </c>
      <c r="D20014" t="s">
        <v>14</v>
      </c>
      <c r="E20014" t="s">
        <v>28210</v>
      </c>
    </row>
    <row r="20015" spans="1:6" x14ac:dyDescent="0.25">
      <c r="A20015" t="str">
        <f>"910500045466"</f>
        <v>910500045466</v>
      </c>
      <c r="B20015" t="s">
        <v>28355</v>
      </c>
      <c r="C20015" t="s">
        <v>7</v>
      </c>
      <c r="D20015" t="s">
        <v>14</v>
      </c>
      <c r="E20015" t="s">
        <v>28210</v>
      </c>
    </row>
    <row r="20016" spans="1:6" x14ac:dyDescent="0.25">
      <c r="A20016" t="str">
        <f>"910500076746"</f>
        <v>910500076746</v>
      </c>
      <c r="B20016" t="s">
        <v>28356</v>
      </c>
      <c r="C20016" t="s">
        <v>7</v>
      </c>
      <c r="D20016" t="s">
        <v>14</v>
      </c>
      <c r="E20016" t="s">
        <v>28210</v>
      </c>
    </row>
    <row r="20017" spans="1:6" x14ac:dyDescent="0.25">
      <c r="A20017" t="str">
        <f>"910504691326"</f>
        <v>910504691326</v>
      </c>
      <c r="B20017" t="s">
        <v>28357</v>
      </c>
      <c r="C20017" t="s">
        <v>7</v>
      </c>
      <c r="D20017" t="s">
        <v>14</v>
      </c>
      <c r="E20017" t="s">
        <v>28210</v>
      </c>
    </row>
    <row r="20018" spans="1:6" x14ac:dyDescent="0.25">
      <c r="A20018" t="str">
        <f>"910508767488"</f>
        <v>910508767488</v>
      </c>
      <c r="B20018" t="s">
        <v>28358</v>
      </c>
      <c r="C20018" t="s">
        <v>7</v>
      </c>
      <c r="D20018" t="s">
        <v>14</v>
      </c>
      <c r="E20018" t="s">
        <v>28210</v>
      </c>
    </row>
    <row r="20019" spans="1:6" x14ac:dyDescent="0.25">
      <c r="A20019" t="str">
        <f>"910509183887"</f>
        <v>910509183887</v>
      </c>
      <c r="B20019" t="s">
        <v>28359</v>
      </c>
      <c r="C20019" t="s">
        <v>7</v>
      </c>
      <c r="D20019" t="s">
        <v>14</v>
      </c>
      <c r="E20019" t="s">
        <v>28210</v>
      </c>
    </row>
    <row r="20020" spans="1:6" x14ac:dyDescent="0.25">
      <c r="A20020" t="str">
        <f>"910510375054"</f>
        <v>910510375054</v>
      </c>
      <c r="B20020" t="s">
        <v>28360</v>
      </c>
      <c r="C20020" t="s">
        <v>7</v>
      </c>
      <c r="D20020" t="s">
        <v>12</v>
      </c>
      <c r="E20020" t="s">
        <v>28210</v>
      </c>
    </row>
    <row r="20021" spans="1:6" x14ac:dyDescent="0.25">
      <c r="A20021" t="str">
        <f>"910517476252"</f>
        <v>910517476252</v>
      </c>
      <c r="B20021" t="s">
        <v>28361</v>
      </c>
      <c r="C20021" t="s">
        <v>7</v>
      </c>
      <c r="D20021" t="s">
        <v>14</v>
      </c>
      <c r="E20021" t="s">
        <v>28210</v>
      </c>
    </row>
    <row r="20022" spans="1:6" x14ac:dyDescent="0.25">
      <c r="A20022" t="str">
        <f>"910518301907"</f>
        <v>910518301907</v>
      </c>
      <c r="B20022" t="s">
        <v>28362</v>
      </c>
      <c r="C20022" t="s">
        <v>7</v>
      </c>
      <c r="D20022" t="s">
        <v>12</v>
      </c>
      <c r="E20022" t="s">
        <v>28210</v>
      </c>
    </row>
    <row r="20023" spans="1:6" x14ac:dyDescent="0.25">
      <c r="A20023" t="str">
        <f>"910518888805"</f>
        <v>910518888805</v>
      </c>
      <c r="B20023" t="s">
        <v>28363</v>
      </c>
      <c r="C20023" t="s">
        <v>7</v>
      </c>
      <c r="D20023" t="s">
        <v>14</v>
      </c>
      <c r="E20023" t="s">
        <v>28210</v>
      </c>
    </row>
    <row r="20024" spans="1:6" x14ac:dyDescent="0.25">
      <c r="A20024" t="str">
        <f>"910519883006"</f>
        <v>910519883006</v>
      </c>
      <c r="B20024" t="s">
        <v>28364</v>
      </c>
      <c r="C20024" t="s">
        <v>7</v>
      </c>
      <c r="D20024" t="s">
        <v>14</v>
      </c>
      <c r="E20024" t="s">
        <v>28210</v>
      </c>
    </row>
    <row r="20025" spans="1:6" x14ac:dyDescent="0.25">
      <c r="A20025" t="str">
        <f>"910600117820"</f>
        <v>910600117820</v>
      </c>
      <c r="B20025" t="s">
        <v>28365</v>
      </c>
      <c r="C20025" t="s">
        <v>7</v>
      </c>
      <c r="D20025" t="s">
        <v>14</v>
      </c>
      <c r="E20025" t="s">
        <v>28210</v>
      </c>
    </row>
    <row r="20026" spans="1:6" x14ac:dyDescent="0.25">
      <c r="A20026" t="str">
        <f>"9106008292"</f>
        <v>9106008292</v>
      </c>
      <c r="B20026" t="s">
        <v>28366</v>
      </c>
      <c r="C20026" t="s">
        <v>7</v>
      </c>
      <c r="D20026" t="s">
        <v>12</v>
      </c>
      <c r="E20026" t="s">
        <v>28210</v>
      </c>
      <c r="F20026" t="s">
        <v>28367</v>
      </c>
    </row>
    <row r="20027" spans="1:6" x14ac:dyDescent="0.25">
      <c r="A20027" t="str">
        <f>"910602441606"</f>
        <v>910602441606</v>
      </c>
      <c r="B20027" t="s">
        <v>28368</v>
      </c>
      <c r="C20027" t="s">
        <v>7</v>
      </c>
      <c r="D20027" t="s">
        <v>12</v>
      </c>
      <c r="E20027" t="s">
        <v>28210</v>
      </c>
    </row>
    <row r="20028" spans="1:6" x14ac:dyDescent="0.25">
      <c r="A20028" t="str">
        <f>"910603231714"</f>
        <v>910603231714</v>
      </c>
      <c r="B20028" t="s">
        <v>28369</v>
      </c>
      <c r="C20028" t="s">
        <v>7</v>
      </c>
      <c r="D20028" t="s">
        <v>14</v>
      </c>
      <c r="E20028" t="s">
        <v>28210</v>
      </c>
    </row>
    <row r="20029" spans="1:6" x14ac:dyDescent="0.25">
      <c r="A20029" t="str">
        <f>"910606134807"</f>
        <v>910606134807</v>
      </c>
      <c r="B20029" t="s">
        <v>28370</v>
      </c>
      <c r="C20029" t="s">
        <v>7</v>
      </c>
      <c r="D20029" t="s">
        <v>12</v>
      </c>
      <c r="E20029" t="s">
        <v>28210</v>
      </c>
    </row>
    <row r="20030" spans="1:6" x14ac:dyDescent="0.25">
      <c r="A20030" t="str">
        <f>"910607288207"</f>
        <v>910607288207</v>
      </c>
      <c r="B20030" t="s">
        <v>28371</v>
      </c>
      <c r="C20030" t="s">
        <v>7</v>
      </c>
      <c r="D20030" t="s">
        <v>14</v>
      </c>
      <c r="E20030" t="s">
        <v>28210</v>
      </c>
    </row>
    <row r="20031" spans="1:6" x14ac:dyDescent="0.25">
      <c r="A20031" t="str">
        <f>"9107003868"</f>
        <v>9107003868</v>
      </c>
      <c r="B20031" t="s">
        <v>28372</v>
      </c>
      <c r="C20031" t="s">
        <v>7</v>
      </c>
      <c r="D20031" t="s">
        <v>14</v>
      </c>
      <c r="E20031" t="s">
        <v>28210</v>
      </c>
      <c r="F20031" t="s">
        <v>28373</v>
      </c>
    </row>
    <row r="20032" spans="1:6" x14ac:dyDescent="0.25">
      <c r="A20032" t="str">
        <f>"910705463601"</f>
        <v>910705463601</v>
      </c>
      <c r="B20032" t="s">
        <v>28374</v>
      </c>
      <c r="C20032" t="s">
        <v>7</v>
      </c>
      <c r="D20032" t="s">
        <v>14</v>
      </c>
      <c r="E20032" t="s">
        <v>28210</v>
      </c>
    </row>
    <row r="20033" spans="1:6" x14ac:dyDescent="0.25">
      <c r="A20033" t="str">
        <f>"910800113646"</f>
        <v>910800113646</v>
      </c>
      <c r="B20033" t="s">
        <v>28375</v>
      </c>
      <c r="C20033" t="s">
        <v>7</v>
      </c>
      <c r="D20033" t="s">
        <v>14</v>
      </c>
      <c r="E20033" t="s">
        <v>28210</v>
      </c>
    </row>
    <row r="20034" spans="1:6" x14ac:dyDescent="0.25">
      <c r="A20034" t="str">
        <f>"910509398924"</f>
        <v>910509398924</v>
      </c>
      <c r="B20034" t="s">
        <v>28376</v>
      </c>
      <c r="C20034" t="s">
        <v>7</v>
      </c>
      <c r="D20034" t="s">
        <v>14</v>
      </c>
      <c r="E20034" t="s">
        <v>28210</v>
      </c>
    </row>
    <row r="20035" spans="1:6" x14ac:dyDescent="0.25">
      <c r="A20035" t="str">
        <f>"910510259403"</f>
        <v>910510259403</v>
      </c>
      <c r="B20035" t="s">
        <v>28377</v>
      </c>
      <c r="C20035" t="s">
        <v>7</v>
      </c>
      <c r="D20035" t="s">
        <v>14</v>
      </c>
      <c r="E20035" t="s">
        <v>28210</v>
      </c>
    </row>
    <row r="20036" spans="1:6" x14ac:dyDescent="0.25">
      <c r="A20036" t="str">
        <f>"910510260134"</f>
        <v>910510260134</v>
      </c>
      <c r="B20036" t="s">
        <v>28378</v>
      </c>
      <c r="C20036" t="s">
        <v>7</v>
      </c>
      <c r="D20036" t="s">
        <v>14</v>
      </c>
      <c r="E20036" t="s">
        <v>28210</v>
      </c>
    </row>
    <row r="20037" spans="1:6" x14ac:dyDescent="0.25">
      <c r="A20037" t="str">
        <f>"910514310820"</f>
        <v>910514310820</v>
      </c>
      <c r="B20037" t="s">
        <v>28379</v>
      </c>
      <c r="C20037" t="s">
        <v>7</v>
      </c>
      <c r="D20037" t="s">
        <v>14</v>
      </c>
      <c r="E20037" t="s">
        <v>28210</v>
      </c>
    </row>
    <row r="20038" spans="1:6" x14ac:dyDescent="0.25">
      <c r="A20038" t="str">
        <f>"910514420607"</f>
        <v>910514420607</v>
      </c>
      <c r="B20038" t="s">
        <v>28380</v>
      </c>
      <c r="C20038" t="s">
        <v>7</v>
      </c>
      <c r="D20038" t="s">
        <v>14</v>
      </c>
      <c r="E20038" t="s">
        <v>28210</v>
      </c>
    </row>
    <row r="20039" spans="1:6" x14ac:dyDescent="0.25">
      <c r="A20039" t="str">
        <f>"910514971403"</f>
        <v>910514971403</v>
      </c>
      <c r="B20039" t="s">
        <v>28381</v>
      </c>
      <c r="C20039" t="s">
        <v>7</v>
      </c>
      <c r="D20039" t="s">
        <v>14</v>
      </c>
      <c r="E20039" t="s">
        <v>28210</v>
      </c>
    </row>
    <row r="20040" spans="1:6" x14ac:dyDescent="0.25">
      <c r="A20040" t="str">
        <f>"910519564031"</f>
        <v>910519564031</v>
      </c>
      <c r="B20040" t="s">
        <v>28382</v>
      </c>
      <c r="C20040" t="s">
        <v>7</v>
      </c>
      <c r="D20040" t="s">
        <v>14</v>
      </c>
      <c r="E20040" t="s">
        <v>28210</v>
      </c>
    </row>
    <row r="20041" spans="1:6" x14ac:dyDescent="0.25">
      <c r="A20041" t="str">
        <f>"910520204555"</f>
        <v>910520204555</v>
      </c>
      <c r="B20041" t="s">
        <v>28383</v>
      </c>
      <c r="C20041" t="s">
        <v>7</v>
      </c>
      <c r="D20041" t="s">
        <v>14</v>
      </c>
      <c r="E20041" t="s">
        <v>28210</v>
      </c>
    </row>
    <row r="20042" spans="1:6" x14ac:dyDescent="0.25">
      <c r="A20042" t="str">
        <f>"910525470198"</f>
        <v>910525470198</v>
      </c>
      <c r="B20042" t="s">
        <v>28384</v>
      </c>
      <c r="C20042" t="s">
        <v>7</v>
      </c>
      <c r="D20042" t="s">
        <v>14</v>
      </c>
      <c r="E20042" t="s">
        <v>28210</v>
      </c>
    </row>
    <row r="20043" spans="1:6" x14ac:dyDescent="0.25">
      <c r="A20043" t="str">
        <f>"910602016880"</f>
        <v>910602016880</v>
      </c>
      <c r="B20043" t="s">
        <v>28385</v>
      </c>
      <c r="C20043" t="s">
        <v>7</v>
      </c>
      <c r="D20043" t="s">
        <v>14</v>
      </c>
      <c r="E20043" t="s">
        <v>28210</v>
      </c>
    </row>
    <row r="20044" spans="1:6" x14ac:dyDescent="0.25">
      <c r="A20044" t="str">
        <f>"910607669065"</f>
        <v>910607669065</v>
      </c>
      <c r="B20044" t="s">
        <v>28386</v>
      </c>
      <c r="C20044" t="s">
        <v>7</v>
      </c>
      <c r="D20044" t="s">
        <v>14</v>
      </c>
      <c r="E20044" t="s">
        <v>28210</v>
      </c>
    </row>
    <row r="20045" spans="1:6" x14ac:dyDescent="0.25">
      <c r="A20045" t="str">
        <f>"910704728492"</f>
        <v>910704728492</v>
      </c>
      <c r="B20045" t="s">
        <v>28387</v>
      </c>
      <c r="C20045" t="s">
        <v>7</v>
      </c>
      <c r="D20045" t="s">
        <v>12</v>
      </c>
      <c r="E20045" t="s">
        <v>28210</v>
      </c>
    </row>
    <row r="20046" spans="1:6" x14ac:dyDescent="0.25">
      <c r="A20046" t="str">
        <f>"910708811367"</f>
        <v>910708811367</v>
      </c>
      <c r="B20046" t="s">
        <v>28388</v>
      </c>
      <c r="C20046" t="s">
        <v>7</v>
      </c>
      <c r="D20046" t="s">
        <v>14</v>
      </c>
      <c r="E20046" t="s">
        <v>28210</v>
      </c>
    </row>
    <row r="20047" spans="1:6" x14ac:dyDescent="0.25">
      <c r="A20047" t="str">
        <f>"9108000588"</f>
        <v>9108000588</v>
      </c>
      <c r="B20047" t="s">
        <v>1965</v>
      </c>
      <c r="C20047" t="s">
        <v>7</v>
      </c>
      <c r="D20047" t="s">
        <v>12</v>
      </c>
      <c r="E20047" t="s">
        <v>28210</v>
      </c>
      <c r="F20047" t="s">
        <v>28389</v>
      </c>
    </row>
    <row r="20048" spans="1:6" x14ac:dyDescent="0.25">
      <c r="A20048" t="str">
        <f>"910800096790"</f>
        <v>910800096790</v>
      </c>
      <c r="B20048" t="s">
        <v>28390</v>
      </c>
      <c r="C20048" t="s">
        <v>7</v>
      </c>
      <c r="D20048" t="s">
        <v>14</v>
      </c>
      <c r="E20048" t="s">
        <v>28210</v>
      </c>
    </row>
    <row r="20049" spans="1:5" x14ac:dyDescent="0.25">
      <c r="A20049" t="str">
        <f>"910800191309"</f>
        <v>910800191309</v>
      </c>
      <c r="B20049" t="s">
        <v>28391</v>
      </c>
      <c r="C20049" t="s">
        <v>7</v>
      </c>
      <c r="D20049" t="s">
        <v>14</v>
      </c>
      <c r="E20049" t="s">
        <v>28210</v>
      </c>
    </row>
    <row r="20050" spans="1:5" x14ac:dyDescent="0.25">
      <c r="A20050" t="str">
        <f>"910311011670"</f>
        <v>910311011670</v>
      </c>
      <c r="B20050" t="s">
        <v>28392</v>
      </c>
      <c r="C20050" t="s">
        <v>7</v>
      </c>
      <c r="D20050" t="s">
        <v>14</v>
      </c>
      <c r="E20050" t="s">
        <v>28210</v>
      </c>
    </row>
    <row r="20051" spans="1:5" x14ac:dyDescent="0.25">
      <c r="A20051" t="str">
        <f>"910311679795"</f>
        <v>910311679795</v>
      </c>
      <c r="B20051" t="s">
        <v>28393</v>
      </c>
      <c r="C20051" t="s">
        <v>7</v>
      </c>
      <c r="D20051" t="s">
        <v>14</v>
      </c>
      <c r="E20051" t="s">
        <v>28210</v>
      </c>
    </row>
    <row r="20052" spans="1:5" x14ac:dyDescent="0.25">
      <c r="A20052" t="str">
        <f>"910400022049"</f>
        <v>910400022049</v>
      </c>
      <c r="B20052" t="s">
        <v>28394</v>
      </c>
      <c r="C20052" t="s">
        <v>7</v>
      </c>
      <c r="D20052" t="s">
        <v>14</v>
      </c>
      <c r="E20052" t="s">
        <v>28210</v>
      </c>
    </row>
    <row r="20053" spans="1:5" x14ac:dyDescent="0.25">
      <c r="A20053" t="str">
        <f>"910403862470"</f>
        <v>910403862470</v>
      </c>
      <c r="B20053" t="s">
        <v>28395</v>
      </c>
      <c r="C20053" t="s">
        <v>7</v>
      </c>
      <c r="D20053" t="s">
        <v>12</v>
      </c>
      <c r="E20053" t="s">
        <v>28210</v>
      </c>
    </row>
    <row r="20054" spans="1:5" x14ac:dyDescent="0.25">
      <c r="A20054" t="str">
        <f>"910408852605"</f>
        <v>910408852605</v>
      </c>
      <c r="B20054" t="s">
        <v>28396</v>
      </c>
      <c r="C20054" t="s">
        <v>7</v>
      </c>
      <c r="D20054" t="s">
        <v>14</v>
      </c>
      <c r="E20054" t="s">
        <v>28210</v>
      </c>
    </row>
    <row r="20055" spans="1:5" x14ac:dyDescent="0.25">
      <c r="A20055" t="str">
        <f>"910501900282"</f>
        <v>910501900282</v>
      </c>
      <c r="B20055" t="s">
        <v>28397</v>
      </c>
      <c r="C20055" t="s">
        <v>7</v>
      </c>
      <c r="D20055" t="s">
        <v>14</v>
      </c>
      <c r="E20055" t="s">
        <v>28210</v>
      </c>
    </row>
    <row r="20056" spans="1:5" x14ac:dyDescent="0.25">
      <c r="A20056" t="str">
        <f>"910502043055"</f>
        <v>910502043055</v>
      </c>
      <c r="B20056" t="s">
        <v>28398</v>
      </c>
      <c r="C20056" t="s">
        <v>7</v>
      </c>
      <c r="D20056" t="s">
        <v>14</v>
      </c>
      <c r="E20056" t="s">
        <v>28210</v>
      </c>
    </row>
    <row r="20057" spans="1:5" x14ac:dyDescent="0.25">
      <c r="A20057" t="str">
        <f>"910506307125"</f>
        <v>910506307125</v>
      </c>
      <c r="B20057" t="s">
        <v>28399</v>
      </c>
      <c r="C20057" t="s">
        <v>7</v>
      </c>
      <c r="D20057" t="s">
        <v>14</v>
      </c>
      <c r="E20057" t="s">
        <v>28210</v>
      </c>
    </row>
    <row r="20058" spans="1:5" x14ac:dyDescent="0.25">
      <c r="A20058" t="str">
        <f>"910508630589"</f>
        <v>910508630589</v>
      </c>
      <c r="B20058" t="s">
        <v>28400</v>
      </c>
      <c r="C20058" t="s">
        <v>7</v>
      </c>
      <c r="D20058" t="s">
        <v>12</v>
      </c>
      <c r="E20058" t="s">
        <v>28210</v>
      </c>
    </row>
    <row r="20059" spans="1:5" x14ac:dyDescent="0.25">
      <c r="A20059" t="str">
        <f>"910513914184"</f>
        <v>910513914184</v>
      </c>
      <c r="B20059" t="s">
        <v>28401</v>
      </c>
      <c r="C20059" t="s">
        <v>7</v>
      </c>
      <c r="D20059" t="s">
        <v>14</v>
      </c>
      <c r="E20059" t="s">
        <v>28210</v>
      </c>
    </row>
    <row r="20060" spans="1:5" x14ac:dyDescent="0.25">
      <c r="A20060" t="str">
        <f>"910522723404"</f>
        <v>910522723404</v>
      </c>
      <c r="B20060" t="s">
        <v>28402</v>
      </c>
      <c r="C20060" t="s">
        <v>7</v>
      </c>
      <c r="D20060" t="s">
        <v>14</v>
      </c>
      <c r="E20060" t="s">
        <v>28210</v>
      </c>
    </row>
    <row r="20061" spans="1:5" x14ac:dyDescent="0.25">
      <c r="A20061" t="str">
        <f>"910600054506"</f>
        <v>910600054506</v>
      </c>
      <c r="B20061" t="s">
        <v>28403</v>
      </c>
      <c r="C20061" t="s">
        <v>7</v>
      </c>
      <c r="D20061" t="s">
        <v>14</v>
      </c>
      <c r="E20061" t="s">
        <v>28210</v>
      </c>
    </row>
    <row r="20062" spans="1:5" x14ac:dyDescent="0.25">
      <c r="A20062" t="str">
        <f>"910601882750"</f>
        <v>910601882750</v>
      </c>
      <c r="B20062" t="s">
        <v>28404</v>
      </c>
      <c r="C20062" t="s">
        <v>7</v>
      </c>
      <c r="D20062" t="s">
        <v>14</v>
      </c>
      <c r="E20062" t="s">
        <v>28210</v>
      </c>
    </row>
    <row r="20063" spans="1:5" x14ac:dyDescent="0.25">
      <c r="A20063" t="str">
        <f>"910603768570"</f>
        <v>910603768570</v>
      </c>
      <c r="B20063" t="s">
        <v>28405</v>
      </c>
      <c r="C20063" t="s">
        <v>7</v>
      </c>
      <c r="D20063" t="s">
        <v>14</v>
      </c>
      <c r="E20063" t="s">
        <v>28210</v>
      </c>
    </row>
    <row r="20064" spans="1:5" x14ac:dyDescent="0.25">
      <c r="A20064" t="str">
        <f>"910606111704"</f>
        <v>910606111704</v>
      </c>
      <c r="B20064" t="s">
        <v>28406</v>
      </c>
      <c r="C20064" t="s">
        <v>7</v>
      </c>
      <c r="D20064" t="s">
        <v>12</v>
      </c>
      <c r="E20064" t="s">
        <v>28210</v>
      </c>
    </row>
    <row r="20065" spans="1:6" x14ac:dyDescent="0.25">
      <c r="A20065" t="str">
        <f>"910607994114"</f>
        <v>910607994114</v>
      </c>
      <c r="B20065" t="s">
        <v>28407</v>
      </c>
      <c r="C20065" t="s">
        <v>7</v>
      </c>
      <c r="D20065" t="s">
        <v>14</v>
      </c>
      <c r="E20065" t="s">
        <v>28210</v>
      </c>
    </row>
    <row r="20066" spans="1:6" x14ac:dyDescent="0.25">
      <c r="A20066" t="str">
        <f>"910704278395"</f>
        <v>910704278395</v>
      </c>
      <c r="B20066" t="s">
        <v>28408</v>
      </c>
      <c r="C20066" t="s">
        <v>7</v>
      </c>
      <c r="D20066" t="s">
        <v>14</v>
      </c>
      <c r="E20066" t="s">
        <v>28210</v>
      </c>
    </row>
    <row r="20067" spans="1:6" x14ac:dyDescent="0.25">
      <c r="A20067" t="str">
        <f>"910707961779"</f>
        <v>910707961779</v>
      </c>
      <c r="B20067" t="s">
        <v>28409</v>
      </c>
      <c r="C20067" t="s">
        <v>7</v>
      </c>
      <c r="D20067" t="s">
        <v>14</v>
      </c>
      <c r="E20067" t="s">
        <v>28210</v>
      </c>
    </row>
    <row r="20068" spans="1:6" x14ac:dyDescent="0.25">
      <c r="A20068" t="str">
        <f>"910708198905"</f>
        <v>910708198905</v>
      </c>
      <c r="B20068" t="s">
        <v>28410</v>
      </c>
      <c r="C20068" t="s">
        <v>7</v>
      </c>
      <c r="D20068" t="s">
        <v>14</v>
      </c>
      <c r="E20068" t="s">
        <v>28210</v>
      </c>
    </row>
    <row r="20069" spans="1:6" x14ac:dyDescent="0.25">
      <c r="A20069" t="str">
        <f>"910800190030"</f>
        <v>910800190030</v>
      </c>
      <c r="B20069" t="s">
        <v>28411</v>
      </c>
      <c r="C20069" t="s">
        <v>7</v>
      </c>
      <c r="D20069" t="s">
        <v>14</v>
      </c>
      <c r="E20069" t="s">
        <v>28210</v>
      </c>
    </row>
    <row r="20070" spans="1:6" x14ac:dyDescent="0.25">
      <c r="A20070" t="str">
        <f>"910810439799"</f>
        <v>910810439799</v>
      </c>
      <c r="B20070" t="s">
        <v>28412</v>
      </c>
      <c r="C20070" t="s">
        <v>7</v>
      </c>
      <c r="D20070" t="s">
        <v>14</v>
      </c>
      <c r="E20070" t="s">
        <v>28210</v>
      </c>
    </row>
    <row r="20071" spans="1:6" x14ac:dyDescent="0.25">
      <c r="A20071" t="str">
        <f>"910820624060"</f>
        <v>910820624060</v>
      </c>
      <c r="B20071" t="s">
        <v>28413</v>
      </c>
      <c r="C20071" t="s">
        <v>7</v>
      </c>
      <c r="D20071" t="s">
        <v>14</v>
      </c>
      <c r="E20071" t="s">
        <v>28210</v>
      </c>
    </row>
    <row r="20072" spans="1:6" x14ac:dyDescent="0.25">
      <c r="A20072" t="str">
        <f>"910900007000"</f>
        <v>910900007000</v>
      </c>
      <c r="B20072" t="s">
        <v>28414</v>
      </c>
      <c r="C20072" t="s">
        <v>7</v>
      </c>
      <c r="D20072" t="s">
        <v>14</v>
      </c>
      <c r="E20072" t="s">
        <v>28210</v>
      </c>
    </row>
    <row r="20073" spans="1:6" x14ac:dyDescent="0.25">
      <c r="A20073" t="str">
        <f>"9109018813"</f>
        <v>9109018813</v>
      </c>
      <c r="B20073" t="s">
        <v>28415</v>
      </c>
      <c r="C20073" t="s">
        <v>7</v>
      </c>
      <c r="D20073" t="s">
        <v>14</v>
      </c>
      <c r="E20073" t="s">
        <v>28210</v>
      </c>
      <c r="F20073" t="s">
        <v>28416</v>
      </c>
    </row>
    <row r="20074" spans="1:6" x14ac:dyDescent="0.25">
      <c r="A20074" t="str">
        <f>"9109019768"</f>
        <v>9109019768</v>
      </c>
      <c r="B20074" t="s">
        <v>28417</v>
      </c>
      <c r="C20074" t="s">
        <v>7</v>
      </c>
      <c r="D20074" t="s">
        <v>14</v>
      </c>
      <c r="E20074" t="s">
        <v>28210</v>
      </c>
      <c r="F20074" t="s">
        <v>28418</v>
      </c>
    </row>
    <row r="20075" spans="1:6" x14ac:dyDescent="0.25">
      <c r="A20075" t="str">
        <f>"9109028508"</f>
        <v>9109028508</v>
      </c>
      <c r="B20075" t="s">
        <v>28419</v>
      </c>
      <c r="C20075" t="s">
        <v>7</v>
      </c>
      <c r="D20075" t="s">
        <v>12</v>
      </c>
      <c r="E20075" t="s">
        <v>28210</v>
      </c>
      <c r="F20075" t="s">
        <v>28420</v>
      </c>
    </row>
    <row r="20076" spans="1:6" x14ac:dyDescent="0.25">
      <c r="A20076" t="str">
        <f>"910906123718"</f>
        <v>910906123718</v>
      </c>
      <c r="B20076" t="s">
        <v>28421</v>
      </c>
      <c r="C20076" t="s">
        <v>7</v>
      </c>
      <c r="D20076" t="s">
        <v>14</v>
      </c>
      <c r="E20076" t="s">
        <v>28210</v>
      </c>
    </row>
    <row r="20077" spans="1:6" x14ac:dyDescent="0.25">
      <c r="A20077" t="str">
        <f>"910909583551"</f>
        <v>910909583551</v>
      </c>
      <c r="B20077" t="s">
        <v>28422</v>
      </c>
      <c r="C20077" t="s">
        <v>7</v>
      </c>
      <c r="D20077" t="s">
        <v>14</v>
      </c>
      <c r="E20077" t="s">
        <v>28210</v>
      </c>
    </row>
    <row r="20078" spans="1:6" x14ac:dyDescent="0.25">
      <c r="A20078" t="str">
        <f>"910914454512"</f>
        <v>910914454512</v>
      </c>
      <c r="B20078" t="s">
        <v>28423</v>
      </c>
      <c r="C20078" t="s">
        <v>7</v>
      </c>
      <c r="D20078" t="s">
        <v>14</v>
      </c>
      <c r="E20078" t="s">
        <v>28210</v>
      </c>
    </row>
    <row r="20079" spans="1:6" x14ac:dyDescent="0.25">
      <c r="A20079" t="str">
        <f>"910919190528"</f>
        <v>910919190528</v>
      </c>
      <c r="B20079" t="s">
        <v>28424</v>
      </c>
      <c r="C20079" t="s">
        <v>7</v>
      </c>
      <c r="D20079" t="s">
        <v>14</v>
      </c>
      <c r="E20079" t="s">
        <v>28210</v>
      </c>
    </row>
    <row r="20080" spans="1:6" x14ac:dyDescent="0.25">
      <c r="A20080" t="str">
        <f>"9110000786"</f>
        <v>9110000786</v>
      </c>
      <c r="B20080" t="s">
        <v>28425</v>
      </c>
      <c r="C20080" t="s">
        <v>7</v>
      </c>
      <c r="D20080" t="s">
        <v>14</v>
      </c>
      <c r="E20080" t="s">
        <v>28210</v>
      </c>
      <c r="F20080" t="s">
        <v>28426</v>
      </c>
    </row>
    <row r="20081" spans="1:6" x14ac:dyDescent="0.25">
      <c r="A20081" t="str">
        <f>"9110002127"</f>
        <v>9110002127</v>
      </c>
      <c r="B20081" t="s">
        <v>18479</v>
      </c>
      <c r="C20081" t="s">
        <v>7</v>
      </c>
      <c r="D20081" t="s">
        <v>12</v>
      </c>
      <c r="E20081" t="s">
        <v>28210</v>
      </c>
      <c r="F20081" t="s">
        <v>28427</v>
      </c>
    </row>
    <row r="20082" spans="1:6" x14ac:dyDescent="0.25">
      <c r="A20082" t="str">
        <f>"9110004364"</f>
        <v>9110004364</v>
      </c>
      <c r="B20082" t="s">
        <v>28428</v>
      </c>
      <c r="C20082" t="s">
        <v>7</v>
      </c>
      <c r="D20082" t="s">
        <v>14</v>
      </c>
      <c r="E20082" t="s">
        <v>28210</v>
      </c>
      <c r="F20082" t="s">
        <v>28429</v>
      </c>
    </row>
    <row r="20083" spans="1:6" x14ac:dyDescent="0.25">
      <c r="A20083" t="str">
        <f>"9110007742"</f>
        <v>9110007742</v>
      </c>
      <c r="B20083" t="s">
        <v>28430</v>
      </c>
      <c r="C20083" t="s">
        <v>7</v>
      </c>
      <c r="D20083" t="s">
        <v>14</v>
      </c>
      <c r="E20083" t="s">
        <v>28210</v>
      </c>
      <c r="F20083" t="s">
        <v>28431</v>
      </c>
    </row>
    <row r="20084" spans="1:6" x14ac:dyDescent="0.25">
      <c r="A20084" t="str">
        <f>"911004579783"</f>
        <v>911004579783</v>
      </c>
      <c r="B20084" t="s">
        <v>28432</v>
      </c>
      <c r="C20084" t="s">
        <v>7</v>
      </c>
      <c r="D20084" t="s">
        <v>14</v>
      </c>
      <c r="E20084" t="s">
        <v>28210</v>
      </c>
    </row>
    <row r="20085" spans="1:6" x14ac:dyDescent="0.25">
      <c r="A20085" t="str">
        <f>"911016608069"</f>
        <v>911016608069</v>
      </c>
      <c r="B20085" t="s">
        <v>28433</v>
      </c>
      <c r="C20085" t="s">
        <v>7</v>
      </c>
      <c r="D20085" t="s">
        <v>14</v>
      </c>
      <c r="E20085" t="s">
        <v>28210</v>
      </c>
    </row>
    <row r="20086" spans="1:6" x14ac:dyDescent="0.25">
      <c r="A20086" t="str">
        <f>"911019199921"</f>
        <v>911019199921</v>
      </c>
      <c r="B20086" t="s">
        <v>28434</v>
      </c>
      <c r="C20086" t="s">
        <v>7</v>
      </c>
      <c r="D20086" t="s">
        <v>14</v>
      </c>
      <c r="E20086" t="s">
        <v>28210</v>
      </c>
    </row>
    <row r="20087" spans="1:6" x14ac:dyDescent="0.25">
      <c r="A20087" t="str">
        <f>"911019477671"</f>
        <v>911019477671</v>
      </c>
      <c r="B20087" t="s">
        <v>28435</v>
      </c>
      <c r="C20087" t="s">
        <v>7</v>
      </c>
      <c r="D20087" t="s">
        <v>12</v>
      </c>
      <c r="E20087" t="s">
        <v>28210</v>
      </c>
    </row>
    <row r="20088" spans="1:6" x14ac:dyDescent="0.25">
      <c r="A20088" t="str">
        <f>"911100020003"</f>
        <v>911100020003</v>
      </c>
      <c r="B20088" t="s">
        <v>28436</v>
      </c>
      <c r="C20088" t="s">
        <v>7</v>
      </c>
      <c r="D20088" t="s">
        <v>12</v>
      </c>
      <c r="E20088" t="s">
        <v>28210</v>
      </c>
    </row>
    <row r="20089" spans="1:6" x14ac:dyDescent="0.25">
      <c r="A20089" t="str">
        <f>"911100122301"</f>
        <v>911100122301</v>
      </c>
      <c r="B20089" t="s">
        <v>28437</v>
      </c>
      <c r="C20089" t="s">
        <v>7</v>
      </c>
      <c r="D20089" t="s">
        <v>14</v>
      </c>
      <c r="E20089" t="s">
        <v>28210</v>
      </c>
    </row>
    <row r="20090" spans="1:6" x14ac:dyDescent="0.25">
      <c r="A20090" t="str">
        <f>"911100138767"</f>
        <v>911100138767</v>
      </c>
      <c r="B20090" t="s">
        <v>28438</v>
      </c>
      <c r="C20090" t="s">
        <v>7</v>
      </c>
      <c r="D20090" t="s">
        <v>14</v>
      </c>
      <c r="E20090" t="s">
        <v>28210</v>
      </c>
    </row>
    <row r="20091" spans="1:6" x14ac:dyDescent="0.25">
      <c r="A20091" t="str">
        <f>"9111013210"</f>
        <v>9111013210</v>
      </c>
      <c r="B20091" t="s">
        <v>28439</v>
      </c>
      <c r="C20091" t="s">
        <v>7</v>
      </c>
      <c r="D20091" t="s">
        <v>12</v>
      </c>
      <c r="E20091" t="s">
        <v>28210</v>
      </c>
      <c r="F20091" t="s">
        <v>28440</v>
      </c>
    </row>
    <row r="20092" spans="1:6" x14ac:dyDescent="0.25">
      <c r="A20092" t="str">
        <f>"910808899380"</f>
        <v>910808899380</v>
      </c>
      <c r="B20092" t="s">
        <v>28441</v>
      </c>
      <c r="C20092" t="s">
        <v>7</v>
      </c>
      <c r="D20092" t="s">
        <v>14</v>
      </c>
      <c r="E20092" t="s">
        <v>28210</v>
      </c>
    </row>
    <row r="20093" spans="1:6" x14ac:dyDescent="0.25">
      <c r="A20093" t="str">
        <f>"910809528518"</f>
        <v>910809528518</v>
      </c>
      <c r="B20093" t="s">
        <v>28442</v>
      </c>
      <c r="C20093" t="s">
        <v>7</v>
      </c>
      <c r="D20093" t="s">
        <v>14</v>
      </c>
      <c r="E20093" t="s">
        <v>28210</v>
      </c>
    </row>
    <row r="20094" spans="1:6" x14ac:dyDescent="0.25">
      <c r="A20094" t="str">
        <f>"910810497092"</f>
        <v>910810497092</v>
      </c>
      <c r="B20094" t="s">
        <v>28443</v>
      </c>
      <c r="C20094" t="s">
        <v>7</v>
      </c>
      <c r="D20094" t="s">
        <v>14</v>
      </c>
      <c r="E20094" t="s">
        <v>28210</v>
      </c>
    </row>
    <row r="20095" spans="1:6" x14ac:dyDescent="0.25">
      <c r="A20095" t="str">
        <f>"9108110799"</f>
        <v>9108110799</v>
      </c>
      <c r="B20095" t="s">
        <v>28444</v>
      </c>
      <c r="C20095" t="s">
        <v>7</v>
      </c>
      <c r="D20095" t="s">
        <v>33</v>
      </c>
      <c r="E20095" t="s">
        <v>28210</v>
      </c>
      <c r="F20095" t="s">
        <v>28445</v>
      </c>
    </row>
    <row r="20096" spans="1:6" x14ac:dyDescent="0.25">
      <c r="A20096" t="str">
        <f>"910816361362"</f>
        <v>910816361362</v>
      </c>
      <c r="B20096" t="s">
        <v>28446</v>
      </c>
      <c r="C20096" t="s">
        <v>7</v>
      </c>
      <c r="D20096" t="s">
        <v>14</v>
      </c>
      <c r="E20096" t="s">
        <v>28210</v>
      </c>
    </row>
    <row r="20097" spans="1:6" x14ac:dyDescent="0.25">
      <c r="A20097" t="str">
        <f>"910817815509"</f>
        <v>910817815509</v>
      </c>
      <c r="B20097" t="s">
        <v>28447</v>
      </c>
      <c r="C20097" t="s">
        <v>7</v>
      </c>
      <c r="D20097" t="s">
        <v>14</v>
      </c>
      <c r="E20097" t="s">
        <v>28210</v>
      </c>
    </row>
    <row r="20098" spans="1:6" x14ac:dyDescent="0.25">
      <c r="A20098" t="str">
        <f>"9109000260"</f>
        <v>9109000260</v>
      </c>
      <c r="B20098" t="s">
        <v>28448</v>
      </c>
      <c r="C20098" t="s">
        <v>7</v>
      </c>
      <c r="D20098" t="s">
        <v>33</v>
      </c>
      <c r="E20098" t="s">
        <v>28210</v>
      </c>
      <c r="F20098" t="s">
        <v>28449</v>
      </c>
    </row>
    <row r="20099" spans="1:6" x14ac:dyDescent="0.25">
      <c r="A20099" t="str">
        <f>"910900044227"</f>
        <v>910900044227</v>
      </c>
      <c r="B20099" t="s">
        <v>28450</v>
      </c>
      <c r="C20099" t="s">
        <v>7</v>
      </c>
      <c r="D20099" t="s">
        <v>33</v>
      </c>
      <c r="E20099" t="s">
        <v>28210</v>
      </c>
    </row>
    <row r="20100" spans="1:6" x14ac:dyDescent="0.25">
      <c r="A20100" t="str">
        <f>"9109004377"</f>
        <v>9109004377</v>
      </c>
      <c r="B20100" t="s">
        <v>28451</v>
      </c>
      <c r="C20100" t="s">
        <v>7</v>
      </c>
      <c r="D20100" t="s">
        <v>12</v>
      </c>
      <c r="E20100" t="s">
        <v>28210</v>
      </c>
      <c r="F20100" t="s">
        <v>28452</v>
      </c>
    </row>
    <row r="20101" spans="1:6" x14ac:dyDescent="0.25">
      <c r="A20101" t="str">
        <f>"910901603809"</f>
        <v>910901603809</v>
      </c>
      <c r="B20101" t="s">
        <v>28453</v>
      </c>
      <c r="C20101" t="s">
        <v>7</v>
      </c>
      <c r="D20101" t="s">
        <v>14</v>
      </c>
      <c r="E20101" t="s">
        <v>28210</v>
      </c>
    </row>
    <row r="20102" spans="1:6" x14ac:dyDescent="0.25">
      <c r="A20102" t="str">
        <f>"9109018919"</f>
        <v>9109018919</v>
      </c>
      <c r="B20102" t="s">
        <v>28454</v>
      </c>
      <c r="C20102" t="s">
        <v>7</v>
      </c>
      <c r="D20102" t="s">
        <v>14</v>
      </c>
      <c r="E20102" t="s">
        <v>28210</v>
      </c>
      <c r="F20102" t="s">
        <v>28455</v>
      </c>
    </row>
    <row r="20103" spans="1:6" x14ac:dyDescent="0.25">
      <c r="A20103" t="str">
        <f>"9109022376"</f>
        <v>9109022376</v>
      </c>
      <c r="B20103" t="s">
        <v>28456</v>
      </c>
      <c r="C20103" t="s">
        <v>7</v>
      </c>
      <c r="D20103" t="s">
        <v>12</v>
      </c>
      <c r="E20103" t="s">
        <v>28210</v>
      </c>
      <c r="F20103" t="s">
        <v>28457</v>
      </c>
    </row>
    <row r="20104" spans="1:6" x14ac:dyDescent="0.25">
      <c r="A20104" t="str">
        <f>"910902678557"</f>
        <v>910902678557</v>
      </c>
      <c r="B20104" t="s">
        <v>28458</v>
      </c>
      <c r="C20104" t="s">
        <v>7</v>
      </c>
      <c r="D20104" t="s">
        <v>33</v>
      </c>
      <c r="E20104" t="s">
        <v>28210</v>
      </c>
    </row>
    <row r="20105" spans="1:6" x14ac:dyDescent="0.25">
      <c r="A20105" t="str">
        <f>"9109027952"</f>
        <v>9109027952</v>
      </c>
      <c r="B20105" t="s">
        <v>28459</v>
      </c>
      <c r="C20105" t="s">
        <v>7</v>
      </c>
      <c r="D20105" t="s">
        <v>14</v>
      </c>
      <c r="E20105" t="s">
        <v>28210</v>
      </c>
      <c r="F20105" t="s">
        <v>28460</v>
      </c>
    </row>
    <row r="20106" spans="1:6" x14ac:dyDescent="0.25">
      <c r="A20106" t="str">
        <f>"910921695188"</f>
        <v>910921695188</v>
      </c>
      <c r="B20106" t="s">
        <v>28461</v>
      </c>
      <c r="C20106" t="s">
        <v>7</v>
      </c>
      <c r="D20106" t="s">
        <v>12</v>
      </c>
      <c r="E20106" t="s">
        <v>28210</v>
      </c>
    </row>
    <row r="20107" spans="1:6" x14ac:dyDescent="0.25">
      <c r="A20107" t="str">
        <f>"911001417022"</f>
        <v>911001417022</v>
      </c>
      <c r="B20107" t="s">
        <v>28462</v>
      </c>
      <c r="C20107" t="s">
        <v>7</v>
      </c>
      <c r="D20107" t="s">
        <v>14</v>
      </c>
      <c r="E20107" t="s">
        <v>28210</v>
      </c>
    </row>
    <row r="20108" spans="1:6" x14ac:dyDescent="0.25">
      <c r="A20108" t="str">
        <f>"911019755248"</f>
        <v>911019755248</v>
      </c>
      <c r="B20108" t="s">
        <v>28463</v>
      </c>
      <c r="C20108" t="s">
        <v>7</v>
      </c>
      <c r="D20108" t="s">
        <v>14</v>
      </c>
      <c r="E20108" t="s">
        <v>28210</v>
      </c>
    </row>
    <row r="20109" spans="1:6" x14ac:dyDescent="0.25">
      <c r="A20109" t="str">
        <f>"911108985300"</f>
        <v>911108985300</v>
      </c>
      <c r="B20109" t="s">
        <v>28464</v>
      </c>
      <c r="C20109" t="s">
        <v>7</v>
      </c>
      <c r="D20109" t="s">
        <v>14</v>
      </c>
      <c r="E20109" t="s">
        <v>28210</v>
      </c>
    </row>
    <row r="20110" spans="1:6" x14ac:dyDescent="0.25">
      <c r="A20110" t="str">
        <f>"911111472876"</f>
        <v>911111472876</v>
      </c>
      <c r="B20110" t="s">
        <v>28465</v>
      </c>
      <c r="C20110" t="s">
        <v>7</v>
      </c>
      <c r="D20110" t="s">
        <v>14</v>
      </c>
      <c r="E20110" t="s">
        <v>28210</v>
      </c>
    </row>
    <row r="20111" spans="1:6" x14ac:dyDescent="0.25">
      <c r="A20111" t="str">
        <f>"911115022067"</f>
        <v>911115022067</v>
      </c>
      <c r="B20111" t="s">
        <v>28466</v>
      </c>
      <c r="C20111" t="s">
        <v>7</v>
      </c>
      <c r="D20111" t="s">
        <v>12</v>
      </c>
      <c r="E20111" t="s">
        <v>28210</v>
      </c>
    </row>
    <row r="20112" spans="1:6" x14ac:dyDescent="0.25">
      <c r="A20112" t="str">
        <f>"9108006822"</f>
        <v>9108006822</v>
      </c>
      <c r="B20112" t="s">
        <v>28467</v>
      </c>
      <c r="C20112" t="s">
        <v>7</v>
      </c>
      <c r="D20112" t="s">
        <v>33</v>
      </c>
      <c r="E20112" t="s">
        <v>28210</v>
      </c>
      <c r="F20112" t="s">
        <v>28468</v>
      </c>
    </row>
    <row r="20113" spans="1:6" x14ac:dyDescent="0.25">
      <c r="A20113" t="str">
        <f>"910801020360"</f>
        <v>910801020360</v>
      </c>
      <c r="B20113" t="s">
        <v>28469</v>
      </c>
      <c r="C20113" t="s">
        <v>7</v>
      </c>
      <c r="D20113" t="s">
        <v>14</v>
      </c>
      <c r="E20113" t="s">
        <v>28210</v>
      </c>
    </row>
    <row r="20114" spans="1:6" x14ac:dyDescent="0.25">
      <c r="A20114" t="str">
        <f>"910801710476"</f>
        <v>910801710476</v>
      </c>
      <c r="B20114" t="s">
        <v>28470</v>
      </c>
      <c r="C20114" t="s">
        <v>7</v>
      </c>
      <c r="D20114" t="s">
        <v>14</v>
      </c>
      <c r="E20114" t="s">
        <v>28210</v>
      </c>
    </row>
    <row r="20115" spans="1:6" x14ac:dyDescent="0.25">
      <c r="A20115" t="str">
        <f>"910803915969"</f>
        <v>910803915969</v>
      </c>
      <c r="B20115" t="s">
        <v>28471</v>
      </c>
      <c r="C20115" t="s">
        <v>7</v>
      </c>
      <c r="D20115" t="s">
        <v>14</v>
      </c>
      <c r="E20115" t="s">
        <v>28210</v>
      </c>
    </row>
    <row r="20116" spans="1:6" x14ac:dyDescent="0.25">
      <c r="A20116" t="str">
        <f>"910806797086"</f>
        <v>910806797086</v>
      </c>
      <c r="B20116" t="s">
        <v>28472</v>
      </c>
      <c r="C20116" t="s">
        <v>7</v>
      </c>
      <c r="D20116" t="s">
        <v>14</v>
      </c>
      <c r="E20116" t="s">
        <v>28210</v>
      </c>
    </row>
    <row r="20117" spans="1:6" x14ac:dyDescent="0.25">
      <c r="A20117" t="str">
        <f>"910808046455"</f>
        <v>910808046455</v>
      </c>
      <c r="B20117" t="s">
        <v>28473</v>
      </c>
      <c r="C20117" t="s">
        <v>7</v>
      </c>
      <c r="D20117" t="s">
        <v>14</v>
      </c>
      <c r="E20117" t="s">
        <v>28210</v>
      </c>
    </row>
    <row r="20118" spans="1:6" x14ac:dyDescent="0.25">
      <c r="A20118" t="str">
        <f>"910810427031"</f>
        <v>910810427031</v>
      </c>
      <c r="B20118" t="s">
        <v>28474</v>
      </c>
      <c r="C20118" t="s">
        <v>7</v>
      </c>
      <c r="D20118" t="s">
        <v>14</v>
      </c>
      <c r="E20118" t="s">
        <v>28210</v>
      </c>
    </row>
    <row r="20119" spans="1:6" x14ac:dyDescent="0.25">
      <c r="A20119" t="str">
        <f>"910812134697"</f>
        <v>910812134697</v>
      </c>
      <c r="B20119" t="s">
        <v>28475</v>
      </c>
      <c r="C20119" t="s">
        <v>7</v>
      </c>
      <c r="D20119" t="s">
        <v>14</v>
      </c>
      <c r="E20119" t="s">
        <v>28210</v>
      </c>
    </row>
    <row r="20120" spans="1:6" x14ac:dyDescent="0.25">
      <c r="A20120" t="str">
        <f>"910900011327"</f>
        <v>910900011327</v>
      </c>
      <c r="B20120" t="s">
        <v>28476</v>
      </c>
      <c r="C20120" t="s">
        <v>7</v>
      </c>
      <c r="D20120" t="s">
        <v>14</v>
      </c>
      <c r="E20120" t="s">
        <v>28210</v>
      </c>
    </row>
    <row r="20121" spans="1:6" x14ac:dyDescent="0.25">
      <c r="A20121" t="str">
        <f>"9109005130"</f>
        <v>9109005130</v>
      </c>
      <c r="B20121" t="s">
        <v>28477</v>
      </c>
      <c r="C20121" t="s">
        <v>7</v>
      </c>
      <c r="D20121" t="s">
        <v>14</v>
      </c>
      <c r="E20121" t="s">
        <v>28210</v>
      </c>
      <c r="F20121" t="s">
        <v>28478</v>
      </c>
    </row>
    <row r="20122" spans="1:6" x14ac:dyDescent="0.25">
      <c r="A20122" t="str">
        <f>"910901000913"</f>
        <v>910901000913</v>
      </c>
      <c r="B20122" t="s">
        <v>28479</v>
      </c>
      <c r="C20122" t="s">
        <v>7</v>
      </c>
      <c r="D20122" t="s">
        <v>14</v>
      </c>
      <c r="E20122" t="s">
        <v>28210</v>
      </c>
    </row>
    <row r="20123" spans="1:6" x14ac:dyDescent="0.25">
      <c r="A20123" t="str">
        <f>"9109030313"</f>
        <v>9109030313</v>
      </c>
      <c r="B20123" t="s">
        <v>28480</v>
      </c>
      <c r="C20123" t="s">
        <v>7</v>
      </c>
      <c r="D20123" t="s">
        <v>14</v>
      </c>
      <c r="E20123" t="s">
        <v>28210</v>
      </c>
      <c r="F20123" t="s">
        <v>28481</v>
      </c>
    </row>
    <row r="20124" spans="1:6" x14ac:dyDescent="0.25">
      <c r="A20124" t="str">
        <f>"910911138406"</f>
        <v>910911138406</v>
      </c>
      <c r="B20124" t="s">
        <v>28482</v>
      </c>
      <c r="C20124" t="s">
        <v>7</v>
      </c>
      <c r="D20124" t="s">
        <v>12</v>
      </c>
      <c r="E20124" t="s">
        <v>28210</v>
      </c>
    </row>
    <row r="20125" spans="1:6" x14ac:dyDescent="0.25">
      <c r="A20125" t="str">
        <f>"911000079860"</f>
        <v>911000079860</v>
      </c>
      <c r="B20125" t="s">
        <v>28483</v>
      </c>
      <c r="C20125" t="s">
        <v>7</v>
      </c>
      <c r="D20125" t="s">
        <v>14</v>
      </c>
      <c r="E20125" t="s">
        <v>28210</v>
      </c>
    </row>
    <row r="20126" spans="1:6" x14ac:dyDescent="0.25">
      <c r="A20126" t="str">
        <f>"911000092212"</f>
        <v>911000092212</v>
      </c>
      <c r="B20126" t="s">
        <v>28484</v>
      </c>
      <c r="C20126" t="s">
        <v>7</v>
      </c>
      <c r="D20126" t="s">
        <v>14</v>
      </c>
      <c r="E20126" t="s">
        <v>28210</v>
      </c>
    </row>
    <row r="20127" spans="1:6" x14ac:dyDescent="0.25">
      <c r="A20127" t="str">
        <f>"911001354598"</f>
        <v>911001354598</v>
      </c>
      <c r="B20127" t="s">
        <v>28485</v>
      </c>
      <c r="C20127" t="s">
        <v>7</v>
      </c>
      <c r="D20127" t="s">
        <v>14</v>
      </c>
      <c r="E20127" t="s">
        <v>28210</v>
      </c>
    </row>
    <row r="20128" spans="1:6" x14ac:dyDescent="0.25">
      <c r="A20128" t="str">
        <f>"911007229307"</f>
        <v>911007229307</v>
      </c>
      <c r="B20128" t="s">
        <v>28486</v>
      </c>
      <c r="C20128" t="s">
        <v>7</v>
      </c>
      <c r="D20128" t="s">
        <v>14</v>
      </c>
      <c r="E20128" t="s">
        <v>28210</v>
      </c>
    </row>
    <row r="20129" spans="1:6" x14ac:dyDescent="0.25">
      <c r="A20129" t="str">
        <f>"911016069508"</f>
        <v>911016069508</v>
      </c>
      <c r="B20129" t="s">
        <v>28487</v>
      </c>
      <c r="C20129" t="s">
        <v>7</v>
      </c>
      <c r="D20129" t="s">
        <v>14</v>
      </c>
      <c r="E20129" t="s">
        <v>28210</v>
      </c>
    </row>
    <row r="20130" spans="1:6" x14ac:dyDescent="0.25">
      <c r="A20130" t="str">
        <f>"910100003768"</f>
        <v>910100003768</v>
      </c>
      <c r="B20130" t="s">
        <v>28488</v>
      </c>
      <c r="C20130" t="s">
        <v>7</v>
      </c>
      <c r="D20130" t="s">
        <v>14</v>
      </c>
      <c r="E20130" t="s">
        <v>28210</v>
      </c>
    </row>
    <row r="20131" spans="1:6" x14ac:dyDescent="0.25">
      <c r="A20131" t="str">
        <f>"910100016206"</f>
        <v>910100016206</v>
      </c>
      <c r="B20131" t="s">
        <v>28489</v>
      </c>
      <c r="C20131" t="s">
        <v>7</v>
      </c>
      <c r="D20131" t="s">
        <v>14</v>
      </c>
      <c r="E20131" t="s">
        <v>28210</v>
      </c>
    </row>
    <row r="20132" spans="1:6" x14ac:dyDescent="0.25">
      <c r="A20132" t="str">
        <f>"910200085683"</f>
        <v>910200085683</v>
      </c>
      <c r="B20132" t="s">
        <v>28490</v>
      </c>
      <c r="C20132" t="s">
        <v>7</v>
      </c>
      <c r="D20132" t="s">
        <v>12</v>
      </c>
      <c r="E20132" t="s">
        <v>28210</v>
      </c>
    </row>
    <row r="20133" spans="1:6" x14ac:dyDescent="0.25">
      <c r="A20133" t="str">
        <f>"910200246588"</f>
        <v>910200246588</v>
      </c>
      <c r="B20133" t="s">
        <v>28491</v>
      </c>
      <c r="C20133" t="s">
        <v>7</v>
      </c>
      <c r="D20133" t="s">
        <v>14</v>
      </c>
      <c r="E20133" t="s">
        <v>28210</v>
      </c>
    </row>
    <row r="20134" spans="1:6" x14ac:dyDescent="0.25">
      <c r="A20134" t="str">
        <f>"9102046160"</f>
        <v>9102046160</v>
      </c>
      <c r="B20134" t="s">
        <v>28492</v>
      </c>
      <c r="C20134" t="s">
        <v>7</v>
      </c>
      <c r="D20134" t="s">
        <v>14</v>
      </c>
      <c r="E20134" t="s">
        <v>28210</v>
      </c>
      <c r="F20134" t="s">
        <v>28493</v>
      </c>
    </row>
    <row r="20135" spans="1:6" x14ac:dyDescent="0.25">
      <c r="A20135" t="str">
        <f>"9102046219"</f>
        <v>9102046219</v>
      </c>
      <c r="B20135" t="s">
        <v>28494</v>
      </c>
      <c r="C20135" t="s">
        <v>7</v>
      </c>
      <c r="D20135" t="s">
        <v>14</v>
      </c>
      <c r="E20135" t="s">
        <v>28210</v>
      </c>
      <c r="F20135" t="s">
        <v>28495</v>
      </c>
    </row>
    <row r="20136" spans="1:6" x14ac:dyDescent="0.25">
      <c r="A20136" t="str">
        <f>"910207567252"</f>
        <v>910207567252</v>
      </c>
      <c r="B20136" t="s">
        <v>28496</v>
      </c>
      <c r="C20136" t="s">
        <v>7</v>
      </c>
      <c r="D20136" t="s">
        <v>12</v>
      </c>
      <c r="E20136" t="s">
        <v>28210</v>
      </c>
    </row>
    <row r="20137" spans="1:6" x14ac:dyDescent="0.25">
      <c r="A20137" t="str">
        <f>"910210088740"</f>
        <v>910210088740</v>
      </c>
      <c r="B20137" t="s">
        <v>28497</v>
      </c>
      <c r="C20137" t="s">
        <v>7</v>
      </c>
      <c r="D20137" t="s">
        <v>12</v>
      </c>
      <c r="E20137" t="s">
        <v>28210</v>
      </c>
    </row>
    <row r="20138" spans="1:6" x14ac:dyDescent="0.25">
      <c r="A20138" t="str">
        <f>"910216636960"</f>
        <v>910216636960</v>
      </c>
      <c r="B20138" t="s">
        <v>28498</v>
      </c>
      <c r="C20138" t="s">
        <v>7</v>
      </c>
      <c r="D20138" t="s">
        <v>146</v>
      </c>
      <c r="E20138" t="s">
        <v>28210</v>
      </c>
    </row>
    <row r="20139" spans="1:6" x14ac:dyDescent="0.25">
      <c r="A20139" t="str">
        <f>"9102242485"</f>
        <v>9102242485</v>
      </c>
      <c r="B20139" t="s">
        <v>28499</v>
      </c>
      <c r="C20139" t="s">
        <v>7</v>
      </c>
      <c r="D20139" t="s">
        <v>14</v>
      </c>
      <c r="E20139" t="s">
        <v>28210</v>
      </c>
      <c r="F20139" t="s">
        <v>28500</v>
      </c>
    </row>
    <row r="20140" spans="1:6" x14ac:dyDescent="0.25">
      <c r="A20140" t="str">
        <f>"910301065404"</f>
        <v>910301065404</v>
      </c>
      <c r="B20140" t="s">
        <v>28501</v>
      </c>
      <c r="C20140" t="s">
        <v>7</v>
      </c>
      <c r="D20140" t="s">
        <v>14</v>
      </c>
      <c r="E20140" t="s">
        <v>28210</v>
      </c>
    </row>
    <row r="20141" spans="1:6" x14ac:dyDescent="0.25">
      <c r="A20141" t="str">
        <f>"910303101369"</f>
        <v>910303101369</v>
      </c>
      <c r="B20141" t="s">
        <v>28502</v>
      </c>
      <c r="C20141" t="s">
        <v>7</v>
      </c>
      <c r="D20141" t="s">
        <v>14</v>
      </c>
      <c r="E20141" t="s">
        <v>28210</v>
      </c>
    </row>
    <row r="20142" spans="1:6" x14ac:dyDescent="0.25">
      <c r="A20142" t="str">
        <f>"910402014646"</f>
        <v>910402014646</v>
      </c>
      <c r="B20142" t="s">
        <v>28503</v>
      </c>
      <c r="C20142" t="s">
        <v>7</v>
      </c>
      <c r="D20142" t="s">
        <v>14</v>
      </c>
      <c r="E20142" t="s">
        <v>28210</v>
      </c>
    </row>
    <row r="20143" spans="1:6" x14ac:dyDescent="0.25">
      <c r="A20143" t="str">
        <f>"910402163655"</f>
        <v>910402163655</v>
      </c>
      <c r="B20143" t="s">
        <v>28504</v>
      </c>
      <c r="C20143" t="s">
        <v>7</v>
      </c>
      <c r="D20143" t="s">
        <v>14</v>
      </c>
      <c r="E20143" t="s">
        <v>28210</v>
      </c>
    </row>
    <row r="20144" spans="1:6" x14ac:dyDescent="0.25">
      <c r="A20144" t="str">
        <f>"910505454409"</f>
        <v>910505454409</v>
      </c>
      <c r="B20144" t="s">
        <v>28505</v>
      </c>
      <c r="C20144" t="s">
        <v>7</v>
      </c>
      <c r="D20144" t="s">
        <v>14</v>
      </c>
      <c r="E20144" t="s">
        <v>28210</v>
      </c>
    </row>
    <row r="20145" spans="1:6" x14ac:dyDescent="0.25">
      <c r="A20145" t="str">
        <f>"910506796050"</f>
        <v>910506796050</v>
      </c>
      <c r="B20145" t="s">
        <v>28506</v>
      </c>
      <c r="C20145" t="s">
        <v>7</v>
      </c>
      <c r="D20145" t="s">
        <v>14</v>
      </c>
      <c r="E20145" t="s">
        <v>28210</v>
      </c>
    </row>
    <row r="20146" spans="1:6" x14ac:dyDescent="0.25">
      <c r="A20146" t="str">
        <f>"910606691942"</f>
        <v>910606691942</v>
      </c>
      <c r="B20146" t="s">
        <v>28507</v>
      </c>
      <c r="C20146" t="s">
        <v>7</v>
      </c>
      <c r="D20146" t="s">
        <v>33</v>
      </c>
      <c r="E20146" t="s">
        <v>28210</v>
      </c>
    </row>
    <row r="20147" spans="1:6" x14ac:dyDescent="0.25">
      <c r="A20147" t="str">
        <f>"910702051600"</f>
        <v>910702051600</v>
      </c>
      <c r="B20147" t="s">
        <v>28508</v>
      </c>
      <c r="C20147" t="s">
        <v>7</v>
      </c>
      <c r="D20147" t="s">
        <v>14</v>
      </c>
      <c r="E20147" t="s">
        <v>28210</v>
      </c>
    </row>
    <row r="20148" spans="1:6" x14ac:dyDescent="0.25">
      <c r="A20148" t="str">
        <f>"910801690621"</f>
        <v>910801690621</v>
      </c>
      <c r="B20148" t="s">
        <v>28509</v>
      </c>
      <c r="C20148" t="s">
        <v>7</v>
      </c>
      <c r="D20148" t="s">
        <v>12</v>
      </c>
      <c r="E20148" t="s">
        <v>28210</v>
      </c>
    </row>
    <row r="20149" spans="1:6" x14ac:dyDescent="0.25">
      <c r="A20149" t="str">
        <f>"910810366117"</f>
        <v>910810366117</v>
      </c>
      <c r="B20149" t="s">
        <v>28510</v>
      </c>
      <c r="C20149" t="s">
        <v>7</v>
      </c>
      <c r="D20149" t="s">
        <v>14</v>
      </c>
      <c r="E20149" t="s">
        <v>28210</v>
      </c>
    </row>
    <row r="20150" spans="1:6" x14ac:dyDescent="0.25">
      <c r="A20150" t="str">
        <f>"911112939225"</f>
        <v>911112939225</v>
      </c>
      <c r="B20150" t="s">
        <v>28511</v>
      </c>
      <c r="C20150" t="s">
        <v>7</v>
      </c>
      <c r="D20150" t="s">
        <v>12</v>
      </c>
      <c r="E20150" t="s">
        <v>28210</v>
      </c>
    </row>
    <row r="20151" spans="1:6" x14ac:dyDescent="0.25">
      <c r="A20151" t="str">
        <f>"911115090405"</f>
        <v>911115090405</v>
      </c>
      <c r="B20151" t="s">
        <v>28512</v>
      </c>
      <c r="C20151" t="s">
        <v>7</v>
      </c>
      <c r="D20151" t="s">
        <v>14</v>
      </c>
      <c r="E20151" t="s">
        <v>28210</v>
      </c>
    </row>
    <row r="20152" spans="1:6" x14ac:dyDescent="0.25">
      <c r="A20152" t="str">
        <f>"911115707991"</f>
        <v>911115707991</v>
      </c>
      <c r="B20152" t="s">
        <v>28513</v>
      </c>
      <c r="C20152" t="s">
        <v>7</v>
      </c>
      <c r="D20152" t="s">
        <v>14</v>
      </c>
      <c r="E20152" t="s">
        <v>28210</v>
      </c>
    </row>
    <row r="20153" spans="1:6" x14ac:dyDescent="0.25">
      <c r="A20153" t="str">
        <f>"920157771111"</f>
        <v>920157771111</v>
      </c>
      <c r="B20153" t="s">
        <v>28514</v>
      </c>
      <c r="C20153" t="s">
        <v>7</v>
      </c>
      <c r="D20153" t="s">
        <v>14</v>
      </c>
      <c r="E20153" t="s">
        <v>28210</v>
      </c>
    </row>
    <row r="20154" spans="1:6" x14ac:dyDescent="0.25">
      <c r="A20154" t="str">
        <f>"911102200227"</f>
        <v>911102200227</v>
      </c>
      <c r="B20154" t="s">
        <v>28515</v>
      </c>
      <c r="C20154" t="s">
        <v>7</v>
      </c>
      <c r="D20154" t="s">
        <v>14</v>
      </c>
      <c r="E20154" t="s">
        <v>28210</v>
      </c>
    </row>
    <row r="20155" spans="1:6" x14ac:dyDescent="0.25">
      <c r="A20155" t="str">
        <f>"911105050812"</f>
        <v>911105050812</v>
      </c>
      <c r="B20155" t="s">
        <v>28516</v>
      </c>
      <c r="C20155" t="s">
        <v>7</v>
      </c>
      <c r="D20155" t="s">
        <v>14</v>
      </c>
      <c r="E20155" t="s">
        <v>28210</v>
      </c>
    </row>
    <row r="20156" spans="1:6" x14ac:dyDescent="0.25">
      <c r="A20156" t="str">
        <f>"911112831849"</f>
        <v>911112831849</v>
      </c>
      <c r="B20156" t="s">
        <v>28517</v>
      </c>
      <c r="C20156" t="s">
        <v>7</v>
      </c>
      <c r="D20156" t="s">
        <v>14</v>
      </c>
      <c r="E20156" t="s">
        <v>28210</v>
      </c>
    </row>
    <row r="20157" spans="1:6" x14ac:dyDescent="0.25">
      <c r="A20157" t="str">
        <f>"9109030296"</f>
        <v>9109030296</v>
      </c>
      <c r="B20157" t="s">
        <v>28518</v>
      </c>
      <c r="C20157" t="s">
        <v>7</v>
      </c>
      <c r="D20157" t="s">
        <v>12</v>
      </c>
      <c r="E20157" t="s">
        <v>28210</v>
      </c>
      <c r="F20157" t="s">
        <v>28519</v>
      </c>
    </row>
    <row r="20158" spans="1:6" x14ac:dyDescent="0.25">
      <c r="A20158" t="str">
        <f>"910911432990"</f>
        <v>910911432990</v>
      </c>
      <c r="B20158" t="s">
        <v>28520</v>
      </c>
      <c r="C20158" t="s">
        <v>7</v>
      </c>
      <c r="D20158" t="s">
        <v>14</v>
      </c>
      <c r="E20158" t="s">
        <v>28210</v>
      </c>
    </row>
    <row r="20159" spans="1:6" x14ac:dyDescent="0.25">
      <c r="A20159" t="str">
        <f>"911115268494"</f>
        <v>911115268494</v>
      </c>
      <c r="B20159" t="s">
        <v>17350</v>
      </c>
      <c r="C20159" t="s">
        <v>7</v>
      </c>
      <c r="D20159" t="s">
        <v>14</v>
      </c>
      <c r="E20159" t="s">
        <v>28210</v>
      </c>
    </row>
    <row r="20160" spans="1:6" x14ac:dyDescent="0.25">
      <c r="A20160" t="str">
        <f>"220422342226"</f>
        <v>220422342226</v>
      </c>
      <c r="B20160" t="s">
        <v>28521</v>
      </c>
      <c r="C20160" t="s">
        <v>7</v>
      </c>
      <c r="D20160" t="s">
        <v>14</v>
      </c>
      <c r="E20160" t="s">
        <v>28522</v>
      </c>
    </row>
    <row r="20161" spans="1:6" x14ac:dyDescent="0.25">
      <c r="A20161" t="str">
        <f>"695010275511"</f>
        <v>695010275511</v>
      </c>
      <c r="B20161" t="s">
        <v>28523</v>
      </c>
      <c r="C20161" t="s">
        <v>7</v>
      </c>
      <c r="D20161" t="s">
        <v>14</v>
      </c>
      <c r="E20161" t="s">
        <v>28522</v>
      </c>
    </row>
    <row r="20162" spans="1:6" x14ac:dyDescent="0.25">
      <c r="A20162" t="str">
        <f>"540452314876"</f>
        <v>540452314876</v>
      </c>
      <c r="B20162" t="s">
        <v>28524</v>
      </c>
      <c r="C20162" t="s">
        <v>7</v>
      </c>
      <c r="D20162" t="s">
        <v>8</v>
      </c>
      <c r="E20162" t="s">
        <v>28522</v>
      </c>
    </row>
    <row r="20163" spans="1:6" x14ac:dyDescent="0.25">
      <c r="A20163" t="str">
        <f>"226321524206"</f>
        <v>226321524206</v>
      </c>
      <c r="B20163" t="s">
        <v>28525</v>
      </c>
      <c r="C20163" t="s">
        <v>7</v>
      </c>
      <c r="D20163" t="s">
        <v>14</v>
      </c>
      <c r="E20163" t="s">
        <v>28522</v>
      </c>
    </row>
    <row r="20164" spans="1:6" x14ac:dyDescent="0.25">
      <c r="A20164" t="str">
        <f>"236406763880"</f>
        <v>236406763880</v>
      </c>
      <c r="B20164" t="s">
        <v>28526</v>
      </c>
      <c r="C20164" t="s">
        <v>7</v>
      </c>
      <c r="D20164" t="s">
        <v>14</v>
      </c>
      <c r="E20164" t="s">
        <v>28522</v>
      </c>
    </row>
    <row r="20165" spans="1:6" x14ac:dyDescent="0.25">
      <c r="A20165" t="str">
        <f>"771000940313"</f>
        <v>771000940313</v>
      </c>
      <c r="B20165" t="s">
        <v>28527</v>
      </c>
      <c r="C20165" t="s">
        <v>7</v>
      </c>
      <c r="D20165" t="s">
        <v>12</v>
      </c>
      <c r="E20165" t="s">
        <v>28522</v>
      </c>
    </row>
    <row r="20166" spans="1:6" x14ac:dyDescent="0.25">
      <c r="A20166" t="str">
        <f>"910923533094"</f>
        <v>910923533094</v>
      </c>
      <c r="B20166" t="s">
        <v>28528</v>
      </c>
      <c r="C20166" t="s">
        <v>7</v>
      </c>
      <c r="D20166" t="s">
        <v>14</v>
      </c>
      <c r="E20166" t="s">
        <v>28522</v>
      </c>
    </row>
    <row r="20167" spans="1:6" x14ac:dyDescent="0.25">
      <c r="A20167" t="str">
        <f>"9200018153"</f>
        <v>9200018153</v>
      </c>
      <c r="B20167" t="s">
        <v>28529</v>
      </c>
      <c r="C20167" t="s">
        <v>7</v>
      </c>
      <c r="D20167" t="s">
        <v>33</v>
      </c>
      <c r="E20167" t="s">
        <v>28522</v>
      </c>
      <c r="F20167" t="s">
        <v>28530</v>
      </c>
    </row>
    <row r="20168" spans="1:6" x14ac:dyDescent="0.25">
      <c r="A20168" t="str">
        <f>"9201000871"</f>
        <v>9201000871</v>
      </c>
      <c r="B20168" t="s">
        <v>28531</v>
      </c>
      <c r="C20168" t="s">
        <v>7</v>
      </c>
      <c r="D20168" t="s">
        <v>12</v>
      </c>
      <c r="E20168" t="s">
        <v>28522</v>
      </c>
      <c r="F20168" t="s">
        <v>28532</v>
      </c>
    </row>
    <row r="20169" spans="1:6" x14ac:dyDescent="0.25">
      <c r="A20169" t="str">
        <f>"920100142905"</f>
        <v>920100142905</v>
      </c>
      <c r="B20169" t="s">
        <v>28533</v>
      </c>
      <c r="C20169" t="s">
        <v>7</v>
      </c>
      <c r="D20169" t="s">
        <v>14</v>
      </c>
      <c r="E20169" t="s">
        <v>28522</v>
      </c>
    </row>
    <row r="20170" spans="1:6" x14ac:dyDescent="0.25">
      <c r="A20170" t="str">
        <f>"920100167307"</f>
        <v>920100167307</v>
      </c>
      <c r="B20170" t="s">
        <v>28534</v>
      </c>
      <c r="C20170" t="s">
        <v>7</v>
      </c>
      <c r="D20170" t="s">
        <v>12</v>
      </c>
      <c r="E20170" t="s">
        <v>28522</v>
      </c>
    </row>
    <row r="20171" spans="1:6" x14ac:dyDescent="0.25">
      <c r="A20171" t="str">
        <f>"9201013800"</f>
        <v>9201013800</v>
      </c>
      <c r="B20171" t="s">
        <v>28535</v>
      </c>
      <c r="C20171" t="s">
        <v>7</v>
      </c>
      <c r="D20171" t="s">
        <v>14</v>
      </c>
      <c r="E20171" t="s">
        <v>28522</v>
      </c>
      <c r="F20171" t="s">
        <v>28536</v>
      </c>
    </row>
    <row r="20172" spans="1:6" x14ac:dyDescent="0.25">
      <c r="A20172" t="str">
        <f>"9201530195"</f>
        <v>9201530195</v>
      </c>
      <c r="B20172" t="s">
        <v>28537</v>
      </c>
      <c r="C20172" t="s">
        <v>7</v>
      </c>
      <c r="D20172" t="s">
        <v>14</v>
      </c>
      <c r="E20172" t="s">
        <v>28522</v>
      </c>
      <c r="F20172" t="s">
        <v>28538</v>
      </c>
    </row>
    <row r="20173" spans="1:6" x14ac:dyDescent="0.25">
      <c r="A20173" t="str">
        <f>"920155955522"</f>
        <v>920155955522</v>
      </c>
      <c r="B20173" t="s">
        <v>28539</v>
      </c>
      <c r="C20173" t="s">
        <v>7</v>
      </c>
      <c r="D20173" t="s">
        <v>14</v>
      </c>
      <c r="E20173" t="s">
        <v>28522</v>
      </c>
    </row>
    <row r="20174" spans="1:6" x14ac:dyDescent="0.25">
      <c r="A20174" t="str">
        <f>"920351672023"</f>
        <v>920351672023</v>
      </c>
      <c r="B20174" t="s">
        <v>28540</v>
      </c>
      <c r="C20174" t="s">
        <v>7</v>
      </c>
      <c r="D20174" t="s">
        <v>14</v>
      </c>
      <c r="E20174" t="s">
        <v>28522</v>
      </c>
    </row>
    <row r="20175" spans="1:6" x14ac:dyDescent="0.25">
      <c r="A20175" t="str">
        <f>"9204004909"</f>
        <v>9204004909</v>
      </c>
      <c r="B20175" t="s">
        <v>28541</v>
      </c>
      <c r="C20175" t="s">
        <v>7</v>
      </c>
      <c r="D20175" t="s">
        <v>12</v>
      </c>
      <c r="E20175" t="s">
        <v>28522</v>
      </c>
      <c r="F20175" t="s">
        <v>28542</v>
      </c>
    </row>
    <row r="20176" spans="1:6" x14ac:dyDescent="0.25">
      <c r="A20176" t="str">
        <f>"920452468169"</f>
        <v>920452468169</v>
      </c>
      <c r="B20176" t="s">
        <v>28543</v>
      </c>
      <c r="C20176" t="s">
        <v>7</v>
      </c>
      <c r="D20176" t="s">
        <v>14</v>
      </c>
      <c r="E20176" t="s">
        <v>28522</v>
      </c>
    </row>
    <row r="20177" spans="1:6" x14ac:dyDescent="0.25">
      <c r="A20177" t="str">
        <f>"9204568528"</f>
        <v>9204568528</v>
      </c>
      <c r="B20177" t="s">
        <v>28544</v>
      </c>
      <c r="C20177" t="s">
        <v>7</v>
      </c>
      <c r="D20177" t="s">
        <v>14</v>
      </c>
      <c r="E20177" t="s">
        <v>28522</v>
      </c>
      <c r="F20177" t="s">
        <v>28545</v>
      </c>
    </row>
    <row r="20178" spans="1:6" x14ac:dyDescent="0.25">
      <c r="A20178" t="str">
        <f>"9200015667"</f>
        <v>9200015667</v>
      </c>
      <c r="B20178" t="s">
        <v>28546</v>
      </c>
      <c r="C20178" t="s">
        <v>7</v>
      </c>
      <c r="D20178" t="s">
        <v>12</v>
      </c>
      <c r="E20178" t="s">
        <v>28522</v>
      </c>
      <c r="F20178" t="s">
        <v>28547</v>
      </c>
    </row>
    <row r="20179" spans="1:6" x14ac:dyDescent="0.25">
      <c r="A20179" t="str">
        <f>"9201000085"</f>
        <v>9201000085</v>
      </c>
      <c r="B20179" t="s">
        <v>28548</v>
      </c>
      <c r="C20179" t="s">
        <v>7</v>
      </c>
      <c r="D20179" t="s">
        <v>14</v>
      </c>
      <c r="E20179" t="s">
        <v>28522</v>
      </c>
      <c r="F20179" t="s">
        <v>28549</v>
      </c>
    </row>
    <row r="20180" spans="1:6" x14ac:dyDescent="0.25">
      <c r="A20180" t="str">
        <f>"920100155904"</f>
        <v>920100155904</v>
      </c>
      <c r="B20180" t="s">
        <v>28550</v>
      </c>
      <c r="C20180" t="s">
        <v>7</v>
      </c>
      <c r="D20180" t="s">
        <v>14</v>
      </c>
      <c r="E20180" t="s">
        <v>28522</v>
      </c>
    </row>
    <row r="20181" spans="1:6" x14ac:dyDescent="0.25">
      <c r="A20181" t="str">
        <f>"9201001804"</f>
        <v>9201001804</v>
      </c>
      <c r="B20181" t="s">
        <v>28551</v>
      </c>
      <c r="C20181" t="s">
        <v>7</v>
      </c>
      <c r="D20181" t="s">
        <v>14</v>
      </c>
      <c r="E20181" t="s">
        <v>28522</v>
      </c>
      <c r="F20181" t="s">
        <v>28552</v>
      </c>
    </row>
    <row r="20182" spans="1:6" x14ac:dyDescent="0.25">
      <c r="A20182" t="str">
        <f>"9201003960"</f>
        <v>9201003960</v>
      </c>
      <c r="B20182" t="s">
        <v>28553</v>
      </c>
      <c r="C20182" t="s">
        <v>7</v>
      </c>
      <c r="D20182" t="s">
        <v>14</v>
      </c>
      <c r="E20182" t="s">
        <v>28522</v>
      </c>
      <c r="F20182" t="s">
        <v>28552</v>
      </c>
    </row>
    <row r="20183" spans="1:6" x14ac:dyDescent="0.25">
      <c r="A20183" t="str">
        <f>"9201006665"</f>
        <v>9201006665</v>
      </c>
      <c r="B20183" t="s">
        <v>28554</v>
      </c>
      <c r="C20183" t="s">
        <v>7</v>
      </c>
      <c r="D20183" t="s">
        <v>14</v>
      </c>
      <c r="E20183" t="s">
        <v>28522</v>
      </c>
      <c r="F20183" t="s">
        <v>28555</v>
      </c>
    </row>
    <row r="20184" spans="1:6" x14ac:dyDescent="0.25">
      <c r="A20184" t="str">
        <f>"9201007027"</f>
        <v>9201007027</v>
      </c>
      <c r="B20184" t="s">
        <v>28556</v>
      </c>
      <c r="C20184" t="s">
        <v>7</v>
      </c>
      <c r="D20184" t="s">
        <v>12</v>
      </c>
      <c r="E20184" t="s">
        <v>28522</v>
      </c>
      <c r="F20184" t="s">
        <v>28557</v>
      </c>
    </row>
    <row r="20185" spans="1:6" x14ac:dyDescent="0.25">
      <c r="A20185" t="str">
        <f>"9201007370"</f>
        <v>9201007370</v>
      </c>
      <c r="B20185" t="s">
        <v>28558</v>
      </c>
      <c r="C20185" t="s">
        <v>7</v>
      </c>
      <c r="D20185" t="s">
        <v>14</v>
      </c>
      <c r="E20185" t="s">
        <v>28522</v>
      </c>
      <c r="F20185" t="s">
        <v>28559</v>
      </c>
    </row>
    <row r="20186" spans="1:6" x14ac:dyDescent="0.25">
      <c r="A20186" t="str">
        <f>"920150008937"</f>
        <v>920150008937</v>
      </c>
      <c r="B20186" t="s">
        <v>28560</v>
      </c>
      <c r="C20186" t="s">
        <v>7</v>
      </c>
      <c r="D20186" t="s">
        <v>14</v>
      </c>
      <c r="E20186" t="s">
        <v>28522</v>
      </c>
    </row>
    <row r="20187" spans="1:6" x14ac:dyDescent="0.25">
      <c r="A20187" t="str">
        <f>"920150783460"</f>
        <v>920150783460</v>
      </c>
      <c r="B20187" t="s">
        <v>28561</v>
      </c>
      <c r="C20187" t="s">
        <v>7</v>
      </c>
      <c r="D20187" t="s">
        <v>14</v>
      </c>
      <c r="E20187" t="s">
        <v>28522</v>
      </c>
    </row>
    <row r="20188" spans="1:6" x14ac:dyDescent="0.25">
      <c r="A20188" t="str">
        <f>"920151089784"</f>
        <v>920151089784</v>
      </c>
      <c r="B20188" t="s">
        <v>28562</v>
      </c>
      <c r="C20188" t="s">
        <v>7</v>
      </c>
      <c r="D20188" t="s">
        <v>33</v>
      </c>
      <c r="E20188" t="s">
        <v>28522</v>
      </c>
    </row>
    <row r="20189" spans="1:6" x14ac:dyDescent="0.25">
      <c r="A20189" t="str">
        <f>"9201532315"</f>
        <v>9201532315</v>
      </c>
      <c r="B20189" t="s">
        <v>28563</v>
      </c>
      <c r="C20189" t="s">
        <v>7</v>
      </c>
      <c r="D20189" t="s">
        <v>33</v>
      </c>
      <c r="E20189" t="s">
        <v>28522</v>
      </c>
      <c r="F20189" t="s">
        <v>28564</v>
      </c>
    </row>
    <row r="20190" spans="1:6" x14ac:dyDescent="0.25">
      <c r="A20190" t="str">
        <f>"920155532703"</f>
        <v>920155532703</v>
      </c>
      <c r="B20190" t="s">
        <v>28565</v>
      </c>
      <c r="C20190" t="s">
        <v>7</v>
      </c>
      <c r="D20190" t="s">
        <v>14</v>
      </c>
      <c r="E20190" t="s">
        <v>28522</v>
      </c>
    </row>
    <row r="20191" spans="1:6" x14ac:dyDescent="0.25">
      <c r="A20191" t="str">
        <f>"920253216008"</f>
        <v>920253216008</v>
      </c>
      <c r="B20191" t="s">
        <v>28566</v>
      </c>
      <c r="C20191" t="s">
        <v>7</v>
      </c>
      <c r="D20191" t="s">
        <v>14</v>
      </c>
      <c r="E20191" t="s">
        <v>28522</v>
      </c>
    </row>
    <row r="20192" spans="1:6" x14ac:dyDescent="0.25">
      <c r="A20192" t="str">
        <f>"920400118999"</f>
        <v>920400118999</v>
      </c>
      <c r="B20192" t="s">
        <v>28567</v>
      </c>
      <c r="C20192" t="s">
        <v>7</v>
      </c>
      <c r="D20192" t="s">
        <v>14</v>
      </c>
      <c r="E20192" t="s">
        <v>28522</v>
      </c>
    </row>
    <row r="20193" spans="1:6" x14ac:dyDescent="0.25">
      <c r="A20193" t="str">
        <f>"9204003013"</f>
        <v>9204003013</v>
      </c>
      <c r="B20193" t="s">
        <v>28568</v>
      </c>
      <c r="C20193" t="s">
        <v>7</v>
      </c>
      <c r="D20193" t="s">
        <v>12</v>
      </c>
      <c r="E20193" t="s">
        <v>28522</v>
      </c>
      <c r="F20193" t="s">
        <v>28569</v>
      </c>
    </row>
    <row r="20194" spans="1:6" x14ac:dyDescent="0.25">
      <c r="A20194" t="str">
        <f>"9204009463"</f>
        <v>9204009463</v>
      </c>
      <c r="B20194" t="s">
        <v>28570</v>
      </c>
      <c r="C20194" t="s">
        <v>7</v>
      </c>
      <c r="D20194" t="s">
        <v>14</v>
      </c>
      <c r="E20194" t="s">
        <v>28522</v>
      </c>
      <c r="F20194" t="s">
        <v>28571</v>
      </c>
    </row>
    <row r="20195" spans="1:6" x14ac:dyDescent="0.25">
      <c r="A20195" t="str">
        <f>"9204014181"</f>
        <v>9204014181</v>
      </c>
      <c r="B20195" t="s">
        <v>28572</v>
      </c>
      <c r="C20195" t="s">
        <v>7</v>
      </c>
      <c r="D20195" t="s">
        <v>14</v>
      </c>
      <c r="E20195" t="s">
        <v>28522</v>
      </c>
      <c r="F20195" t="s">
        <v>28573</v>
      </c>
    </row>
    <row r="20196" spans="1:6" x14ac:dyDescent="0.25">
      <c r="A20196" t="str">
        <f>"920450733206"</f>
        <v>920450733206</v>
      </c>
      <c r="B20196" t="s">
        <v>28574</v>
      </c>
      <c r="C20196" t="s">
        <v>7</v>
      </c>
      <c r="D20196" t="s">
        <v>12</v>
      </c>
      <c r="E20196" t="s">
        <v>28522</v>
      </c>
    </row>
    <row r="20197" spans="1:6" x14ac:dyDescent="0.25">
      <c r="A20197" t="str">
        <f>"920451288445"</f>
        <v>920451288445</v>
      </c>
      <c r="B20197" t="s">
        <v>28575</v>
      </c>
      <c r="C20197" t="s">
        <v>7</v>
      </c>
      <c r="D20197" t="s">
        <v>33</v>
      </c>
      <c r="E20197" t="s">
        <v>28522</v>
      </c>
    </row>
    <row r="20198" spans="1:6" x14ac:dyDescent="0.25">
      <c r="A20198" t="str">
        <f>"920454701808"</f>
        <v>920454701808</v>
      </c>
      <c r="B20198" t="s">
        <v>28576</v>
      </c>
      <c r="C20198" t="s">
        <v>7</v>
      </c>
      <c r="D20198" t="s">
        <v>14</v>
      </c>
      <c r="E20198" t="s">
        <v>28522</v>
      </c>
    </row>
    <row r="20199" spans="1:6" x14ac:dyDescent="0.25">
      <c r="A20199" t="str">
        <f>"9201000864"</f>
        <v>9201000864</v>
      </c>
      <c r="B20199" t="s">
        <v>28577</v>
      </c>
      <c r="C20199" t="s">
        <v>7</v>
      </c>
      <c r="D20199" t="s">
        <v>12</v>
      </c>
      <c r="E20199" t="s">
        <v>28522</v>
      </c>
      <c r="F20199" t="s">
        <v>28578</v>
      </c>
    </row>
    <row r="20200" spans="1:6" x14ac:dyDescent="0.25">
      <c r="A20200" t="str">
        <f>"9201004957"</f>
        <v>9201004957</v>
      </c>
      <c r="B20200" t="s">
        <v>28579</v>
      </c>
      <c r="C20200" t="s">
        <v>7</v>
      </c>
      <c r="D20200" t="s">
        <v>14</v>
      </c>
      <c r="E20200" t="s">
        <v>28522</v>
      </c>
      <c r="F20200" t="s">
        <v>28580</v>
      </c>
    </row>
    <row r="20201" spans="1:6" x14ac:dyDescent="0.25">
      <c r="A20201" t="str">
        <f>"920150021600"</f>
        <v>920150021600</v>
      </c>
      <c r="B20201" t="s">
        <v>28581</v>
      </c>
      <c r="C20201" t="s">
        <v>7</v>
      </c>
      <c r="D20201" t="s">
        <v>14</v>
      </c>
      <c r="E20201" t="s">
        <v>28522</v>
      </c>
    </row>
    <row r="20202" spans="1:6" x14ac:dyDescent="0.25">
      <c r="A20202" t="str">
        <f>"920150937784"</f>
        <v>920150937784</v>
      </c>
      <c r="B20202" t="s">
        <v>28582</v>
      </c>
      <c r="C20202" t="s">
        <v>7</v>
      </c>
      <c r="D20202" t="s">
        <v>14</v>
      </c>
      <c r="E20202" t="s">
        <v>28522</v>
      </c>
    </row>
    <row r="20203" spans="1:6" x14ac:dyDescent="0.25">
      <c r="A20203" t="str">
        <f>"9201513471"</f>
        <v>9201513471</v>
      </c>
      <c r="B20203" t="s">
        <v>28583</v>
      </c>
      <c r="C20203" t="s">
        <v>7</v>
      </c>
      <c r="D20203" t="s">
        <v>12</v>
      </c>
      <c r="E20203" t="s">
        <v>28522</v>
      </c>
      <c r="F20203" t="s">
        <v>28538</v>
      </c>
    </row>
    <row r="20204" spans="1:6" x14ac:dyDescent="0.25">
      <c r="A20204" t="str">
        <f>"920158341055"</f>
        <v>920158341055</v>
      </c>
      <c r="B20204" t="s">
        <v>28584</v>
      </c>
      <c r="C20204" t="s">
        <v>7</v>
      </c>
      <c r="D20204" t="s">
        <v>14</v>
      </c>
      <c r="E20204" t="s">
        <v>28522</v>
      </c>
    </row>
    <row r="20205" spans="1:6" x14ac:dyDescent="0.25">
      <c r="A20205" t="str">
        <f>"9202001349"</f>
        <v>9202001349</v>
      </c>
      <c r="B20205" t="s">
        <v>28585</v>
      </c>
      <c r="C20205" t="s">
        <v>7</v>
      </c>
      <c r="D20205" t="s">
        <v>33</v>
      </c>
      <c r="E20205" t="s">
        <v>28522</v>
      </c>
      <c r="F20205" t="s">
        <v>28586</v>
      </c>
    </row>
    <row r="20206" spans="1:6" x14ac:dyDescent="0.25">
      <c r="A20206" t="str">
        <f>"9202500517"</f>
        <v>9202500517</v>
      </c>
      <c r="B20206" t="s">
        <v>28587</v>
      </c>
      <c r="C20206" t="s">
        <v>7</v>
      </c>
      <c r="D20206" t="s">
        <v>14</v>
      </c>
      <c r="E20206" t="s">
        <v>28522</v>
      </c>
      <c r="F20206" t="s">
        <v>28588</v>
      </c>
    </row>
    <row r="20207" spans="1:6" x14ac:dyDescent="0.25">
      <c r="A20207" t="str">
        <f>"9203500750"</f>
        <v>9203500750</v>
      </c>
      <c r="B20207" t="s">
        <v>28589</v>
      </c>
      <c r="C20207" t="s">
        <v>7</v>
      </c>
      <c r="D20207" t="s">
        <v>33</v>
      </c>
      <c r="E20207" t="s">
        <v>28522</v>
      </c>
      <c r="F20207" t="s">
        <v>28590</v>
      </c>
    </row>
    <row r="20208" spans="1:6" x14ac:dyDescent="0.25">
      <c r="A20208" t="str">
        <f>"920353059038"</f>
        <v>920353059038</v>
      </c>
      <c r="B20208" t="s">
        <v>28591</v>
      </c>
      <c r="C20208" t="s">
        <v>7</v>
      </c>
      <c r="D20208" t="s">
        <v>14</v>
      </c>
      <c r="E20208" t="s">
        <v>28522</v>
      </c>
    </row>
    <row r="20209" spans="1:6" x14ac:dyDescent="0.25">
      <c r="A20209" t="str">
        <f>"920360390025"</f>
        <v>920360390025</v>
      </c>
      <c r="B20209" t="s">
        <v>28592</v>
      </c>
      <c r="C20209" t="s">
        <v>7</v>
      </c>
      <c r="D20209" t="s">
        <v>14</v>
      </c>
      <c r="E20209" t="s">
        <v>28522</v>
      </c>
    </row>
    <row r="20210" spans="1:6" x14ac:dyDescent="0.25">
      <c r="A20210" t="str">
        <f>"9204000277"</f>
        <v>9204000277</v>
      </c>
      <c r="B20210" t="s">
        <v>28593</v>
      </c>
      <c r="C20210" t="s">
        <v>7</v>
      </c>
      <c r="D20210" t="s">
        <v>14</v>
      </c>
      <c r="E20210" t="s">
        <v>28522</v>
      </c>
      <c r="F20210" t="s">
        <v>28594</v>
      </c>
    </row>
    <row r="20211" spans="1:6" x14ac:dyDescent="0.25">
      <c r="A20211" t="str">
        <f>"9204004426"</f>
        <v>9204004426</v>
      </c>
      <c r="B20211" t="s">
        <v>28595</v>
      </c>
      <c r="C20211" t="s">
        <v>7</v>
      </c>
      <c r="D20211" t="s">
        <v>33</v>
      </c>
      <c r="E20211" t="s">
        <v>28522</v>
      </c>
      <c r="F20211" t="s">
        <v>28596</v>
      </c>
    </row>
    <row r="20212" spans="1:6" x14ac:dyDescent="0.25">
      <c r="A20212" t="str">
        <f>"9204013519"</f>
        <v>9204013519</v>
      </c>
      <c r="B20212" t="s">
        <v>28597</v>
      </c>
      <c r="C20212" t="s">
        <v>7</v>
      </c>
      <c r="D20212" t="s">
        <v>14</v>
      </c>
      <c r="E20212" t="s">
        <v>28522</v>
      </c>
      <c r="F20212" t="s">
        <v>28552</v>
      </c>
    </row>
    <row r="20213" spans="1:6" x14ac:dyDescent="0.25">
      <c r="A20213" t="str">
        <f>"920454702086"</f>
        <v>920454702086</v>
      </c>
      <c r="B20213" t="s">
        <v>28598</v>
      </c>
      <c r="C20213" t="s">
        <v>7</v>
      </c>
      <c r="D20213" t="s">
        <v>14</v>
      </c>
      <c r="E20213" t="s">
        <v>28522</v>
      </c>
    </row>
    <row r="20214" spans="1:6" x14ac:dyDescent="0.25">
      <c r="A20214" t="str">
        <f>"920455346842"</f>
        <v>920455346842</v>
      </c>
      <c r="B20214" t="s">
        <v>28599</v>
      </c>
      <c r="C20214" t="s">
        <v>7</v>
      </c>
      <c r="D20214" t="s">
        <v>14</v>
      </c>
      <c r="E20214" t="s">
        <v>28522</v>
      </c>
    </row>
    <row r="20215" spans="1:6" x14ac:dyDescent="0.25">
      <c r="A20215" t="str">
        <f>"9204568535"</f>
        <v>9204568535</v>
      </c>
      <c r="B20215" t="s">
        <v>28600</v>
      </c>
      <c r="C20215" t="s">
        <v>7</v>
      </c>
      <c r="D20215" t="s">
        <v>14</v>
      </c>
      <c r="E20215" t="s">
        <v>28522</v>
      </c>
      <c r="F20215" t="s">
        <v>28601</v>
      </c>
    </row>
    <row r="20216" spans="1:6" x14ac:dyDescent="0.25">
      <c r="A20216" t="str">
        <f>"9204571129"</f>
        <v>9204571129</v>
      </c>
      <c r="B20216" t="s">
        <v>28602</v>
      </c>
      <c r="C20216" t="s">
        <v>7</v>
      </c>
      <c r="D20216" t="s">
        <v>14</v>
      </c>
      <c r="E20216" t="s">
        <v>28522</v>
      </c>
      <c r="F20216" t="s">
        <v>28603</v>
      </c>
    </row>
    <row r="20217" spans="1:6" x14ac:dyDescent="0.25">
      <c r="A20217" t="str">
        <f>"9201011288"</f>
        <v>9201011288</v>
      </c>
      <c r="B20217" t="s">
        <v>28604</v>
      </c>
      <c r="C20217" t="s">
        <v>7</v>
      </c>
      <c r="D20217" t="s">
        <v>33</v>
      </c>
      <c r="E20217" t="s">
        <v>28522</v>
      </c>
      <c r="F20217" t="s">
        <v>28605</v>
      </c>
    </row>
    <row r="20218" spans="1:6" x14ac:dyDescent="0.25">
      <c r="A20218" t="str">
        <f>"920153805320"</f>
        <v>920153805320</v>
      </c>
      <c r="B20218" t="s">
        <v>28606</v>
      </c>
      <c r="C20218" t="s">
        <v>7</v>
      </c>
      <c r="D20218" t="s">
        <v>12</v>
      </c>
      <c r="E20218" t="s">
        <v>28522</v>
      </c>
    </row>
    <row r="20219" spans="1:6" x14ac:dyDescent="0.25">
      <c r="A20219" t="str">
        <f>"920156253597"</f>
        <v>920156253597</v>
      </c>
      <c r="B20219" t="s">
        <v>28607</v>
      </c>
      <c r="C20219" t="s">
        <v>7</v>
      </c>
      <c r="D20219" t="s">
        <v>14</v>
      </c>
      <c r="E20219" t="s">
        <v>28522</v>
      </c>
    </row>
    <row r="20220" spans="1:6" x14ac:dyDescent="0.25">
      <c r="A20220" t="str">
        <f>"920156405585"</f>
        <v>920156405585</v>
      </c>
      <c r="B20220" t="s">
        <v>28608</v>
      </c>
      <c r="C20220" t="s">
        <v>7</v>
      </c>
      <c r="D20220" t="s">
        <v>14</v>
      </c>
      <c r="E20220" t="s">
        <v>28522</v>
      </c>
    </row>
    <row r="20221" spans="1:6" x14ac:dyDescent="0.25">
      <c r="A20221" t="str">
        <f>"920400160221"</f>
        <v>920400160221</v>
      </c>
      <c r="B20221" t="s">
        <v>28609</v>
      </c>
      <c r="C20221" t="s">
        <v>7</v>
      </c>
      <c r="D20221" t="s">
        <v>14</v>
      </c>
      <c r="E20221" t="s">
        <v>28522</v>
      </c>
    </row>
    <row r="20222" spans="1:6" x14ac:dyDescent="0.25">
      <c r="A20222" t="str">
        <f>"9204017560"</f>
        <v>9204017560</v>
      </c>
      <c r="B20222" t="s">
        <v>28610</v>
      </c>
      <c r="C20222" t="s">
        <v>7</v>
      </c>
      <c r="D20222" t="s">
        <v>14</v>
      </c>
      <c r="E20222" t="s">
        <v>28522</v>
      </c>
      <c r="F20222" t="s">
        <v>28611</v>
      </c>
    </row>
    <row r="20223" spans="1:6" x14ac:dyDescent="0.25">
      <c r="A20223" t="str">
        <f>"920450006296"</f>
        <v>920450006296</v>
      </c>
      <c r="B20223" t="s">
        <v>28612</v>
      </c>
      <c r="C20223" t="s">
        <v>7</v>
      </c>
      <c r="D20223" t="s">
        <v>14</v>
      </c>
      <c r="E20223" t="s">
        <v>28522</v>
      </c>
    </row>
    <row r="20224" spans="1:6" x14ac:dyDescent="0.25">
      <c r="A20224" t="str">
        <f>"614011510853"</f>
        <v>614011510853</v>
      </c>
      <c r="B20224" t="s">
        <v>28613</v>
      </c>
      <c r="C20224" t="s">
        <v>7</v>
      </c>
      <c r="D20224" t="s">
        <v>14</v>
      </c>
      <c r="E20224" t="s">
        <v>28614</v>
      </c>
    </row>
    <row r="20225" spans="1:5" x14ac:dyDescent="0.25">
      <c r="A20225" t="str">
        <f>"614040111356"</f>
        <v>614040111356</v>
      </c>
      <c r="B20225" t="s">
        <v>28615</v>
      </c>
      <c r="C20225" t="s">
        <v>7</v>
      </c>
      <c r="D20225" t="s">
        <v>14</v>
      </c>
      <c r="E20225" t="s">
        <v>28614</v>
      </c>
    </row>
    <row r="20226" spans="1:5" x14ac:dyDescent="0.25">
      <c r="A20226" t="str">
        <f>"614050464907"</f>
        <v>614050464907</v>
      </c>
      <c r="B20226" t="s">
        <v>28616</v>
      </c>
      <c r="C20226" t="s">
        <v>7</v>
      </c>
      <c r="D20226" t="s">
        <v>14</v>
      </c>
      <c r="E20226" t="s">
        <v>28614</v>
      </c>
    </row>
    <row r="20227" spans="1:5" x14ac:dyDescent="0.25">
      <c r="A20227" t="str">
        <f>"614065970818"</f>
        <v>614065970818</v>
      </c>
      <c r="B20227" t="s">
        <v>28617</v>
      </c>
      <c r="C20227" t="s">
        <v>7</v>
      </c>
      <c r="D20227" t="s">
        <v>14</v>
      </c>
      <c r="E20227" t="s">
        <v>28614</v>
      </c>
    </row>
    <row r="20228" spans="1:5" x14ac:dyDescent="0.25">
      <c r="A20228" t="str">
        <f>"614328194607"</f>
        <v>614328194607</v>
      </c>
      <c r="B20228" t="s">
        <v>28618</v>
      </c>
      <c r="C20228" t="s">
        <v>7</v>
      </c>
      <c r="D20228" t="s">
        <v>14</v>
      </c>
      <c r="E20228" t="s">
        <v>28614</v>
      </c>
    </row>
    <row r="20229" spans="1:5" x14ac:dyDescent="0.25">
      <c r="A20229" t="str">
        <f>"614502226386"</f>
        <v>614502226386</v>
      </c>
      <c r="B20229" t="s">
        <v>28619</v>
      </c>
      <c r="C20229" t="s">
        <v>7</v>
      </c>
      <c r="D20229" t="s">
        <v>14</v>
      </c>
      <c r="E20229" t="s">
        <v>28614</v>
      </c>
    </row>
    <row r="20230" spans="1:5" x14ac:dyDescent="0.25">
      <c r="A20230" t="str">
        <f>"614503595900"</f>
        <v>614503595900</v>
      </c>
      <c r="B20230" t="s">
        <v>28620</v>
      </c>
      <c r="C20230" t="s">
        <v>7</v>
      </c>
      <c r="D20230" t="s">
        <v>12</v>
      </c>
      <c r="E20230" t="s">
        <v>28614</v>
      </c>
    </row>
    <row r="20231" spans="1:5" x14ac:dyDescent="0.25">
      <c r="A20231" t="str">
        <f>"614019350190"</f>
        <v>614019350190</v>
      </c>
      <c r="B20231" t="s">
        <v>28621</v>
      </c>
      <c r="C20231" t="s">
        <v>7</v>
      </c>
      <c r="D20231" t="s">
        <v>14</v>
      </c>
      <c r="E20231" t="s">
        <v>28614</v>
      </c>
    </row>
    <row r="20232" spans="1:5" x14ac:dyDescent="0.25">
      <c r="A20232" t="str">
        <f>"614037701475"</f>
        <v>614037701475</v>
      </c>
      <c r="B20232" t="s">
        <v>28622</v>
      </c>
      <c r="C20232" t="s">
        <v>7</v>
      </c>
      <c r="D20232" t="s">
        <v>14</v>
      </c>
      <c r="E20232" t="s">
        <v>28614</v>
      </c>
    </row>
    <row r="20233" spans="1:5" x14ac:dyDescent="0.25">
      <c r="A20233" t="str">
        <f>"614321883358"</f>
        <v>614321883358</v>
      </c>
      <c r="B20233" t="s">
        <v>28623</v>
      </c>
      <c r="C20233" t="s">
        <v>7</v>
      </c>
      <c r="D20233" t="s">
        <v>14</v>
      </c>
      <c r="E20233" t="s">
        <v>28614</v>
      </c>
    </row>
    <row r="20234" spans="1:5" x14ac:dyDescent="0.25">
      <c r="A20234" t="str">
        <f>"614332334462"</f>
        <v>614332334462</v>
      </c>
      <c r="B20234" t="s">
        <v>28624</v>
      </c>
      <c r="C20234" t="s">
        <v>7</v>
      </c>
      <c r="D20234" t="s">
        <v>14</v>
      </c>
      <c r="E20234" t="s">
        <v>28614</v>
      </c>
    </row>
    <row r="20235" spans="1:5" x14ac:dyDescent="0.25">
      <c r="A20235" t="str">
        <f>"614333785080"</f>
        <v>614333785080</v>
      </c>
      <c r="B20235" t="s">
        <v>28625</v>
      </c>
      <c r="C20235" t="s">
        <v>7</v>
      </c>
      <c r="D20235" t="s">
        <v>33</v>
      </c>
      <c r="E20235" t="s">
        <v>28614</v>
      </c>
    </row>
    <row r="20236" spans="1:5" x14ac:dyDescent="0.25">
      <c r="A20236" t="str">
        <f>"614346685911"</f>
        <v>614346685911</v>
      </c>
      <c r="B20236" t="s">
        <v>28626</v>
      </c>
      <c r="C20236" t="s">
        <v>7</v>
      </c>
      <c r="D20236" t="s">
        <v>14</v>
      </c>
      <c r="E20236" t="s">
        <v>28614</v>
      </c>
    </row>
    <row r="20237" spans="1:5" x14ac:dyDescent="0.25">
      <c r="A20237" t="str">
        <f>"614016432951"</f>
        <v>614016432951</v>
      </c>
      <c r="B20237" t="s">
        <v>28627</v>
      </c>
      <c r="C20237" t="s">
        <v>7</v>
      </c>
      <c r="D20237" t="s">
        <v>14</v>
      </c>
      <c r="E20237" t="s">
        <v>28614</v>
      </c>
    </row>
    <row r="20238" spans="1:5" x14ac:dyDescent="0.25">
      <c r="A20238" t="str">
        <f>"614017630956"</f>
        <v>614017630956</v>
      </c>
      <c r="B20238" t="s">
        <v>28628</v>
      </c>
      <c r="C20238" t="s">
        <v>7</v>
      </c>
      <c r="D20238" t="s">
        <v>14</v>
      </c>
      <c r="E20238" t="s">
        <v>28614</v>
      </c>
    </row>
    <row r="20239" spans="1:5" x14ac:dyDescent="0.25">
      <c r="A20239" t="str">
        <f>"614024475116"</f>
        <v>614024475116</v>
      </c>
      <c r="B20239" t="s">
        <v>28629</v>
      </c>
      <c r="C20239" t="s">
        <v>7</v>
      </c>
      <c r="D20239" t="s">
        <v>14</v>
      </c>
      <c r="E20239" t="s">
        <v>28614</v>
      </c>
    </row>
    <row r="20240" spans="1:5" x14ac:dyDescent="0.25">
      <c r="A20240" t="str">
        <f>"614027941132"</f>
        <v>614027941132</v>
      </c>
      <c r="B20240" t="s">
        <v>28630</v>
      </c>
      <c r="C20240" t="s">
        <v>7</v>
      </c>
      <c r="D20240" t="s">
        <v>14</v>
      </c>
      <c r="E20240" t="s">
        <v>28614</v>
      </c>
    </row>
    <row r="20241" spans="1:6" x14ac:dyDescent="0.25">
      <c r="A20241" t="str">
        <f>"614328118701"</f>
        <v>614328118701</v>
      </c>
      <c r="B20241" t="s">
        <v>28631</v>
      </c>
      <c r="C20241" t="s">
        <v>7</v>
      </c>
      <c r="D20241" t="s">
        <v>14</v>
      </c>
      <c r="E20241" t="s">
        <v>28614</v>
      </c>
    </row>
    <row r="20242" spans="1:6" x14ac:dyDescent="0.25">
      <c r="A20242" t="str">
        <f>"614328176573"</f>
        <v>614328176573</v>
      </c>
      <c r="B20242" t="s">
        <v>28632</v>
      </c>
      <c r="C20242" t="s">
        <v>7</v>
      </c>
      <c r="D20242" t="s">
        <v>14</v>
      </c>
      <c r="E20242" t="s">
        <v>28614</v>
      </c>
    </row>
    <row r="20243" spans="1:6" x14ac:dyDescent="0.25">
      <c r="A20243" t="str">
        <f>"616308826019"</f>
        <v>616308826019</v>
      </c>
      <c r="B20243" t="s">
        <v>28633</v>
      </c>
      <c r="C20243" t="s">
        <v>7</v>
      </c>
      <c r="D20243" t="s">
        <v>14</v>
      </c>
      <c r="E20243" t="s">
        <v>28614</v>
      </c>
    </row>
    <row r="20244" spans="1:6" x14ac:dyDescent="0.25">
      <c r="A20244" t="str">
        <f>"619400271149"</f>
        <v>619400271149</v>
      </c>
      <c r="B20244" t="s">
        <v>28634</v>
      </c>
      <c r="C20244" t="s">
        <v>7</v>
      </c>
      <c r="D20244" t="s">
        <v>12</v>
      </c>
      <c r="E20244" t="s">
        <v>28614</v>
      </c>
    </row>
    <row r="20245" spans="1:6" x14ac:dyDescent="0.25">
      <c r="A20245" t="str">
        <f>"617100374534"</f>
        <v>617100374534</v>
      </c>
      <c r="B20245" t="s">
        <v>28635</v>
      </c>
      <c r="C20245" t="s">
        <v>7</v>
      </c>
      <c r="D20245" t="s">
        <v>14</v>
      </c>
      <c r="E20245" t="s">
        <v>28614</v>
      </c>
    </row>
    <row r="20246" spans="1:6" x14ac:dyDescent="0.25">
      <c r="A20246" t="str">
        <f>"702283136309"</f>
        <v>702283136309</v>
      </c>
      <c r="B20246" t="s">
        <v>28636</v>
      </c>
      <c r="C20246" t="s">
        <v>7</v>
      </c>
      <c r="D20246" t="s">
        <v>14</v>
      </c>
      <c r="E20246" t="s">
        <v>28614</v>
      </c>
    </row>
    <row r="20247" spans="1:6" x14ac:dyDescent="0.25">
      <c r="A20247" t="str">
        <f>"618800341141"</f>
        <v>618800341141</v>
      </c>
      <c r="B20247" t="s">
        <v>28637</v>
      </c>
      <c r="C20247" t="s">
        <v>7</v>
      </c>
      <c r="D20247" t="s">
        <v>14</v>
      </c>
      <c r="E20247" t="s">
        <v>28614</v>
      </c>
    </row>
    <row r="20248" spans="1:6" x14ac:dyDescent="0.25">
      <c r="A20248" t="str">
        <f>"783807316135"</f>
        <v>783807316135</v>
      </c>
      <c r="B20248" t="s">
        <v>28638</v>
      </c>
      <c r="C20248" t="s">
        <v>7</v>
      </c>
      <c r="D20248" t="s">
        <v>14</v>
      </c>
      <c r="E20248" t="s">
        <v>28614</v>
      </c>
    </row>
    <row r="20249" spans="1:6" x14ac:dyDescent="0.25">
      <c r="A20249" t="str">
        <f>"143413452242"</f>
        <v>143413452242</v>
      </c>
      <c r="B20249" t="s">
        <v>28639</v>
      </c>
      <c r="C20249" t="s">
        <v>7</v>
      </c>
      <c r="D20249" t="s">
        <v>14</v>
      </c>
      <c r="E20249" t="s">
        <v>28614</v>
      </c>
    </row>
    <row r="20250" spans="1:6" x14ac:dyDescent="0.25">
      <c r="A20250" t="str">
        <f>"770480603659"</f>
        <v>770480603659</v>
      </c>
      <c r="B20250" t="s">
        <v>28640</v>
      </c>
      <c r="C20250" t="s">
        <v>7</v>
      </c>
      <c r="D20250" t="s">
        <v>12</v>
      </c>
      <c r="E20250" t="s">
        <v>28614</v>
      </c>
    </row>
    <row r="20251" spans="1:6" x14ac:dyDescent="0.25">
      <c r="A20251" t="str">
        <f>"910315041594"</f>
        <v>910315041594</v>
      </c>
      <c r="B20251" t="s">
        <v>28641</v>
      </c>
      <c r="C20251" t="s">
        <v>7</v>
      </c>
      <c r="D20251" t="s">
        <v>14</v>
      </c>
      <c r="E20251" t="s">
        <v>28614</v>
      </c>
    </row>
    <row r="20252" spans="1:6" x14ac:dyDescent="0.25">
      <c r="A20252" t="str">
        <f>"910316674423"</f>
        <v>910316674423</v>
      </c>
      <c r="B20252" t="s">
        <v>28642</v>
      </c>
      <c r="C20252" t="s">
        <v>7</v>
      </c>
      <c r="D20252" t="s">
        <v>33</v>
      </c>
      <c r="E20252" t="s">
        <v>28614</v>
      </c>
    </row>
    <row r="20253" spans="1:6" x14ac:dyDescent="0.25">
      <c r="A20253" t="str">
        <f>"920002820817"</f>
        <v>920002820817</v>
      </c>
      <c r="B20253" t="s">
        <v>28643</v>
      </c>
      <c r="C20253" t="s">
        <v>7</v>
      </c>
      <c r="D20253" t="s">
        <v>14</v>
      </c>
      <c r="E20253" t="s">
        <v>28614</v>
      </c>
    </row>
    <row r="20254" spans="1:6" x14ac:dyDescent="0.25">
      <c r="A20254" t="str">
        <f>"9303039194"</f>
        <v>9303039194</v>
      </c>
      <c r="B20254" t="s">
        <v>28644</v>
      </c>
      <c r="C20254" t="s">
        <v>7</v>
      </c>
      <c r="D20254" t="s">
        <v>98</v>
      </c>
      <c r="E20254" t="s">
        <v>28614</v>
      </c>
      <c r="F20254" t="s">
        <v>28645</v>
      </c>
    </row>
    <row r="20255" spans="1:6" x14ac:dyDescent="0.25">
      <c r="A20255" t="str">
        <f>"930400382686"</f>
        <v>930400382686</v>
      </c>
      <c r="B20255" t="s">
        <v>28646</v>
      </c>
      <c r="C20255" t="s">
        <v>7</v>
      </c>
      <c r="D20255" t="s">
        <v>14</v>
      </c>
      <c r="E20255" t="s">
        <v>28614</v>
      </c>
    </row>
    <row r="20256" spans="1:6" x14ac:dyDescent="0.25">
      <c r="A20256" t="str">
        <f>"930500515259"</f>
        <v>930500515259</v>
      </c>
      <c r="B20256" t="s">
        <v>28647</v>
      </c>
      <c r="C20256" t="s">
        <v>7</v>
      </c>
      <c r="D20256" t="s">
        <v>14</v>
      </c>
      <c r="E20256" t="s">
        <v>28614</v>
      </c>
    </row>
    <row r="20257" spans="1:6" x14ac:dyDescent="0.25">
      <c r="A20257" t="str">
        <f>"930700655976"</f>
        <v>930700655976</v>
      </c>
      <c r="B20257" t="s">
        <v>28648</v>
      </c>
      <c r="C20257" t="s">
        <v>7</v>
      </c>
      <c r="D20257" t="s">
        <v>14</v>
      </c>
      <c r="E20257" t="s">
        <v>28614</v>
      </c>
    </row>
    <row r="20258" spans="1:6" x14ac:dyDescent="0.25">
      <c r="A20258" t="str">
        <f>"9308012365"</f>
        <v>9308012365</v>
      </c>
      <c r="B20258" t="s">
        <v>28649</v>
      </c>
      <c r="C20258" t="s">
        <v>7</v>
      </c>
      <c r="D20258" t="s">
        <v>14</v>
      </c>
      <c r="E20258" t="s">
        <v>28614</v>
      </c>
      <c r="F20258" t="s">
        <v>28650</v>
      </c>
    </row>
    <row r="20259" spans="1:6" x14ac:dyDescent="0.25">
      <c r="A20259" t="str">
        <f>"9308022074"</f>
        <v>9308022074</v>
      </c>
      <c r="B20259" t="s">
        <v>28651</v>
      </c>
      <c r="C20259" t="s">
        <v>7</v>
      </c>
      <c r="D20259" t="s">
        <v>8</v>
      </c>
      <c r="E20259" t="s">
        <v>28614</v>
      </c>
      <c r="F20259" t="s">
        <v>28652</v>
      </c>
    </row>
    <row r="20260" spans="1:6" x14ac:dyDescent="0.25">
      <c r="A20260" t="str">
        <f>"930900146648"</f>
        <v>930900146648</v>
      </c>
      <c r="B20260" t="s">
        <v>28653</v>
      </c>
      <c r="C20260" t="s">
        <v>7</v>
      </c>
      <c r="D20260" t="s">
        <v>14</v>
      </c>
      <c r="E20260" t="s">
        <v>28614</v>
      </c>
    </row>
    <row r="20261" spans="1:6" x14ac:dyDescent="0.25">
      <c r="A20261" t="str">
        <f>"930900536246"</f>
        <v>930900536246</v>
      </c>
      <c r="B20261" t="s">
        <v>28654</v>
      </c>
      <c r="C20261" t="s">
        <v>7</v>
      </c>
      <c r="D20261" t="s">
        <v>14</v>
      </c>
      <c r="E20261" t="s">
        <v>28614</v>
      </c>
    </row>
    <row r="20262" spans="1:6" x14ac:dyDescent="0.25">
      <c r="A20262" t="str">
        <f>"9309024807"</f>
        <v>9309024807</v>
      </c>
      <c r="B20262" t="s">
        <v>28655</v>
      </c>
      <c r="C20262" t="s">
        <v>7</v>
      </c>
      <c r="D20262" t="s">
        <v>14</v>
      </c>
      <c r="E20262" t="s">
        <v>28614</v>
      </c>
      <c r="F20262" t="s">
        <v>28656</v>
      </c>
    </row>
    <row r="20263" spans="1:6" x14ac:dyDescent="0.25">
      <c r="A20263" t="str">
        <f>"930200175594"</f>
        <v>930200175594</v>
      </c>
      <c r="B20263" t="s">
        <v>28657</v>
      </c>
      <c r="C20263" t="s">
        <v>7</v>
      </c>
      <c r="D20263" t="s">
        <v>14</v>
      </c>
      <c r="E20263" t="s">
        <v>28614</v>
      </c>
    </row>
    <row r="20264" spans="1:6" x14ac:dyDescent="0.25">
      <c r="A20264" t="str">
        <f>"9303005325"</f>
        <v>9303005325</v>
      </c>
      <c r="B20264" t="s">
        <v>28658</v>
      </c>
      <c r="C20264" t="s">
        <v>7</v>
      </c>
      <c r="D20264" t="s">
        <v>14</v>
      </c>
      <c r="E20264" t="s">
        <v>28614</v>
      </c>
      <c r="F20264" t="s">
        <v>28659</v>
      </c>
    </row>
    <row r="20265" spans="1:6" x14ac:dyDescent="0.25">
      <c r="A20265" t="str">
        <f>"9303027336"</f>
        <v>9303027336</v>
      </c>
      <c r="B20265" t="s">
        <v>28660</v>
      </c>
      <c r="C20265" t="s">
        <v>7</v>
      </c>
      <c r="D20265" t="s">
        <v>12</v>
      </c>
      <c r="E20265" t="s">
        <v>28614</v>
      </c>
      <c r="F20265" t="s">
        <v>28661</v>
      </c>
    </row>
    <row r="20266" spans="1:6" x14ac:dyDescent="0.25">
      <c r="A20266" t="str">
        <f>"9303029894"</f>
        <v>9303029894</v>
      </c>
      <c r="B20266" t="s">
        <v>28662</v>
      </c>
      <c r="C20266" t="s">
        <v>7</v>
      </c>
      <c r="D20266" t="s">
        <v>14</v>
      </c>
      <c r="E20266" t="s">
        <v>28614</v>
      </c>
      <c r="F20266" t="s">
        <v>28663</v>
      </c>
    </row>
    <row r="20267" spans="1:6" x14ac:dyDescent="0.25">
      <c r="A20267" t="str">
        <f>"9303032921"</f>
        <v>9303032921</v>
      </c>
      <c r="B20267" t="s">
        <v>28664</v>
      </c>
      <c r="C20267" t="s">
        <v>7</v>
      </c>
      <c r="D20267" t="s">
        <v>14</v>
      </c>
      <c r="E20267" t="s">
        <v>28614</v>
      </c>
      <c r="F20267" t="s">
        <v>28665</v>
      </c>
    </row>
    <row r="20268" spans="1:6" x14ac:dyDescent="0.25">
      <c r="A20268" t="str">
        <f>"9303036740"</f>
        <v>9303036740</v>
      </c>
      <c r="B20268" t="s">
        <v>28666</v>
      </c>
      <c r="C20268" t="s">
        <v>7</v>
      </c>
      <c r="D20268" t="s">
        <v>189</v>
      </c>
      <c r="E20268" t="s">
        <v>28614</v>
      </c>
      <c r="F20268" t="s">
        <v>28667</v>
      </c>
    </row>
    <row r="20269" spans="1:6" x14ac:dyDescent="0.25">
      <c r="A20269" t="str">
        <f>"9303037197"</f>
        <v>9303037197</v>
      </c>
      <c r="B20269" t="s">
        <v>28668</v>
      </c>
      <c r="C20269" t="s">
        <v>7</v>
      </c>
      <c r="D20269" t="s">
        <v>14</v>
      </c>
      <c r="E20269" t="s">
        <v>28614</v>
      </c>
      <c r="F20269" t="s">
        <v>28669</v>
      </c>
    </row>
    <row r="20270" spans="1:6" x14ac:dyDescent="0.25">
      <c r="A20270" t="str">
        <f>"9303038641"</f>
        <v>9303038641</v>
      </c>
      <c r="B20270" t="s">
        <v>28670</v>
      </c>
      <c r="C20270" t="s">
        <v>7</v>
      </c>
      <c r="D20270" t="s">
        <v>12</v>
      </c>
      <c r="E20270" t="s">
        <v>28614</v>
      </c>
      <c r="F20270" t="s">
        <v>28671</v>
      </c>
    </row>
    <row r="20271" spans="1:6" x14ac:dyDescent="0.25">
      <c r="A20271" t="str">
        <f>"930400136264"</f>
        <v>930400136264</v>
      </c>
      <c r="B20271" t="s">
        <v>28672</v>
      </c>
      <c r="C20271" t="s">
        <v>7</v>
      </c>
      <c r="D20271" t="s">
        <v>14</v>
      </c>
      <c r="E20271" t="s">
        <v>28614</v>
      </c>
    </row>
    <row r="20272" spans="1:6" x14ac:dyDescent="0.25">
      <c r="A20272" t="str">
        <f>"930400258939"</f>
        <v>930400258939</v>
      </c>
      <c r="B20272" t="s">
        <v>28673</v>
      </c>
      <c r="C20272" t="s">
        <v>7</v>
      </c>
      <c r="D20272" t="s">
        <v>14</v>
      </c>
      <c r="E20272" t="s">
        <v>28614</v>
      </c>
    </row>
    <row r="20273" spans="1:6" x14ac:dyDescent="0.25">
      <c r="A20273" t="str">
        <f>"930500080304"</f>
        <v>930500080304</v>
      </c>
      <c r="B20273" t="s">
        <v>28674</v>
      </c>
      <c r="C20273" t="s">
        <v>7</v>
      </c>
      <c r="D20273" t="s">
        <v>14</v>
      </c>
      <c r="E20273" t="s">
        <v>28614</v>
      </c>
    </row>
    <row r="20274" spans="1:6" x14ac:dyDescent="0.25">
      <c r="A20274" t="str">
        <f>"930800277206"</f>
        <v>930800277206</v>
      </c>
      <c r="B20274" t="s">
        <v>28675</v>
      </c>
      <c r="C20274" t="s">
        <v>7</v>
      </c>
      <c r="D20274" t="s">
        <v>14</v>
      </c>
      <c r="E20274" t="s">
        <v>28614</v>
      </c>
    </row>
    <row r="20275" spans="1:6" x14ac:dyDescent="0.25">
      <c r="A20275" t="str">
        <f>"9309003765"</f>
        <v>9309003765</v>
      </c>
      <c r="B20275" t="s">
        <v>28676</v>
      </c>
      <c r="C20275" t="s">
        <v>7</v>
      </c>
      <c r="D20275" t="s">
        <v>12</v>
      </c>
      <c r="E20275" t="s">
        <v>28614</v>
      </c>
      <c r="F20275" t="s">
        <v>28677</v>
      </c>
    </row>
    <row r="20276" spans="1:6" x14ac:dyDescent="0.25">
      <c r="A20276" t="str">
        <f>"9302006485"</f>
        <v>9302006485</v>
      </c>
      <c r="B20276" t="s">
        <v>28678</v>
      </c>
      <c r="C20276" t="s">
        <v>7</v>
      </c>
      <c r="D20276" t="s">
        <v>14</v>
      </c>
      <c r="E20276" t="s">
        <v>28614</v>
      </c>
      <c r="F20276" t="s">
        <v>28679</v>
      </c>
    </row>
    <row r="20277" spans="1:6" x14ac:dyDescent="0.25">
      <c r="A20277" t="str">
        <f>"930400054318"</f>
        <v>930400054318</v>
      </c>
      <c r="B20277" t="s">
        <v>28680</v>
      </c>
      <c r="C20277" t="s">
        <v>7</v>
      </c>
      <c r="D20277" t="s">
        <v>14</v>
      </c>
      <c r="E20277" t="s">
        <v>28614</v>
      </c>
    </row>
    <row r="20278" spans="1:6" x14ac:dyDescent="0.25">
      <c r="A20278" t="str">
        <f>"9304003384"</f>
        <v>9304003384</v>
      </c>
      <c r="B20278" t="s">
        <v>28681</v>
      </c>
      <c r="C20278" t="s">
        <v>7</v>
      </c>
      <c r="D20278" t="s">
        <v>14</v>
      </c>
      <c r="E20278" t="s">
        <v>28614</v>
      </c>
      <c r="F20278" t="s">
        <v>28682</v>
      </c>
    </row>
    <row r="20279" spans="1:6" x14ac:dyDescent="0.25">
      <c r="A20279" t="str">
        <f>"930500072511"</f>
        <v>930500072511</v>
      </c>
      <c r="B20279" t="s">
        <v>28683</v>
      </c>
      <c r="C20279" t="s">
        <v>7</v>
      </c>
      <c r="D20279" t="s">
        <v>14</v>
      </c>
      <c r="E20279" t="s">
        <v>28614</v>
      </c>
    </row>
    <row r="20280" spans="1:6" x14ac:dyDescent="0.25">
      <c r="A20280" t="str">
        <f>"930600093219"</f>
        <v>930600093219</v>
      </c>
      <c r="B20280" t="s">
        <v>28684</v>
      </c>
      <c r="C20280" t="s">
        <v>7</v>
      </c>
      <c r="D20280" t="s">
        <v>14</v>
      </c>
      <c r="E20280" t="s">
        <v>28614</v>
      </c>
    </row>
    <row r="20281" spans="1:6" x14ac:dyDescent="0.25">
      <c r="A20281" t="str">
        <f>"930700172802"</f>
        <v>930700172802</v>
      </c>
      <c r="B20281" t="s">
        <v>28685</v>
      </c>
      <c r="C20281" t="s">
        <v>7</v>
      </c>
      <c r="D20281" t="s">
        <v>14</v>
      </c>
      <c r="E20281" t="s">
        <v>28614</v>
      </c>
    </row>
    <row r="20282" spans="1:6" x14ac:dyDescent="0.25">
      <c r="A20282" t="str">
        <f>"930700896227"</f>
        <v>930700896227</v>
      </c>
      <c r="B20282" t="s">
        <v>28686</v>
      </c>
      <c r="C20282" t="s">
        <v>7</v>
      </c>
      <c r="D20282" t="s">
        <v>14</v>
      </c>
      <c r="E20282" t="s">
        <v>28614</v>
      </c>
    </row>
    <row r="20283" spans="1:6" x14ac:dyDescent="0.25">
      <c r="A20283" t="str">
        <f>"9303030554"</f>
        <v>9303030554</v>
      </c>
      <c r="B20283" t="s">
        <v>28687</v>
      </c>
      <c r="C20283" t="s">
        <v>7</v>
      </c>
      <c r="D20283" t="s">
        <v>12</v>
      </c>
      <c r="E20283" t="s">
        <v>28614</v>
      </c>
      <c r="F20283" t="s">
        <v>28688</v>
      </c>
    </row>
    <row r="20284" spans="1:6" x14ac:dyDescent="0.25">
      <c r="A20284" t="str">
        <f>"9303037398"</f>
        <v>9303037398</v>
      </c>
      <c r="B20284" t="s">
        <v>28689</v>
      </c>
      <c r="C20284" t="s">
        <v>7</v>
      </c>
      <c r="D20284" t="s">
        <v>14</v>
      </c>
      <c r="E20284" t="s">
        <v>28614</v>
      </c>
      <c r="F20284" t="s">
        <v>28690</v>
      </c>
    </row>
    <row r="20285" spans="1:6" x14ac:dyDescent="0.25">
      <c r="A20285" t="str">
        <f>"930900057194"</f>
        <v>930900057194</v>
      </c>
      <c r="B20285" t="s">
        <v>28691</v>
      </c>
      <c r="C20285" t="s">
        <v>7</v>
      </c>
      <c r="D20285" t="s">
        <v>14</v>
      </c>
      <c r="E20285" t="s">
        <v>28614</v>
      </c>
    </row>
    <row r="20286" spans="1:6" x14ac:dyDescent="0.25">
      <c r="A20286" t="str">
        <f>"9310001787"</f>
        <v>9310001787</v>
      </c>
      <c r="B20286" t="s">
        <v>28692</v>
      </c>
      <c r="C20286" t="s">
        <v>7</v>
      </c>
      <c r="D20286" t="s">
        <v>14</v>
      </c>
      <c r="E20286" t="s">
        <v>28614</v>
      </c>
      <c r="F20286" t="s">
        <v>28693</v>
      </c>
    </row>
    <row r="20287" spans="1:6" x14ac:dyDescent="0.25">
      <c r="A20287" t="str">
        <f>"9311016345"</f>
        <v>9311016345</v>
      </c>
      <c r="B20287" t="s">
        <v>3073</v>
      </c>
      <c r="C20287" t="s">
        <v>7</v>
      </c>
      <c r="D20287" t="s">
        <v>12</v>
      </c>
      <c r="E20287" t="s">
        <v>28614</v>
      </c>
      <c r="F20287" t="s">
        <v>28694</v>
      </c>
    </row>
    <row r="20288" spans="1:6" x14ac:dyDescent="0.25">
      <c r="A20288" t="str">
        <f>"931000092328"</f>
        <v>931000092328</v>
      </c>
      <c r="B20288" t="s">
        <v>28695</v>
      </c>
      <c r="C20288" t="s">
        <v>7</v>
      </c>
      <c r="D20288" t="s">
        <v>14</v>
      </c>
      <c r="E20288" t="s">
        <v>28614</v>
      </c>
    </row>
    <row r="20289" spans="1:6" x14ac:dyDescent="0.25">
      <c r="A20289" t="str">
        <f>"931000128609"</f>
        <v>931000128609</v>
      </c>
      <c r="B20289" t="s">
        <v>28696</v>
      </c>
      <c r="C20289" t="s">
        <v>7</v>
      </c>
      <c r="D20289" t="s">
        <v>14</v>
      </c>
      <c r="E20289" t="s">
        <v>28614</v>
      </c>
    </row>
    <row r="20290" spans="1:6" x14ac:dyDescent="0.25">
      <c r="A20290" t="str">
        <f>"931003352503"</f>
        <v>931003352503</v>
      </c>
      <c r="B20290" t="s">
        <v>28697</v>
      </c>
      <c r="C20290" t="s">
        <v>7</v>
      </c>
      <c r="D20290" t="s">
        <v>14</v>
      </c>
      <c r="E20290" t="s">
        <v>28614</v>
      </c>
    </row>
    <row r="20291" spans="1:6" x14ac:dyDescent="0.25">
      <c r="A20291" t="str">
        <f>"9311006330"</f>
        <v>9311006330</v>
      </c>
      <c r="B20291" t="s">
        <v>28698</v>
      </c>
      <c r="C20291" t="s">
        <v>7</v>
      </c>
      <c r="D20291" t="s">
        <v>12</v>
      </c>
      <c r="E20291" t="s">
        <v>28614</v>
      </c>
      <c r="F20291" t="s">
        <v>28699</v>
      </c>
    </row>
    <row r="20292" spans="1:6" x14ac:dyDescent="0.25">
      <c r="A20292" t="str">
        <f>"9309016066"</f>
        <v>9309016066</v>
      </c>
      <c r="B20292" t="s">
        <v>28700</v>
      </c>
      <c r="C20292" t="s">
        <v>7</v>
      </c>
      <c r="D20292" t="s">
        <v>12</v>
      </c>
      <c r="E20292" t="s">
        <v>28614</v>
      </c>
      <c r="F20292" t="s">
        <v>28701</v>
      </c>
    </row>
    <row r="20293" spans="1:6" x14ac:dyDescent="0.25">
      <c r="A20293" t="str">
        <f>"9309017084"</f>
        <v>9309017084</v>
      </c>
      <c r="B20293" t="s">
        <v>28702</v>
      </c>
      <c r="C20293" t="s">
        <v>7</v>
      </c>
      <c r="D20293" t="s">
        <v>12</v>
      </c>
      <c r="E20293" t="s">
        <v>28614</v>
      </c>
      <c r="F20293" t="s">
        <v>28703</v>
      </c>
    </row>
    <row r="20294" spans="1:6" x14ac:dyDescent="0.25">
      <c r="A20294" t="str">
        <f>"9309027565"</f>
        <v>9309027565</v>
      </c>
      <c r="B20294" t="s">
        <v>28704</v>
      </c>
      <c r="C20294" t="s">
        <v>7</v>
      </c>
      <c r="D20294" t="s">
        <v>14</v>
      </c>
      <c r="E20294" t="s">
        <v>28614</v>
      </c>
      <c r="F20294" t="s">
        <v>28705</v>
      </c>
    </row>
    <row r="20295" spans="1:6" x14ac:dyDescent="0.25">
      <c r="A20295" t="str">
        <f>"931000113835"</f>
        <v>931000113835</v>
      </c>
      <c r="B20295" t="s">
        <v>28706</v>
      </c>
      <c r="C20295" t="s">
        <v>7</v>
      </c>
      <c r="D20295" t="s">
        <v>14</v>
      </c>
      <c r="E20295" t="s">
        <v>28614</v>
      </c>
    </row>
    <row r="20296" spans="1:6" x14ac:dyDescent="0.25">
      <c r="A20296" t="str">
        <f>"9311013506"</f>
        <v>9311013506</v>
      </c>
      <c r="B20296" t="s">
        <v>24293</v>
      </c>
      <c r="C20296" t="s">
        <v>7</v>
      </c>
      <c r="D20296" t="s">
        <v>33</v>
      </c>
      <c r="E20296" t="s">
        <v>28614</v>
      </c>
      <c r="F20296" t="s">
        <v>28707</v>
      </c>
    </row>
    <row r="20297" spans="1:6" x14ac:dyDescent="0.25">
      <c r="A20297" t="str">
        <f>"772595225559"</f>
        <v>772595225559</v>
      </c>
      <c r="B20297" t="s">
        <v>28708</v>
      </c>
      <c r="C20297" t="s">
        <v>7</v>
      </c>
      <c r="D20297" t="s">
        <v>14</v>
      </c>
      <c r="E20297" t="s">
        <v>28709</v>
      </c>
    </row>
    <row r="20298" spans="1:6" x14ac:dyDescent="0.25">
      <c r="A20298" t="str">
        <f>"345905634334"</f>
        <v>345905634334</v>
      </c>
      <c r="B20298" t="s">
        <v>28710</v>
      </c>
      <c r="C20298" t="s">
        <v>7</v>
      </c>
      <c r="D20298" t="s">
        <v>14</v>
      </c>
      <c r="E20298" t="s">
        <v>28709</v>
      </c>
    </row>
    <row r="20299" spans="1:6" x14ac:dyDescent="0.25">
      <c r="A20299" t="str">
        <f>"345928816570"</f>
        <v>345928816570</v>
      </c>
      <c r="B20299" t="s">
        <v>28711</v>
      </c>
      <c r="C20299" t="s">
        <v>7</v>
      </c>
      <c r="D20299" t="s">
        <v>14</v>
      </c>
      <c r="E20299" t="s">
        <v>28709</v>
      </c>
    </row>
    <row r="20300" spans="1:6" x14ac:dyDescent="0.25">
      <c r="A20300" t="str">
        <f>"345929026423"</f>
        <v>345929026423</v>
      </c>
      <c r="B20300" t="s">
        <v>28712</v>
      </c>
      <c r="C20300" t="s">
        <v>7</v>
      </c>
      <c r="D20300" t="s">
        <v>14</v>
      </c>
      <c r="E20300" t="s">
        <v>28709</v>
      </c>
    </row>
    <row r="20301" spans="1:6" x14ac:dyDescent="0.25">
      <c r="A20301" t="str">
        <f>"345931215851"</f>
        <v>345931215851</v>
      </c>
      <c r="B20301" t="s">
        <v>28713</v>
      </c>
      <c r="C20301" t="s">
        <v>7</v>
      </c>
      <c r="D20301" t="s">
        <v>14</v>
      </c>
      <c r="E20301" t="s">
        <v>28709</v>
      </c>
    </row>
    <row r="20302" spans="1:6" x14ac:dyDescent="0.25">
      <c r="A20302" t="str">
        <f>"345954411404"</f>
        <v>345954411404</v>
      </c>
      <c r="B20302" t="s">
        <v>28714</v>
      </c>
      <c r="C20302" t="s">
        <v>7</v>
      </c>
      <c r="D20302" t="s">
        <v>14</v>
      </c>
      <c r="E20302" t="s">
        <v>28709</v>
      </c>
    </row>
    <row r="20303" spans="1:6" x14ac:dyDescent="0.25">
      <c r="A20303" t="str">
        <f>"345929120948"</f>
        <v>345929120948</v>
      </c>
      <c r="B20303" t="s">
        <v>28715</v>
      </c>
      <c r="C20303" t="s">
        <v>7</v>
      </c>
      <c r="D20303" t="s">
        <v>14</v>
      </c>
      <c r="E20303" t="s">
        <v>28709</v>
      </c>
    </row>
    <row r="20304" spans="1:6" x14ac:dyDescent="0.25">
      <c r="A20304" t="str">
        <f>"345949653800"</f>
        <v>345949653800</v>
      </c>
      <c r="B20304" t="s">
        <v>28716</v>
      </c>
      <c r="C20304" t="s">
        <v>7</v>
      </c>
      <c r="D20304" t="s">
        <v>14</v>
      </c>
      <c r="E20304" t="s">
        <v>28709</v>
      </c>
    </row>
    <row r="20305" spans="1:5" x14ac:dyDescent="0.25">
      <c r="A20305" t="str">
        <f>"345913201768"</f>
        <v>345913201768</v>
      </c>
      <c r="B20305" t="s">
        <v>28717</v>
      </c>
      <c r="C20305" t="s">
        <v>7</v>
      </c>
      <c r="D20305" t="s">
        <v>14</v>
      </c>
      <c r="E20305" t="s">
        <v>28709</v>
      </c>
    </row>
    <row r="20306" spans="1:5" x14ac:dyDescent="0.25">
      <c r="A20306" t="str">
        <f>"345929940010"</f>
        <v>345929940010</v>
      </c>
      <c r="B20306" t="s">
        <v>28718</v>
      </c>
      <c r="C20306" t="s">
        <v>7</v>
      </c>
      <c r="D20306" t="s">
        <v>14</v>
      </c>
      <c r="E20306" t="s">
        <v>28709</v>
      </c>
    </row>
    <row r="20307" spans="1:5" x14ac:dyDescent="0.25">
      <c r="A20307" t="str">
        <f>"345942761972"</f>
        <v>345942761972</v>
      </c>
      <c r="B20307" t="s">
        <v>28719</v>
      </c>
      <c r="C20307" t="s">
        <v>7</v>
      </c>
      <c r="D20307" t="s">
        <v>14</v>
      </c>
      <c r="E20307" t="s">
        <v>28709</v>
      </c>
    </row>
    <row r="20308" spans="1:5" x14ac:dyDescent="0.25">
      <c r="A20308" t="str">
        <f>"345963302987"</f>
        <v>345963302987</v>
      </c>
      <c r="B20308" t="s">
        <v>28720</v>
      </c>
      <c r="C20308" t="s">
        <v>7</v>
      </c>
      <c r="D20308" t="s">
        <v>14</v>
      </c>
      <c r="E20308" t="s">
        <v>28709</v>
      </c>
    </row>
    <row r="20309" spans="1:5" x14ac:dyDescent="0.25">
      <c r="A20309" t="str">
        <f>"345967029979"</f>
        <v>345967029979</v>
      </c>
      <c r="B20309" t="s">
        <v>28721</v>
      </c>
      <c r="C20309" t="s">
        <v>7</v>
      </c>
      <c r="D20309" t="s">
        <v>14</v>
      </c>
      <c r="E20309" t="s">
        <v>28709</v>
      </c>
    </row>
    <row r="20310" spans="1:5" x14ac:dyDescent="0.25">
      <c r="A20310" t="str">
        <f>"345973225643"</f>
        <v>345973225643</v>
      </c>
      <c r="B20310" t="s">
        <v>28722</v>
      </c>
      <c r="C20310" t="s">
        <v>7</v>
      </c>
      <c r="D20310" t="s">
        <v>14</v>
      </c>
      <c r="E20310" t="s">
        <v>28709</v>
      </c>
    </row>
    <row r="20311" spans="1:5" x14ac:dyDescent="0.25">
      <c r="A20311" t="str">
        <f>"644018572784"</f>
        <v>644018572784</v>
      </c>
      <c r="B20311" t="s">
        <v>28723</v>
      </c>
      <c r="C20311" t="s">
        <v>7</v>
      </c>
      <c r="D20311" t="s">
        <v>14</v>
      </c>
      <c r="E20311" t="s">
        <v>28709</v>
      </c>
    </row>
    <row r="20312" spans="1:5" x14ac:dyDescent="0.25">
      <c r="A20312" t="str">
        <f>"575213430012"</f>
        <v>575213430012</v>
      </c>
      <c r="B20312" t="s">
        <v>28724</v>
      </c>
      <c r="C20312" t="s">
        <v>7</v>
      </c>
      <c r="D20312" t="s">
        <v>14</v>
      </c>
      <c r="E20312" t="s">
        <v>28709</v>
      </c>
    </row>
    <row r="20313" spans="1:5" x14ac:dyDescent="0.25">
      <c r="A20313" t="str">
        <f>"345922200792"</f>
        <v>345922200792</v>
      </c>
      <c r="B20313" t="s">
        <v>28725</v>
      </c>
      <c r="C20313" t="s">
        <v>7</v>
      </c>
      <c r="D20313" t="s">
        <v>14</v>
      </c>
      <c r="E20313" t="s">
        <v>28709</v>
      </c>
    </row>
    <row r="20314" spans="1:5" x14ac:dyDescent="0.25">
      <c r="A20314" t="str">
        <f>"345922697976"</f>
        <v>345922697976</v>
      </c>
      <c r="B20314" t="s">
        <v>28726</v>
      </c>
      <c r="C20314" t="s">
        <v>7</v>
      </c>
      <c r="D20314" t="s">
        <v>12</v>
      </c>
      <c r="E20314" t="s">
        <v>28709</v>
      </c>
    </row>
    <row r="20315" spans="1:5" x14ac:dyDescent="0.25">
      <c r="A20315" t="str">
        <f>"310002629455"</f>
        <v>310002629455</v>
      </c>
      <c r="B20315" t="s">
        <v>28727</v>
      </c>
      <c r="C20315" t="s">
        <v>7</v>
      </c>
      <c r="D20315" t="s">
        <v>14</v>
      </c>
      <c r="E20315" t="s">
        <v>28709</v>
      </c>
    </row>
    <row r="20316" spans="1:5" x14ac:dyDescent="0.25">
      <c r="A20316" t="str">
        <f>"312204572981"</f>
        <v>312204572981</v>
      </c>
      <c r="B20316" t="s">
        <v>28728</v>
      </c>
      <c r="C20316" t="s">
        <v>7</v>
      </c>
      <c r="D20316" t="s">
        <v>14</v>
      </c>
      <c r="E20316" t="s">
        <v>28709</v>
      </c>
    </row>
    <row r="20317" spans="1:5" x14ac:dyDescent="0.25">
      <c r="A20317" t="str">
        <f>"312204726590"</f>
        <v>312204726590</v>
      </c>
      <c r="B20317" t="s">
        <v>28729</v>
      </c>
      <c r="C20317" t="s">
        <v>7</v>
      </c>
      <c r="D20317" t="s">
        <v>12</v>
      </c>
      <c r="E20317" t="s">
        <v>28709</v>
      </c>
    </row>
    <row r="20318" spans="1:5" x14ac:dyDescent="0.25">
      <c r="A20318" t="str">
        <f>"770705739267"</f>
        <v>770705739267</v>
      </c>
      <c r="B20318" t="s">
        <v>28730</v>
      </c>
      <c r="C20318" t="s">
        <v>7</v>
      </c>
      <c r="D20318" t="s">
        <v>14</v>
      </c>
      <c r="E20318" t="s">
        <v>28709</v>
      </c>
    </row>
    <row r="20319" spans="1:5" x14ac:dyDescent="0.25">
      <c r="A20319" t="str">
        <f>"610111952008"</f>
        <v>610111952008</v>
      </c>
      <c r="B20319" t="s">
        <v>28731</v>
      </c>
      <c r="C20319" t="s">
        <v>7</v>
      </c>
      <c r="D20319" t="s">
        <v>14</v>
      </c>
      <c r="E20319" t="s">
        <v>28709</v>
      </c>
    </row>
    <row r="20320" spans="1:5" x14ac:dyDescent="0.25">
      <c r="A20320" t="str">
        <f>"940200173032"</f>
        <v>940200173032</v>
      </c>
      <c r="B20320" t="s">
        <v>28732</v>
      </c>
      <c r="C20320" t="s">
        <v>7</v>
      </c>
      <c r="D20320" t="s">
        <v>14</v>
      </c>
      <c r="E20320" t="s">
        <v>28709</v>
      </c>
    </row>
    <row r="20321" spans="1:6" x14ac:dyDescent="0.25">
      <c r="A20321" t="str">
        <f>"940600138025"</f>
        <v>940600138025</v>
      </c>
      <c r="B20321" t="s">
        <v>28733</v>
      </c>
      <c r="C20321" t="s">
        <v>7</v>
      </c>
      <c r="D20321" t="s">
        <v>14</v>
      </c>
      <c r="E20321" t="s">
        <v>28709</v>
      </c>
    </row>
    <row r="20322" spans="1:6" x14ac:dyDescent="0.25">
      <c r="A20322" t="str">
        <f>"941000058570"</f>
        <v>941000058570</v>
      </c>
      <c r="B20322" t="s">
        <v>28734</v>
      </c>
      <c r="C20322" t="s">
        <v>7</v>
      </c>
      <c r="D20322" t="s">
        <v>14</v>
      </c>
      <c r="E20322" t="s">
        <v>28709</v>
      </c>
    </row>
    <row r="20323" spans="1:6" x14ac:dyDescent="0.25">
      <c r="A20323" t="str">
        <f>"9403017388"</f>
        <v>9403017388</v>
      </c>
      <c r="B20323" t="s">
        <v>28735</v>
      </c>
      <c r="C20323" t="s">
        <v>7</v>
      </c>
      <c r="D20323" t="s">
        <v>14</v>
      </c>
      <c r="E20323" t="s">
        <v>28709</v>
      </c>
      <c r="F20323" t="s">
        <v>28736</v>
      </c>
    </row>
    <row r="20324" spans="1:6" x14ac:dyDescent="0.25">
      <c r="A20324" t="str">
        <f>"9403031833"</f>
        <v>9403031833</v>
      </c>
      <c r="B20324" t="s">
        <v>28737</v>
      </c>
      <c r="C20324" t="s">
        <v>7</v>
      </c>
      <c r="D20324" t="s">
        <v>14</v>
      </c>
      <c r="E20324" t="s">
        <v>28709</v>
      </c>
      <c r="F20324" t="s">
        <v>28738</v>
      </c>
    </row>
    <row r="20325" spans="1:6" x14ac:dyDescent="0.25">
      <c r="A20325" t="str">
        <f>"940400548962"</f>
        <v>940400548962</v>
      </c>
      <c r="B20325" t="s">
        <v>28739</v>
      </c>
      <c r="C20325" t="s">
        <v>7</v>
      </c>
      <c r="D20325" t="s">
        <v>14</v>
      </c>
      <c r="E20325" t="s">
        <v>28709</v>
      </c>
    </row>
    <row r="20326" spans="1:6" x14ac:dyDescent="0.25">
      <c r="A20326" t="str">
        <f>"940403742936"</f>
        <v>940403742936</v>
      </c>
      <c r="B20326" t="s">
        <v>28740</v>
      </c>
      <c r="C20326" t="s">
        <v>7</v>
      </c>
      <c r="D20326" t="s">
        <v>14</v>
      </c>
      <c r="E20326" t="s">
        <v>28709</v>
      </c>
    </row>
    <row r="20327" spans="1:6" x14ac:dyDescent="0.25">
      <c r="A20327" t="str">
        <f>"940600039634"</f>
        <v>940600039634</v>
      </c>
      <c r="B20327" t="s">
        <v>28741</v>
      </c>
      <c r="C20327" t="s">
        <v>7</v>
      </c>
      <c r="D20327" t="s">
        <v>14</v>
      </c>
      <c r="E20327" t="s">
        <v>28709</v>
      </c>
    </row>
    <row r="20328" spans="1:6" x14ac:dyDescent="0.25">
      <c r="A20328" t="str">
        <f>"940600107130"</f>
        <v>940600107130</v>
      </c>
      <c r="B20328" t="s">
        <v>28742</v>
      </c>
      <c r="C20328" t="s">
        <v>7</v>
      </c>
      <c r="D20328" t="s">
        <v>14</v>
      </c>
      <c r="E20328" t="s">
        <v>28709</v>
      </c>
    </row>
    <row r="20329" spans="1:6" x14ac:dyDescent="0.25">
      <c r="A20329" t="str">
        <f>"940601226891"</f>
        <v>940601226891</v>
      </c>
      <c r="B20329" t="s">
        <v>28743</v>
      </c>
      <c r="C20329" t="s">
        <v>7</v>
      </c>
      <c r="D20329" t="s">
        <v>12</v>
      </c>
      <c r="E20329" t="s">
        <v>28709</v>
      </c>
    </row>
    <row r="20330" spans="1:6" x14ac:dyDescent="0.25">
      <c r="A20330" t="str">
        <f>"940700063920"</f>
        <v>940700063920</v>
      </c>
      <c r="B20330" t="s">
        <v>28744</v>
      </c>
      <c r="C20330" t="s">
        <v>7</v>
      </c>
      <c r="D20330" t="s">
        <v>14</v>
      </c>
      <c r="E20330" t="s">
        <v>28709</v>
      </c>
    </row>
    <row r="20331" spans="1:6" x14ac:dyDescent="0.25">
      <c r="A20331" t="str">
        <f>"940800289663"</f>
        <v>940800289663</v>
      </c>
      <c r="B20331" t="s">
        <v>28745</v>
      </c>
      <c r="C20331" t="s">
        <v>7</v>
      </c>
      <c r="D20331" t="s">
        <v>14</v>
      </c>
      <c r="E20331" t="s">
        <v>28709</v>
      </c>
    </row>
    <row r="20332" spans="1:6" x14ac:dyDescent="0.25">
      <c r="A20332" t="str">
        <f>"940800743069"</f>
        <v>940800743069</v>
      </c>
      <c r="B20332" t="s">
        <v>28746</v>
      </c>
      <c r="C20332" t="s">
        <v>7</v>
      </c>
      <c r="D20332" t="s">
        <v>14</v>
      </c>
      <c r="E20332" t="s">
        <v>28709</v>
      </c>
    </row>
    <row r="20333" spans="1:6" x14ac:dyDescent="0.25">
      <c r="A20333" t="str">
        <f>"9403017726"</f>
        <v>9403017726</v>
      </c>
      <c r="B20333" t="s">
        <v>28747</v>
      </c>
      <c r="C20333" t="s">
        <v>7</v>
      </c>
      <c r="D20333" t="s">
        <v>14</v>
      </c>
      <c r="E20333" t="s">
        <v>28709</v>
      </c>
      <c r="F20333" t="s">
        <v>28748</v>
      </c>
    </row>
    <row r="20334" spans="1:6" x14ac:dyDescent="0.25">
      <c r="A20334" t="str">
        <f>"9403025318"</f>
        <v>9403025318</v>
      </c>
      <c r="B20334" t="s">
        <v>28749</v>
      </c>
      <c r="C20334" t="s">
        <v>7</v>
      </c>
      <c r="D20334" t="s">
        <v>12</v>
      </c>
      <c r="E20334" t="s">
        <v>28709</v>
      </c>
      <c r="F20334" t="s">
        <v>28750</v>
      </c>
    </row>
    <row r="20335" spans="1:6" x14ac:dyDescent="0.25">
      <c r="A20335" t="str">
        <f>"9403030780"</f>
        <v>9403030780</v>
      </c>
      <c r="B20335" t="s">
        <v>28751</v>
      </c>
      <c r="C20335" t="s">
        <v>7</v>
      </c>
      <c r="D20335" t="s">
        <v>14</v>
      </c>
      <c r="E20335" t="s">
        <v>28709</v>
      </c>
      <c r="F20335" t="s">
        <v>28752</v>
      </c>
    </row>
    <row r="20336" spans="1:6" x14ac:dyDescent="0.25">
      <c r="A20336" t="str">
        <f>"940400549204"</f>
        <v>940400549204</v>
      </c>
      <c r="B20336" t="s">
        <v>28753</v>
      </c>
      <c r="C20336" t="s">
        <v>7</v>
      </c>
      <c r="D20336" t="s">
        <v>14</v>
      </c>
      <c r="E20336" t="s">
        <v>28709</v>
      </c>
    </row>
    <row r="20337" spans="1:6" x14ac:dyDescent="0.25">
      <c r="A20337" t="str">
        <f>"940401401680"</f>
        <v>940401401680</v>
      </c>
      <c r="B20337" t="s">
        <v>28754</v>
      </c>
      <c r="C20337" t="s">
        <v>7</v>
      </c>
      <c r="D20337" t="s">
        <v>14</v>
      </c>
      <c r="E20337" t="s">
        <v>28709</v>
      </c>
    </row>
    <row r="20338" spans="1:6" x14ac:dyDescent="0.25">
      <c r="A20338" t="str">
        <f>"9402013292"</f>
        <v>9402013292</v>
      </c>
      <c r="B20338" t="s">
        <v>28755</v>
      </c>
      <c r="C20338" t="s">
        <v>7</v>
      </c>
      <c r="D20338" t="s">
        <v>33</v>
      </c>
      <c r="E20338" t="s">
        <v>28709</v>
      </c>
      <c r="F20338" t="s">
        <v>28756</v>
      </c>
    </row>
    <row r="20339" spans="1:6" x14ac:dyDescent="0.25">
      <c r="A20339" t="str">
        <f>"940300373620"</f>
        <v>940300373620</v>
      </c>
      <c r="B20339" t="s">
        <v>28757</v>
      </c>
      <c r="C20339" t="s">
        <v>7</v>
      </c>
      <c r="D20339" t="s">
        <v>14</v>
      </c>
      <c r="E20339" t="s">
        <v>28709</v>
      </c>
    </row>
    <row r="20340" spans="1:6" x14ac:dyDescent="0.25">
      <c r="A20340" t="str">
        <f>"9403004710"</f>
        <v>9403004710</v>
      </c>
      <c r="B20340" t="s">
        <v>28758</v>
      </c>
      <c r="C20340" t="s">
        <v>7</v>
      </c>
      <c r="D20340" t="s">
        <v>14</v>
      </c>
      <c r="E20340" t="s">
        <v>28709</v>
      </c>
      <c r="F20340" t="s">
        <v>28759</v>
      </c>
    </row>
    <row r="20341" spans="1:6" x14ac:dyDescent="0.25">
      <c r="A20341" t="str">
        <f>"9403020535"</f>
        <v>9403020535</v>
      </c>
      <c r="B20341" t="s">
        <v>28760</v>
      </c>
      <c r="C20341" t="s">
        <v>7</v>
      </c>
      <c r="D20341" t="s">
        <v>33</v>
      </c>
      <c r="E20341" t="s">
        <v>28709</v>
      </c>
      <c r="F20341" t="s">
        <v>28761</v>
      </c>
    </row>
    <row r="20342" spans="1:6" x14ac:dyDescent="0.25">
      <c r="A20342" t="str">
        <f>"940400283995"</f>
        <v>940400283995</v>
      </c>
      <c r="B20342" t="s">
        <v>28762</v>
      </c>
      <c r="C20342" t="s">
        <v>7</v>
      </c>
      <c r="D20342" t="s">
        <v>14</v>
      </c>
      <c r="E20342" t="s">
        <v>28709</v>
      </c>
    </row>
    <row r="20343" spans="1:6" x14ac:dyDescent="0.25">
      <c r="A20343" t="str">
        <f>"940400809526"</f>
        <v>940400809526</v>
      </c>
      <c r="B20343" t="s">
        <v>28763</v>
      </c>
      <c r="C20343" t="s">
        <v>7</v>
      </c>
      <c r="D20343" t="s">
        <v>14</v>
      </c>
      <c r="E20343" t="s">
        <v>28709</v>
      </c>
    </row>
    <row r="20344" spans="1:6" x14ac:dyDescent="0.25">
      <c r="A20344" t="str">
        <f>"940600123580"</f>
        <v>940600123580</v>
      </c>
      <c r="B20344" t="s">
        <v>28764</v>
      </c>
      <c r="C20344" t="s">
        <v>7</v>
      </c>
      <c r="D20344" t="s">
        <v>14</v>
      </c>
      <c r="E20344" t="s">
        <v>28709</v>
      </c>
    </row>
    <row r="20345" spans="1:6" x14ac:dyDescent="0.25">
      <c r="A20345" t="str">
        <f>"9408009817"</f>
        <v>9408009817</v>
      </c>
      <c r="B20345" t="s">
        <v>28765</v>
      </c>
      <c r="C20345" t="s">
        <v>7</v>
      </c>
      <c r="D20345" t="s">
        <v>146</v>
      </c>
      <c r="E20345" t="s">
        <v>28709</v>
      </c>
      <c r="F20345" t="s">
        <v>28766</v>
      </c>
    </row>
    <row r="20346" spans="1:6" x14ac:dyDescent="0.25">
      <c r="A20346" t="str">
        <f>"940900116400"</f>
        <v>940900116400</v>
      </c>
      <c r="B20346" t="s">
        <v>28767</v>
      </c>
      <c r="C20346" t="s">
        <v>7</v>
      </c>
      <c r="D20346" t="s">
        <v>14</v>
      </c>
      <c r="E20346" t="s">
        <v>28709</v>
      </c>
    </row>
    <row r="20347" spans="1:6" x14ac:dyDescent="0.25">
      <c r="A20347" t="str">
        <f>"910624093536"</f>
        <v>910624093536</v>
      </c>
      <c r="B20347" t="s">
        <v>28768</v>
      </c>
      <c r="C20347" t="s">
        <v>7</v>
      </c>
      <c r="D20347" t="s">
        <v>14</v>
      </c>
      <c r="E20347" t="s">
        <v>28769</v>
      </c>
    </row>
    <row r="20348" spans="1:6" x14ac:dyDescent="0.25">
      <c r="A20348" t="str">
        <f>"910620481464"</f>
        <v>910620481464</v>
      </c>
      <c r="B20348" t="s">
        <v>28770</v>
      </c>
      <c r="C20348" t="s">
        <v>7</v>
      </c>
      <c r="D20348" t="s">
        <v>12</v>
      </c>
      <c r="E20348" t="s">
        <v>28769</v>
      </c>
    </row>
    <row r="20349" spans="1:6" x14ac:dyDescent="0.25">
      <c r="A20349" t="str">
        <f>"910621228721"</f>
        <v>910621228721</v>
      </c>
      <c r="B20349" t="s">
        <v>28771</v>
      </c>
      <c r="C20349" t="s">
        <v>7</v>
      </c>
      <c r="D20349" t="s">
        <v>14</v>
      </c>
      <c r="E20349" t="s">
        <v>28769</v>
      </c>
    </row>
    <row r="20350" spans="1:6" x14ac:dyDescent="0.25">
      <c r="A20350" t="str">
        <f>"910628299827"</f>
        <v>910628299827</v>
      </c>
      <c r="B20350" t="s">
        <v>28772</v>
      </c>
      <c r="C20350" t="s">
        <v>7</v>
      </c>
      <c r="D20350" t="s">
        <v>14</v>
      </c>
      <c r="E20350" t="s">
        <v>28769</v>
      </c>
    </row>
    <row r="20351" spans="1:6" x14ac:dyDescent="0.25">
      <c r="A20351" t="str">
        <f>"9102056778"</f>
        <v>9102056778</v>
      </c>
      <c r="B20351" t="s">
        <v>28773</v>
      </c>
      <c r="C20351" t="s">
        <v>7</v>
      </c>
      <c r="D20351" t="s">
        <v>14</v>
      </c>
      <c r="E20351" t="s">
        <v>28769</v>
      </c>
      <c r="F20351" t="s">
        <v>28774</v>
      </c>
    </row>
    <row r="20352" spans="1:6" x14ac:dyDescent="0.25">
      <c r="A20352" t="str">
        <f>"910623143417"</f>
        <v>910623143417</v>
      </c>
      <c r="B20352" t="s">
        <v>28775</v>
      </c>
      <c r="C20352" t="s">
        <v>7</v>
      </c>
      <c r="D20352" t="s">
        <v>14</v>
      </c>
      <c r="E20352" t="s">
        <v>28769</v>
      </c>
    </row>
    <row r="20353" spans="1:6" x14ac:dyDescent="0.25">
      <c r="A20353" t="str">
        <f>"910627354200"</f>
        <v>910627354200</v>
      </c>
      <c r="B20353" t="s">
        <v>28776</v>
      </c>
      <c r="C20353" t="s">
        <v>7</v>
      </c>
      <c r="D20353" t="s">
        <v>14</v>
      </c>
      <c r="E20353" t="s">
        <v>28769</v>
      </c>
    </row>
    <row r="20354" spans="1:6" x14ac:dyDescent="0.25">
      <c r="A20354" t="str">
        <f>"950000099941"</f>
        <v>950000099941</v>
      </c>
      <c r="B20354" t="s">
        <v>28777</v>
      </c>
      <c r="C20354" t="s">
        <v>7</v>
      </c>
      <c r="D20354" t="s">
        <v>14</v>
      </c>
      <c r="E20354" t="s">
        <v>28769</v>
      </c>
    </row>
    <row r="20355" spans="1:6" x14ac:dyDescent="0.25">
      <c r="A20355" t="str">
        <f>"950000299901"</f>
        <v>950000299901</v>
      </c>
      <c r="B20355" t="s">
        <v>28778</v>
      </c>
      <c r="C20355" t="s">
        <v>7</v>
      </c>
      <c r="D20355" t="s">
        <v>14</v>
      </c>
      <c r="E20355" t="s">
        <v>28769</v>
      </c>
    </row>
    <row r="20356" spans="1:6" x14ac:dyDescent="0.25">
      <c r="A20356" t="str">
        <f>"9500007120"</f>
        <v>9500007120</v>
      </c>
      <c r="B20356" t="s">
        <v>28779</v>
      </c>
      <c r="C20356" t="s">
        <v>7</v>
      </c>
      <c r="D20356" t="s">
        <v>14</v>
      </c>
      <c r="E20356" t="s">
        <v>28769</v>
      </c>
      <c r="F20356" t="s">
        <v>28780</v>
      </c>
    </row>
    <row r="20357" spans="1:6" x14ac:dyDescent="0.25">
      <c r="A20357" t="str">
        <f>"9500025867"</f>
        <v>9500025867</v>
      </c>
      <c r="B20357" t="s">
        <v>28781</v>
      </c>
      <c r="C20357" t="s">
        <v>7</v>
      </c>
      <c r="D20357" t="s">
        <v>14</v>
      </c>
      <c r="E20357" t="s">
        <v>28769</v>
      </c>
      <c r="F20357" t="s">
        <v>28782</v>
      </c>
    </row>
    <row r="20358" spans="1:6" x14ac:dyDescent="0.25">
      <c r="A20358" t="str">
        <f>"950003165085"</f>
        <v>950003165085</v>
      </c>
      <c r="B20358" t="s">
        <v>28783</v>
      </c>
      <c r="C20358" t="s">
        <v>7</v>
      </c>
      <c r="D20358" t="s">
        <v>14</v>
      </c>
      <c r="E20358" t="s">
        <v>28769</v>
      </c>
    </row>
    <row r="20359" spans="1:6" x14ac:dyDescent="0.25">
      <c r="A20359" t="str">
        <f>"950004664471"</f>
        <v>950004664471</v>
      </c>
      <c r="B20359" t="s">
        <v>28784</v>
      </c>
      <c r="C20359" t="s">
        <v>7</v>
      </c>
      <c r="D20359" t="s">
        <v>14</v>
      </c>
      <c r="E20359" t="s">
        <v>28769</v>
      </c>
    </row>
    <row r="20360" spans="1:6" x14ac:dyDescent="0.25">
      <c r="A20360" t="str">
        <f>"950000028080"</f>
        <v>950000028080</v>
      </c>
      <c r="B20360" t="s">
        <v>28785</v>
      </c>
      <c r="C20360" t="s">
        <v>7</v>
      </c>
      <c r="D20360" t="s">
        <v>14</v>
      </c>
      <c r="E20360" t="s">
        <v>28769</v>
      </c>
    </row>
    <row r="20361" spans="1:6" x14ac:dyDescent="0.25">
      <c r="A20361" t="str">
        <f>"950000235190"</f>
        <v>950000235190</v>
      </c>
      <c r="B20361" t="s">
        <v>28786</v>
      </c>
      <c r="C20361" t="s">
        <v>7</v>
      </c>
      <c r="D20361" t="s">
        <v>14</v>
      </c>
      <c r="E20361" t="s">
        <v>28769</v>
      </c>
    </row>
    <row r="20362" spans="1:6" x14ac:dyDescent="0.25">
      <c r="A20362" t="str">
        <f>"950000440047"</f>
        <v>950000440047</v>
      </c>
      <c r="B20362" t="s">
        <v>28787</v>
      </c>
      <c r="C20362" t="s">
        <v>7</v>
      </c>
      <c r="D20362" t="s">
        <v>14</v>
      </c>
      <c r="E20362" t="s">
        <v>28769</v>
      </c>
    </row>
    <row r="20363" spans="1:6" x14ac:dyDescent="0.25">
      <c r="A20363" t="str">
        <f>"950000440368"</f>
        <v>950000440368</v>
      </c>
      <c r="B20363" t="s">
        <v>28788</v>
      </c>
      <c r="C20363" t="s">
        <v>7</v>
      </c>
      <c r="D20363" t="s">
        <v>14</v>
      </c>
      <c r="E20363" t="s">
        <v>28769</v>
      </c>
    </row>
    <row r="20364" spans="1:6" x14ac:dyDescent="0.25">
      <c r="A20364" t="str">
        <f>"9500005388"</f>
        <v>9500005388</v>
      </c>
      <c r="B20364" t="s">
        <v>17736</v>
      </c>
      <c r="C20364" t="s">
        <v>7</v>
      </c>
      <c r="D20364" t="s">
        <v>12</v>
      </c>
      <c r="E20364" t="s">
        <v>28769</v>
      </c>
      <c r="F20364" t="s">
        <v>28789</v>
      </c>
    </row>
    <row r="20365" spans="1:6" x14ac:dyDescent="0.25">
      <c r="A20365" t="str">
        <f>"9500012113"</f>
        <v>9500012113</v>
      </c>
      <c r="B20365" t="s">
        <v>28790</v>
      </c>
      <c r="C20365" t="s">
        <v>7</v>
      </c>
      <c r="D20365" t="s">
        <v>14</v>
      </c>
      <c r="E20365" t="s">
        <v>28769</v>
      </c>
      <c r="F20365" t="s">
        <v>28791</v>
      </c>
    </row>
    <row r="20366" spans="1:6" x14ac:dyDescent="0.25">
      <c r="A20366" t="str">
        <f>"950002110301"</f>
        <v>950002110301</v>
      </c>
      <c r="B20366" t="s">
        <v>28792</v>
      </c>
      <c r="C20366" t="s">
        <v>7</v>
      </c>
      <c r="D20366" t="s">
        <v>14</v>
      </c>
      <c r="E20366" t="s">
        <v>28769</v>
      </c>
    </row>
    <row r="20367" spans="1:6" x14ac:dyDescent="0.25">
      <c r="A20367" t="str">
        <f>"950008783913"</f>
        <v>950008783913</v>
      </c>
      <c r="B20367" t="s">
        <v>28793</v>
      </c>
      <c r="C20367" t="s">
        <v>7</v>
      </c>
      <c r="D20367" t="s">
        <v>14</v>
      </c>
      <c r="E20367" t="s">
        <v>28769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Lenkin_P Pavel</dc:creator>
  <cp:lastModifiedBy>Lenkin_P Pavel</cp:lastModifiedBy>
  <dcterms:created xsi:type="dcterms:W3CDTF">2025-09-03T13:11:56Z</dcterms:created>
  <dcterms:modified xsi:type="dcterms:W3CDTF">2025-09-03T13:19:28Z</dcterms:modified>
</cp:coreProperties>
</file>